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Robert Scharle\Documents\Wenonah\Annual FinancialStatement\2020\"/>
    </mc:Choice>
  </mc:AlternateContent>
  <workbookProtection workbookAlgorithmName="SHA-512" workbookHashValue="GLv+o883BLUHySJuMqhXSNb/CZ1JLcF5Jr4a8CIB4zRfMh6auONIevhdjAUkGuSbSwuMvYfnBUYx4kTY7hsxFQ==" workbookSaltValue="KJJ6cDoT6XJJ10lLUQN0/Q==" workbookSpinCount="100000" lockStructure="1"/>
  <bookViews>
    <workbookView xWindow="0" yWindow="0" windowWidth="30720" windowHeight="13512" tabRatio="808" firstSheet="138" activeTab="139"/>
  </bookViews>
  <sheets>
    <sheet name="Instructions" sheetId="366" r:id="rId1"/>
    <sheet name="69 - Instructions" sheetId="91" state="hidden" r:id="rId2"/>
    <sheet name="KEY INPUTS" sheetId="2" r:id="rId3"/>
    <sheet name="KEY METRICS" sheetId="121" state="hidden" r:id="rId4"/>
    <sheet name="1- Cover" sheetId="57" r:id="rId5"/>
    <sheet name="1a - RMA Certification" sheetId="56" r:id="rId6"/>
    <sheet name="1b - Local Exam Qual Cert" sheetId="54" r:id="rId7"/>
    <sheet name="1c - Fed &amp; State Finan Asst." sheetId="102" r:id="rId8"/>
    <sheet name="2 - No Utility Fund Cert" sheetId="52" r:id="rId9"/>
    <sheet name="3-Trial Bal-Current Fund" sheetId="4" r:id="rId10"/>
    <sheet name="3a-Trial Bal-Current Fund" sheetId="1" r:id="rId11"/>
    <sheet name="3a.1-Trial Bal-Current Fund" sheetId="367" r:id="rId12"/>
    <sheet name="4-Trial Bal-Pub Assist Fnd" sheetId="6" r:id="rId13"/>
    <sheet name="5-Trial Bal-Grants" sheetId="7" r:id="rId14"/>
    <sheet name="6-Trial Bal-Trust Fnds" sheetId="8" r:id="rId15"/>
    <sheet name="6.1-Trial Bal-Trust Fnds" sheetId="9" r:id="rId16"/>
    <sheet name="6.2-Trial Bal-Trust Fnds" sheetId="125" r:id="rId17"/>
    <sheet name="6.3-Trial Bal-Trust Fnds" sheetId="126" state="hidden" r:id="rId18"/>
    <sheet name="6.4-Trial Bal-Trust Fnds" sheetId="127" state="hidden" r:id="rId19"/>
    <sheet name="6.TOTAL-Trial Bal-Trust Fnds" sheetId="128" r:id="rId20"/>
    <sheet name="6b-Trust Fund Reserves" sheetId="97" r:id="rId21"/>
    <sheet name="6b.1-Trust Fund Reserves" sheetId="122" state="hidden" r:id="rId22"/>
    <sheet name="6b.2-Trust Fund Reserves" sheetId="129" state="hidden" r:id="rId23"/>
    <sheet name="6b.3-Trust Fund Reserves" sheetId="130" state="hidden" r:id="rId24"/>
    <sheet name="6b-Total Trust Fund Reserves" sheetId="131" r:id="rId25"/>
    <sheet name="7-Trust Asm Cash &amp; Investments" sheetId="10" r:id="rId26"/>
    <sheet name="8-Trial Bal-Gen Cap Fund" sheetId="11" r:id="rId27"/>
    <sheet name="8.1-Trial Bal-Gen Cap Fund" sheetId="305" r:id="rId28"/>
    <sheet name="9-Cash Reconciliation" sheetId="12" r:id="rId29"/>
    <sheet name="9a-Cash Reconciliation" sheetId="13" r:id="rId30"/>
    <sheet name="9a.1-Cash Reconciliation" sheetId="14" state="hidden" r:id="rId31"/>
    <sheet name="9a.2-Cash Reconciliation" sheetId="123" state="hidden" r:id="rId32"/>
    <sheet name="9a.3-Cash Reconciliation" sheetId="124" state="hidden" r:id="rId33"/>
    <sheet name="9a TOTAL-Cash Reconciliation" sheetId="132" r:id="rId34"/>
    <sheet name="10-Grants Receivable" sheetId="15" r:id="rId35"/>
    <sheet name="10.1-Grants Receivable" sheetId="16" r:id="rId36"/>
    <sheet name="10.2-Grants Receivable" sheetId="133" state="hidden" r:id="rId37"/>
    <sheet name="10.3-Grants Receivable" sheetId="134" state="hidden" r:id="rId38"/>
    <sheet name="10.4-Grants Receivable" sheetId="135" state="hidden" r:id="rId39"/>
    <sheet name="10.5-Grants Receivable" sheetId="136" state="hidden" r:id="rId40"/>
    <sheet name="10.6-Grants Receivable" sheetId="137" state="hidden" r:id="rId41"/>
    <sheet name="10.7-Grants Receivable" sheetId="138" state="hidden" r:id="rId42"/>
    <sheet name="10.8-Grants Receivable" sheetId="139" state="hidden" r:id="rId43"/>
    <sheet name="10.9-Grants Receivable" sheetId="140" state="hidden" r:id="rId44"/>
    <sheet name="10.10-Grants Receivable" sheetId="141" state="hidden" r:id="rId45"/>
    <sheet name="10.11-Grants Receivable" sheetId="142" state="hidden" r:id="rId46"/>
    <sheet name="10.12-Grants Receivable" sheetId="143" state="hidden" r:id="rId47"/>
    <sheet name="10.13-Grants Receivable" sheetId="144" state="hidden" r:id="rId48"/>
    <sheet name="10.14-Grants Receivable" sheetId="145" state="hidden" r:id="rId49"/>
    <sheet name="10.15-Grants Receivable" sheetId="146" state="hidden" r:id="rId50"/>
    <sheet name="10.16-Grants Receivable" sheetId="148" state="hidden" r:id="rId51"/>
    <sheet name="10.17-Grants Receivable" sheetId="147" state="hidden" r:id="rId52"/>
    <sheet name="10.18-Grants Receivable" sheetId="149" state="hidden" r:id="rId53"/>
    <sheet name="10.19-Grants Receivable" sheetId="150" state="hidden" r:id="rId54"/>
    <sheet name="10.20-Grants Receivable" sheetId="151" state="hidden" r:id="rId55"/>
    <sheet name="10.21-Grants Receivable" sheetId="152" state="hidden" r:id="rId56"/>
    <sheet name="10.22-Grants Receivable" sheetId="153" state="hidden" r:id="rId57"/>
    <sheet name="10.23-Grants Receivable" sheetId="154" state="hidden" r:id="rId58"/>
    <sheet name="10.24-Grants Receivable" sheetId="155" state="hidden" r:id="rId59"/>
    <sheet name="10 Totals Grants Receivable" sheetId="156" r:id="rId60"/>
    <sheet name="11 Grants Approp Rsrv" sheetId="17" r:id="rId61"/>
    <sheet name="11.1 Grants Approp Rsrv" sheetId="157" r:id="rId62"/>
    <sheet name="11.2 Grants Approp Rsrv" sheetId="158" r:id="rId63"/>
    <sheet name="11.3 Grants Approp Rsrv" sheetId="159" state="hidden" r:id="rId64"/>
    <sheet name="11.4 Grants Approp Rsrv" sheetId="160" state="hidden" r:id="rId65"/>
    <sheet name="11.5 Grants Approp Rsrv" sheetId="161" state="hidden" r:id="rId66"/>
    <sheet name="11.6 Grants Approp Rsrv" sheetId="162" state="hidden" r:id="rId67"/>
    <sheet name="11.7 Grants Approp Rsrv" sheetId="163" state="hidden" r:id="rId68"/>
    <sheet name="11.8 Grants Approp Rsrv" sheetId="164" state="hidden" r:id="rId69"/>
    <sheet name="11.9 Grants Approp Rsrv" sheetId="165" state="hidden" r:id="rId70"/>
    <sheet name="11.10 Grants Approp Rsrv" sheetId="166" state="hidden" r:id="rId71"/>
    <sheet name="11.11 Grants Approp Rsrv" sheetId="167" state="hidden" r:id="rId72"/>
    <sheet name="11.12 Grants Approp Rsrv" sheetId="168" state="hidden" r:id="rId73"/>
    <sheet name="11.13 Grants Approp Rsrv" sheetId="169" state="hidden" r:id="rId74"/>
    <sheet name="11.14 Grants Approp Rsrv" sheetId="170" state="hidden" r:id="rId75"/>
    <sheet name="11.15 Grants Approp Rsrv" sheetId="171" state="hidden" r:id="rId76"/>
    <sheet name="11.16 Grants Approp Rsrv" sheetId="172" state="hidden" r:id="rId77"/>
    <sheet name="11.17 Grants Approp Rsrv" sheetId="173" state="hidden" r:id="rId78"/>
    <sheet name="11.18 Grants Approp Rsrv" sheetId="174" state="hidden" r:id="rId79"/>
    <sheet name="11.19 Grants Approp Rsrv" sheetId="175" state="hidden" r:id="rId80"/>
    <sheet name="11.20 Grants Approp Rsrv" sheetId="176" state="hidden" r:id="rId81"/>
    <sheet name="11.21 Grants Approp Rsrv" sheetId="177" state="hidden" r:id="rId82"/>
    <sheet name="11.22 Grants Approp Rsrv" sheetId="178" state="hidden" r:id="rId83"/>
    <sheet name="11.23 Grants Approp Rsrv" sheetId="179" state="hidden" r:id="rId84"/>
    <sheet name="11.24 Grants Approp Rsrv" sheetId="180" state="hidden" r:id="rId85"/>
    <sheet name="11.25 Grants Approp Rsrv" sheetId="181" state="hidden" r:id="rId86"/>
    <sheet name="11.26 Grants Approp Rsrv" sheetId="182" state="hidden" r:id="rId87"/>
    <sheet name="11.27 Grants Approp Rsrv" sheetId="183" state="hidden" r:id="rId88"/>
    <sheet name="11.28 Grants Approp Rsrv" sheetId="184" state="hidden" r:id="rId89"/>
    <sheet name="11.29 Grants Approp Rsrv" sheetId="185" state="hidden" r:id="rId90"/>
    <sheet name="11.30 Grants Approp Rsrv" sheetId="186" state="hidden" r:id="rId91"/>
    <sheet name="11.31 Grants Approp Rsrv" sheetId="187" state="hidden" r:id="rId92"/>
    <sheet name="11.32 Grants Approp Rsrv" sheetId="188" state="hidden" r:id="rId93"/>
    <sheet name="11.33 Grants Approp Rsrv" sheetId="189" state="hidden" r:id="rId94"/>
    <sheet name="11.34 Grants Approp Rsrv" sheetId="190" state="hidden" r:id="rId95"/>
    <sheet name="11.35 Grants Approp Rsrv" sheetId="191" state="hidden" r:id="rId96"/>
    <sheet name="11.36 Grants Approp Rsrv" sheetId="192" state="hidden" r:id="rId97"/>
    <sheet name="11.37 Grants Approp Rsrv" sheetId="193" state="hidden" r:id="rId98"/>
    <sheet name="11.38 Grants Approp Rsrv" sheetId="194" state="hidden" r:id="rId99"/>
    <sheet name="11.39 Grants Approp Rsrv" sheetId="195" state="hidden" r:id="rId100"/>
    <sheet name="11- Totals Grants Approp Rsrv" sheetId="196" r:id="rId101"/>
    <sheet name="12-Grants Unappropriated" sheetId="19" state="hidden" r:id="rId102"/>
    <sheet name="12.1-Grants Unappropriated" sheetId="197" state="hidden" r:id="rId103"/>
    <sheet name="12.2-Grants Unappropriated" sheetId="198" state="hidden" r:id="rId104"/>
    <sheet name="12 Total-Grants Unappropriated" sheetId="199" r:id="rId105"/>
    <sheet name="13-Other Taxes" sheetId="20" r:id="rId106"/>
    <sheet name="14-Other Taxes" sheetId="21" r:id="rId107"/>
    <sheet name="15-Other Taxes" sheetId="22" r:id="rId108"/>
    <sheet name="17-Budget Revenues" sheetId="24" r:id="rId109"/>
    <sheet name="17a-Budget Revenues" sheetId="28" r:id="rId110"/>
    <sheet name="17a.1-Budget Revenues " sheetId="200" r:id="rId111"/>
    <sheet name="17a.2-Budget Revenues" sheetId="201" r:id="rId112"/>
    <sheet name="17a.3-Budget Revenues" sheetId="202" r:id="rId113"/>
    <sheet name="17a Totals-Budget Revenues" sheetId="203" r:id="rId114"/>
    <sheet name="18-Budget Appropriations" sheetId="27" r:id="rId115"/>
    <sheet name="19-Results of Op-Cur Fnd" sheetId="31" r:id="rId116"/>
    <sheet name="20-Misc Rev Not Ant" sheetId="32" r:id="rId117"/>
    <sheet name="20.1-Misc Rev Not Ant" sheetId="204" r:id="rId118"/>
    <sheet name="20 Total-Misc Rev Not Ant" sheetId="205" r:id="rId119"/>
    <sheet name="21-Current Fund Surplus" sheetId="26" r:id="rId120"/>
    <sheet name="22-CY Levy" sheetId="30" r:id="rId121"/>
    <sheet name="22a-Tax Levy Sale" sheetId="35" r:id="rId122"/>
    <sheet name="23-SCVet Deductions" sheetId="29" r:id="rId123"/>
    <sheet name="24-Reserves for Tax Appeals" sheetId="34" r:id="rId124"/>
    <sheet name="26-Delinquent Taxes and Liens" sheetId="36" r:id="rId125"/>
    <sheet name="27-Foreclosed Property" sheetId="39" r:id="rId126"/>
    <sheet name="28-Deferred Charges" sheetId="37" r:id="rId127"/>
    <sheet name="29-Special Emergency" sheetId="40" r:id="rId128"/>
    <sheet name="30-Special Emergency" sheetId="41" r:id="rId129"/>
    <sheet name="31-Capital Bond Schedule" sheetId="38" r:id="rId130"/>
    <sheet name="31A-Loan Schedule" sheetId="96" r:id="rId131"/>
    <sheet name="31A.1-Loan Schedule" sheetId="206" r:id="rId132"/>
    <sheet name="31A.2-Loan Schedule" sheetId="207" r:id="rId133"/>
    <sheet name="32-Bond Schedule" sheetId="42" r:id="rId134"/>
    <sheet name="33-Note Debt Service" sheetId="43" r:id="rId135"/>
    <sheet name="33.1-Note Debt Service" sheetId="208" r:id="rId136"/>
    <sheet name="33 Totals-Note Debt Service" sheetId="209" r:id="rId137"/>
    <sheet name="34-Assmt Note Debt Service" sheetId="44" r:id="rId138"/>
    <sheet name="34a-Cap Lease Program Oblg" sheetId="98" r:id="rId139"/>
    <sheet name="35- Cap Fund Imprv Auth" sheetId="45" r:id="rId140"/>
    <sheet name="35.1- Cap Fund Imprv Auth " sheetId="46" r:id="rId141"/>
    <sheet name="35.2- Cap Fund Imprv Auth" sheetId="210" r:id="rId142"/>
    <sheet name="35.3- Cap Fund Imprv Auth" sheetId="211" state="hidden" r:id="rId143"/>
    <sheet name="35.4- Cap Fund Imprv Auth" sheetId="212" state="hidden" r:id="rId144"/>
    <sheet name="35.5- Cap Fund Imprv Auth" sheetId="213" state="hidden" r:id="rId145"/>
    <sheet name="35.6- Cap Fund Imprv Auth" sheetId="214" state="hidden" r:id="rId146"/>
    <sheet name="35.7- Cap Fund Imprv Auth" sheetId="215" state="hidden" r:id="rId147"/>
    <sheet name="35.8- Cap Fund Imprv Auth" sheetId="216" state="hidden" r:id="rId148"/>
    <sheet name="35.9- Cap Fund Imprv Auth" sheetId="217" state="hidden" r:id="rId149"/>
    <sheet name="35 Totals- Cap Fund Imprv Auth" sheetId="218" r:id="rId150"/>
    <sheet name="36- Capital Improvement Fund" sheetId="50" r:id="rId151"/>
    <sheet name="37- Cap Fund Down Pymts" sheetId="51" r:id="rId152"/>
    <sheet name="38- Capital Surplus" sheetId="58" r:id="rId153"/>
    <sheet name="39- Req. Information" sheetId="48" r:id="rId154"/>
    <sheet name="40" sheetId="47" r:id="rId155"/>
    <sheet name="41-Utility1 " sheetId="103" r:id="rId156"/>
    <sheet name="41a-Utility1" sheetId="104" r:id="rId157"/>
    <sheet name="41a.1-Utility1" sheetId="344" r:id="rId158"/>
    <sheet name="42-Utility1" sheetId="105" r:id="rId159"/>
    <sheet name="43-Utility1" sheetId="106" r:id="rId160"/>
    <sheet name="44-Utility1" sheetId="107" r:id="rId161"/>
    <sheet name="45-Utility1" sheetId="108" r:id="rId162"/>
    <sheet name="46-Utility1" sheetId="109" r:id="rId163"/>
    <sheet name="47-Utility1" sheetId="110" r:id="rId164"/>
    <sheet name="48-Utility1" sheetId="111" r:id="rId165"/>
    <sheet name="48a-Utility1" sheetId="374" r:id="rId166"/>
    <sheet name="49-Utility1" sheetId="112" r:id="rId167"/>
    <sheet name="49a-Utility1" sheetId="113" r:id="rId168"/>
    <sheet name="49a.1-Utility1" sheetId="306" r:id="rId169"/>
    <sheet name="50-Utility1" sheetId="368" r:id="rId170"/>
    <sheet name="50.1-Utility1" sheetId="114" r:id="rId171"/>
    <sheet name="51-Utility1" sheetId="115" r:id="rId172"/>
    <sheet name="51a-Utility1" sheetId="116" r:id="rId173"/>
    <sheet name="52-Utility1" sheetId="117" r:id="rId174"/>
    <sheet name="52.1-Utility1" sheetId="319" state="hidden" r:id="rId175"/>
    <sheet name="52.2-Utility1" sheetId="320" state="hidden" r:id="rId176"/>
    <sheet name="52.3-Utility1" sheetId="321" state="hidden" r:id="rId177"/>
    <sheet name="52-Totals-Utility 1" sheetId="322" r:id="rId178"/>
    <sheet name="53-Utility1" sheetId="118" r:id="rId179"/>
    <sheet name="54-Utility1" sheetId="119" r:id="rId180"/>
    <sheet name="41-Utility2" sheetId="220" r:id="rId181"/>
    <sheet name="41a-Utility2" sheetId="355" r:id="rId182"/>
    <sheet name="41a.1-Utility2" sheetId="356" r:id="rId183"/>
    <sheet name="42-Utility2" sheetId="222" r:id="rId184"/>
    <sheet name="43-Utility2" sheetId="223" r:id="rId185"/>
    <sheet name="44-Utility2" sheetId="224" r:id="rId186"/>
    <sheet name="45-Utility2" sheetId="225" r:id="rId187"/>
    <sheet name="46-Utility2 " sheetId="226" r:id="rId188"/>
    <sheet name="47-Utility2" sheetId="227" r:id="rId189"/>
    <sheet name="48-Utility2" sheetId="228" r:id="rId190"/>
    <sheet name="48a-Utility2" sheetId="375" r:id="rId191"/>
    <sheet name="49-Utility2" sheetId="229" r:id="rId192"/>
    <sheet name="49a-Utility2" sheetId="230" r:id="rId193"/>
    <sheet name="49a.1-Utility2 " sheetId="307" r:id="rId194"/>
    <sheet name="50-Utility2" sheetId="369" r:id="rId195"/>
    <sheet name="50.1-Utility2" sheetId="231" r:id="rId196"/>
    <sheet name="51-Utility2" sheetId="287" r:id="rId197"/>
    <sheet name="51a-Utility2" sheetId="292" r:id="rId198"/>
    <sheet name="52-Utility2" sheetId="293" r:id="rId199"/>
    <sheet name="52.1-Utility2" sheetId="323" state="hidden" r:id="rId200"/>
    <sheet name="52.2-Utility2" sheetId="324" state="hidden" r:id="rId201"/>
    <sheet name="52.3-Utility2" sheetId="325" state="hidden" r:id="rId202"/>
    <sheet name="52-Totals-Utility2" sheetId="326" r:id="rId203"/>
    <sheet name="53-Utility2" sheetId="300" r:id="rId204"/>
    <sheet name="54-Utility2" sheetId="301" r:id="rId205"/>
    <sheet name="41-Utility3" sheetId="232" r:id="rId206"/>
    <sheet name="41a-Utility3" sheetId="357" r:id="rId207"/>
    <sheet name="41a.1-Utility3" sheetId="358" r:id="rId208"/>
    <sheet name="42-Utility3" sheetId="234" r:id="rId209"/>
    <sheet name="43-Utility3" sheetId="235" r:id="rId210"/>
    <sheet name="44-Utility3" sheetId="236" r:id="rId211"/>
    <sheet name="45-Utility3" sheetId="237" r:id="rId212"/>
    <sheet name="46-Utility3" sheetId="238" r:id="rId213"/>
    <sheet name="47-Utility3" sheetId="239" r:id="rId214"/>
    <sheet name="48-Utility3" sheetId="240" r:id="rId215"/>
    <sheet name="48a-Utility3" sheetId="376" r:id="rId216"/>
    <sheet name="49-Utility3" sheetId="241" r:id="rId217"/>
    <sheet name="49a-Utility3" sheetId="242" r:id="rId218"/>
    <sheet name="49a.1-Utility3" sheetId="311" r:id="rId219"/>
    <sheet name="50-Utility3" sheetId="370" r:id="rId220"/>
    <sheet name="50.1-Utility3" sheetId="243" r:id="rId221"/>
    <sheet name="51-Utility3" sheetId="286" r:id="rId222"/>
    <sheet name="51a-Utility3" sheetId="291" r:id="rId223"/>
    <sheet name="52-Utility3" sheetId="294" r:id="rId224"/>
    <sheet name="52.1-Utility3" sheetId="327" state="hidden" r:id="rId225"/>
    <sheet name="52.2-Utility3" sheetId="328" state="hidden" r:id="rId226"/>
    <sheet name="52.3-Utility3" sheetId="329" state="hidden" r:id="rId227"/>
    <sheet name="52-Totals-Utility3" sheetId="330" r:id="rId228"/>
    <sheet name="53-Utility3" sheetId="299" r:id="rId229"/>
    <sheet name="54-Utility3" sheetId="302" r:id="rId230"/>
    <sheet name="41-Utility4" sheetId="244" state="hidden" r:id="rId231"/>
    <sheet name="41a-Utility4" sheetId="359" state="hidden" r:id="rId232"/>
    <sheet name="41a.1-Utility4" sheetId="360" state="hidden" r:id="rId233"/>
    <sheet name="42-Utility4" sheetId="246" state="hidden" r:id="rId234"/>
    <sheet name="43-Utility4" sheetId="247" state="hidden" r:id="rId235"/>
    <sheet name="44-Utility4" sheetId="248" state="hidden" r:id="rId236"/>
    <sheet name="45-Utility4" sheetId="249" state="hidden" r:id="rId237"/>
    <sheet name="46-Utility4" sheetId="250" state="hidden" r:id="rId238"/>
    <sheet name="47-Utility4" sheetId="251" state="hidden" r:id="rId239"/>
    <sheet name="48-Utility4" sheetId="252" state="hidden" r:id="rId240"/>
    <sheet name="48a-Utility4" sheetId="377" state="hidden" r:id="rId241"/>
    <sheet name="49-Utility4" sheetId="253" state="hidden" r:id="rId242"/>
    <sheet name="49a-Utility4" sheetId="254" state="hidden" r:id="rId243"/>
    <sheet name="49a.1-Utility4" sheetId="313" state="hidden" r:id="rId244"/>
    <sheet name="50-Utility4" sheetId="371" state="hidden" r:id="rId245"/>
    <sheet name="50.1-Utility4" sheetId="255" state="hidden" r:id="rId246"/>
    <sheet name="51-Utility4" sheetId="285" state="hidden" r:id="rId247"/>
    <sheet name="51a-Utility4" sheetId="290" state="hidden" r:id="rId248"/>
    <sheet name="52-Utility4" sheetId="295" state="hidden" r:id="rId249"/>
    <sheet name="52.1-Utility4" sheetId="331" state="hidden" r:id="rId250"/>
    <sheet name="52.2-Utility4" sheetId="332" state="hidden" r:id="rId251"/>
    <sheet name="52.3-Utility4" sheetId="333" state="hidden" r:id="rId252"/>
    <sheet name="52-Totals-Utility4" sheetId="335" state="hidden" r:id="rId253"/>
    <sheet name="53-Utility4" sheetId="298" state="hidden" r:id="rId254"/>
    <sheet name="54-Utility4" sheetId="303" state="hidden" r:id="rId255"/>
    <sheet name="41-Utility5" sheetId="256" state="hidden" r:id="rId256"/>
    <sheet name="41a-Utility5" sheetId="361" state="hidden" r:id="rId257"/>
    <sheet name="41a.1-Utility5" sheetId="362" state="hidden" r:id="rId258"/>
    <sheet name="42-Utility5" sheetId="258" state="hidden" r:id="rId259"/>
    <sheet name="43-Utility5" sheetId="259" state="hidden" r:id="rId260"/>
    <sheet name="44-Utility5" sheetId="260" state="hidden" r:id="rId261"/>
    <sheet name="45-Utility5" sheetId="261" state="hidden" r:id="rId262"/>
    <sheet name="46-Utility5" sheetId="262" state="hidden" r:id="rId263"/>
    <sheet name="47-Utility5" sheetId="263" state="hidden" r:id="rId264"/>
    <sheet name="48-Utility5" sheetId="264" state="hidden" r:id="rId265"/>
    <sheet name="48a-Utility5" sheetId="378" state="hidden" r:id="rId266"/>
    <sheet name="49-Utility5" sheetId="265" state="hidden" r:id="rId267"/>
    <sheet name="49a-Utility5" sheetId="266" state="hidden" r:id="rId268"/>
    <sheet name="49a.1-Utility5" sheetId="315" state="hidden" r:id="rId269"/>
    <sheet name="50-Utility5" sheetId="372" state="hidden" r:id="rId270"/>
    <sheet name="50.1-Utility5" sheetId="267" state="hidden" r:id="rId271"/>
    <sheet name="51-Utility5" sheetId="284" state="hidden" r:id="rId272"/>
    <sheet name="51a-Utility5" sheetId="289" state="hidden" r:id="rId273"/>
    <sheet name="52-Utility5" sheetId="296" state="hidden" r:id="rId274"/>
    <sheet name="52.1-Utility5" sheetId="336" state="hidden" r:id="rId275"/>
    <sheet name="52.2-Utility5" sheetId="337" state="hidden" r:id="rId276"/>
    <sheet name="52.3-Utility5" sheetId="338" state="hidden" r:id="rId277"/>
    <sheet name="52-Totals-Utility5" sheetId="339" state="hidden" r:id="rId278"/>
    <sheet name="53-Utility5" sheetId="297" state="hidden" r:id="rId279"/>
    <sheet name="54-Utility5" sheetId="304" state="hidden" r:id="rId280"/>
    <sheet name="41-Utility6" sheetId="268" state="hidden" r:id="rId281"/>
    <sheet name="41a-Utility6" sheetId="363" state="hidden" r:id="rId282"/>
    <sheet name="41a.1-Utility6" sheetId="364" state="hidden" r:id="rId283"/>
    <sheet name="42-Utility6" sheetId="365" state="hidden" r:id="rId284"/>
    <sheet name="43-Utility6" sheetId="270" state="hidden" r:id="rId285"/>
    <sheet name="44-Utility6" sheetId="271" state="hidden" r:id="rId286"/>
    <sheet name="45-Utility6" sheetId="272" state="hidden" r:id="rId287"/>
    <sheet name="46-Utility6" sheetId="273" state="hidden" r:id="rId288"/>
    <sheet name="47-Utility6" sheetId="274" state="hidden" r:id="rId289"/>
    <sheet name="48-Utility6" sheetId="275" state="hidden" r:id="rId290"/>
    <sheet name="48a-Utility6" sheetId="379" state="hidden" r:id="rId291"/>
    <sheet name="49-Utility6" sheetId="276" state="hidden" r:id="rId292"/>
    <sheet name="49a-Utility6" sheetId="277" state="hidden" r:id="rId293"/>
    <sheet name="49a.1-Utility6" sheetId="317" state="hidden" r:id="rId294"/>
    <sheet name="50-Utility6" sheetId="373" state="hidden" r:id="rId295"/>
    <sheet name="50.1-Utility6" sheetId="278" state="hidden" r:id="rId296"/>
    <sheet name="51-Utility6" sheetId="279" state="hidden" r:id="rId297"/>
    <sheet name="51a-Utility6" sheetId="280" state="hidden" r:id="rId298"/>
    <sheet name="52-Utility6" sheetId="281" state="hidden" r:id="rId299"/>
    <sheet name="52.1-Utility6" sheetId="340" state="hidden" r:id="rId300"/>
    <sheet name="52.2-Utility6" sheetId="341" state="hidden" r:id="rId301"/>
    <sheet name="52.3-Utility6" sheetId="342" state="hidden" r:id="rId302"/>
    <sheet name="52-Totals-Utility6" sheetId="343" state="hidden" r:id="rId303"/>
    <sheet name="53-Utility6" sheetId="282" state="hidden" r:id="rId304"/>
    <sheet name="54-Utility6" sheetId="283" state="hidden" r:id="rId305"/>
  </sheets>
  <definedNames>
    <definedName name="_xlnm._FilterDatabase" localSheetId="2" hidden="1">'KEY INPUTS'!$Z$6:$Z$571</definedName>
    <definedName name="_xlnm.Print_Area" localSheetId="4">'1- Cover'!$A$1:$O$67</definedName>
    <definedName name="_xlnm.Print_Area" localSheetId="59">'10 Totals Grants Receivable'!$A$1:$K$27</definedName>
    <definedName name="_xlnm.Print_Area" localSheetId="44">'10.10-Grants Receivable'!$A$1:$K$27</definedName>
    <definedName name="_xlnm.Print_Area" localSheetId="45">'10.11-Grants Receivable'!$A$1:$K$27</definedName>
    <definedName name="_xlnm.Print_Area" localSheetId="46">'10.12-Grants Receivable'!$A$1:$K$27</definedName>
    <definedName name="_xlnm.Print_Area" localSheetId="47">'10.13-Grants Receivable'!$A$1:$K$27</definedName>
    <definedName name="_xlnm.Print_Area" localSheetId="48">'10.14-Grants Receivable'!$A$1:$K$27</definedName>
    <definedName name="_xlnm.Print_Area" localSheetId="49">'10.15-Grants Receivable'!$A$1:$K$27</definedName>
    <definedName name="_xlnm.Print_Area" localSheetId="50">'10.16-Grants Receivable'!$A$1:$K$27</definedName>
    <definedName name="_xlnm.Print_Area" localSheetId="51">'10.17-Grants Receivable'!$A$1:$K$27</definedName>
    <definedName name="_xlnm.Print_Area" localSheetId="52">'10.18-Grants Receivable'!$A$1:$K$27</definedName>
    <definedName name="_xlnm.Print_Area" localSheetId="53">'10.19-Grants Receivable'!$A$1:$K$27</definedName>
    <definedName name="_xlnm.Print_Area" localSheetId="35">'10.1-Grants Receivable'!$A$1:$K$27</definedName>
    <definedName name="_xlnm.Print_Area" localSheetId="54">'10.20-Grants Receivable'!$A$1:$K$27</definedName>
    <definedName name="_xlnm.Print_Area" localSheetId="55">'10.21-Grants Receivable'!$A$1:$K$27</definedName>
    <definedName name="_xlnm.Print_Area" localSheetId="56">'10.22-Grants Receivable'!$A$1:$K$27</definedName>
    <definedName name="_xlnm.Print_Area" localSheetId="57">'10.23-Grants Receivable'!$A$1:$K$27</definedName>
    <definedName name="_xlnm.Print_Area" localSheetId="58">'10.24-Grants Receivable'!$A$1:$K$27</definedName>
    <definedName name="_xlnm.Print_Area" localSheetId="36">'10.2-Grants Receivable'!$A$1:$K$27</definedName>
    <definedName name="_xlnm.Print_Area" localSheetId="37">'10.3-Grants Receivable'!$A$1:$K$27</definedName>
    <definedName name="_xlnm.Print_Area" localSheetId="38">'10.4-Grants Receivable'!$A$1:$K$27</definedName>
    <definedName name="_xlnm.Print_Area" localSheetId="39">'10.5-Grants Receivable'!$A$1:$K$27</definedName>
    <definedName name="_xlnm.Print_Area" localSheetId="40">'10.6-Grants Receivable'!$A$1:$K$27</definedName>
    <definedName name="_xlnm.Print_Area" localSheetId="41">'10.7-Grants Receivable'!$A$1:$K$27</definedName>
    <definedName name="_xlnm.Print_Area" localSheetId="42">'10.8-Grants Receivable'!$A$1:$K$27</definedName>
    <definedName name="_xlnm.Print_Area" localSheetId="43">'10.9-Grants Receivable'!$A$1:$K$27</definedName>
    <definedName name="_xlnm.Print_Area" localSheetId="34">'10-Grants Receivable'!$A$1:$K$27</definedName>
    <definedName name="_xlnm.Print_Area" localSheetId="60">'11 Grants Approp Rsrv'!$A$1:$L$27</definedName>
    <definedName name="_xlnm.Print_Area" localSheetId="100">'11- Totals Grants Approp Rsrv'!$A$1:$L$27</definedName>
    <definedName name="_xlnm.Print_Area" localSheetId="61">'11.1 Grants Approp Rsrv'!$A$1:$L$27</definedName>
    <definedName name="_xlnm.Print_Area" localSheetId="70">'11.10 Grants Approp Rsrv'!$A$1:$L$27</definedName>
    <definedName name="_xlnm.Print_Area" localSheetId="71">'11.11 Grants Approp Rsrv'!$A$1:$L$27</definedName>
    <definedName name="_xlnm.Print_Area" localSheetId="72">'11.12 Grants Approp Rsrv'!$A$1:$L$27</definedName>
    <definedName name="_xlnm.Print_Area" localSheetId="73">'11.13 Grants Approp Rsrv'!$A$1:$L$27</definedName>
    <definedName name="_xlnm.Print_Area" localSheetId="74">'11.14 Grants Approp Rsrv'!$A$1:$L$27</definedName>
    <definedName name="_xlnm.Print_Area" localSheetId="75">'11.15 Grants Approp Rsrv'!$A$1:$L$27</definedName>
    <definedName name="_xlnm.Print_Area" localSheetId="76">'11.16 Grants Approp Rsrv'!$A$1:$L$27</definedName>
    <definedName name="_xlnm.Print_Area" localSheetId="77">'11.17 Grants Approp Rsrv'!$A$1:$L$27</definedName>
    <definedName name="_xlnm.Print_Area" localSheetId="78">'11.18 Grants Approp Rsrv'!$A$1:$L$27</definedName>
    <definedName name="_xlnm.Print_Area" localSheetId="79">'11.19 Grants Approp Rsrv'!$A$1:$L$27</definedName>
    <definedName name="_xlnm.Print_Area" localSheetId="62">'11.2 Grants Approp Rsrv'!$A$1:$L$27</definedName>
    <definedName name="_xlnm.Print_Area" localSheetId="80">'11.20 Grants Approp Rsrv'!$A$1:$L$27</definedName>
    <definedName name="_xlnm.Print_Area" localSheetId="81">'11.21 Grants Approp Rsrv'!$A$1:$L$27</definedName>
    <definedName name="_xlnm.Print_Area" localSheetId="82">'11.22 Grants Approp Rsrv'!$A$1:$L$27</definedName>
    <definedName name="_xlnm.Print_Area" localSheetId="83">'11.23 Grants Approp Rsrv'!$A$1:$L$27</definedName>
    <definedName name="_xlnm.Print_Area" localSheetId="84">'11.24 Grants Approp Rsrv'!$A$1:$L$27</definedName>
    <definedName name="_xlnm.Print_Area" localSheetId="85">'11.25 Grants Approp Rsrv'!$A$1:$L$27</definedName>
    <definedName name="_xlnm.Print_Area" localSheetId="86">'11.26 Grants Approp Rsrv'!$A$1:$L$27</definedName>
    <definedName name="_xlnm.Print_Area" localSheetId="87">'11.27 Grants Approp Rsrv'!$A$1:$L$27</definedName>
    <definedName name="_xlnm.Print_Area" localSheetId="88">'11.28 Grants Approp Rsrv'!$A$1:$L$27</definedName>
    <definedName name="_xlnm.Print_Area" localSheetId="89">'11.29 Grants Approp Rsrv'!$A$1:$L$27</definedName>
    <definedName name="_xlnm.Print_Area" localSheetId="63">'11.3 Grants Approp Rsrv'!$A$1:$L$27</definedName>
    <definedName name="_xlnm.Print_Area" localSheetId="90">'11.30 Grants Approp Rsrv'!$A$1:$L$27</definedName>
    <definedName name="_xlnm.Print_Area" localSheetId="91">'11.31 Grants Approp Rsrv'!$A$1:$L$27</definedName>
    <definedName name="_xlnm.Print_Area" localSheetId="92">'11.32 Grants Approp Rsrv'!$A$1:$L$27</definedName>
    <definedName name="_xlnm.Print_Area" localSheetId="93">'11.33 Grants Approp Rsrv'!$A$1:$L$27</definedName>
    <definedName name="_xlnm.Print_Area" localSheetId="94">'11.34 Grants Approp Rsrv'!$A$1:$L$27</definedName>
    <definedName name="_xlnm.Print_Area" localSheetId="95">'11.35 Grants Approp Rsrv'!$A$1:$L$27</definedName>
    <definedName name="_xlnm.Print_Area" localSheetId="96">'11.36 Grants Approp Rsrv'!$A$1:$L$27</definedName>
    <definedName name="_xlnm.Print_Area" localSheetId="97">'11.37 Grants Approp Rsrv'!$A$1:$L$27</definedName>
    <definedName name="_xlnm.Print_Area" localSheetId="98">'11.38 Grants Approp Rsrv'!$A$1:$L$27</definedName>
    <definedName name="_xlnm.Print_Area" localSheetId="99">'11.39 Grants Approp Rsrv'!$A$1:$L$27</definedName>
    <definedName name="_xlnm.Print_Area" localSheetId="64">'11.4 Grants Approp Rsrv'!$A$1:$L$27</definedName>
    <definedName name="_xlnm.Print_Area" localSheetId="65">'11.5 Grants Approp Rsrv'!$A$1:$L$27</definedName>
    <definedName name="_xlnm.Print_Area" localSheetId="66">'11.6 Grants Approp Rsrv'!$A$1:$L$27</definedName>
    <definedName name="_xlnm.Print_Area" localSheetId="67">'11.7 Grants Approp Rsrv'!$A$1:$L$27</definedName>
    <definedName name="_xlnm.Print_Area" localSheetId="68">'11.8 Grants Approp Rsrv'!$A$1:$L$27</definedName>
    <definedName name="_xlnm.Print_Area" localSheetId="69">'11.9 Grants Approp Rsrv'!$A$1:$L$27</definedName>
    <definedName name="_xlnm.Print_Area" localSheetId="104">'12 Total-Grants Unappropriated'!$A$1:$K$27</definedName>
    <definedName name="_xlnm.Print_Area" localSheetId="102">'12.1-Grants Unappropriated'!$A$1:$K$27</definedName>
    <definedName name="_xlnm.Print_Area" localSheetId="103">'12.2-Grants Unappropriated'!$A$1:$K$27</definedName>
    <definedName name="_xlnm.Print_Area" localSheetId="101">'12-Grants Unappropriated'!$A$1:$K$27</definedName>
    <definedName name="_xlnm.Print_Area" localSheetId="105">'13-Other Taxes'!$A$1:$H$51</definedName>
    <definedName name="_xlnm.Print_Area" localSheetId="106">'14-Other Taxes'!$A$1:$H$52</definedName>
    <definedName name="_xlnm.Print_Area" localSheetId="107">'15-Other Taxes'!$A$1:$J$47</definedName>
    <definedName name="_xlnm.Print_Area" localSheetId="113">'17a Totals-Budget Revenues'!$A$1:$J$49</definedName>
    <definedName name="_xlnm.Print_Area" localSheetId="110">'17a.1-Budget Revenues '!$A$1:$J$49</definedName>
    <definedName name="_xlnm.Print_Area" localSheetId="111">'17a.2-Budget Revenues'!$A$1:$J$49</definedName>
    <definedName name="_xlnm.Print_Area" localSheetId="112">'17a.3-Budget Revenues'!$A$1:$J$49</definedName>
    <definedName name="_xlnm.Print_Area" localSheetId="109">'17a-Budget Revenues'!$A$1:$J$49</definedName>
    <definedName name="_xlnm.Print_Area" localSheetId="108">'17-Budget Revenues'!$A$1:$J$48</definedName>
    <definedName name="_xlnm.Print_Area" localSheetId="114">'18-Budget Appropriations'!$A$1:$J$54</definedName>
    <definedName name="_xlnm.Print_Area" localSheetId="115">'19-Results of Op-Cur Fnd'!$A$1:$I$48</definedName>
    <definedName name="_xlnm.Print_Area" localSheetId="5">'1a - RMA Certification'!$A$1:$N$70</definedName>
    <definedName name="_xlnm.Print_Area" localSheetId="6">'1b - Local Exam Qual Cert'!$A$1:$M$68</definedName>
    <definedName name="_xlnm.Print_Area" localSheetId="7">'1c - Fed &amp; State Finan Asst.'!$A$1:$M$71</definedName>
    <definedName name="_xlnm.Print_Area" localSheetId="8">'2 - No Utility Fund Cert'!$A$1:$M$59</definedName>
    <definedName name="_xlnm.Print_Area" localSheetId="118">'20 Total-Misc Rev Not Ant'!$A$1:$H$47</definedName>
    <definedName name="_xlnm.Print_Area" localSheetId="117">'20.1-Misc Rev Not Ant'!$A$1:$H$47</definedName>
    <definedName name="_xlnm.Print_Area" localSheetId="116">'20-Misc Rev Not Ant'!$A$1:$H$47</definedName>
    <definedName name="_xlnm.Print_Area" localSheetId="119">'21-Current Fund Surplus'!$A$1:$L$50</definedName>
    <definedName name="_xlnm.Print_Area" localSheetId="121">'22a-Tax Levy Sale'!$A$1:$K$61</definedName>
    <definedName name="_xlnm.Print_Area" localSheetId="120">'22-CY Levy'!$A$1:$N$63</definedName>
    <definedName name="_xlnm.Print_Area" localSheetId="122">'23-SCVet Deductions'!$A$1:$J$54</definedName>
    <definedName name="_xlnm.Print_Area" localSheetId="123">'24-Reserves for Tax Appeals'!$A$1:$J$60</definedName>
    <definedName name="_xlnm.Print_Area" localSheetId="124">'26-Delinquent Taxes and Liens'!$A$1:$M$49</definedName>
    <definedName name="_xlnm.Print_Area" localSheetId="125">'27-Foreclosed Property'!$A$1:$L$50</definedName>
    <definedName name="_xlnm.Print_Area" localSheetId="126">'28-Deferred Charges'!$A$1:$N$58</definedName>
    <definedName name="_xlnm.Print_Area" localSheetId="127">'29-Special Emergency'!$A$1:$L$31</definedName>
    <definedName name="_xlnm.Print_Area" localSheetId="128">'30-Special Emergency'!$A$1:$L$31</definedName>
    <definedName name="_xlnm.Print_Area" localSheetId="131">'31A.1-Loan Schedule'!$A$1:$L$47</definedName>
    <definedName name="_xlnm.Print_Area" localSheetId="132">'31A.2-Loan Schedule'!$A$1:$L$47</definedName>
    <definedName name="_xlnm.Print_Area" localSheetId="130">'31A-Loan Schedule'!$A$1:$L$47</definedName>
    <definedName name="_xlnm.Print_Area" localSheetId="129">'31-Capital Bond Schedule'!$A$1:$L$47</definedName>
    <definedName name="_xlnm.Print_Area" localSheetId="133">'32-Bond Schedule'!$A$1:$L$48</definedName>
    <definedName name="_xlnm.Print_Area" localSheetId="136">'33 Totals-Note Debt Service'!$A$1:$L$29</definedName>
    <definedName name="_xlnm.Print_Area" localSheetId="135">'33.1-Note Debt Service'!$A$1:$L$29</definedName>
    <definedName name="_xlnm.Print_Area" localSheetId="134">'33-Note Debt Service'!$A$1:$L$29</definedName>
    <definedName name="_xlnm.Print_Area" localSheetId="138">'34a-Cap Lease Program Oblg'!$A$1:$I$27</definedName>
    <definedName name="_xlnm.Print_Area" localSheetId="137">'34-Assmt Note Debt Service'!$A$1:$L$29</definedName>
    <definedName name="_xlnm.Print_Area" localSheetId="139">'35- Cap Fund Imprv Auth'!$A$1:$L$29</definedName>
    <definedName name="_xlnm.Print_Area" localSheetId="149">'35 Totals- Cap Fund Imprv Auth'!$A$1:$L$29</definedName>
    <definedName name="_xlnm.Print_Area" localSheetId="140">'35.1- Cap Fund Imprv Auth '!$A$1:$L$29</definedName>
    <definedName name="_xlnm.Print_Area" localSheetId="141">'35.2- Cap Fund Imprv Auth'!$A$1:$L$29</definedName>
    <definedName name="_xlnm.Print_Area" localSheetId="142">'35.3- Cap Fund Imprv Auth'!$A$1:$L$29</definedName>
    <definedName name="_xlnm.Print_Area" localSheetId="143">'35.4- Cap Fund Imprv Auth'!$A$1:$L$29</definedName>
    <definedName name="_xlnm.Print_Area" localSheetId="144">'35.5- Cap Fund Imprv Auth'!$A$1:$L$29</definedName>
    <definedName name="_xlnm.Print_Area" localSheetId="145">'35.6- Cap Fund Imprv Auth'!$A$1:$L$29</definedName>
    <definedName name="_xlnm.Print_Area" localSheetId="146">'35.7- Cap Fund Imprv Auth'!$A$1:$L$29</definedName>
    <definedName name="_xlnm.Print_Area" localSheetId="147">'35.8- Cap Fund Imprv Auth'!$A$1:$L$29</definedName>
    <definedName name="_xlnm.Print_Area" localSheetId="148">'35.9- Cap Fund Imprv Auth'!$A$1:$L$29</definedName>
    <definedName name="_xlnm.Print_Area" localSheetId="150">'36- Capital Improvement Fund'!$A$1:$J$54</definedName>
    <definedName name="_xlnm.Print_Area" localSheetId="151">'37- Cap Fund Down Pymts'!$A$1:$J$54</definedName>
    <definedName name="_xlnm.Print_Area" localSheetId="152">'38- Capital Surplus'!$A$1:$J$62</definedName>
    <definedName name="_xlnm.Print_Area" localSheetId="153">'39- Req. Information'!$A$1:$Q$66</definedName>
    <definedName name="_xlnm.Print_Area" localSheetId="11">'3a.1-Trial Bal-Current Fund'!$A$1:$I$48</definedName>
    <definedName name="_xlnm.Print_Area" localSheetId="10">'3a-Trial Bal-Current Fund'!$A$1:$I$48</definedName>
    <definedName name="_xlnm.Print_Area" localSheetId="9">'3-Trial Bal-Current Fund'!$A$1:$H$48</definedName>
    <definedName name="_xlnm.Print_Area" localSheetId="154">'40'!$A$1:$K$68</definedName>
    <definedName name="_xlnm.Print_Area" localSheetId="157">'41a.1-Utility1'!$A$1:$H$50</definedName>
    <definedName name="_xlnm.Print_Area" localSheetId="182">'41a.1-Utility2'!$A$1:$H$50</definedName>
    <definedName name="_xlnm.Print_Area" localSheetId="207">'41a.1-Utility3'!$A$1:$H$50</definedName>
    <definedName name="_xlnm.Print_Area" localSheetId="232">'41a.1-Utility4'!$A$1:$H$50</definedName>
    <definedName name="_xlnm.Print_Area" localSheetId="257">'41a.1-Utility5'!$A$1:$H$50</definedName>
    <definedName name="_xlnm.Print_Area" localSheetId="282">'41a.1-Utility6'!$A$1:$H$50</definedName>
    <definedName name="_xlnm.Print_Area" localSheetId="156">'41a-Utility1'!$A$1:$H$50</definedName>
    <definedName name="_xlnm.Print_Area" localSheetId="181">'41a-Utility2'!$A$1:$H$50</definedName>
    <definedName name="_xlnm.Print_Area" localSheetId="206">'41a-Utility3'!$A$1:$H$50</definedName>
    <definedName name="_xlnm.Print_Area" localSheetId="231">'41a-Utility4'!$A$1:$H$50</definedName>
    <definedName name="_xlnm.Print_Area" localSheetId="256">'41a-Utility5'!$A$1:$H$50</definedName>
    <definedName name="_xlnm.Print_Area" localSheetId="281">'41a-Utility6'!$A$1:$H$50</definedName>
    <definedName name="_xlnm.Print_Area" localSheetId="155">'41-Utility1 '!$A$1:$I$50</definedName>
    <definedName name="_xlnm.Print_Area" localSheetId="180">'41-Utility2'!$A$1:$I$50</definedName>
    <definedName name="_xlnm.Print_Area" localSheetId="205">'41-Utility3'!$A$1:$I$50</definedName>
    <definedName name="_xlnm.Print_Area" localSheetId="230">'41-Utility4'!$A$1:$I$50</definedName>
    <definedName name="_xlnm.Print_Area" localSheetId="255">'41-Utility5'!$A$1:$I$50</definedName>
    <definedName name="_xlnm.Print_Area" localSheetId="280">'41-Utility6'!$A$1:$I$50</definedName>
    <definedName name="_xlnm.Print_Area" localSheetId="158">'42-Utility1'!$A$1:$H$49</definedName>
    <definedName name="_xlnm.Print_Area" localSheetId="183">'42-Utility2'!$A$1:$H$49</definedName>
    <definedName name="_xlnm.Print_Area" localSheetId="208">'42-Utility3'!$A$1:$H$49</definedName>
    <definedName name="_xlnm.Print_Area" localSheetId="233">'42-Utility4'!$A$1:$H$49</definedName>
    <definedName name="_xlnm.Print_Area" localSheetId="258">'42-Utility5'!$A$1:$H$49</definedName>
    <definedName name="_xlnm.Print_Area" localSheetId="283">'42-Utility6'!$A$1:$H$49</definedName>
    <definedName name="_xlnm.Print_Area" localSheetId="159">'43-Utility1'!$A$1:$L$27</definedName>
    <definedName name="_xlnm.Print_Area" localSheetId="184">'43-Utility2'!$A$1:$L$27</definedName>
    <definedName name="_xlnm.Print_Area" localSheetId="209">'43-Utility3'!$A$1:$L$27</definedName>
    <definedName name="_xlnm.Print_Area" localSheetId="234">'43-Utility4'!$A$1:$L$27</definedName>
    <definedName name="_xlnm.Print_Area" localSheetId="259">'43-Utility5'!$A$1:$L$27</definedName>
    <definedName name="_xlnm.Print_Area" localSheetId="284">'43-Utility6'!$A$1:$L$27</definedName>
    <definedName name="_xlnm.Print_Area" localSheetId="160">'44-Utility1'!$A$1:$J$55</definedName>
    <definedName name="_xlnm.Print_Area" localSheetId="185">'44-Utility2'!$A$1:$J$55</definedName>
    <definedName name="_xlnm.Print_Area" localSheetId="210">'44-Utility3'!$A$1:$J$55</definedName>
    <definedName name="_xlnm.Print_Area" localSheetId="235">'44-Utility4'!$A$1:$J$55</definedName>
    <definedName name="_xlnm.Print_Area" localSheetId="260">'44-Utility5'!$A$1:$J$55</definedName>
    <definedName name="_xlnm.Print_Area" localSheetId="285">'44-Utility6'!$A$1:$J$55</definedName>
    <definedName name="_xlnm.Print_Area" localSheetId="161">'45-Utility1'!$A$1:$K$57</definedName>
    <definedName name="_xlnm.Print_Area" localSheetId="186">'45-Utility2'!$A$1:$K$57</definedName>
    <definedName name="_xlnm.Print_Area" localSheetId="211">'45-Utility3'!$A$1:$K$57</definedName>
    <definedName name="_xlnm.Print_Area" localSheetId="236">'45-Utility4'!$A$1:$K$57</definedName>
    <definedName name="_xlnm.Print_Area" localSheetId="261">'45-Utility5'!$A$1:$K$57</definedName>
    <definedName name="_xlnm.Print_Area" localSheetId="286">'45-Utility6'!$A$1:$K$57</definedName>
    <definedName name="_xlnm.Print_Area" localSheetId="162">'46-Utility1'!$A$1:$L$52</definedName>
    <definedName name="_xlnm.Print_Area" localSheetId="187">'46-Utility2 '!$A$1:$L$52</definedName>
    <definedName name="_xlnm.Print_Area" localSheetId="212">'46-Utility3'!$A$1:$L$52</definedName>
    <definedName name="_xlnm.Print_Area" localSheetId="237">'46-Utility4'!$A$1:$L$52</definedName>
    <definedName name="_xlnm.Print_Area" localSheetId="262">'46-Utility5'!$A$1:$L$52</definedName>
    <definedName name="_xlnm.Print_Area" localSheetId="287">'46-Utility6'!$A$1:$L$52</definedName>
    <definedName name="_xlnm.Print_Area" localSheetId="163">'47-Utility1'!$A$1:$L$69</definedName>
    <definedName name="_xlnm.Print_Area" localSheetId="188">'47-Utility2'!$A$1:$L$69</definedName>
    <definedName name="_xlnm.Print_Area" localSheetId="213">'47-Utility3'!$A$1:$L$69</definedName>
    <definedName name="_xlnm.Print_Area" localSheetId="238">'47-Utility4'!$A$1:$L$69</definedName>
    <definedName name="_xlnm.Print_Area" localSheetId="263">'47-Utility5'!$A$1:$L$69</definedName>
    <definedName name="_xlnm.Print_Area" localSheetId="288">'47-Utility6'!$A$1:$L$69</definedName>
    <definedName name="_xlnm.Print_Area" localSheetId="165">'48a-Utility1'!$A$1:$L$31</definedName>
    <definedName name="_xlnm.Print_Area" localSheetId="190">'48a-Utility2'!$A$1:$L$31</definedName>
    <definedName name="_xlnm.Print_Area" localSheetId="215">'48a-Utility3'!$A$1:$L$31</definedName>
    <definedName name="_xlnm.Print_Area" localSheetId="240">'48a-Utility4'!$A$1:$L$31</definedName>
    <definedName name="_xlnm.Print_Area" localSheetId="265">'48a-Utility5'!$A$1:$L$31</definedName>
    <definedName name="_xlnm.Print_Area" localSheetId="290">'48a-Utility6'!$A$1:$L$31</definedName>
    <definedName name="_xlnm.Print_Area" localSheetId="164">'48-Utility1'!$A$1:$N$61</definedName>
    <definedName name="_xlnm.Print_Area" localSheetId="189">'48-Utility2'!$A$1:$N$61</definedName>
    <definedName name="_xlnm.Print_Area" localSheetId="214">'48-Utility3'!$A$1:$N$61</definedName>
    <definedName name="_xlnm.Print_Area" localSheetId="239">'48-Utility4'!$A$1:$N$61</definedName>
    <definedName name="_xlnm.Print_Area" localSheetId="264">'48-Utility5'!$A$1:$N$61</definedName>
    <definedName name="_xlnm.Print_Area" localSheetId="289">'48-Utility6'!$A$1:$N$61</definedName>
    <definedName name="_xlnm.Print_Area" localSheetId="168">'49a.1-Utility1'!$A$1:$L$51</definedName>
    <definedName name="_xlnm.Print_Area" localSheetId="193">'49a.1-Utility2 '!$A$1:$L$51</definedName>
    <definedName name="_xlnm.Print_Area" localSheetId="218">'49a.1-Utility3'!$A$1:$L$51</definedName>
    <definedName name="_xlnm.Print_Area" localSheetId="243">'49a.1-Utility4'!$A$1:$L$51</definedName>
    <definedName name="_xlnm.Print_Area" localSheetId="268">'49a.1-Utility5'!$A$1:$L$51</definedName>
    <definedName name="_xlnm.Print_Area" localSheetId="293">'49a.1-Utility6'!$A$1:$L$51</definedName>
    <definedName name="_xlnm.Print_Area" localSheetId="167">'49a-Utility1'!$A$1:$L$51</definedName>
    <definedName name="_xlnm.Print_Area" localSheetId="192">'49a-Utility2'!$A$1:$L$51</definedName>
    <definedName name="_xlnm.Print_Area" localSheetId="217">'49a-Utility3'!$A$1:$L$51</definedName>
    <definedName name="_xlnm.Print_Area" localSheetId="242">'49a-Utility4'!$A$1:$L$51</definedName>
    <definedName name="_xlnm.Print_Area" localSheetId="267">'49a-Utility5'!$A$1:$L$51</definedName>
    <definedName name="_xlnm.Print_Area" localSheetId="292">'49a-Utility6'!$A$1:$L$51</definedName>
    <definedName name="_xlnm.Print_Area" localSheetId="166">'49-Utility1'!$A$1:$L$50</definedName>
    <definedName name="_xlnm.Print_Area" localSheetId="191">'49-Utility2'!$A$1:$L$50</definedName>
    <definedName name="_xlnm.Print_Area" localSheetId="216">'49-Utility3'!$A$1:$L$50</definedName>
    <definedName name="_xlnm.Print_Area" localSheetId="241">'49-Utility4'!$A$1:$L$50</definedName>
    <definedName name="_xlnm.Print_Area" localSheetId="266">'49-Utility5'!$A$1:$L$50</definedName>
    <definedName name="_xlnm.Print_Area" localSheetId="291">'49-Utility6'!$A$1:$L$50</definedName>
    <definedName name="_xlnm.Print_Area" localSheetId="12">'4-Trial Bal-Pub Assist Fnd'!$A$1:$H$46</definedName>
    <definedName name="_xlnm.Print_Area" localSheetId="170">'50.1-Utility1'!$A$1:$M$30</definedName>
    <definedName name="_xlnm.Print_Area" localSheetId="195">'50.1-Utility2'!$A$1:$M$30</definedName>
    <definedName name="_xlnm.Print_Area" localSheetId="220">'50.1-Utility3'!$A$1:$M$30</definedName>
    <definedName name="_xlnm.Print_Area" localSheetId="245">'50.1-Utility4'!$A$1:$M$30</definedName>
    <definedName name="_xlnm.Print_Area" localSheetId="270">'50.1-Utility5'!$A$1:$M$30</definedName>
    <definedName name="_xlnm.Print_Area" localSheetId="295">'50.1-Utility6'!$A$1:$M$30</definedName>
    <definedName name="_xlnm.Print_Area" localSheetId="169">'50-Utility1'!$A$1:$M$30</definedName>
    <definedName name="_xlnm.Print_Area" localSheetId="194">'50-Utility2'!$A$1:$M$30</definedName>
    <definedName name="_xlnm.Print_Area" localSheetId="219">'50-Utility3'!$A$1:$M$30</definedName>
    <definedName name="_xlnm.Print_Area" localSheetId="244">'50-Utility4'!$A$1:$M$30</definedName>
    <definedName name="_xlnm.Print_Area" localSheetId="269">'50-Utility5'!$A$1:$M$30</definedName>
    <definedName name="_xlnm.Print_Area" localSheetId="294">'50-Utility6'!$A$1:$M$30</definedName>
    <definedName name="_xlnm.Print_Area" localSheetId="172">'51a-Utility1'!$A$1:$I$27</definedName>
    <definedName name="_xlnm.Print_Area" localSheetId="197">'51a-Utility2'!$A$1:$I$27</definedName>
    <definedName name="_xlnm.Print_Area" localSheetId="222">'51a-Utility3'!$A$1:$I$27</definedName>
    <definedName name="_xlnm.Print_Area" localSheetId="247">'51a-Utility4'!$A$1:$I$27</definedName>
    <definedName name="_xlnm.Print_Area" localSheetId="272">'51a-Utility5'!$A$1:$I$27</definedName>
    <definedName name="_xlnm.Print_Area" localSheetId="297">'51a-Utility6'!$A$1:$I$27</definedName>
    <definedName name="_xlnm.Print_Area" localSheetId="171">'51-Utility1'!$A$1:$L$29</definedName>
    <definedName name="_xlnm.Print_Area" localSheetId="196">'51-Utility2'!$A$1:$L$29</definedName>
    <definedName name="_xlnm.Print_Area" localSheetId="221">'51-Utility3'!$A$1:$L$29</definedName>
    <definedName name="_xlnm.Print_Area" localSheetId="246">'51-Utility4'!$A$1:$L$29</definedName>
    <definedName name="_xlnm.Print_Area" localSheetId="271">'51-Utility5'!$A$1:$L$29</definedName>
    <definedName name="_xlnm.Print_Area" localSheetId="296">'51-Utility6'!$A$1:$L$29</definedName>
    <definedName name="_xlnm.Print_Area" localSheetId="174">'52.1-Utility1'!$A$1:$L$28</definedName>
    <definedName name="_xlnm.Print_Area" localSheetId="199">'52.1-Utility2'!$A$1:$L$28</definedName>
    <definedName name="_xlnm.Print_Area" localSheetId="224">'52.1-Utility3'!$A$1:$L$28</definedName>
    <definedName name="_xlnm.Print_Area" localSheetId="249">'52.1-Utility4'!$A$1:$L$28</definedName>
    <definedName name="_xlnm.Print_Area" localSheetId="274">'52.1-Utility5'!$A$1:$L$28</definedName>
    <definedName name="_xlnm.Print_Area" localSheetId="299">'52.1-Utility6'!$A$1:$L$28</definedName>
    <definedName name="_xlnm.Print_Area" localSheetId="175">'52.2-Utility1'!$A$1:$L$28</definedName>
    <definedName name="_xlnm.Print_Area" localSheetId="200">'52.2-Utility2'!$A$1:$L$28</definedName>
    <definedName name="_xlnm.Print_Area" localSheetId="225">'52.2-Utility3'!$A$1:$L$28</definedName>
    <definedName name="_xlnm.Print_Area" localSheetId="250">'52.2-Utility4'!$A$1:$L$28</definedName>
    <definedName name="_xlnm.Print_Area" localSheetId="275">'52.2-Utility5'!$A$1:$L$28</definedName>
    <definedName name="_xlnm.Print_Area" localSheetId="300">'52.2-Utility6'!$A$1:$L$28</definedName>
    <definedName name="_xlnm.Print_Area" localSheetId="176">'52.3-Utility1'!$A$1:$L$28</definedName>
    <definedName name="_xlnm.Print_Area" localSheetId="201">'52.3-Utility2'!$A$1:$L$28</definedName>
    <definedName name="_xlnm.Print_Area" localSheetId="226">'52.3-Utility3'!$A$1:$L$28</definedName>
    <definedName name="_xlnm.Print_Area" localSheetId="251">'52.3-Utility4'!$A$1:$L$28</definedName>
    <definedName name="_xlnm.Print_Area" localSheetId="276">'52.3-Utility5'!$A$1:$L$28</definedName>
    <definedName name="_xlnm.Print_Area" localSheetId="301">'52.3-Utility6'!$A$1:$L$28</definedName>
    <definedName name="_xlnm.Print_Area" localSheetId="177">'52-Totals-Utility 1'!$A$1:$L$28</definedName>
    <definedName name="_xlnm.Print_Area" localSheetId="202">'52-Totals-Utility2'!$A$1:$L$28</definedName>
    <definedName name="_xlnm.Print_Area" localSheetId="227">'52-Totals-Utility3'!$A$1:$L$28</definedName>
    <definedName name="_xlnm.Print_Area" localSheetId="252">'52-Totals-Utility4'!$A$1:$L$28</definedName>
    <definedName name="_xlnm.Print_Area" localSheetId="277">'52-Totals-Utility5'!$A$1:$L$28</definedName>
    <definedName name="_xlnm.Print_Area" localSheetId="302">'52-Totals-Utility6'!$A$1:$L$28</definedName>
    <definedName name="_xlnm.Print_Area" localSheetId="173">'52-Utility1'!$A$1:$L$28</definedName>
    <definedName name="_xlnm.Print_Area" localSheetId="198">'52-Utility2'!$A$1:$L$28</definedName>
    <definedName name="_xlnm.Print_Area" localSheetId="223">'52-Utility3'!$A$1:$L$28</definedName>
    <definedName name="_xlnm.Print_Area" localSheetId="248">'52-Utility4'!$A$1:$L$28</definedName>
    <definedName name="_xlnm.Print_Area" localSheetId="273">'52-Utility5'!$A$1:$L$28</definedName>
    <definedName name="_xlnm.Print_Area" localSheetId="298">'52-Utility6'!$A$1:$L$28</definedName>
    <definedName name="_xlnm.Print_Area" localSheetId="178">'53-Utility1'!$A$1:$J$54</definedName>
    <definedName name="_xlnm.Print_Area" localSheetId="203">'53-Utility2'!$A$1:$J$54</definedName>
    <definedName name="_xlnm.Print_Area" localSheetId="228">'53-Utility3'!$A$1:$J$54</definedName>
    <definedName name="_xlnm.Print_Area" localSheetId="253">'53-Utility4'!$A$1:$J$54</definedName>
    <definedName name="_xlnm.Print_Area" localSheetId="278">'53-Utility5'!$A$1:$J$54</definedName>
    <definedName name="_xlnm.Print_Area" localSheetId="303">'53-Utility6'!$A$1:$J$54</definedName>
    <definedName name="_xlnm.Print_Area" localSheetId="179">'54-Utility1'!$A$1:$J$52</definedName>
    <definedName name="_xlnm.Print_Area" localSheetId="204">'54-Utility2'!$A$1:$J$52</definedName>
    <definedName name="_xlnm.Print_Area" localSheetId="229">'54-Utility3'!$A$1:$J$52</definedName>
    <definedName name="_xlnm.Print_Area" localSheetId="254">'54-Utility4'!$A$1:$J$52</definedName>
    <definedName name="_xlnm.Print_Area" localSheetId="279">'54-Utility5'!$A$1:$J$52</definedName>
    <definedName name="_xlnm.Print_Area" localSheetId="304">'54-Utility6'!$A$1:$J$52</definedName>
    <definedName name="_xlnm.Print_Area" localSheetId="13">'5-Trial Bal-Grants'!$A$1:$H$48</definedName>
    <definedName name="_xlnm.Print_Area" localSheetId="15">'6.1-Trial Bal-Trust Fnds'!$A$1:$H$48</definedName>
    <definedName name="_xlnm.Print_Area" localSheetId="16">'6.2-Trial Bal-Trust Fnds'!$A$1:$H$48</definedName>
    <definedName name="_xlnm.Print_Area" localSheetId="17">'6.3-Trial Bal-Trust Fnds'!$A$1:$H$48</definedName>
    <definedName name="_xlnm.Print_Area" localSheetId="18">'6.4-Trial Bal-Trust Fnds'!$A$1:$H$48</definedName>
    <definedName name="_xlnm.Print_Area" localSheetId="19">'6.TOTAL-Trial Bal-Trust Fnds'!$A$1:$H$48</definedName>
    <definedName name="_xlnm.Print_Area" localSheetId="1">'69 - Instructions'!$A$1:$M$87</definedName>
    <definedName name="_xlnm.Print_Area" localSheetId="21">'6b.1-Trust Fund Reserves'!$A$1:$M$50</definedName>
    <definedName name="_xlnm.Print_Area" localSheetId="22">'6b.2-Trust Fund Reserves'!$A$1:$M$50</definedName>
    <definedName name="_xlnm.Print_Area" localSheetId="23">'6b.3-Trust Fund Reserves'!$A$1:$M$50</definedName>
    <definedName name="_xlnm.Print_Area" localSheetId="24">'6b-Total Trust Fund Reserves'!$A$1:$M$50</definedName>
    <definedName name="_xlnm.Print_Area" localSheetId="20">'6b-Trust Fund Reserves'!$A$1:$M$50</definedName>
    <definedName name="_xlnm.Print_Area" localSheetId="14">'6-Trial Bal-Trust Fnds'!$A$1:$H$47</definedName>
    <definedName name="_xlnm.Print_Area" localSheetId="25">'7-Trust Asm Cash &amp; Investments'!$A$1:$L$27</definedName>
    <definedName name="_xlnm.Print_Area" localSheetId="27">'8.1-Trial Bal-Gen Cap Fund'!$A$1:$H$48</definedName>
    <definedName name="_xlnm.Print_Area" localSheetId="26">'8-Trial Bal-Gen Cap Fund'!$A$1:$H$48</definedName>
    <definedName name="_xlnm.Print_Area" localSheetId="33">'9a TOTAL-Cash Reconciliation'!$A$1:$F$49</definedName>
    <definedName name="_xlnm.Print_Area" localSheetId="30">'9a.1-Cash Reconciliation'!$A$1:$F$49</definedName>
    <definedName name="_xlnm.Print_Area" localSheetId="31">'9a.2-Cash Reconciliation'!$A$1:$F$49</definedName>
    <definedName name="_xlnm.Print_Area" localSheetId="32">'9a.3-Cash Reconciliation'!$A$1:$F$49</definedName>
    <definedName name="_xlnm.Print_Area" localSheetId="29">'9a-Cash Reconciliation'!$A$1:$F$49</definedName>
    <definedName name="_xlnm.Print_Area" localSheetId="28">'9-Cash Reconciliation'!$A$1:$I$52</definedName>
    <definedName name="_xlnm.Print_Area" localSheetId="0">Instructions!$A$1:$B$27</definedName>
    <definedName name="_xlnm.Print_Area" localSheetId="2">'KEY INPUTS'!$C$1:$E$59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6" i="107" l="1"/>
  <c r="L26" i="30"/>
  <c r="I14" i="27"/>
  <c r="I16" i="22"/>
  <c r="F9" i="17"/>
  <c r="H13" i="12"/>
  <c r="G13" i="12"/>
  <c r="H44" i="9" l="1"/>
  <c r="H30" i="9"/>
  <c r="G30" i="9"/>
  <c r="H20" i="9"/>
  <c r="G20" i="9"/>
  <c r="G23" i="9" l="1"/>
  <c r="H21" i="24"/>
  <c r="F37" i="54" l="1"/>
  <c r="K24" i="379" l="1"/>
  <c r="J24" i="379"/>
  <c r="I24" i="379"/>
  <c r="L35" i="379" s="1"/>
  <c r="H24" i="379"/>
  <c r="G24" i="379"/>
  <c r="L23" i="379"/>
  <c r="L22" i="379"/>
  <c r="L21" i="379"/>
  <c r="L20" i="379"/>
  <c r="L19" i="379"/>
  <c r="L18" i="379"/>
  <c r="L17" i="379"/>
  <c r="L16" i="379"/>
  <c r="L15" i="379"/>
  <c r="L14" i="379"/>
  <c r="L13" i="379"/>
  <c r="L12" i="379"/>
  <c r="L24" i="379" s="1"/>
  <c r="L11" i="379"/>
  <c r="L10" i="379"/>
  <c r="L8" i="379"/>
  <c r="J8" i="379"/>
  <c r="I8" i="379"/>
  <c r="J7" i="379"/>
  <c r="K24" i="378"/>
  <c r="J24" i="378"/>
  <c r="I24" i="378"/>
  <c r="H24" i="378"/>
  <c r="G24" i="378"/>
  <c r="L23" i="378"/>
  <c r="L22" i="378"/>
  <c r="L21" i="378"/>
  <c r="L20" i="378"/>
  <c r="L19" i="378"/>
  <c r="L18" i="378"/>
  <c r="L17" i="378"/>
  <c r="L16" i="378"/>
  <c r="L15" i="378"/>
  <c r="L14" i="378"/>
  <c r="L13" i="378"/>
  <c r="L12" i="378"/>
  <c r="L11" i="378"/>
  <c r="L10" i="378"/>
  <c r="K24" i="377"/>
  <c r="J24" i="377"/>
  <c r="I24" i="377"/>
  <c r="H24" i="377"/>
  <c r="G24" i="377"/>
  <c r="L23" i="377"/>
  <c r="L22" i="377"/>
  <c r="L21" i="377"/>
  <c r="L20" i="377"/>
  <c r="L19" i="377"/>
  <c r="L18" i="377"/>
  <c r="L17" i="377"/>
  <c r="L16" i="377"/>
  <c r="L15" i="377"/>
  <c r="L14" i="377"/>
  <c r="L13" i="377"/>
  <c r="L12" i="377"/>
  <c r="L11" i="377"/>
  <c r="L10" i="377"/>
  <c r="K24" i="376"/>
  <c r="J24" i="376"/>
  <c r="I24" i="376"/>
  <c r="H24" i="376"/>
  <c r="G24" i="376"/>
  <c r="L23" i="376"/>
  <c r="L22" i="376"/>
  <c r="L21" i="376"/>
  <c r="L20" i="376"/>
  <c r="L19" i="376"/>
  <c r="L18" i="376"/>
  <c r="L17" i="376"/>
  <c r="L16" i="376"/>
  <c r="L15" i="376"/>
  <c r="L14" i="376"/>
  <c r="L13" i="376"/>
  <c r="L12" i="376"/>
  <c r="L11" i="376"/>
  <c r="L10" i="376"/>
  <c r="K24" i="375"/>
  <c r="J24" i="375"/>
  <c r="I24" i="375"/>
  <c r="H24" i="375"/>
  <c r="G24" i="375"/>
  <c r="L23" i="375"/>
  <c r="L22" i="375"/>
  <c r="L21" i="375"/>
  <c r="L20" i="375"/>
  <c r="L19" i="375"/>
  <c r="L18" i="375"/>
  <c r="L17" i="375"/>
  <c r="L16" i="375"/>
  <c r="L15" i="375"/>
  <c r="L14" i="375"/>
  <c r="L13" i="375"/>
  <c r="L12" i="375"/>
  <c r="L11" i="375"/>
  <c r="L10" i="375"/>
  <c r="L24" i="377" l="1"/>
  <c r="L24" i="378"/>
  <c r="L35" i="378" s="1"/>
  <c r="L35" i="377"/>
  <c r="L24" i="376"/>
  <c r="L35" i="376" s="1"/>
  <c r="L24" i="375"/>
  <c r="L35" i="375"/>
  <c r="K24" i="374"/>
  <c r="J24" i="374"/>
  <c r="I24" i="374"/>
  <c r="H24" i="374"/>
  <c r="G24" i="374"/>
  <c r="L23" i="374"/>
  <c r="L22" i="374"/>
  <c r="L21" i="374"/>
  <c r="L20" i="374"/>
  <c r="L19" i="374"/>
  <c r="L18" i="374"/>
  <c r="L17" i="374"/>
  <c r="L16" i="374"/>
  <c r="L15" i="374"/>
  <c r="L14" i="374"/>
  <c r="L13" i="374"/>
  <c r="L12" i="374"/>
  <c r="L11" i="374"/>
  <c r="L10" i="374"/>
  <c r="H25" i="1"/>
  <c r="L18" i="41"/>
  <c r="L19" i="41"/>
  <c r="L20" i="41"/>
  <c r="J19" i="271"/>
  <c r="J18" i="271"/>
  <c r="J19" i="260"/>
  <c r="J18" i="260"/>
  <c r="J19" i="248"/>
  <c r="J18" i="248"/>
  <c r="J19" i="236"/>
  <c r="J18" i="236"/>
  <c r="J19" i="224"/>
  <c r="J18" i="224"/>
  <c r="C38" i="36"/>
  <c r="L22" i="40"/>
  <c r="L19" i="40"/>
  <c r="L20" i="40"/>
  <c r="L21" i="40"/>
  <c r="L23" i="40"/>
  <c r="L24" i="374" l="1"/>
  <c r="L35" i="374" s="1"/>
  <c r="C28" i="121" l="1"/>
  <c r="C19" i="121"/>
  <c r="D26" i="368" l="1"/>
  <c r="D26" i="278"/>
  <c r="D26" i="373"/>
  <c r="D26" i="267"/>
  <c r="D26" i="372"/>
  <c r="D26" i="255"/>
  <c r="D26" i="371"/>
  <c r="D26" i="243"/>
  <c r="D26" i="370"/>
  <c r="D26" i="231"/>
  <c r="D26" i="369"/>
  <c r="D26" i="114"/>
  <c r="J6" i="317"/>
  <c r="J6" i="277"/>
  <c r="J6" i="276"/>
  <c r="J6" i="315"/>
  <c r="J6" i="266"/>
  <c r="J6" i="265"/>
  <c r="J6" i="313"/>
  <c r="J6" i="254"/>
  <c r="J6" i="253"/>
  <c r="J6" i="311"/>
  <c r="J6" i="242"/>
  <c r="J6" i="241"/>
  <c r="J6" i="307"/>
  <c r="J6" i="230"/>
  <c r="J6" i="229"/>
  <c r="J6" i="306"/>
  <c r="J6" i="113"/>
  <c r="J6" i="112"/>
  <c r="N44" i="275"/>
  <c r="N44" i="264"/>
  <c r="N44" i="252"/>
  <c r="N44" i="240"/>
  <c r="N44" i="228"/>
  <c r="N44" i="111"/>
  <c r="J5" i="373" l="1"/>
  <c r="J5" i="372"/>
  <c r="J5" i="371"/>
  <c r="J5" i="370"/>
  <c r="J5" i="369"/>
  <c r="J5" i="368"/>
  <c r="B2" i="373" l="1"/>
  <c r="B2" i="372"/>
  <c r="B2" i="371"/>
  <c r="B2" i="370"/>
  <c r="B2" i="369"/>
  <c r="B2" i="368"/>
  <c r="J18" i="373"/>
  <c r="J18" i="278" s="1"/>
  <c r="G18" i="373"/>
  <c r="G18" i="278" s="1"/>
  <c r="E18" i="373"/>
  <c r="E18" i="278" s="1"/>
  <c r="K10" i="373"/>
  <c r="K9" i="373"/>
  <c r="J18" i="372"/>
  <c r="J18" i="267" s="1"/>
  <c r="G18" i="372"/>
  <c r="G18" i="267" s="1"/>
  <c r="E18" i="372"/>
  <c r="E18" i="267" s="1"/>
  <c r="K10" i="372"/>
  <c r="K9" i="372"/>
  <c r="J18" i="371"/>
  <c r="J18" i="255" s="1"/>
  <c r="G18" i="371"/>
  <c r="G18" i="255" s="1"/>
  <c r="E18" i="371"/>
  <c r="E18" i="255" s="1"/>
  <c r="K10" i="371"/>
  <c r="K9" i="371"/>
  <c r="J18" i="370"/>
  <c r="J18" i="243" s="1"/>
  <c r="G18" i="370"/>
  <c r="G18" i="243" s="1"/>
  <c r="E18" i="370"/>
  <c r="E18" i="243" s="1"/>
  <c r="K10" i="370"/>
  <c r="K9" i="370"/>
  <c r="J18" i="369"/>
  <c r="J18" i="231" s="1"/>
  <c r="G18" i="369"/>
  <c r="G18" i="231" s="1"/>
  <c r="E18" i="369"/>
  <c r="E18" i="231" s="1"/>
  <c r="K10" i="369"/>
  <c r="K9" i="369"/>
  <c r="J18" i="368"/>
  <c r="J18" i="114" s="1"/>
  <c r="G18" i="368"/>
  <c r="G18" i="114" s="1"/>
  <c r="E18" i="368"/>
  <c r="E18" i="114" s="1"/>
  <c r="K10" i="368"/>
  <c r="K9" i="368"/>
  <c r="K18" i="372" l="1"/>
  <c r="K18" i="267" s="1"/>
  <c r="K18" i="373"/>
  <c r="K18" i="278" s="1"/>
  <c r="K18" i="371"/>
  <c r="K18" i="255" s="1"/>
  <c r="K18" i="370"/>
  <c r="K18" i="243" s="1"/>
  <c r="K18" i="369"/>
  <c r="K18" i="231" s="1"/>
  <c r="K18" i="368"/>
  <c r="K18" i="114" s="1"/>
  <c r="D30" i="2" l="1"/>
  <c r="I26" i="278" s="1"/>
  <c r="G36" i="317"/>
  <c r="G36" i="277"/>
  <c r="G36" i="276"/>
  <c r="G36" i="315"/>
  <c r="G36" i="266"/>
  <c r="G36" i="265"/>
  <c r="G36" i="313"/>
  <c r="G36" i="254"/>
  <c r="G36" i="253"/>
  <c r="G36" i="311"/>
  <c r="G36" i="242"/>
  <c r="G36" i="241"/>
  <c r="G36" i="307"/>
  <c r="G36" i="230"/>
  <c r="G36" i="229"/>
  <c r="G36" i="306"/>
  <c r="G36" i="113"/>
  <c r="G36" i="112"/>
  <c r="K50" i="272"/>
  <c r="K50" i="261"/>
  <c r="K50" i="249"/>
  <c r="K50" i="237"/>
  <c r="K50" i="225"/>
  <c r="K50" i="108"/>
  <c r="I26" i="114" l="1"/>
  <c r="I26" i="231"/>
  <c r="I26" i="243"/>
  <c r="I26" i="255"/>
  <c r="I26" i="267"/>
  <c r="G40" i="367" l="1"/>
  <c r="H41" i="367" l="1"/>
  <c r="K9" i="39" l="1"/>
  <c r="K8" i="39"/>
  <c r="F55" i="57"/>
  <c r="H56" i="57"/>
  <c r="L23" i="111" l="1"/>
  <c r="J23" i="111"/>
  <c r="H23" i="111"/>
  <c r="L23" i="228"/>
  <c r="J23" i="228"/>
  <c r="H23" i="228"/>
  <c r="L23" i="240"/>
  <c r="J23" i="240"/>
  <c r="H23" i="240"/>
  <c r="L23" i="252"/>
  <c r="J23" i="252"/>
  <c r="H23" i="252"/>
  <c r="L23" i="264"/>
  <c r="J23" i="264"/>
  <c r="H23" i="264"/>
  <c r="L23" i="275"/>
  <c r="J23" i="275"/>
  <c r="H23" i="275"/>
  <c r="B27" i="96"/>
  <c r="B16" i="96"/>
  <c r="B6" i="344" l="1"/>
  <c r="B3" i="110"/>
  <c r="B5" i="111"/>
  <c r="B4" i="112"/>
  <c r="B28" i="119"/>
  <c r="B2" i="114"/>
  <c r="J44" i="27"/>
  <c r="J40" i="27"/>
  <c r="G32" i="29" l="1"/>
  <c r="G16" i="20"/>
  <c r="H22" i="1" s="1"/>
  <c r="I30" i="12"/>
  <c r="I29" i="12"/>
  <c r="I28" i="12"/>
  <c r="I12" i="201" l="1"/>
  <c r="I11" i="201"/>
  <c r="I12" i="202"/>
  <c r="I11" i="202"/>
  <c r="I12" i="203"/>
  <c r="I11" i="203"/>
  <c r="I12" i="200"/>
  <c r="I11" i="200"/>
  <c r="H45" i="8"/>
  <c r="N18" i="37"/>
  <c r="I29" i="31" l="1"/>
  <c r="H28" i="31"/>
  <c r="G38" i="21"/>
  <c r="H24" i="1" s="1"/>
  <c r="G17" i="21"/>
  <c r="L59" i="48" l="1"/>
  <c r="H23" i="1"/>
  <c r="H33" i="268"/>
  <c r="H33" i="256"/>
  <c r="H33" i="244"/>
  <c r="H33" i="232"/>
  <c r="H33" i="220"/>
  <c r="H33" i="103"/>
  <c r="I24" i="118"/>
  <c r="I24" i="300"/>
  <c r="I24" i="299"/>
  <c r="I24" i="298"/>
  <c r="I24" i="297"/>
  <c r="I24" i="282"/>
  <c r="B6" i="268" l="1"/>
  <c r="B6" i="256"/>
  <c r="B6" i="244"/>
  <c r="I28" i="265"/>
  <c r="I42" i="283"/>
  <c r="I42" i="304"/>
  <c r="I42" i="303"/>
  <c r="I42" i="302"/>
  <c r="I42" i="301"/>
  <c r="I42" i="119"/>
  <c r="I43" i="119" s="1"/>
  <c r="I41" i="118"/>
  <c r="I41" i="282"/>
  <c r="I41" i="297"/>
  <c r="I41" i="298"/>
  <c r="I41" i="299"/>
  <c r="I41" i="300"/>
  <c r="I22" i="278"/>
  <c r="I22" i="267"/>
  <c r="I22" i="255"/>
  <c r="I22" i="243"/>
  <c r="B27" i="277"/>
  <c r="B27" i="317"/>
  <c r="B27" i="266"/>
  <c r="B27" i="315"/>
  <c r="B27" i="254"/>
  <c r="B27" i="313"/>
  <c r="B27" i="242"/>
  <c r="B27" i="311"/>
  <c r="B16" i="317"/>
  <c r="B4" i="317"/>
  <c r="B16" i="277"/>
  <c r="B4" i="277"/>
  <c r="B16" i="266"/>
  <c r="B16" i="315"/>
  <c r="B4" i="315"/>
  <c r="B4" i="266"/>
  <c r="B16" i="313"/>
  <c r="B4" i="313"/>
  <c r="B16" i="254"/>
  <c r="B4" i="254"/>
  <c r="B4" i="311"/>
  <c r="B16" i="311"/>
  <c r="B16" i="242"/>
  <c r="B4" i="242"/>
  <c r="B27" i="276"/>
  <c r="B27" i="265"/>
  <c r="B27" i="253"/>
  <c r="B27" i="241"/>
  <c r="B16" i="276"/>
  <c r="B16" i="265"/>
  <c r="B16" i="253"/>
  <c r="B16" i="241"/>
  <c r="B4" i="276"/>
  <c r="B4" i="265"/>
  <c r="B4" i="253"/>
  <c r="B4" i="241"/>
  <c r="B33" i="274"/>
  <c r="B33" i="263"/>
  <c r="B33" i="251"/>
  <c r="B33" i="239"/>
  <c r="B3" i="274"/>
  <c r="B3" i="263"/>
  <c r="B3" i="251"/>
  <c r="B3" i="239"/>
  <c r="B3" i="227"/>
  <c r="B33" i="273"/>
  <c r="B33" i="262"/>
  <c r="B33" i="250"/>
  <c r="B33" i="238"/>
  <c r="B17" i="273"/>
  <c r="B17" i="262"/>
  <c r="B17" i="250"/>
  <c r="B17" i="238"/>
  <c r="B5" i="272"/>
  <c r="B5" i="261"/>
  <c r="B5" i="249"/>
  <c r="B5" i="237"/>
  <c r="B28" i="283" l="1"/>
  <c r="B3" i="282"/>
  <c r="B30" i="282"/>
  <c r="B30" i="297"/>
  <c r="B3" i="297"/>
  <c r="B28" i="304"/>
  <c r="B3" i="283"/>
  <c r="B3" i="304"/>
  <c r="B3" i="303"/>
  <c r="B3" i="302"/>
  <c r="B28" i="302"/>
  <c r="B28" i="303"/>
  <c r="B30" i="298"/>
  <c r="B3" i="298"/>
  <c r="B3" i="299"/>
  <c r="B30" i="299"/>
  <c r="B2" i="343"/>
  <c r="B2" i="342"/>
  <c r="B2" i="341"/>
  <c r="B2" i="340"/>
  <c r="B2" i="281"/>
  <c r="B2" i="339"/>
  <c r="B2" i="338"/>
  <c r="B2" i="337"/>
  <c r="B2" i="336"/>
  <c r="B2" i="296"/>
  <c r="B2" i="335"/>
  <c r="B2" i="333"/>
  <c r="B2" i="332"/>
  <c r="B2" i="331"/>
  <c r="B2" i="295"/>
  <c r="B2" i="330"/>
  <c r="B2" i="329"/>
  <c r="B2" i="328"/>
  <c r="B2" i="327"/>
  <c r="B2" i="294"/>
  <c r="B2" i="280"/>
  <c r="B2" i="289"/>
  <c r="B2" i="290"/>
  <c r="B2" i="291"/>
  <c r="B2" i="292"/>
  <c r="B2" i="279"/>
  <c r="B2" i="286"/>
  <c r="B2" i="285"/>
  <c r="B2" i="284"/>
  <c r="B2" i="243"/>
  <c r="B2" i="255"/>
  <c r="B2" i="267"/>
  <c r="B2" i="278"/>
  <c r="B5" i="275"/>
  <c r="B5" i="264"/>
  <c r="B5" i="252"/>
  <c r="B5" i="240"/>
  <c r="B2" i="270"/>
  <c r="B2" i="259"/>
  <c r="B2" i="247"/>
  <c r="B2" i="235"/>
  <c r="B6" i="232"/>
  <c r="B28" i="301"/>
  <c r="B3" i="301"/>
  <c r="B30" i="300"/>
  <c r="B3" i="300"/>
  <c r="B2" i="326"/>
  <c r="B2" i="325"/>
  <c r="B2" i="324"/>
  <c r="B2" i="323"/>
  <c r="B2" i="293" l="1"/>
  <c r="B2" i="287"/>
  <c r="I22" i="231"/>
  <c r="B2" i="231"/>
  <c r="B27" i="229"/>
  <c r="B16" i="229"/>
  <c r="B4" i="229"/>
  <c r="H40" i="364"/>
  <c r="G43" i="365"/>
  <c r="B6" i="364"/>
  <c r="B6" i="363"/>
  <c r="H40" i="362"/>
  <c r="B6" i="362"/>
  <c r="B6" i="361"/>
  <c r="B6" i="358"/>
  <c r="B6" i="359"/>
  <c r="B6" i="360"/>
  <c r="H40" i="360"/>
  <c r="H40" i="358"/>
  <c r="B6" i="357"/>
  <c r="B6" i="356"/>
  <c r="B6" i="355"/>
  <c r="H40" i="356"/>
  <c r="C26" i="364"/>
  <c r="G44" i="363"/>
  <c r="G12" i="364" s="1"/>
  <c r="G44" i="364" s="1"/>
  <c r="H16" i="363"/>
  <c r="H44" i="363" s="1"/>
  <c r="H12" i="364" s="1"/>
  <c r="C26" i="362"/>
  <c r="G44" i="361"/>
  <c r="G12" i="362" s="1"/>
  <c r="G44" i="362" s="1"/>
  <c r="H16" i="361"/>
  <c r="H44" i="361" s="1"/>
  <c r="H12" i="362" s="1"/>
  <c r="C26" i="360"/>
  <c r="G44" i="359"/>
  <c r="G12" i="360" s="1"/>
  <c r="G44" i="360" s="1"/>
  <c r="H16" i="359"/>
  <c r="H44" i="359" s="1"/>
  <c r="H12" i="360" s="1"/>
  <c r="C26" i="358"/>
  <c r="G44" i="357"/>
  <c r="G12" i="358" s="1"/>
  <c r="G44" i="358" s="1"/>
  <c r="H16" i="357"/>
  <c r="H44" i="357" s="1"/>
  <c r="H12" i="358" s="1"/>
  <c r="C26" i="356"/>
  <c r="G44" i="355"/>
  <c r="G12" i="356" s="1"/>
  <c r="G44" i="356" s="1"/>
  <c r="H16" i="355"/>
  <c r="H44" i="355" s="1"/>
  <c r="H12" i="356" s="1"/>
  <c r="G11" i="113" l="1"/>
  <c r="C26" i="344"/>
  <c r="H40" i="344" l="1"/>
  <c r="H42" i="344"/>
  <c r="B4" i="307"/>
  <c r="B16" i="307"/>
  <c r="B27" i="230"/>
  <c r="B27" i="307"/>
  <c r="B16" i="230"/>
  <c r="B4" i="230"/>
  <c r="B27" i="112"/>
  <c r="B16" i="112"/>
  <c r="B5" i="228"/>
  <c r="B33" i="227"/>
  <c r="B33" i="110"/>
  <c r="B33" i="226"/>
  <c r="B33" i="109"/>
  <c r="B17" i="226"/>
  <c r="B17" i="109"/>
  <c r="B5" i="225"/>
  <c r="B5" i="108"/>
  <c r="B2" i="223"/>
  <c r="B2" i="106"/>
  <c r="B6" i="103"/>
  <c r="B6" i="220"/>
  <c r="B6" i="104"/>
  <c r="B3" i="119"/>
  <c r="B30" i="118"/>
  <c r="B3" i="118"/>
  <c r="B2" i="322"/>
  <c r="B2" i="321"/>
  <c r="B2" i="320"/>
  <c r="B2" i="319"/>
  <c r="B2" i="117"/>
  <c r="B2" i="116"/>
  <c r="B2" i="115"/>
  <c r="I22" i="114"/>
  <c r="B27" i="306"/>
  <c r="B27" i="113"/>
  <c r="B16" i="306"/>
  <c r="B4" i="306"/>
  <c r="B4" i="113"/>
  <c r="B16" i="113"/>
  <c r="L35" i="273" l="1"/>
  <c r="L7" i="273"/>
  <c r="V10" i="273"/>
  <c r="J39" i="272"/>
  <c r="J25" i="272"/>
  <c r="J24" i="272"/>
  <c r="L35" i="262"/>
  <c r="L7" i="262"/>
  <c r="V10" i="262"/>
  <c r="J39" i="261"/>
  <c r="J25" i="261"/>
  <c r="J24" i="261"/>
  <c r="L35" i="250"/>
  <c r="L7" i="250"/>
  <c r="V10" i="250"/>
  <c r="J39" i="249"/>
  <c r="J25" i="249"/>
  <c r="J24" i="249"/>
  <c r="L7" i="238"/>
  <c r="L35" i="238"/>
  <c r="V10" i="238"/>
  <c r="J39" i="237"/>
  <c r="J25" i="237"/>
  <c r="J24" i="237"/>
  <c r="L35" i="226"/>
  <c r="L7" i="226"/>
  <c r="V10" i="226"/>
  <c r="J39" i="225"/>
  <c r="J25" i="225"/>
  <c r="J24" i="225"/>
  <c r="K26" i="199"/>
  <c r="K25" i="199"/>
  <c r="K24" i="199"/>
  <c r="K23" i="199"/>
  <c r="K22" i="199"/>
  <c r="K21" i="199"/>
  <c r="K20" i="199"/>
  <c r="K19" i="199"/>
  <c r="K18" i="199"/>
  <c r="K17" i="199"/>
  <c r="K16" i="199"/>
  <c r="K15" i="199"/>
  <c r="K14" i="199"/>
  <c r="K13" i="199"/>
  <c r="K12" i="199"/>
  <c r="K11" i="199"/>
  <c r="K10" i="199"/>
  <c r="K9" i="199"/>
  <c r="K26" i="198"/>
  <c r="K25" i="198"/>
  <c r="K24" i="198"/>
  <c r="K23" i="198"/>
  <c r="K22" i="198"/>
  <c r="K21" i="198"/>
  <c r="K20" i="198"/>
  <c r="K19" i="198"/>
  <c r="K18" i="198"/>
  <c r="K17" i="198"/>
  <c r="K16" i="198"/>
  <c r="K15" i="198"/>
  <c r="K14" i="198"/>
  <c r="K13" i="198"/>
  <c r="K12" i="198"/>
  <c r="K11" i="198"/>
  <c r="K10" i="198"/>
  <c r="K9" i="198"/>
  <c r="K26" i="197"/>
  <c r="K25" i="197"/>
  <c r="K24" i="197"/>
  <c r="K23" i="197"/>
  <c r="K22" i="197"/>
  <c r="K21" i="197"/>
  <c r="K20" i="197"/>
  <c r="K19" i="197"/>
  <c r="K18" i="197"/>
  <c r="K17" i="197"/>
  <c r="K16" i="197"/>
  <c r="K15" i="197"/>
  <c r="K14" i="197"/>
  <c r="K13" i="197"/>
  <c r="K12" i="197"/>
  <c r="K11" i="197"/>
  <c r="K10" i="197"/>
  <c r="K9" i="197"/>
  <c r="L26" i="196"/>
  <c r="L25" i="196"/>
  <c r="L24" i="196"/>
  <c r="L23" i="196"/>
  <c r="L22" i="196"/>
  <c r="L21" i="196"/>
  <c r="L20" i="196"/>
  <c r="L19" i="196"/>
  <c r="L18" i="196"/>
  <c r="L17" i="196"/>
  <c r="L16" i="196"/>
  <c r="L15" i="196"/>
  <c r="L14" i="196"/>
  <c r="L13" i="196"/>
  <c r="L12" i="196"/>
  <c r="L11" i="196"/>
  <c r="L10" i="196"/>
  <c r="L9" i="196"/>
  <c r="L26" i="195"/>
  <c r="L25" i="195"/>
  <c r="L24" i="195"/>
  <c r="L23" i="195"/>
  <c r="L22" i="195"/>
  <c r="L21" i="195"/>
  <c r="L20" i="195"/>
  <c r="L19" i="195"/>
  <c r="L18" i="195"/>
  <c r="L17" i="195"/>
  <c r="L16" i="195"/>
  <c r="L15" i="195"/>
  <c r="L14" i="195"/>
  <c r="L13" i="195"/>
  <c r="L12" i="195"/>
  <c r="L11" i="195"/>
  <c r="L10" i="195"/>
  <c r="L9" i="195"/>
  <c r="L26" i="194"/>
  <c r="L25" i="194"/>
  <c r="L24" i="194"/>
  <c r="L23" i="194"/>
  <c r="L22" i="194"/>
  <c r="L21" i="194"/>
  <c r="L20" i="194"/>
  <c r="L19" i="194"/>
  <c r="L18" i="194"/>
  <c r="L17" i="194"/>
  <c r="L16" i="194"/>
  <c r="L15" i="194"/>
  <c r="L14" i="194"/>
  <c r="L13" i="194"/>
  <c r="L12" i="194"/>
  <c r="L11" i="194"/>
  <c r="L10" i="194"/>
  <c r="L9" i="194"/>
  <c r="L26" i="193"/>
  <c r="L25" i="193"/>
  <c r="L24" i="193"/>
  <c r="L23" i="193"/>
  <c r="L22" i="193"/>
  <c r="L21" i="193"/>
  <c r="L20" i="193"/>
  <c r="L19" i="193"/>
  <c r="L18" i="193"/>
  <c r="L17" i="193"/>
  <c r="L16" i="193"/>
  <c r="L15" i="193"/>
  <c r="L14" i="193"/>
  <c r="L13" i="193"/>
  <c r="L12" i="193"/>
  <c r="L11" i="193"/>
  <c r="L10" i="193"/>
  <c r="L9" i="193"/>
  <c r="L26" i="192"/>
  <c r="L25" i="192"/>
  <c r="L24" i="192"/>
  <c r="L23" i="192"/>
  <c r="L22" i="192"/>
  <c r="L21" i="192"/>
  <c r="L20" i="192"/>
  <c r="L19" i="192"/>
  <c r="L18" i="192"/>
  <c r="L17" i="192"/>
  <c r="L16" i="192"/>
  <c r="L15" i="192"/>
  <c r="L14" i="192"/>
  <c r="L13" i="192"/>
  <c r="L12" i="192"/>
  <c r="L11" i="192"/>
  <c r="L10" i="192"/>
  <c r="L9" i="192"/>
  <c r="L26" i="191"/>
  <c r="L25" i="191"/>
  <c r="L24" i="191"/>
  <c r="L23" i="191"/>
  <c r="L22" i="191"/>
  <c r="L21" i="191"/>
  <c r="L20" i="191"/>
  <c r="L19" i="191"/>
  <c r="L18" i="191"/>
  <c r="L17" i="191"/>
  <c r="L16" i="191"/>
  <c r="L15" i="191"/>
  <c r="L14" i="191"/>
  <c r="L13" i="191"/>
  <c r="L12" i="191"/>
  <c r="L11" i="191"/>
  <c r="L10" i="191"/>
  <c r="L9" i="191"/>
  <c r="L26" i="190"/>
  <c r="L25" i="190"/>
  <c r="L24" i="190"/>
  <c r="L23" i="190"/>
  <c r="L22" i="190"/>
  <c r="L21" i="190"/>
  <c r="L20" i="190"/>
  <c r="L19" i="190"/>
  <c r="L18" i="190"/>
  <c r="L17" i="190"/>
  <c r="L16" i="190"/>
  <c r="L15" i="190"/>
  <c r="L14" i="190"/>
  <c r="L13" i="190"/>
  <c r="L12" i="190"/>
  <c r="L11" i="190"/>
  <c r="L10" i="190"/>
  <c r="L9" i="190"/>
  <c r="L26" i="189"/>
  <c r="L25" i="189"/>
  <c r="L24" i="189"/>
  <c r="L23" i="189"/>
  <c r="L22" i="189"/>
  <c r="L21" i="189"/>
  <c r="L20" i="189"/>
  <c r="L19" i="189"/>
  <c r="L18" i="189"/>
  <c r="L17" i="189"/>
  <c r="L16" i="189"/>
  <c r="L15" i="189"/>
  <c r="L14" i="189"/>
  <c r="L13" i="189"/>
  <c r="L12" i="189"/>
  <c r="L11" i="189"/>
  <c r="L10" i="189"/>
  <c r="L9" i="189"/>
  <c r="L26" i="188"/>
  <c r="L25" i="188"/>
  <c r="L24" i="188"/>
  <c r="L23" i="188"/>
  <c r="L22" i="188"/>
  <c r="L21" i="188"/>
  <c r="L20" i="188"/>
  <c r="L19" i="188"/>
  <c r="L18" i="188"/>
  <c r="L17" i="188"/>
  <c r="L16" i="188"/>
  <c r="L15" i="188"/>
  <c r="L14" i="188"/>
  <c r="L13" i="188"/>
  <c r="L12" i="188"/>
  <c r="L11" i="188"/>
  <c r="L10" i="188"/>
  <c r="L9" i="188"/>
  <c r="L26" i="187"/>
  <c r="L25" i="187"/>
  <c r="L24" i="187"/>
  <c r="L23" i="187"/>
  <c r="L22" i="187"/>
  <c r="L21" i="187"/>
  <c r="L20" i="187"/>
  <c r="L19" i="187"/>
  <c r="L18" i="187"/>
  <c r="L17" i="187"/>
  <c r="L16" i="187"/>
  <c r="L15" i="187"/>
  <c r="L14" i="187"/>
  <c r="L13" i="187"/>
  <c r="L12" i="187"/>
  <c r="L11" i="187"/>
  <c r="L10" i="187"/>
  <c r="L9" i="187"/>
  <c r="L26" i="186"/>
  <c r="L25" i="186"/>
  <c r="L24" i="186"/>
  <c r="L23" i="186"/>
  <c r="L22" i="186"/>
  <c r="L21" i="186"/>
  <c r="L20" i="186"/>
  <c r="L19" i="186"/>
  <c r="L18" i="186"/>
  <c r="L17" i="186"/>
  <c r="L16" i="186"/>
  <c r="L15" i="186"/>
  <c r="L14" i="186"/>
  <c r="L13" i="186"/>
  <c r="L12" i="186"/>
  <c r="L11" i="186"/>
  <c r="L10" i="186"/>
  <c r="L9" i="186"/>
  <c r="L26" i="185"/>
  <c r="L25" i="185"/>
  <c r="L24" i="185"/>
  <c r="L23" i="185"/>
  <c r="L22" i="185"/>
  <c r="L21" i="185"/>
  <c r="L20" i="185"/>
  <c r="L19" i="185"/>
  <c r="L18" i="185"/>
  <c r="L17" i="185"/>
  <c r="L16" i="185"/>
  <c r="L15" i="185"/>
  <c r="L14" i="185"/>
  <c r="L13" i="185"/>
  <c r="L12" i="185"/>
  <c r="L11" i="185"/>
  <c r="L10" i="185"/>
  <c r="L9" i="185"/>
  <c r="L26" i="184"/>
  <c r="L25" i="184"/>
  <c r="L24" i="184"/>
  <c r="L23" i="184"/>
  <c r="L22" i="184"/>
  <c r="L21" i="184"/>
  <c r="L20" i="184"/>
  <c r="L19" i="184"/>
  <c r="L18" i="184"/>
  <c r="L17" i="184"/>
  <c r="L16" i="184"/>
  <c r="L15" i="184"/>
  <c r="L14" i="184"/>
  <c r="L13" i="184"/>
  <c r="L12" i="184"/>
  <c r="L11" i="184"/>
  <c r="L10" i="184"/>
  <c r="L9" i="184"/>
  <c r="L26" i="183"/>
  <c r="L25" i="183"/>
  <c r="L24" i="183"/>
  <c r="L23" i="183"/>
  <c r="L22" i="183"/>
  <c r="L21" i="183"/>
  <c r="L20" i="183"/>
  <c r="L19" i="183"/>
  <c r="L18" i="183"/>
  <c r="L17" i="183"/>
  <c r="L16" i="183"/>
  <c r="L15" i="183"/>
  <c r="L14" i="183"/>
  <c r="L13" i="183"/>
  <c r="L12" i="183"/>
  <c r="L11" i="183"/>
  <c r="L10" i="183"/>
  <c r="L9" i="183"/>
  <c r="L26" i="182"/>
  <c r="L25" i="182"/>
  <c r="L24" i="182"/>
  <c r="L23" i="182"/>
  <c r="L22" i="182"/>
  <c r="L21" i="182"/>
  <c r="L20" i="182"/>
  <c r="L19" i="182"/>
  <c r="L18" i="182"/>
  <c r="L17" i="182"/>
  <c r="L16" i="182"/>
  <c r="L15" i="182"/>
  <c r="L14" i="182"/>
  <c r="L13" i="182"/>
  <c r="L12" i="182"/>
  <c r="L11" i="182"/>
  <c r="L10" i="182"/>
  <c r="L9" i="182"/>
  <c r="L26" i="181"/>
  <c r="L25" i="181"/>
  <c r="L24" i="181"/>
  <c r="L23" i="181"/>
  <c r="L22" i="181"/>
  <c r="L21" i="181"/>
  <c r="L20" i="181"/>
  <c r="L19" i="181"/>
  <c r="L18" i="181"/>
  <c r="L17" i="181"/>
  <c r="L16" i="181"/>
  <c r="L15" i="181"/>
  <c r="L14" i="181"/>
  <c r="L13" i="181"/>
  <c r="L12" i="181"/>
  <c r="L11" i="181"/>
  <c r="L10" i="181"/>
  <c r="L9" i="181"/>
  <c r="L26" i="180"/>
  <c r="L25" i="180"/>
  <c r="L24" i="180"/>
  <c r="L23" i="180"/>
  <c r="L22" i="180"/>
  <c r="L21" i="180"/>
  <c r="L20" i="180"/>
  <c r="L19" i="180"/>
  <c r="L18" i="180"/>
  <c r="L17" i="180"/>
  <c r="L16" i="180"/>
  <c r="L15" i="180"/>
  <c r="L14" i="180"/>
  <c r="L13" i="180"/>
  <c r="L12" i="180"/>
  <c r="L11" i="180"/>
  <c r="L10" i="180"/>
  <c r="L9" i="180"/>
  <c r="L26" i="179"/>
  <c r="L25" i="179"/>
  <c r="L24" i="179"/>
  <c r="L23" i="179"/>
  <c r="L22" i="179"/>
  <c r="L21" i="179"/>
  <c r="L20" i="179"/>
  <c r="L19" i="179"/>
  <c r="L18" i="179"/>
  <c r="L17" i="179"/>
  <c r="L16" i="179"/>
  <c r="L15" i="179"/>
  <c r="L14" i="179"/>
  <c r="L13" i="179"/>
  <c r="L12" i="179"/>
  <c r="L11" i="179"/>
  <c r="L10" i="179"/>
  <c r="L9" i="179"/>
  <c r="L26" i="178"/>
  <c r="L25" i="178"/>
  <c r="L24" i="178"/>
  <c r="L23" i="178"/>
  <c r="L22" i="178"/>
  <c r="L21" i="178"/>
  <c r="L20" i="178"/>
  <c r="L19" i="178"/>
  <c r="L18" i="178"/>
  <c r="L17" i="178"/>
  <c r="L16" i="178"/>
  <c r="L15" i="178"/>
  <c r="L14" i="178"/>
  <c r="L13" i="178"/>
  <c r="L12" i="178"/>
  <c r="L11" i="178"/>
  <c r="L10" i="178"/>
  <c r="L9" i="178"/>
  <c r="L26" i="177"/>
  <c r="L25" i="177"/>
  <c r="L24" i="177"/>
  <c r="L23" i="177"/>
  <c r="L22" i="177"/>
  <c r="L21" i="177"/>
  <c r="L20" i="177"/>
  <c r="L19" i="177"/>
  <c r="L18" i="177"/>
  <c r="L17" i="177"/>
  <c r="L16" i="177"/>
  <c r="L15" i="177"/>
  <c r="L14" i="177"/>
  <c r="L13" i="177"/>
  <c r="L12" i="177"/>
  <c r="L11" i="177"/>
  <c r="L10" i="177"/>
  <c r="L9" i="177"/>
  <c r="L26" i="176"/>
  <c r="L25" i="176"/>
  <c r="L24" i="176"/>
  <c r="L23" i="176"/>
  <c r="L22" i="176"/>
  <c r="L21" i="176"/>
  <c r="L20" i="176"/>
  <c r="L19" i="176"/>
  <c r="L18" i="176"/>
  <c r="L17" i="176"/>
  <c r="L16" i="176"/>
  <c r="L15" i="176"/>
  <c r="L14" i="176"/>
  <c r="L13" i="176"/>
  <c r="L12" i="176"/>
  <c r="L11" i="176"/>
  <c r="L10" i="176"/>
  <c r="L9" i="176"/>
  <c r="L26" i="175"/>
  <c r="L25" i="175"/>
  <c r="L24" i="175"/>
  <c r="L23" i="175"/>
  <c r="L22" i="175"/>
  <c r="L21" i="175"/>
  <c r="L20" i="175"/>
  <c r="L19" i="175"/>
  <c r="L18" i="175"/>
  <c r="L17" i="175"/>
  <c r="L16" i="175"/>
  <c r="L15" i="175"/>
  <c r="L14" i="175"/>
  <c r="L13" i="175"/>
  <c r="L12" i="175"/>
  <c r="L11" i="175"/>
  <c r="L10" i="175"/>
  <c r="L9" i="175"/>
  <c r="L26" i="174"/>
  <c r="L25" i="174"/>
  <c r="L24" i="174"/>
  <c r="L23" i="174"/>
  <c r="L22" i="174"/>
  <c r="L21" i="174"/>
  <c r="L20" i="174"/>
  <c r="L19" i="174"/>
  <c r="L18" i="174"/>
  <c r="L17" i="174"/>
  <c r="L16" i="174"/>
  <c r="L15" i="174"/>
  <c r="L14" i="174"/>
  <c r="L13" i="174"/>
  <c r="L12" i="174"/>
  <c r="L11" i="174"/>
  <c r="L10" i="174"/>
  <c r="L9" i="174"/>
  <c r="L26" i="173"/>
  <c r="L25" i="173"/>
  <c r="L24" i="173"/>
  <c r="L23" i="173"/>
  <c r="L22" i="173"/>
  <c r="L21" i="173"/>
  <c r="L20" i="173"/>
  <c r="L19" i="173"/>
  <c r="L18" i="173"/>
  <c r="L17" i="173"/>
  <c r="L16" i="173"/>
  <c r="L15" i="173"/>
  <c r="L14" i="173"/>
  <c r="L13" i="173"/>
  <c r="L12" i="173"/>
  <c r="L11" i="173"/>
  <c r="L10" i="173"/>
  <c r="L9" i="173"/>
  <c r="L26" i="172"/>
  <c r="L25" i="172"/>
  <c r="L24" i="172"/>
  <c r="L23" i="172"/>
  <c r="L22" i="172"/>
  <c r="L21" i="172"/>
  <c r="L20" i="172"/>
  <c r="L19" i="172"/>
  <c r="L18" i="172"/>
  <c r="L17" i="172"/>
  <c r="L16" i="172"/>
  <c r="L15" i="172"/>
  <c r="L14" i="172"/>
  <c r="L13" i="172"/>
  <c r="L12" i="172"/>
  <c r="L11" i="172"/>
  <c r="L10" i="172"/>
  <c r="L9" i="172"/>
  <c r="L26" i="171"/>
  <c r="L25" i="171"/>
  <c r="L24" i="171"/>
  <c r="L23" i="171"/>
  <c r="L22" i="171"/>
  <c r="L21" i="171"/>
  <c r="L20" i="171"/>
  <c r="L19" i="171"/>
  <c r="L18" i="171"/>
  <c r="L17" i="171"/>
  <c r="L16" i="171"/>
  <c r="L15" i="171"/>
  <c r="L14" i="171"/>
  <c r="L13" i="171"/>
  <c r="L12" i="171"/>
  <c r="L11" i="171"/>
  <c r="L10" i="171"/>
  <c r="L9" i="171"/>
  <c r="L26" i="170"/>
  <c r="L25" i="170"/>
  <c r="L24" i="170"/>
  <c r="L23" i="170"/>
  <c r="L22" i="170"/>
  <c r="L21" i="170"/>
  <c r="L20" i="170"/>
  <c r="L19" i="170"/>
  <c r="L18" i="170"/>
  <c r="L17" i="170"/>
  <c r="L16" i="170"/>
  <c r="L15" i="170"/>
  <c r="L14" i="170"/>
  <c r="L13" i="170"/>
  <c r="L12" i="170"/>
  <c r="L11" i="170"/>
  <c r="L10" i="170"/>
  <c r="L9" i="170"/>
  <c r="L26" i="169"/>
  <c r="L25" i="169"/>
  <c r="L24" i="169"/>
  <c r="L23" i="169"/>
  <c r="L22" i="169"/>
  <c r="L21" i="169"/>
  <c r="L20" i="169"/>
  <c r="L19" i="169"/>
  <c r="L18" i="169"/>
  <c r="L17" i="169"/>
  <c r="L16" i="169"/>
  <c r="L15" i="169"/>
  <c r="L14" i="169"/>
  <c r="L13" i="169"/>
  <c r="L12" i="169"/>
  <c r="L11" i="169"/>
  <c r="L10" i="169"/>
  <c r="L9" i="169"/>
  <c r="L26" i="168"/>
  <c r="L25" i="168"/>
  <c r="L24" i="168"/>
  <c r="L23" i="168"/>
  <c r="L22" i="168"/>
  <c r="L21" i="168"/>
  <c r="L20" i="168"/>
  <c r="L19" i="168"/>
  <c r="L18" i="168"/>
  <c r="L17" i="168"/>
  <c r="L16" i="168"/>
  <c r="L15" i="168"/>
  <c r="L14" i="168"/>
  <c r="L13" i="168"/>
  <c r="L12" i="168"/>
  <c r="L11" i="168"/>
  <c r="L10" i="168"/>
  <c r="L9" i="168"/>
  <c r="L26" i="167"/>
  <c r="L25" i="167"/>
  <c r="L24" i="167"/>
  <c r="L23" i="167"/>
  <c r="L22" i="167"/>
  <c r="L21" i="167"/>
  <c r="L20" i="167"/>
  <c r="L19" i="167"/>
  <c r="L18" i="167"/>
  <c r="L17" i="167"/>
  <c r="L16" i="167"/>
  <c r="L15" i="167"/>
  <c r="L14" i="167"/>
  <c r="L13" i="167"/>
  <c r="L12" i="167"/>
  <c r="L11" i="167"/>
  <c r="L10" i="167"/>
  <c r="L9" i="167"/>
  <c r="L26" i="166"/>
  <c r="L25" i="166"/>
  <c r="L24" i="166"/>
  <c r="L23" i="166"/>
  <c r="L22" i="166"/>
  <c r="L21" i="166"/>
  <c r="L20" i="166"/>
  <c r="L19" i="166"/>
  <c r="L18" i="166"/>
  <c r="L17" i="166"/>
  <c r="L16" i="166"/>
  <c r="L15" i="166"/>
  <c r="L14" i="166"/>
  <c r="L13" i="166"/>
  <c r="L12" i="166"/>
  <c r="L11" i="166"/>
  <c r="L10" i="166"/>
  <c r="L9" i="166"/>
  <c r="L26" i="165"/>
  <c r="L25" i="165"/>
  <c r="L24" i="165"/>
  <c r="L23" i="165"/>
  <c r="L22" i="165"/>
  <c r="L21" i="165"/>
  <c r="L20" i="165"/>
  <c r="L19" i="165"/>
  <c r="L18" i="165"/>
  <c r="L17" i="165"/>
  <c r="L16" i="165"/>
  <c r="L15" i="165"/>
  <c r="L14" i="165"/>
  <c r="L13" i="165"/>
  <c r="L12" i="165"/>
  <c r="L11" i="165"/>
  <c r="L10" i="165"/>
  <c r="L9" i="165"/>
  <c r="L26" i="164"/>
  <c r="L25" i="164"/>
  <c r="L24" i="164"/>
  <c r="L23" i="164"/>
  <c r="L22" i="164"/>
  <c r="L21" i="164"/>
  <c r="L20" i="164"/>
  <c r="L19" i="164"/>
  <c r="L18" i="164"/>
  <c r="L17" i="164"/>
  <c r="L16" i="164"/>
  <c r="L15" i="164"/>
  <c r="L14" i="164"/>
  <c r="L13" i="164"/>
  <c r="L12" i="164"/>
  <c r="L11" i="164"/>
  <c r="L10" i="164"/>
  <c r="L9" i="164"/>
  <c r="L26" i="163"/>
  <c r="L25" i="163"/>
  <c r="L24" i="163"/>
  <c r="L23" i="163"/>
  <c r="L22" i="163"/>
  <c r="L21" i="163"/>
  <c r="L20" i="163"/>
  <c r="L19" i="163"/>
  <c r="L18" i="163"/>
  <c r="L17" i="163"/>
  <c r="L16" i="163"/>
  <c r="L15" i="163"/>
  <c r="L14" i="163"/>
  <c r="L13" i="163"/>
  <c r="L12" i="163"/>
  <c r="L11" i="163"/>
  <c r="L10" i="163"/>
  <c r="L9" i="163"/>
  <c r="L26" i="162"/>
  <c r="L25" i="162"/>
  <c r="L24" i="162"/>
  <c r="L23" i="162"/>
  <c r="L22" i="162"/>
  <c r="L21" i="162"/>
  <c r="L20" i="162"/>
  <c r="L19" i="162"/>
  <c r="L18" i="162"/>
  <c r="L17" i="162"/>
  <c r="L16" i="162"/>
  <c r="L15" i="162"/>
  <c r="L14" i="162"/>
  <c r="L13" i="162"/>
  <c r="L12" i="162"/>
  <c r="L11" i="162"/>
  <c r="L10" i="162"/>
  <c r="L9" i="162"/>
  <c r="L26" i="161"/>
  <c r="L25" i="161"/>
  <c r="L24" i="161"/>
  <c r="L23" i="161"/>
  <c r="L22" i="161"/>
  <c r="L21" i="161"/>
  <c r="L20" i="161"/>
  <c r="L19" i="161"/>
  <c r="L18" i="161"/>
  <c r="L17" i="161"/>
  <c r="L16" i="161"/>
  <c r="L15" i="161"/>
  <c r="L14" i="161"/>
  <c r="L13" i="161"/>
  <c r="L12" i="161"/>
  <c r="L11" i="161"/>
  <c r="L10" i="161"/>
  <c r="L9" i="161"/>
  <c r="L26" i="160"/>
  <c r="L25" i="160"/>
  <c r="L24" i="160"/>
  <c r="L23" i="160"/>
  <c r="L22" i="160"/>
  <c r="L21" i="160"/>
  <c r="L20" i="160"/>
  <c r="L19" i="160"/>
  <c r="L18" i="160"/>
  <c r="L17" i="160"/>
  <c r="L16" i="160"/>
  <c r="L15" i="160"/>
  <c r="L14" i="160"/>
  <c r="L13" i="160"/>
  <c r="L12" i="160"/>
  <c r="L11" i="160"/>
  <c r="L10" i="160"/>
  <c r="L9" i="160"/>
  <c r="L26" i="159"/>
  <c r="L25" i="159"/>
  <c r="L24" i="159"/>
  <c r="L23" i="159"/>
  <c r="L22" i="159"/>
  <c r="L21" i="159"/>
  <c r="L20" i="159"/>
  <c r="L19" i="159"/>
  <c r="L18" i="159"/>
  <c r="L17" i="159"/>
  <c r="L16" i="159"/>
  <c r="L15" i="159"/>
  <c r="L14" i="159"/>
  <c r="L13" i="159"/>
  <c r="L12" i="159"/>
  <c r="L11" i="159"/>
  <c r="L10" i="159"/>
  <c r="L9" i="159"/>
  <c r="L26" i="158"/>
  <c r="L25" i="158"/>
  <c r="L24" i="158"/>
  <c r="L23" i="158"/>
  <c r="L22" i="158"/>
  <c r="L21" i="158"/>
  <c r="L20" i="158"/>
  <c r="L19" i="158"/>
  <c r="L18" i="158"/>
  <c r="L17" i="158"/>
  <c r="L16" i="158"/>
  <c r="L15" i="158"/>
  <c r="L14" i="158"/>
  <c r="L13" i="158"/>
  <c r="L12" i="158"/>
  <c r="L11" i="158"/>
  <c r="L10" i="158"/>
  <c r="L9" i="158"/>
  <c r="L26" i="157"/>
  <c r="L25" i="157"/>
  <c r="L24" i="157"/>
  <c r="L23" i="157"/>
  <c r="L22" i="157"/>
  <c r="L21" i="157"/>
  <c r="L20" i="157"/>
  <c r="L19" i="157"/>
  <c r="L18" i="157"/>
  <c r="L17" i="157"/>
  <c r="L16" i="157"/>
  <c r="L15" i="157"/>
  <c r="L14" i="157"/>
  <c r="L13" i="157"/>
  <c r="L12" i="157"/>
  <c r="L11" i="157"/>
  <c r="L10" i="157"/>
  <c r="L9" i="157"/>
  <c r="K26" i="156"/>
  <c r="K25" i="156"/>
  <c r="K24" i="156"/>
  <c r="K23" i="156"/>
  <c r="K22" i="156"/>
  <c r="K21" i="156"/>
  <c r="K20" i="156"/>
  <c r="K19" i="156"/>
  <c r="K18" i="156"/>
  <c r="K17" i="156"/>
  <c r="K16" i="156"/>
  <c r="K15" i="156"/>
  <c r="K14" i="156"/>
  <c r="K13" i="156"/>
  <c r="K12" i="156"/>
  <c r="K11" i="156"/>
  <c r="K10" i="156"/>
  <c r="K9" i="156"/>
  <c r="K26" i="155"/>
  <c r="K25" i="155"/>
  <c r="K24" i="155"/>
  <c r="K23" i="155"/>
  <c r="K22" i="155"/>
  <c r="K21" i="155"/>
  <c r="K20" i="155"/>
  <c r="K19" i="155"/>
  <c r="K18" i="155"/>
  <c r="K17" i="155"/>
  <c r="K16" i="155"/>
  <c r="K15" i="155"/>
  <c r="K14" i="155"/>
  <c r="K13" i="155"/>
  <c r="K12" i="155"/>
  <c r="K11" i="155"/>
  <c r="K10" i="155"/>
  <c r="K9" i="155"/>
  <c r="K26" i="154"/>
  <c r="K25" i="154"/>
  <c r="K24" i="154"/>
  <c r="K23" i="154"/>
  <c r="K22" i="154"/>
  <c r="K21" i="154"/>
  <c r="K20" i="154"/>
  <c r="K19" i="154"/>
  <c r="K18" i="154"/>
  <c r="K17" i="154"/>
  <c r="K16" i="154"/>
  <c r="K15" i="154"/>
  <c r="K14" i="154"/>
  <c r="K13" i="154"/>
  <c r="K12" i="154"/>
  <c r="K11" i="154"/>
  <c r="K10" i="154"/>
  <c r="K9" i="154"/>
  <c r="K26" i="153"/>
  <c r="K25" i="153"/>
  <c r="K24" i="153"/>
  <c r="K23" i="153"/>
  <c r="K22" i="153"/>
  <c r="K21" i="153"/>
  <c r="K20" i="153"/>
  <c r="K19" i="153"/>
  <c r="K18" i="153"/>
  <c r="K17" i="153"/>
  <c r="K16" i="153"/>
  <c r="K15" i="153"/>
  <c r="K14" i="153"/>
  <c r="K13" i="153"/>
  <c r="K12" i="153"/>
  <c r="K11" i="153"/>
  <c r="K10" i="153"/>
  <c r="K9" i="153"/>
  <c r="K26" i="152"/>
  <c r="K25" i="152"/>
  <c r="K24" i="152"/>
  <c r="K23" i="152"/>
  <c r="K22" i="152"/>
  <c r="K21" i="152"/>
  <c r="K20" i="152"/>
  <c r="K19" i="152"/>
  <c r="K18" i="152"/>
  <c r="K17" i="152"/>
  <c r="K16" i="152"/>
  <c r="K15" i="152"/>
  <c r="K14" i="152"/>
  <c r="K13" i="152"/>
  <c r="K12" i="152"/>
  <c r="K11" i="152"/>
  <c r="K10" i="152"/>
  <c r="K9" i="152"/>
  <c r="K26" i="151"/>
  <c r="K25" i="151"/>
  <c r="K24" i="151"/>
  <c r="K23" i="151"/>
  <c r="K22" i="151"/>
  <c r="K21" i="151"/>
  <c r="K20" i="151"/>
  <c r="K19" i="151"/>
  <c r="K18" i="151"/>
  <c r="K17" i="151"/>
  <c r="K16" i="151"/>
  <c r="K15" i="151"/>
  <c r="K14" i="151"/>
  <c r="K13" i="151"/>
  <c r="K12" i="151"/>
  <c r="K11" i="151"/>
  <c r="K10" i="151"/>
  <c r="K9" i="151"/>
  <c r="K26" i="150"/>
  <c r="K25" i="150"/>
  <c r="K24" i="150"/>
  <c r="K23" i="150"/>
  <c r="K22" i="150"/>
  <c r="K21" i="150"/>
  <c r="K20" i="150"/>
  <c r="K19" i="150"/>
  <c r="K18" i="150"/>
  <c r="K17" i="150"/>
  <c r="K16" i="150"/>
  <c r="K15" i="150"/>
  <c r="K14" i="150"/>
  <c r="K13" i="150"/>
  <c r="K12" i="150"/>
  <c r="K11" i="150"/>
  <c r="K10" i="150"/>
  <c r="K9" i="150"/>
  <c r="K26" i="149"/>
  <c r="K25" i="149"/>
  <c r="K24" i="149"/>
  <c r="K23" i="149"/>
  <c r="K22" i="149"/>
  <c r="K21" i="149"/>
  <c r="K20" i="149"/>
  <c r="K19" i="149"/>
  <c r="K18" i="149"/>
  <c r="K17" i="149"/>
  <c r="K16" i="149"/>
  <c r="K15" i="149"/>
  <c r="K14" i="149"/>
  <c r="K13" i="149"/>
  <c r="K12" i="149"/>
  <c r="K11" i="149"/>
  <c r="K10" i="149"/>
  <c r="K9" i="149"/>
  <c r="K26" i="147"/>
  <c r="K25" i="147"/>
  <c r="K24" i="147"/>
  <c r="K23" i="147"/>
  <c r="K22" i="147"/>
  <c r="K21" i="147"/>
  <c r="K20" i="147"/>
  <c r="K19" i="147"/>
  <c r="K18" i="147"/>
  <c r="K17" i="147"/>
  <c r="K16" i="147"/>
  <c r="K15" i="147"/>
  <c r="K14" i="147"/>
  <c r="K13" i="147"/>
  <c r="K12" i="147"/>
  <c r="K11" i="147"/>
  <c r="K10" i="147"/>
  <c r="K9" i="147"/>
  <c r="K26" i="148"/>
  <c r="K25" i="148"/>
  <c r="K24" i="148"/>
  <c r="K23" i="148"/>
  <c r="K22" i="148"/>
  <c r="K21" i="148"/>
  <c r="K20" i="148"/>
  <c r="K19" i="148"/>
  <c r="K18" i="148"/>
  <c r="K17" i="148"/>
  <c r="K16" i="148"/>
  <c r="K15" i="148"/>
  <c r="K14" i="148"/>
  <c r="K13" i="148"/>
  <c r="K12" i="148"/>
  <c r="K11" i="148"/>
  <c r="K10" i="148"/>
  <c r="K9" i="148"/>
  <c r="K26" i="146"/>
  <c r="K25" i="146"/>
  <c r="K24" i="146"/>
  <c r="K23" i="146"/>
  <c r="K22" i="146"/>
  <c r="K21" i="146"/>
  <c r="K20" i="146"/>
  <c r="K19" i="146"/>
  <c r="K18" i="146"/>
  <c r="K17" i="146"/>
  <c r="K16" i="146"/>
  <c r="K15" i="146"/>
  <c r="K14" i="146"/>
  <c r="K13" i="146"/>
  <c r="K12" i="146"/>
  <c r="K11" i="146"/>
  <c r="K10" i="146"/>
  <c r="K9" i="146"/>
  <c r="K26" i="145"/>
  <c r="K25" i="145"/>
  <c r="K24" i="145"/>
  <c r="K23" i="145"/>
  <c r="K22" i="145"/>
  <c r="K21" i="145"/>
  <c r="K20" i="145"/>
  <c r="K19" i="145"/>
  <c r="K18" i="145"/>
  <c r="K17" i="145"/>
  <c r="K16" i="145"/>
  <c r="K15" i="145"/>
  <c r="K14" i="145"/>
  <c r="K13" i="145"/>
  <c r="K12" i="145"/>
  <c r="K11" i="145"/>
  <c r="K10" i="145"/>
  <c r="K9" i="145"/>
  <c r="K26" i="144"/>
  <c r="K25" i="144"/>
  <c r="K24" i="144"/>
  <c r="K23" i="144"/>
  <c r="K22" i="144"/>
  <c r="K21" i="144"/>
  <c r="K20" i="144"/>
  <c r="K19" i="144"/>
  <c r="K18" i="144"/>
  <c r="K17" i="144"/>
  <c r="K16" i="144"/>
  <c r="K15" i="144"/>
  <c r="K14" i="144"/>
  <c r="K13" i="144"/>
  <c r="K12" i="144"/>
  <c r="K11" i="144"/>
  <c r="K10" i="144"/>
  <c r="K9" i="144"/>
  <c r="K26" i="143"/>
  <c r="K25" i="143"/>
  <c r="K24" i="143"/>
  <c r="K23" i="143"/>
  <c r="K22" i="143"/>
  <c r="K21" i="143"/>
  <c r="K20" i="143"/>
  <c r="K19" i="143"/>
  <c r="K18" i="143"/>
  <c r="K17" i="143"/>
  <c r="K16" i="143"/>
  <c r="K15" i="143"/>
  <c r="K14" i="143"/>
  <c r="K13" i="143"/>
  <c r="K12" i="143"/>
  <c r="K11" i="143"/>
  <c r="K10" i="143"/>
  <c r="K9" i="143"/>
  <c r="K26" i="142"/>
  <c r="K25" i="142"/>
  <c r="K24" i="142"/>
  <c r="K23" i="142"/>
  <c r="K22" i="142"/>
  <c r="K21" i="142"/>
  <c r="K20" i="142"/>
  <c r="K19" i="142"/>
  <c r="K18" i="142"/>
  <c r="K17" i="142"/>
  <c r="K16" i="142"/>
  <c r="K15" i="142"/>
  <c r="K14" i="142"/>
  <c r="K13" i="142"/>
  <c r="K12" i="142"/>
  <c r="K11" i="142"/>
  <c r="K10" i="142"/>
  <c r="K9" i="142"/>
  <c r="K26" i="141"/>
  <c r="K25" i="141"/>
  <c r="K24" i="141"/>
  <c r="K23" i="141"/>
  <c r="K22" i="141"/>
  <c r="K21" i="141"/>
  <c r="K20" i="141"/>
  <c r="K19" i="141"/>
  <c r="K18" i="141"/>
  <c r="K17" i="141"/>
  <c r="K16" i="141"/>
  <c r="K15" i="141"/>
  <c r="K14" i="141"/>
  <c r="K13" i="141"/>
  <c r="K12" i="141"/>
  <c r="K11" i="141"/>
  <c r="K10" i="141"/>
  <c r="K9" i="141"/>
  <c r="K26" i="140"/>
  <c r="K25" i="140"/>
  <c r="K24" i="140"/>
  <c r="K23" i="140"/>
  <c r="K22" i="140"/>
  <c r="K21" i="140"/>
  <c r="K20" i="140"/>
  <c r="K19" i="140"/>
  <c r="K18" i="140"/>
  <c r="K17" i="140"/>
  <c r="K16" i="140"/>
  <c r="K15" i="140"/>
  <c r="K14" i="140"/>
  <c r="K13" i="140"/>
  <c r="K12" i="140"/>
  <c r="K11" i="140"/>
  <c r="K10" i="140"/>
  <c r="K9" i="140"/>
  <c r="K26" i="139"/>
  <c r="K25" i="139"/>
  <c r="K24" i="139"/>
  <c r="K23" i="139"/>
  <c r="K22" i="139"/>
  <c r="K21" i="139"/>
  <c r="K20" i="139"/>
  <c r="K19" i="139"/>
  <c r="K18" i="139"/>
  <c r="K17" i="139"/>
  <c r="K16" i="139"/>
  <c r="K15" i="139"/>
  <c r="K14" i="139"/>
  <c r="K13" i="139"/>
  <c r="K12" i="139"/>
  <c r="K11" i="139"/>
  <c r="K10" i="139"/>
  <c r="K9" i="139"/>
  <c r="K26" i="138"/>
  <c r="K25" i="138"/>
  <c r="K24" i="138"/>
  <c r="K23" i="138"/>
  <c r="K22" i="138"/>
  <c r="K21" i="138"/>
  <c r="K20" i="138"/>
  <c r="K19" i="138"/>
  <c r="K18" i="138"/>
  <c r="K17" i="138"/>
  <c r="K16" i="138"/>
  <c r="K15" i="138"/>
  <c r="K14" i="138"/>
  <c r="K13" i="138"/>
  <c r="K12" i="138"/>
  <c r="K11" i="138"/>
  <c r="K10" i="138"/>
  <c r="K9" i="138"/>
  <c r="K26" i="137"/>
  <c r="K25" i="137"/>
  <c r="K24" i="137"/>
  <c r="K23" i="137"/>
  <c r="K22" i="137"/>
  <c r="K21" i="137"/>
  <c r="K20" i="137"/>
  <c r="K19" i="137"/>
  <c r="K18" i="137"/>
  <c r="K17" i="137"/>
  <c r="K16" i="137"/>
  <c r="K15" i="137"/>
  <c r="K14" i="137"/>
  <c r="K13" i="137"/>
  <c r="K12" i="137"/>
  <c r="K11" i="137"/>
  <c r="K10" i="137"/>
  <c r="K9" i="137"/>
  <c r="K26" i="136"/>
  <c r="K25" i="136"/>
  <c r="K24" i="136"/>
  <c r="K23" i="136"/>
  <c r="K22" i="136"/>
  <c r="K21" i="136"/>
  <c r="K20" i="136"/>
  <c r="K19" i="136"/>
  <c r="K18" i="136"/>
  <c r="K17" i="136"/>
  <c r="K16" i="136"/>
  <c r="K15" i="136"/>
  <c r="K14" i="136"/>
  <c r="K13" i="136"/>
  <c r="K12" i="136"/>
  <c r="K11" i="136"/>
  <c r="K10" i="136"/>
  <c r="K9" i="136"/>
  <c r="K26" i="135"/>
  <c r="K25" i="135"/>
  <c r="K24" i="135"/>
  <c r="K23" i="135"/>
  <c r="K22" i="135"/>
  <c r="K21" i="135"/>
  <c r="K20" i="135"/>
  <c r="K19" i="135"/>
  <c r="K18" i="135"/>
  <c r="K17" i="135"/>
  <c r="K16" i="135"/>
  <c r="K15" i="135"/>
  <c r="K14" i="135"/>
  <c r="K13" i="135"/>
  <c r="K12" i="135"/>
  <c r="K11" i="135"/>
  <c r="K10" i="135"/>
  <c r="K9" i="135"/>
  <c r="K26" i="134"/>
  <c r="K25" i="134"/>
  <c r="K24" i="134"/>
  <c r="K23" i="134"/>
  <c r="K22" i="134"/>
  <c r="K21" i="134"/>
  <c r="K20" i="134"/>
  <c r="K19" i="134"/>
  <c r="K18" i="134"/>
  <c r="K17" i="134"/>
  <c r="K16" i="134"/>
  <c r="K15" i="134"/>
  <c r="K14" i="134"/>
  <c r="K13" i="134"/>
  <c r="K12" i="134"/>
  <c r="K11" i="134"/>
  <c r="K10" i="134"/>
  <c r="K9" i="134"/>
  <c r="K26" i="133"/>
  <c r="K25" i="133"/>
  <c r="K24" i="133"/>
  <c r="K23" i="133"/>
  <c r="K22" i="133"/>
  <c r="K21" i="133"/>
  <c r="K20" i="133"/>
  <c r="K19" i="133"/>
  <c r="K18" i="133"/>
  <c r="K17" i="133"/>
  <c r="K16" i="133"/>
  <c r="K15" i="133"/>
  <c r="K14" i="133"/>
  <c r="K13" i="133"/>
  <c r="K12" i="133"/>
  <c r="K11" i="133"/>
  <c r="K10" i="133"/>
  <c r="K9" i="133"/>
  <c r="K26" i="16"/>
  <c r="K25" i="16"/>
  <c r="K24" i="16"/>
  <c r="K23" i="16"/>
  <c r="K22" i="16"/>
  <c r="K21" i="16"/>
  <c r="K20" i="16"/>
  <c r="K19" i="16"/>
  <c r="K18" i="16"/>
  <c r="K17" i="16"/>
  <c r="K16" i="16"/>
  <c r="K15" i="16"/>
  <c r="K14" i="16"/>
  <c r="K13" i="16"/>
  <c r="K12" i="16"/>
  <c r="K11" i="16"/>
  <c r="K10" i="16"/>
  <c r="K9" i="16"/>
  <c r="G43" i="51" l="1"/>
  <c r="G42" i="51"/>
  <c r="G41" i="51"/>
  <c r="G40" i="51"/>
  <c r="G39" i="51"/>
  <c r="G38" i="51"/>
  <c r="G37" i="51"/>
  <c r="G36" i="51"/>
  <c r="G35" i="51"/>
  <c r="G34" i="51"/>
  <c r="I17" i="58"/>
  <c r="H24" i="41"/>
  <c r="G24" i="41"/>
  <c r="H24" i="40"/>
  <c r="G24" i="40"/>
  <c r="I42" i="39"/>
  <c r="I47" i="39" s="1"/>
  <c r="L40" i="39"/>
  <c r="L30" i="39"/>
  <c r="L20" i="39"/>
  <c r="C21" i="121" s="1"/>
  <c r="I11" i="28"/>
  <c r="J20" i="22"/>
  <c r="H41" i="21"/>
  <c r="H20" i="21"/>
  <c r="G38" i="20"/>
  <c r="H38" i="20"/>
  <c r="K26" i="19"/>
  <c r="K25" i="19"/>
  <c r="K24" i="19"/>
  <c r="K23" i="19"/>
  <c r="K22" i="19"/>
  <c r="K21" i="19"/>
  <c r="K20" i="19"/>
  <c r="K19" i="19"/>
  <c r="K18" i="19"/>
  <c r="K17" i="19"/>
  <c r="K16" i="19"/>
  <c r="K15" i="19"/>
  <c r="K14" i="19"/>
  <c r="K13" i="19"/>
  <c r="K12" i="19"/>
  <c r="K11" i="19"/>
  <c r="K10" i="19"/>
  <c r="K9" i="19"/>
  <c r="K8" i="19"/>
  <c r="L26" i="17"/>
  <c r="L25" i="17"/>
  <c r="L24" i="17"/>
  <c r="L23" i="17"/>
  <c r="L22" i="17"/>
  <c r="L21" i="17"/>
  <c r="L20" i="17"/>
  <c r="L19" i="17"/>
  <c r="L18" i="17"/>
  <c r="L17" i="17"/>
  <c r="L16" i="17"/>
  <c r="L15" i="17"/>
  <c r="L14" i="17"/>
  <c r="L13" i="17"/>
  <c r="L12" i="17"/>
  <c r="L11" i="17"/>
  <c r="L10" i="17"/>
  <c r="L9" i="17"/>
  <c r="L8" i="17"/>
  <c r="K26" i="15"/>
  <c r="K25" i="15"/>
  <c r="K24" i="15"/>
  <c r="K23" i="15"/>
  <c r="K22" i="15"/>
  <c r="K21" i="15"/>
  <c r="K20" i="15"/>
  <c r="K19" i="15"/>
  <c r="K18" i="15"/>
  <c r="K17" i="15"/>
  <c r="K16" i="15"/>
  <c r="K15" i="15"/>
  <c r="K14" i="15"/>
  <c r="K13" i="15"/>
  <c r="K12" i="15"/>
  <c r="K11" i="15"/>
  <c r="K10" i="15"/>
  <c r="K9" i="15"/>
  <c r="K8" i="15"/>
  <c r="G40" i="6" l="1"/>
  <c r="H40" i="6"/>
  <c r="H11" i="1"/>
  <c r="F39" i="57"/>
  <c r="B39" i="57"/>
  <c r="H39" i="57"/>
  <c r="L38" i="57"/>
  <c r="B38" i="57"/>
  <c r="J36" i="22" l="1"/>
  <c r="J39" i="22" s="1"/>
  <c r="H41" i="317" l="1"/>
  <c r="G41" i="317"/>
  <c r="B31" i="317"/>
  <c r="I28" i="317"/>
  <c r="I30" i="317" s="1"/>
  <c r="K32" i="317" s="1"/>
  <c r="H23" i="317"/>
  <c r="G22" i="317"/>
  <c r="G23" i="317" s="1"/>
  <c r="H12" i="317"/>
  <c r="G11" i="317"/>
  <c r="G12" i="317" s="1"/>
  <c r="H41" i="315"/>
  <c r="G41" i="315"/>
  <c r="B31" i="315"/>
  <c r="I28" i="315"/>
  <c r="I30" i="315" s="1"/>
  <c r="K32" i="315" s="1"/>
  <c r="H23" i="315"/>
  <c r="G22" i="315"/>
  <c r="G23" i="315" s="1"/>
  <c r="H12" i="315"/>
  <c r="G11" i="315"/>
  <c r="G12" i="315" s="1"/>
  <c r="H41" i="313"/>
  <c r="G41" i="313"/>
  <c r="B31" i="313"/>
  <c r="I28" i="313"/>
  <c r="I30" i="313" s="1"/>
  <c r="K32" i="313" s="1"/>
  <c r="H23" i="313"/>
  <c r="G22" i="313"/>
  <c r="G23" i="313" s="1"/>
  <c r="H12" i="313"/>
  <c r="G11" i="313"/>
  <c r="G12" i="313" s="1"/>
  <c r="H41" i="311"/>
  <c r="G41" i="311"/>
  <c r="B31" i="311"/>
  <c r="I28" i="311"/>
  <c r="I30" i="311" s="1"/>
  <c r="K32" i="311" s="1"/>
  <c r="H23" i="311"/>
  <c r="G22" i="311"/>
  <c r="G23" i="311" s="1"/>
  <c r="H12" i="311"/>
  <c r="G11" i="311"/>
  <c r="G12" i="311" s="1"/>
  <c r="H41" i="307"/>
  <c r="G41" i="307"/>
  <c r="B31" i="307"/>
  <c r="I28" i="307"/>
  <c r="I30" i="307" s="1"/>
  <c r="K32" i="307" s="1"/>
  <c r="H23" i="307"/>
  <c r="G22" i="307"/>
  <c r="G23" i="307" s="1"/>
  <c r="H12" i="307"/>
  <c r="G11" i="307"/>
  <c r="G12" i="307" s="1"/>
  <c r="H41" i="306"/>
  <c r="G41" i="306"/>
  <c r="B31" i="306"/>
  <c r="I28" i="306"/>
  <c r="I30" i="306" s="1"/>
  <c r="K32" i="306" s="1"/>
  <c r="H23" i="306"/>
  <c r="G22" i="306"/>
  <c r="G23" i="306" s="1"/>
  <c r="H12" i="306"/>
  <c r="G11" i="306"/>
  <c r="G12" i="306" s="1"/>
  <c r="J5" i="279"/>
  <c r="J5" i="284"/>
  <c r="J5" i="285"/>
  <c r="J5" i="287"/>
  <c r="J5" i="286"/>
  <c r="J5" i="115"/>
  <c r="J5" i="278"/>
  <c r="J5" i="267"/>
  <c r="J5" i="255"/>
  <c r="J5" i="243"/>
  <c r="J5" i="114"/>
  <c r="J5" i="231"/>
  <c r="J19" i="107" l="1"/>
  <c r="J18" i="107"/>
  <c r="L12" i="41"/>
  <c r="L13" i="41"/>
  <c r="L14" i="41"/>
  <c r="L15" i="41"/>
  <c r="L16" i="41"/>
  <c r="L17" i="41"/>
  <c r="L21" i="41"/>
  <c r="L22" i="41"/>
  <c r="L23" i="41"/>
  <c r="L11" i="41"/>
  <c r="L10" i="41"/>
  <c r="L12" i="40"/>
  <c r="L13" i="40"/>
  <c r="L14" i="40"/>
  <c r="L15" i="40"/>
  <c r="L16" i="40"/>
  <c r="L17" i="40"/>
  <c r="L18" i="40"/>
  <c r="L11" i="40"/>
  <c r="L10" i="40"/>
  <c r="I17" i="34"/>
  <c r="J12" i="24"/>
  <c r="J13" i="24"/>
  <c r="G9" i="11"/>
  <c r="L23" i="10"/>
  <c r="L24" i="10"/>
  <c r="L25" i="10"/>
  <c r="L22" i="10"/>
  <c r="L16" i="10"/>
  <c r="L17" i="10"/>
  <c r="L18" i="10"/>
  <c r="L19" i="10"/>
  <c r="L20" i="10"/>
  <c r="L15" i="10"/>
  <c r="L10" i="10"/>
  <c r="L11" i="10"/>
  <c r="L12" i="10"/>
  <c r="L13" i="10"/>
  <c r="L9" i="10"/>
  <c r="I20" i="34" l="1"/>
  <c r="H28" i="1"/>
  <c r="L24" i="41"/>
  <c r="H31" i="220"/>
  <c r="H39" i="220" s="1"/>
  <c r="L39" i="226" s="1"/>
  <c r="H31" i="232"/>
  <c r="H31" i="244"/>
  <c r="H31" i="256"/>
  <c r="H31" i="268"/>
  <c r="J43" i="304"/>
  <c r="H42" i="362"/>
  <c r="J22" i="304"/>
  <c r="I22" i="304"/>
  <c r="H22" i="304"/>
  <c r="G22" i="304"/>
  <c r="J43" i="303"/>
  <c r="J22" i="303"/>
  <c r="I22" i="303"/>
  <c r="H22" i="303"/>
  <c r="G22" i="303"/>
  <c r="J43" i="302"/>
  <c r="J22" i="302"/>
  <c r="I22" i="302"/>
  <c r="H22" i="302"/>
  <c r="G22" i="302"/>
  <c r="J43" i="301"/>
  <c r="J22" i="301"/>
  <c r="I22" i="301"/>
  <c r="H22" i="301"/>
  <c r="G22" i="301"/>
  <c r="J42" i="300"/>
  <c r="I42" i="300"/>
  <c r="J25" i="300"/>
  <c r="J42" i="299"/>
  <c r="I42" i="299"/>
  <c r="J25" i="299"/>
  <c r="J42" i="298"/>
  <c r="I42" i="298"/>
  <c r="J25" i="298"/>
  <c r="J42" i="297"/>
  <c r="I42" i="297"/>
  <c r="J25" i="297"/>
  <c r="L27" i="296"/>
  <c r="H23" i="362" s="1"/>
  <c r="K27" i="296"/>
  <c r="H22" i="362" s="1"/>
  <c r="J27" i="296"/>
  <c r="J9" i="336" s="1"/>
  <c r="J27" i="336" s="1"/>
  <c r="J9" i="337" s="1"/>
  <c r="J27" i="337" s="1"/>
  <c r="J9" i="338" s="1"/>
  <c r="J27" i="338" s="1"/>
  <c r="J9" i="339" s="1"/>
  <c r="J27" i="339" s="1"/>
  <c r="I27" i="296"/>
  <c r="I9" i="336" s="1"/>
  <c r="I27" i="336" s="1"/>
  <c r="I9" i="337" s="1"/>
  <c r="I27" i="337" s="1"/>
  <c r="I9" i="338" s="1"/>
  <c r="I27" i="338" s="1"/>
  <c r="I9" i="339" s="1"/>
  <c r="I27" i="339" s="1"/>
  <c r="H27" i="296"/>
  <c r="H9" i="336" s="1"/>
  <c r="H27" i="336" s="1"/>
  <c r="H9" i="337" s="1"/>
  <c r="H27" i="337" s="1"/>
  <c r="H9" i="338" s="1"/>
  <c r="H27" i="338" s="1"/>
  <c r="H9" i="339" s="1"/>
  <c r="H27" i="339" s="1"/>
  <c r="G27" i="296"/>
  <c r="G9" i="336" s="1"/>
  <c r="G27" i="336" s="1"/>
  <c r="G9" i="337" s="1"/>
  <c r="G27" i="337" s="1"/>
  <c r="G9" i="338" s="1"/>
  <c r="G27" i="338" s="1"/>
  <c r="G9" i="339" s="1"/>
  <c r="G27" i="339" s="1"/>
  <c r="F27" i="296"/>
  <c r="F9" i="336" s="1"/>
  <c r="F27" i="336" s="1"/>
  <c r="F9" i="337" s="1"/>
  <c r="F27" i="337" s="1"/>
  <c r="F9" i="338" s="1"/>
  <c r="F27" i="338" s="1"/>
  <c r="F9" i="339" s="1"/>
  <c r="F27" i="339" s="1"/>
  <c r="E27" i="296"/>
  <c r="E9" i="336" s="1"/>
  <c r="E27" i="336" s="1"/>
  <c r="E9" i="337" s="1"/>
  <c r="E27" i="337" s="1"/>
  <c r="E9" i="338" s="1"/>
  <c r="E27" i="338" s="1"/>
  <c r="E9" i="339" s="1"/>
  <c r="E27" i="339" s="1"/>
  <c r="L27" i="295"/>
  <c r="K27" i="295"/>
  <c r="J27" i="295"/>
  <c r="J9" i="331" s="1"/>
  <c r="J27" i="331" s="1"/>
  <c r="J9" i="332" s="1"/>
  <c r="J27" i="332" s="1"/>
  <c r="J9" i="333" s="1"/>
  <c r="J27" i="333" s="1"/>
  <c r="J9" i="335" s="1"/>
  <c r="J27" i="335" s="1"/>
  <c r="I27" i="295"/>
  <c r="I9" i="331" s="1"/>
  <c r="I27" i="331" s="1"/>
  <c r="I9" i="332" s="1"/>
  <c r="I27" i="332" s="1"/>
  <c r="I9" i="333" s="1"/>
  <c r="I27" i="333" s="1"/>
  <c r="I9" i="335" s="1"/>
  <c r="I27" i="335" s="1"/>
  <c r="H27" i="295"/>
  <c r="H9" i="331" s="1"/>
  <c r="H27" i="331" s="1"/>
  <c r="H9" i="332" s="1"/>
  <c r="H27" i="332" s="1"/>
  <c r="H9" i="333" s="1"/>
  <c r="H27" i="333" s="1"/>
  <c r="H9" i="335" s="1"/>
  <c r="H27" i="335" s="1"/>
  <c r="G27" i="295"/>
  <c r="G9" i="331" s="1"/>
  <c r="G27" i="331" s="1"/>
  <c r="G9" i="332" s="1"/>
  <c r="G27" i="332" s="1"/>
  <c r="G9" i="333" s="1"/>
  <c r="G27" i="333" s="1"/>
  <c r="G9" i="335" s="1"/>
  <c r="G27" i="335" s="1"/>
  <c r="F27" i="295"/>
  <c r="F9" i="331" s="1"/>
  <c r="F27" i="331" s="1"/>
  <c r="F9" i="332" s="1"/>
  <c r="F27" i="332" s="1"/>
  <c r="F9" i="333" s="1"/>
  <c r="F27" i="333" s="1"/>
  <c r="F9" i="335" s="1"/>
  <c r="F27" i="335" s="1"/>
  <c r="E27" i="295"/>
  <c r="E9" i="331" s="1"/>
  <c r="E27" i="331" s="1"/>
  <c r="E9" i="332" s="1"/>
  <c r="L27" i="294"/>
  <c r="H23" i="358" s="1"/>
  <c r="K27" i="294"/>
  <c r="H22" i="358" s="1"/>
  <c r="J27" i="294"/>
  <c r="J9" i="327" s="1"/>
  <c r="J27" i="327" s="1"/>
  <c r="J9" i="328" s="1"/>
  <c r="J27" i="328" s="1"/>
  <c r="J9" i="329" s="1"/>
  <c r="J27" i="329" s="1"/>
  <c r="J9" i="330" s="1"/>
  <c r="J27" i="330" s="1"/>
  <c r="I27" i="294"/>
  <c r="I9" i="327" s="1"/>
  <c r="I27" i="327" s="1"/>
  <c r="I9" i="328" s="1"/>
  <c r="I27" i="328" s="1"/>
  <c r="I9" i="329" s="1"/>
  <c r="I27" i="329" s="1"/>
  <c r="I9" i="330" s="1"/>
  <c r="I27" i="330" s="1"/>
  <c r="H27" i="294"/>
  <c r="H9" i="327" s="1"/>
  <c r="H27" i="327" s="1"/>
  <c r="H9" i="328" s="1"/>
  <c r="H27" i="328" s="1"/>
  <c r="H9" i="329" s="1"/>
  <c r="H27" i="329" s="1"/>
  <c r="H9" i="330" s="1"/>
  <c r="H27" i="330" s="1"/>
  <c r="G27" i="294"/>
  <c r="G9" i="327" s="1"/>
  <c r="G27" i="327" s="1"/>
  <c r="G9" i="328" s="1"/>
  <c r="G27" i="328" s="1"/>
  <c r="G9" i="329" s="1"/>
  <c r="G27" i="329" s="1"/>
  <c r="G9" i="330" s="1"/>
  <c r="G27" i="330" s="1"/>
  <c r="F27" i="294"/>
  <c r="F9" i="327" s="1"/>
  <c r="F27" i="327" s="1"/>
  <c r="F9" i="328" s="1"/>
  <c r="F27" i="328" s="1"/>
  <c r="F9" i="329" s="1"/>
  <c r="F27" i="329" s="1"/>
  <c r="F9" i="330" s="1"/>
  <c r="F27" i="330" s="1"/>
  <c r="E27" i="294"/>
  <c r="E9" i="327" s="1"/>
  <c r="E27" i="327" s="1"/>
  <c r="E9" i="328" s="1"/>
  <c r="E27" i="328" s="1"/>
  <c r="E9" i="329" s="1"/>
  <c r="E27" i="329" s="1"/>
  <c r="E9" i="330" s="1"/>
  <c r="E27" i="330" s="1"/>
  <c r="L27" i="293"/>
  <c r="K27" i="293"/>
  <c r="J27" i="293"/>
  <c r="J9" i="323" s="1"/>
  <c r="J27" i="323" s="1"/>
  <c r="J9" i="324" s="1"/>
  <c r="J27" i="324" s="1"/>
  <c r="I27" i="293"/>
  <c r="I9" i="323" s="1"/>
  <c r="I27" i="323" s="1"/>
  <c r="I9" i="324" s="1"/>
  <c r="I27" i="324" s="1"/>
  <c r="H27" i="293"/>
  <c r="H9" i="323" s="1"/>
  <c r="H27" i="323" s="1"/>
  <c r="H9" i="324" s="1"/>
  <c r="H27" i="324" s="1"/>
  <c r="G27" i="293"/>
  <c r="G9" i="323" s="1"/>
  <c r="G27" i="323" s="1"/>
  <c r="G9" i="324" s="1"/>
  <c r="G27" i="324" s="1"/>
  <c r="F27" i="293"/>
  <c r="F9" i="323" s="1"/>
  <c r="F27" i="323" s="1"/>
  <c r="F9" i="324" s="1"/>
  <c r="F27" i="324" s="1"/>
  <c r="E27" i="293"/>
  <c r="E9" i="323" s="1"/>
  <c r="E27" i="323" s="1"/>
  <c r="E9" i="324" s="1"/>
  <c r="E27" i="324" s="1"/>
  <c r="I23" i="292"/>
  <c r="H23" i="292"/>
  <c r="G23" i="292"/>
  <c r="H19" i="356" s="1"/>
  <c r="I23" i="291"/>
  <c r="H23" i="291"/>
  <c r="G23" i="291"/>
  <c r="H19" i="358" s="1"/>
  <c r="I23" i="290"/>
  <c r="H23" i="290"/>
  <c r="G23" i="290"/>
  <c r="H19" i="360" s="1"/>
  <c r="I23" i="289"/>
  <c r="H23" i="289"/>
  <c r="G23" i="289"/>
  <c r="H19" i="362" s="1"/>
  <c r="K23" i="287"/>
  <c r="J23" i="287"/>
  <c r="G23" i="287"/>
  <c r="H38" i="222" s="1"/>
  <c r="E23" i="287"/>
  <c r="K23" i="286"/>
  <c r="J23" i="286"/>
  <c r="G23" i="286"/>
  <c r="H38" i="234" s="1"/>
  <c r="E23" i="286"/>
  <c r="K23" i="285"/>
  <c r="J23" i="285"/>
  <c r="G23" i="285"/>
  <c r="H38" i="246" s="1"/>
  <c r="E23" i="285"/>
  <c r="K23" i="284"/>
  <c r="J23" i="284"/>
  <c r="G23" i="284"/>
  <c r="H38" i="258" s="1"/>
  <c r="E23" i="284"/>
  <c r="J43" i="283"/>
  <c r="J22" i="283"/>
  <c r="I22" i="283"/>
  <c r="H22" i="283"/>
  <c r="G22" i="283"/>
  <c r="J42" i="282"/>
  <c r="I42" i="282"/>
  <c r="J25" i="282"/>
  <c r="L27" i="281"/>
  <c r="H23" i="364" s="1"/>
  <c r="K27" i="281"/>
  <c r="H22" i="364" s="1"/>
  <c r="J27" i="281"/>
  <c r="J9" i="340" s="1"/>
  <c r="J27" i="340" s="1"/>
  <c r="J9" i="341" s="1"/>
  <c r="J27" i="341" s="1"/>
  <c r="J9" i="342" s="1"/>
  <c r="J27" i="342" s="1"/>
  <c r="J9" i="343" s="1"/>
  <c r="J27" i="343" s="1"/>
  <c r="I27" i="281"/>
  <c r="I9" i="340" s="1"/>
  <c r="I27" i="340" s="1"/>
  <c r="I9" i="341" s="1"/>
  <c r="I27" i="341" s="1"/>
  <c r="I9" i="342" s="1"/>
  <c r="I27" i="342" s="1"/>
  <c r="I9" i="343" s="1"/>
  <c r="I27" i="343" s="1"/>
  <c r="H27" i="281"/>
  <c r="H9" i="340" s="1"/>
  <c r="H27" i="340" s="1"/>
  <c r="H9" i="341" s="1"/>
  <c r="H27" i="341" s="1"/>
  <c r="H9" i="342" s="1"/>
  <c r="H27" i="342" s="1"/>
  <c r="H9" i="343" s="1"/>
  <c r="H27" i="343" s="1"/>
  <c r="G27" i="281"/>
  <c r="G9" i="340" s="1"/>
  <c r="G27" i="340" s="1"/>
  <c r="G9" i="341" s="1"/>
  <c r="G27" i="341" s="1"/>
  <c r="G9" i="342" s="1"/>
  <c r="G27" i="342" s="1"/>
  <c r="G9" i="343" s="1"/>
  <c r="G27" i="343" s="1"/>
  <c r="F27" i="281"/>
  <c r="F9" i="340" s="1"/>
  <c r="F27" i="340" s="1"/>
  <c r="F9" i="341" s="1"/>
  <c r="F27" i="341" s="1"/>
  <c r="F9" i="342" s="1"/>
  <c r="F27" i="342" s="1"/>
  <c r="F9" i="343" s="1"/>
  <c r="F27" i="343" s="1"/>
  <c r="E27" i="281"/>
  <c r="E9" i="340" s="1"/>
  <c r="E27" i="340" s="1"/>
  <c r="E9" i="341" s="1"/>
  <c r="E27" i="341" s="1"/>
  <c r="E9" i="342" s="1"/>
  <c r="E27" i="342" s="1"/>
  <c r="E9" i="343" s="1"/>
  <c r="E27" i="343" s="1"/>
  <c r="I23" i="280"/>
  <c r="H23" i="280"/>
  <c r="G23" i="280"/>
  <c r="H19" i="364" s="1"/>
  <c r="K23" i="279"/>
  <c r="J23" i="279"/>
  <c r="G23" i="279"/>
  <c r="H38" i="365" s="1"/>
  <c r="E23" i="279"/>
  <c r="I25" i="282" l="1"/>
  <c r="H41" i="364"/>
  <c r="I43" i="283"/>
  <c r="H42" i="364"/>
  <c r="I25" i="297"/>
  <c r="H41" i="362"/>
  <c r="I43" i="303"/>
  <c r="H42" i="360"/>
  <c r="K9" i="331"/>
  <c r="K27" i="331" s="1"/>
  <c r="K9" i="332" s="1"/>
  <c r="K27" i="332" s="1"/>
  <c r="K9" i="333" s="1"/>
  <c r="K27" i="333" s="1"/>
  <c r="H22" i="360"/>
  <c r="I25" i="298"/>
  <c r="H41" i="360"/>
  <c r="L9" i="331"/>
  <c r="L27" i="331" s="1"/>
  <c r="L9" i="332" s="1"/>
  <c r="L27" i="332" s="1"/>
  <c r="L9" i="333" s="1"/>
  <c r="L27" i="333" s="1"/>
  <c r="L9" i="335" s="1"/>
  <c r="L27" i="335" s="1"/>
  <c r="H23" i="360"/>
  <c r="I43" i="302"/>
  <c r="H42" i="358"/>
  <c r="I25" i="299"/>
  <c r="H41" i="358"/>
  <c r="I43" i="301"/>
  <c r="H42" i="356"/>
  <c r="I25" i="300"/>
  <c r="H41" i="356"/>
  <c r="K9" i="340"/>
  <c r="K27" i="340" s="1"/>
  <c r="L9" i="340"/>
  <c r="L27" i="340" s="1"/>
  <c r="L9" i="341" s="1"/>
  <c r="L27" i="341" s="1"/>
  <c r="L9" i="342" s="1"/>
  <c r="L27" i="342" s="1"/>
  <c r="L9" i="343" s="1"/>
  <c r="L27" i="343" s="1"/>
  <c r="K9" i="336"/>
  <c r="K27" i="336" s="1"/>
  <c r="K9" i="337" s="1"/>
  <c r="K27" i="337" s="1"/>
  <c r="K9" i="338" s="1"/>
  <c r="K27" i="338" s="1"/>
  <c r="K9" i="339" s="1"/>
  <c r="K27" i="339" s="1"/>
  <c r="L9" i="336"/>
  <c r="L27" i="336" s="1"/>
  <c r="L9" i="337" s="1"/>
  <c r="L27" i="337" s="1"/>
  <c r="L9" i="338" s="1"/>
  <c r="L27" i="338" s="1"/>
  <c r="L9" i="339" s="1"/>
  <c r="L27" i="339" s="1"/>
  <c r="K9" i="327"/>
  <c r="K27" i="327" s="1"/>
  <c r="K9" i="328" s="1"/>
  <c r="K27" i="328" s="1"/>
  <c r="L9" i="327"/>
  <c r="L27" i="327" s="1"/>
  <c r="L9" i="328" s="1"/>
  <c r="L27" i="328" s="1"/>
  <c r="L9" i="329" s="1"/>
  <c r="L27" i="329" s="1"/>
  <c r="L9" i="330" s="1"/>
  <c r="L27" i="330" s="1"/>
  <c r="E9" i="325"/>
  <c r="E27" i="325" s="1"/>
  <c r="E9" i="326"/>
  <c r="E27" i="326" s="1"/>
  <c r="F9" i="325"/>
  <c r="F27" i="325" s="1"/>
  <c r="F9" i="326"/>
  <c r="F27" i="326" s="1"/>
  <c r="J9" i="325"/>
  <c r="J27" i="325" s="1"/>
  <c r="J9" i="326"/>
  <c r="J27" i="326" s="1"/>
  <c r="I9" i="325"/>
  <c r="I27" i="325" s="1"/>
  <c r="I9" i="326"/>
  <c r="I27" i="326" s="1"/>
  <c r="G9" i="325"/>
  <c r="G27" i="325" s="1"/>
  <c r="G9" i="326"/>
  <c r="G27" i="326" s="1"/>
  <c r="H9" i="325"/>
  <c r="H27" i="325" s="1"/>
  <c r="H9" i="326"/>
  <c r="H27" i="326" s="1"/>
  <c r="K9" i="323"/>
  <c r="K27" i="323" s="1"/>
  <c r="K9" i="324" s="1"/>
  <c r="K27" i="324" s="1"/>
  <c r="L9" i="323"/>
  <c r="L27" i="323" s="1"/>
  <c r="L9" i="324" s="1"/>
  <c r="L27" i="324" s="1"/>
  <c r="I43" i="304"/>
  <c r="L42" i="296"/>
  <c r="L42" i="294"/>
  <c r="L42" i="293"/>
  <c r="L42" i="295"/>
  <c r="L42" i="281"/>
  <c r="L42" i="332" l="1"/>
  <c r="L42" i="331"/>
  <c r="L42" i="340"/>
  <c r="K9" i="341"/>
  <c r="K27" i="341" s="1"/>
  <c r="L42" i="339"/>
  <c r="L42" i="338"/>
  <c r="L42" i="337"/>
  <c r="L42" i="336"/>
  <c r="L42" i="333"/>
  <c r="K9" i="335"/>
  <c r="K27" i="335" s="1"/>
  <c r="L42" i="328"/>
  <c r="K9" i="329"/>
  <c r="K27" i="329" s="1"/>
  <c r="L42" i="327"/>
  <c r="L9" i="325"/>
  <c r="L27" i="325" s="1"/>
  <c r="L9" i="326"/>
  <c r="L27" i="326" s="1"/>
  <c r="H23" i="356" s="1"/>
  <c r="K9" i="325"/>
  <c r="K27" i="325" s="1"/>
  <c r="K9" i="326"/>
  <c r="K27" i="326" s="1"/>
  <c r="H22" i="356" s="1"/>
  <c r="L42" i="324"/>
  <c r="L42" i="323"/>
  <c r="L42" i="341" l="1"/>
  <c r="K9" i="342"/>
  <c r="K27" i="342" s="1"/>
  <c r="L42" i="335"/>
  <c r="L42" i="329"/>
  <c r="K9" i="330"/>
  <c r="K27" i="330" s="1"/>
  <c r="L42" i="325"/>
  <c r="L42" i="326"/>
  <c r="L42" i="342" l="1"/>
  <c r="K9" i="343"/>
  <c r="K27" i="343" s="1"/>
  <c r="L42" i="343" s="1"/>
  <c r="L42" i="330"/>
  <c r="M23" i="278"/>
  <c r="M25" i="278" s="1"/>
  <c r="M27" i="278" s="1"/>
  <c r="H20" i="364"/>
  <c r="H41" i="277"/>
  <c r="G41" i="277"/>
  <c r="B31" i="277"/>
  <c r="I28" i="277"/>
  <c r="I30" i="277" s="1"/>
  <c r="K32" i="277" s="1"/>
  <c r="H23" i="277"/>
  <c r="G22" i="277"/>
  <c r="G23" i="277" s="1"/>
  <c r="H12" i="277"/>
  <c r="G11" i="277"/>
  <c r="H41" i="276"/>
  <c r="G41" i="276"/>
  <c r="B31" i="276"/>
  <c r="I28" i="276"/>
  <c r="I30" i="276" s="1"/>
  <c r="K32" i="276" s="1"/>
  <c r="H23" i="276"/>
  <c r="G22" i="276"/>
  <c r="H17" i="364" s="1"/>
  <c r="H12" i="276"/>
  <c r="G11" i="276"/>
  <c r="N23" i="275"/>
  <c r="N22" i="275"/>
  <c r="N21" i="275"/>
  <c r="L20" i="275"/>
  <c r="J20" i="275"/>
  <c r="H20" i="275"/>
  <c r="N19" i="275"/>
  <c r="N18" i="275"/>
  <c r="N17" i="275"/>
  <c r="N16" i="275"/>
  <c r="N15" i="275"/>
  <c r="N13" i="275"/>
  <c r="L51" i="274"/>
  <c r="L45" i="274"/>
  <c r="L21" i="274"/>
  <c r="L24" i="274" s="1"/>
  <c r="G20" i="268" s="1"/>
  <c r="L44" i="273"/>
  <c r="V13" i="273"/>
  <c r="J39" i="271"/>
  <c r="J32" i="271"/>
  <c r="J34" i="271" s="1"/>
  <c r="J21" i="271"/>
  <c r="H20" i="271"/>
  <c r="H22" i="271" s="1"/>
  <c r="J15" i="271"/>
  <c r="J14" i="271"/>
  <c r="J13" i="271"/>
  <c r="J12" i="271"/>
  <c r="J11" i="271"/>
  <c r="J10" i="271"/>
  <c r="J9" i="271"/>
  <c r="I7" i="271"/>
  <c r="K26" i="270"/>
  <c r="J26" i="270"/>
  <c r="I26" i="270"/>
  <c r="H26" i="270"/>
  <c r="G26" i="270"/>
  <c r="F26" i="270"/>
  <c r="E26" i="270"/>
  <c r="L25" i="270"/>
  <c r="L24" i="270"/>
  <c r="L23" i="270"/>
  <c r="L22" i="270"/>
  <c r="L20" i="270"/>
  <c r="H40" i="365" s="1"/>
  <c r="L19" i="270"/>
  <c r="L18" i="270"/>
  <c r="L17" i="270"/>
  <c r="L16" i="270"/>
  <c r="L15" i="270"/>
  <c r="L13" i="270"/>
  <c r="L12" i="270"/>
  <c r="L11" i="270"/>
  <c r="L10" i="270"/>
  <c r="L9" i="270"/>
  <c r="M23" i="267"/>
  <c r="M25" i="267" s="1"/>
  <c r="M27" i="267" s="1"/>
  <c r="H20" i="362"/>
  <c r="H41" i="266"/>
  <c r="G41" i="266"/>
  <c r="B31" i="266"/>
  <c r="I28" i="266"/>
  <c r="I30" i="266" s="1"/>
  <c r="K32" i="266" s="1"/>
  <c r="H23" i="266"/>
  <c r="G22" i="266"/>
  <c r="G23" i="266" s="1"/>
  <c r="H12" i="266"/>
  <c r="G11" i="266"/>
  <c r="H41" i="265"/>
  <c r="G41" i="265"/>
  <c r="B31" i="265"/>
  <c r="I30" i="265"/>
  <c r="K32" i="265" s="1"/>
  <c r="H23" i="265"/>
  <c r="G22" i="265"/>
  <c r="H17" i="362" s="1"/>
  <c r="H12" i="265"/>
  <c r="G11" i="265"/>
  <c r="N23" i="264"/>
  <c r="N22" i="264"/>
  <c r="N21" i="264"/>
  <c r="L20" i="264"/>
  <c r="J20" i="264"/>
  <c r="H20" i="264"/>
  <c r="N19" i="264"/>
  <c r="N18" i="264"/>
  <c r="N17" i="264"/>
  <c r="N16" i="264"/>
  <c r="N15" i="264"/>
  <c r="N13" i="264"/>
  <c r="L51" i="263"/>
  <c r="L45" i="263"/>
  <c r="L21" i="263"/>
  <c r="L24" i="263" s="1"/>
  <c r="G20" i="256" s="1"/>
  <c r="L44" i="262"/>
  <c r="V13" i="262"/>
  <c r="J39" i="260"/>
  <c r="J32" i="260"/>
  <c r="J34" i="260" s="1"/>
  <c r="J21" i="260"/>
  <c r="H20" i="260"/>
  <c r="H22" i="260" s="1"/>
  <c r="J15" i="260"/>
  <c r="J14" i="260"/>
  <c r="J13" i="260"/>
  <c r="J12" i="260"/>
  <c r="J11" i="260"/>
  <c r="J10" i="260"/>
  <c r="J9" i="260"/>
  <c r="I7" i="260"/>
  <c r="K26" i="259"/>
  <c r="J26" i="259"/>
  <c r="I26" i="259"/>
  <c r="H26" i="259"/>
  <c r="G26" i="259"/>
  <c r="F26" i="259"/>
  <c r="E26" i="259"/>
  <c r="L25" i="259"/>
  <c r="L24" i="259"/>
  <c r="L23" i="259"/>
  <c r="L22" i="259"/>
  <c r="L20" i="259"/>
  <c r="H40" i="258" s="1"/>
  <c r="L19" i="259"/>
  <c r="L18" i="259"/>
  <c r="L17" i="259"/>
  <c r="L16" i="259"/>
  <c r="L15" i="259"/>
  <c r="L13" i="259"/>
  <c r="L12" i="259"/>
  <c r="L11" i="259"/>
  <c r="L10" i="259"/>
  <c r="L9" i="259"/>
  <c r="G43" i="258"/>
  <c r="M23" i="255"/>
  <c r="M25" i="255" s="1"/>
  <c r="M27" i="255" s="1"/>
  <c r="H20" i="360"/>
  <c r="H41" i="254"/>
  <c r="G41" i="254"/>
  <c r="B31" i="254"/>
  <c r="I28" i="254"/>
  <c r="I30" i="254" s="1"/>
  <c r="K32" i="254" s="1"/>
  <c r="H23" i="254"/>
  <c r="G22" i="254"/>
  <c r="G23" i="254" s="1"/>
  <c r="H12" i="254"/>
  <c r="G11" i="254"/>
  <c r="H41" i="253"/>
  <c r="G41" i="253"/>
  <c r="B31" i="253"/>
  <c r="I28" i="253"/>
  <c r="I30" i="253" s="1"/>
  <c r="K32" i="253" s="1"/>
  <c r="H23" i="253"/>
  <c r="G22" i="253"/>
  <c r="H12" i="253"/>
  <c r="G11" i="253"/>
  <c r="N23" i="252"/>
  <c r="N22" i="252"/>
  <c r="N21" i="252"/>
  <c r="L20" i="252"/>
  <c r="J20" i="252"/>
  <c r="H20" i="252"/>
  <c r="N19" i="252"/>
  <c r="N18" i="252"/>
  <c r="N17" i="252"/>
  <c r="N16" i="252"/>
  <c r="N15" i="252"/>
  <c r="N13" i="252"/>
  <c r="L51" i="251"/>
  <c r="L45" i="251"/>
  <c r="L21" i="251"/>
  <c r="L24" i="251" s="1"/>
  <c r="G20" i="244" s="1"/>
  <c r="L44" i="250"/>
  <c r="V13" i="250"/>
  <c r="J39" i="248"/>
  <c r="J32" i="248"/>
  <c r="J34" i="248" s="1"/>
  <c r="J21" i="248"/>
  <c r="H20" i="248"/>
  <c r="H22" i="248" s="1"/>
  <c r="J15" i="248"/>
  <c r="J14" i="248"/>
  <c r="J13" i="248"/>
  <c r="J12" i="248"/>
  <c r="J11" i="248"/>
  <c r="J10" i="248"/>
  <c r="J9" i="248"/>
  <c r="I7" i="248"/>
  <c r="K26" i="247"/>
  <c r="J26" i="247"/>
  <c r="I26" i="247"/>
  <c r="H26" i="247"/>
  <c r="G26" i="247"/>
  <c r="F26" i="247"/>
  <c r="E26" i="247"/>
  <c r="L25" i="247"/>
  <c r="L24" i="247"/>
  <c r="L23" i="247"/>
  <c r="L22" i="247"/>
  <c r="L20" i="247"/>
  <c r="H40" i="246" s="1"/>
  <c r="L19" i="247"/>
  <c r="L18" i="247"/>
  <c r="L17" i="247"/>
  <c r="L16" i="247"/>
  <c r="L15" i="247"/>
  <c r="L13" i="247"/>
  <c r="L12" i="247"/>
  <c r="L11" i="247"/>
  <c r="L10" i="247"/>
  <c r="L9" i="247"/>
  <c r="G43" i="246"/>
  <c r="M23" i="243"/>
  <c r="M25" i="243" s="1"/>
  <c r="M27" i="243" s="1"/>
  <c r="H20" i="358"/>
  <c r="H41" i="242"/>
  <c r="G41" i="242"/>
  <c r="B31" i="242"/>
  <c r="I28" i="242"/>
  <c r="I30" i="242" s="1"/>
  <c r="K32" i="242" s="1"/>
  <c r="H23" i="242"/>
  <c r="G22" i="242"/>
  <c r="G23" i="242" s="1"/>
  <c r="H12" i="242"/>
  <c r="G11" i="242"/>
  <c r="H41" i="241"/>
  <c r="G41" i="241"/>
  <c r="B31" i="241"/>
  <c r="I28" i="241"/>
  <c r="I30" i="241" s="1"/>
  <c r="K32" i="241" s="1"/>
  <c r="H23" i="241"/>
  <c r="G22" i="241"/>
  <c r="H17" i="358" s="1"/>
  <c r="H12" i="241"/>
  <c r="G11" i="241"/>
  <c r="N23" i="240"/>
  <c r="N22" i="240"/>
  <c r="N21" i="240"/>
  <c r="L20" i="240"/>
  <c r="J20" i="240"/>
  <c r="H20" i="240"/>
  <c r="N19" i="240"/>
  <c r="N18" i="240"/>
  <c r="N17" i="240"/>
  <c r="N16" i="240"/>
  <c r="N15" i="240"/>
  <c r="N13" i="240"/>
  <c r="L51" i="239"/>
  <c r="L45" i="239"/>
  <c r="L21" i="239"/>
  <c r="L24" i="239" s="1"/>
  <c r="G20" i="232" s="1"/>
  <c r="L44" i="238"/>
  <c r="V13" i="238"/>
  <c r="J39" i="236"/>
  <c r="J32" i="236"/>
  <c r="J34" i="236" s="1"/>
  <c r="J21" i="236"/>
  <c r="H20" i="236"/>
  <c r="H22" i="236" s="1"/>
  <c r="J15" i="236"/>
  <c r="J14" i="236"/>
  <c r="J13" i="236"/>
  <c r="J12" i="236"/>
  <c r="J11" i="236"/>
  <c r="J10" i="236"/>
  <c r="J9" i="236"/>
  <c r="I7" i="236"/>
  <c r="K26" i="235"/>
  <c r="J26" i="235"/>
  <c r="I26" i="235"/>
  <c r="H26" i="235"/>
  <c r="G26" i="235"/>
  <c r="F26" i="235"/>
  <c r="E26" i="235"/>
  <c r="L25" i="235"/>
  <c r="L24" i="235"/>
  <c r="L23" i="235"/>
  <c r="L22" i="235"/>
  <c r="L20" i="235"/>
  <c r="H40" i="234" s="1"/>
  <c r="L19" i="235"/>
  <c r="L18" i="235"/>
  <c r="L17" i="235"/>
  <c r="L16" i="235"/>
  <c r="L15" i="235"/>
  <c r="L13" i="235"/>
  <c r="L12" i="235"/>
  <c r="L11" i="235"/>
  <c r="L10" i="235"/>
  <c r="L9" i="235"/>
  <c r="G43" i="234"/>
  <c r="M23" i="231"/>
  <c r="M25" i="231" s="1"/>
  <c r="M27" i="231" s="1"/>
  <c r="H20" i="356"/>
  <c r="H41" i="230"/>
  <c r="G41" i="230"/>
  <c r="B31" i="230"/>
  <c r="I28" i="230"/>
  <c r="I30" i="230" s="1"/>
  <c r="K32" i="230" s="1"/>
  <c r="H23" i="230"/>
  <c r="G22" i="230"/>
  <c r="G23" i="230" s="1"/>
  <c r="H12" i="230"/>
  <c r="G11" i="230"/>
  <c r="H41" i="229"/>
  <c r="G41" i="229"/>
  <c r="B31" i="229"/>
  <c r="I28" i="229"/>
  <c r="I30" i="229" s="1"/>
  <c r="K32" i="229" s="1"/>
  <c r="H23" i="229"/>
  <c r="G22" i="229"/>
  <c r="H17" i="356" s="1"/>
  <c r="H12" i="229"/>
  <c r="G11" i="229"/>
  <c r="N23" i="228"/>
  <c r="N22" i="228"/>
  <c r="N21" i="228"/>
  <c r="L20" i="228"/>
  <c r="J20" i="228"/>
  <c r="H20" i="228"/>
  <c r="N19" i="228"/>
  <c r="N18" i="228"/>
  <c r="N17" i="228"/>
  <c r="N16" i="228"/>
  <c r="N15" i="228"/>
  <c r="N13" i="228"/>
  <c r="L51" i="227"/>
  <c r="L45" i="227"/>
  <c r="L21" i="227"/>
  <c r="L24" i="227" s="1"/>
  <c r="G20" i="220" s="1"/>
  <c r="L44" i="226"/>
  <c r="V13" i="226"/>
  <c r="J39" i="224"/>
  <c r="J32" i="224"/>
  <c r="J34" i="224" s="1"/>
  <c r="J21" i="224"/>
  <c r="H20" i="224"/>
  <c r="H22" i="224" s="1"/>
  <c r="J15" i="224"/>
  <c r="J14" i="224"/>
  <c r="J13" i="224"/>
  <c r="J12" i="224"/>
  <c r="J11" i="224"/>
  <c r="J10" i="224"/>
  <c r="J9" i="224"/>
  <c r="I7" i="224"/>
  <c r="K26" i="223"/>
  <c r="J26" i="223"/>
  <c r="I26" i="223"/>
  <c r="H26" i="223"/>
  <c r="G26" i="223"/>
  <c r="F26" i="223"/>
  <c r="E26" i="223"/>
  <c r="L25" i="223"/>
  <c r="L24" i="223"/>
  <c r="L23" i="223"/>
  <c r="L22" i="223"/>
  <c r="L20" i="223"/>
  <c r="H40" i="222" s="1"/>
  <c r="L19" i="223"/>
  <c r="L18" i="223"/>
  <c r="L17" i="223"/>
  <c r="L16" i="223"/>
  <c r="L15" i="223"/>
  <c r="L13" i="223"/>
  <c r="L12" i="223"/>
  <c r="L11" i="223"/>
  <c r="L10" i="223"/>
  <c r="L9" i="223"/>
  <c r="G43" i="222"/>
  <c r="H18" i="362" l="1"/>
  <c r="H18" i="364"/>
  <c r="H18" i="356"/>
  <c r="H18" i="358"/>
  <c r="H18" i="360"/>
  <c r="G12" i="229"/>
  <c r="H39" i="222"/>
  <c r="G12" i="253"/>
  <c r="H39" i="246"/>
  <c r="G12" i="241"/>
  <c r="H39" i="234"/>
  <c r="G12" i="265"/>
  <c r="H39" i="258"/>
  <c r="G12" i="276"/>
  <c r="H39" i="365"/>
  <c r="H43" i="365" s="1"/>
  <c r="G12" i="277"/>
  <c r="G12" i="266"/>
  <c r="G23" i="253"/>
  <c r="H17" i="360"/>
  <c r="G12" i="242"/>
  <c r="G12" i="254"/>
  <c r="G12" i="230"/>
  <c r="J7" i="224"/>
  <c r="J20" i="224" s="1"/>
  <c r="K23" i="226"/>
  <c r="J7" i="248"/>
  <c r="J20" i="248" s="1"/>
  <c r="K23" i="250"/>
  <c r="J7" i="236"/>
  <c r="J20" i="236" s="1"/>
  <c r="K23" i="238"/>
  <c r="I20" i="260"/>
  <c r="K23" i="262"/>
  <c r="J7" i="271"/>
  <c r="J20" i="271" s="1"/>
  <c r="K23" i="273"/>
  <c r="G23" i="229"/>
  <c r="G23" i="265"/>
  <c r="G23" i="276"/>
  <c r="G23" i="241"/>
  <c r="L54" i="274"/>
  <c r="G21" i="268" s="1"/>
  <c r="N20" i="275"/>
  <c r="L38" i="273"/>
  <c r="J29" i="272"/>
  <c r="K32" i="272" s="1"/>
  <c r="J40" i="271"/>
  <c r="L6" i="273" s="1"/>
  <c r="I20" i="271"/>
  <c r="L26" i="270"/>
  <c r="H39" i="268"/>
  <c r="L39" i="273" s="1"/>
  <c r="L54" i="263"/>
  <c r="G21" i="256" s="1"/>
  <c r="N20" i="264"/>
  <c r="L38" i="262"/>
  <c r="J29" i="261"/>
  <c r="K32" i="261" s="1"/>
  <c r="H39" i="256"/>
  <c r="L39" i="262" s="1"/>
  <c r="J40" i="260"/>
  <c r="L6" i="262" s="1"/>
  <c r="J7" i="260"/>
  <c r="J20" i="260" s="1"/>
  <c r="L26" i="259"/>
  <c r="L54" i="227"/>
  <c r="G21" i="220" s="1"/>
  <c r="N20" i="252"/>
  <c r="J29" i="237"/>
  <c r="K32" i="237" s="1"/>
  <c r="I20" i="224"/>
  <c r="N20" i="228"/>
  <c r="H39" i="232"/>
  <c r="L39" i="238" s="1"/>
  <c r="H39" i="244"/>
  <c r="L39" i="250" s="1"/>
  <c r="I20" i="248"/>
  <c r="J40" i="224"/>
  <c r="L6" i="226" s="1"/>
  <c r="N20" i="240"/>
  <c r="L54" i="251"/>
  <c r="G21" i="244" s="1"/>
  <c r="L26" i="223"/>
  <c r="L38" i="226"/>
  <c r="L40" i="226" s="1"/>
  <c r="L45" i="226" s="1"/>
  <c r="J40" i="236"/>
  <c r="L6" i="238" s="1"/>
  <c r="L54" i="239"/>
  <c r="G21" i="232" s="1"/>
  <c r="L38" i="250"/>
  <c r="L26" i="235"/>
  <c r="L38" i="238"/>
  <c r="J40" i="248"/>
  <c r="L6" i="250" s="1"/>
  <c r="I20" i="236"/>
  <c r="J29" i="225"/>
  <c r="K32" i="225" s="1"/>
  <c r="L26" i="247"/>
  <c r="J29" i="249"/>
  <c r="K32" i="249" s="1"/>
  <c r="D27" i="209"/>
  <c r="J5" i="209"/>
  <c r="D27" i="208"/>
  <c r="J5" i="208"/>
  <c r="H39" i="207"/>
  <c r="G39" i="207"/>
  <c r="K27" i="207"/>
  <c r="B27" i="207"/>
  <c r="H24" i="207"/>
  <c r="G23" i="207"/>
  <c r="G24" i="207" s="1"/>
  <c r="K16" i="207"/>
  <c r="B16" i="207"/>
  <c r="B15" i="207"/>
  <c r="B26" i="207" s="1"/>
  <c r="B14" i="207"/>
  <c r="B25" i="207" s="1"/>
  <c r="H13" i="207"/>
  <c r="G12" i="207"/>
  <c r="B3" i="207"/>
  <c r="H39" i="206"/>
  <c r="G39" i="206"/>
  <c r="K27" i="206"/>
  <c r="B27" i="206"/>
  <c r="H24" i="206"/>
  <c r="G23" i="206"/>
  <c r="G24" i="206" s="1"/>
  <c r="K16" i="206"/>
  <c r="B16" i="206"/>
  <c r="B15" i="206"/>
  <c r="B26" i="206" s="1"/>
  <c r="B14" i="206"/>
  <c r="B25" i="206" s="1"/>
  <c r="H13" i="206"/>
  <c r="G12" i="206"/>
  <c r="G13" i="206" s="1"/>
  <c r="B3" i="206"/>
  <c r="I42" i="203"/>
  <c r="J42" i="203" s="1"/>
  <c r="I41" i="203"/>
  <c r="J41" i="203" s="1"/>
  <c r="I40" i="203"/>
  <c r="J40" i="203" s="1"/>
  <c r="I39" i="203"/>
  <c r="J39" i="203" s="1"/>
  <c r="I38" i="203"/>
  <c r="J38" i="203" s="1"/>
  <c r="I37" i="203"/>
  <c r="J37" i="203" s="1"/>
  <c r="I36" i="203"/>
  <c r="J36" i="203" s="1"/>
  <c r="I35" i="203"/>
  <c r="J35" i="203" s="1"/>
  <c r="I34" i="203"/>
  <c r="J34" i="203" s="1"/>
  <c r="I33" i="203"/>
  <c r="J33" i="203" s="1"/>
  <c r="I32" i="203"/>
  <c r="J32" i="203" s="1"/>
  <c r="I31" i="203"/>
  <c r="J31" i="203" s="1"/>
  <c r="I30" i="203"/>
  <c r="J30" i="203" s="1"/>
  <c r="I29" i="203"/>
  <c r="J29" i="203" s="1"/>
  <c r="I28" i="203"/>
  <c r="J28" i="203" s="1"/>
  <c r="I27" i="203"/>
  <c r="J27" i="203" s="1"/>
  <c r="I26" i="203"/>
  <c r="J26" i="203" s="1"/>
  <c r="I25" i="203"/>
  <c r="J25" i="203" s="1"/>
  <c r="I24" i="203"/>
  <c r="J24" i="203" s="1"/>
  <c r="I23" i="203"/>
  <c r="J23" i="203" s="1"/>
  <c r="I22" i="203"/>
  <c r="J22" i="203" s="1"/>
  <c r="I21" i="203"/>
  <c r="J21" i="203" s="1"/>
  <c r="I20" i="203"/>
  <c r="J20" i="203" s="1"/>
  <c r="I19" i="203"/>
  <c r="J19" i="203" s="1"/>
  <c r="I18" i="203"/>
  <c r="J18" i="203" s="1"/>
  <c r="I17" i="203"/>
  <c r="J17" i="203" s="1"/>
  <c r="I16" i="203"/>
  <c r="J16" i="203" s="1"/>
  <c r="I15" i="203"/>
  <c r="J15" i="203" s="1"/>
  <c r="I14" i="203"/>
  <c r="J14" i="203" s="1"/>
  <c r="I13" i="203"/>
  <c r="J13" i="203" s="1"/>
  <c r="J12" i="203"/>
  <c r="J11" i="203"/>
  <c r="I42" i="202"/>
  <c r="J42" i="202" s="1"/>
  <c r="I41" i="202"/>
  <c r="J41" i="202" s="1"/>
  <c r="I40" i="202"/>
  <c r="J40" i="202" s="1"/>
  <c r="I39" i="202"/>
  <c r="J39" i="202" s="1"/>
  <c r="I38" i="202"/>
  <c r="J38" i="202" s="1"/>
  <c r="I37" i="202"/>
  <c r="J37" i="202" s="1"/>
  <c r="I36" i="202"/>
  <c r="J36" i="202" s="1"/>
  <c r="I35" i="202"/>
  <c r="J35" i="202" s="1"/>
  <c r="I34" i="202"/>
  <c r="J34" i="202" s="1"/>
  <c r="I33" i="202"/>
  <c r="J33" i="202" s="1"/>
  <c r="I32" i="202"/>
  <c r="J32" i="202" s="1"/>
  <c r="I31" i="202"/>
  <c r="J31" i="202" s="1"/>
  <c r="I30" i="202"/>
  <c r="J30" i="202" s="1"/>
  <c r="I29" i="202"/>
  <c r="J29" i="202" s="1"/>
  <c r="I28" i="202"/>
  <c r="J28" i="202" s="1"/>
  <c r="I27" i="202"/>
  <c r="J27" i="202" s="1"/>
  <c r="I26" i="202"/>
  <c r="J26" i="202" s="1"/>
  <c r="I25" i="202"/>
  <c r="J25" i="202" s="1"/>
  <c r="I24" i="202"/>
  <c r="J24" i="202" s="1"/>
  <c r="I23" i="202"/>
  <c r="J23" i="202" s="1"/>
  <c r="I22" i="202"/>
  <c r="J22" i="202" s="1"/>
  <c r="I21" i="202"/>
  <c r="J21" i="202" s="1"/>
  <c r="I20" i="202"/>
  <c r="J20" i="202" s="1"/>
  <c r="I19" i="202"/>
  <c r="J19" i="202" s="1"/>
  <c r="I18" i="202"/>
  <c r="J18" i="202" s="1"/>
  <c r="I17" i="202"/>
  <c r="J17" i="202" s="1"/>
  <c r="I16" i="202"/>
  <c r="J16" i="202" s="1"/>
  <c r="I15" i="202"/>
  <c r="J15" i="202" s="1"/>
  <c r="I14" i="202"/>
  <c r="J14" i="202" s="1"/>
  <c r="I13" i="202"/>
  <c r="J13" i="202" s="1"/>
  <c r="J12" i="202"/>
  <c r="J11" i="202"/>
  <c r="I42" i="201"/>
  <c r="J42" i="201" s="1"/>
  <c r="I41" i="201"/>
  <c r="J41" i="201" s="1"/>
  <c r="I40" i="201"/>
  <c r="J40" i="201" s="1"/>
  <c r="I39" i="201"/>
  <c r="J39" i="201" s="1"/>
  <c r="I38" i="201"/>
  <c r="J38" i="201" s="1"/>
  <c r="I37" i="201"/>
  <c r="J37" i="201" s="1"/>
  <c r="I36" i="201"/>
  <c r="J36" i="201" s="1"/>
  <c r="I35" i="201"/>
  <c r="J35" i="201" s="1"/>
  <c r="I34" i="201"/>
  <c r="J34" i="201" s="1"/>
  <c r="I33" i="201"/>
  <c r="J33" i="201" s="1"/>
  <c r="I32" i="201"/>
  <c r="J32" i="201" s="1"/>
  <c r="I31" i="201"/>
  <c r="J31" i="201" s="1"/>
  <c r="I30" i="201"/>
  <c r="J30" i="201" s="1"/>
  <c r="I29" i="201"/>
  <c r="J29" i="201" s="1"/>
  <c r="I28" i="201"/>
  <c r="J28" i="201" s="1"/>
  <c r="I27" i="201"/>
  <c r="J27" i="201" s="1"/>
  <c r="I26" i="201"/>
  <c r="J26" i="201" s="1"/>
  <c r="I25" i="201"/>
  <c r="J25" i="201" s="1"/>
  <c r="I24" i="201"/>
  <c r="J24" i="201" s="1"/>
  <c r="I23" i="201"/>
  <c r="J23" i="201" s="1"/>
  <c r="I22" i="201"/>
  <c r="J22" i="201" s="1"/>
  <c r="I21" i="201"/>
  <c r="J21" i="201" s="1"/>
  <c r="I20" i="201"/>
  <c r="J20" i="201" s="1"/>
  <c r="I19" i="201"/>
  <c r="J19" i="201" s="1"/>
  <c r="I18" i="201"/>
  <c r="J18" i="201" s="1"/>
  <c r="I17" i="201"/>
  <c r="J17" i="201" s="1"/>
  <c r="I16" i="201"/>
  <c r="J16" i="201" s="1"/>
  <c r="I15" i="201"/>
  <c r="J15" i="201" s="1"/>
  <c r="I14" i="201"/>
  <c r="J14" i="201" s="1"/>
  <c r="I13" i="201"/>
  <c r="J13" i="201" s="1"/>
  <c r="J12" i="201"/>
  <c r="J11" i="201"/>
  <c r="I42" i="200"/>
  <c r="J42" i="200" s="1"/>
  <c r="I41" i="200"/>
  <c r="J41" i="200" s="1"/>
  <c r="I40" i="200"/>
  <c r="J40" i="200" s="1"/>
  <c r="I39" i="200"/>
  <c r="J39" i="200" s="1"/>
  <c r="I38" i="200"/>
  <c r="J38" i="200" s="1"/>
  <c r="I37" i="200"/>
  <c r="J37" i="200" s="1"/>
  <c r="I36" i="200"/>
  <c r="J36" i="200" s="1"/>
  <c r="I35" i="200"/>
  <c r="J35" i="200" s="1"/>
  <c r="I34" i="200"/>
  <c r="J34" i="200" s="1"/>
  <c r="I33" i="200"/>
  <c r="J33" i="200" s="1"/>
  <c r="I32" i="200"/>
  <c r="J32" i="200" s="1"/>
  <c r="I31" i="200"/>
  <c r="J31" i="200" s="1"/>
  <c r="I30" i="200"/>
  <c r="J30" i="200" s="1"/>
  <c r="I29" i="200"/>
  <c r="J29" i="200" s="1"/>
  <c r="I28" i="200"/>
  <c r="J28" i="200" s="1"/>
  <c r="I27" i="200"/>
  <c r="J27" i="200" s="1"/>
  <c r="I26" i="200"/>
  <c r="J26" i="200" s="1"/>
  <c r="I25" i="200"/>
  <c r="J25" i="200" s="1"/>
  <c r="I24" i="200"/>
  <c r="J24" i="200" s="1"/>
  <c r="I23" i="200"/>
  <c r="J23" i="200" s="1"/>
  <c r="I22" i="200"/>
  <c r="J22" i="200" s="1"/>
  <c r="I21" i="200"/>
  <c r="J21" i="200" s="1"/>
  <c r="I20" i="200"/>
  <c r="J20" i="200" s="1"/>
  <c r="I19" i="200"/>
  <c r="J19" i="200" s="1"/>
  <c r="I18" i="200"/>
  <c r="J18" i="200" s="1"/>
  <c r="I17" i="200"/>
  <c r="J17" i="200" s="1"/>
  <c r="I16" i="200"/>
  <c r="J16" i="200" s="1"/>
  <c r="I15" i="200"/>
  <c r="J15" i="200" s="1"/>
  <c r="I14" i="200"/>
  <c r="J14" i="200" s="1"/>
  <c r="I13" i="200"/>
  <c r="J13" i="200" s="1"/>
  <c r="J12" i="200"/>
  <c r="J11" i="200"/>
  <c r="L40" i="262" l="1"/>
  <c r="L45" i="262" s="1"/>
  <c r="L40" i="273"/>
  <c r="L45" i="273" s="1"/>
  <c r="L40" i="250"/>
  <c r="L45" i="250" s="1"/>
  <c r="L40" i="238"/>
  <c r="L45" i="238" s="1"/>
  <c r="J22" i="224"/>
  <c r="I22" i="271"/>
  <c r="J16" i="272"/>
  <c r="I22" i="248"/>
  <c r="J16" i="249"/>
  <c r="I22" i="224"/>
  <c r="J16" i="225"/>
  <c r="I22" i="260"/>
  <c r="J16" i="261"/>
  <c r="J22" i="248"/>
  <c r="J22" i="260"/>
  <c r="I22" i="236"/>
  <c r="J16" i="237"/>
  <c r="J22" i="236"/>
  <c r="J22" i="271"/>
  <c r="G13" i="207"/>
  <c r="I33" i="28"/>
  <c r="I32" i="28"/>
  <c r="J32" i="28" s="1"/>
  <c r="I31" i="28"/>
  <c r="J31" i="28" s="1"/>
  <c r="I30" i="28"/>
  <c r="J30" i="28" s="1"/>
  <c r="I29" i="28"/>
  <c r="J29" i="28" s="1"/>
  <c r="I27" i="12"/>
  <c r="M47" i="131"/>
  <c r="M46" i="131"/>
  <c r="M45" i="131"/>
  <c r="M44" i="131"/>
  <c r="M43" i="131"/>
  <c r="M42" i="131"/>
  <c r="M41" i="131"/>
  <c r="M40" i="131"/>
  <c r="M39" i="131"/>
  <c r="M38" i="131"/>
  <c r="M37" i="131"/>
  <c r="M36" i="131"/>
  <c r="M35" i="131"/>
  <c r="M34" i="131"/>
  <c r="M33" i="131"/>
  <c r="M32" i="131"/>
  <c r="M31" i="131"/>
  <c r="M30" i="131"/>
  <c r="M29" i="131"/>
  <c r="M28" i="131"/>
  <c r="M27" i="131"/>
  <c r="M26" i="131"/>
  <c r="M25" i="131"/>
  <c r="M24" i="131"/>
  <c r="M23" i="131"/>
  <c r="M22" i="131"/>
  <c r="M21" i="131"/>
  <c r="M20" i="131"/>
  <c r="M19" i="131"/>
  <c r="M18" i="131"/>
  <c r="M17" i="131"/>
  <c r="M16" i="131"/>
  <c r="M15" i="131"/>
  <c r="M14" i="131"/>
  <c r="M13" i="131"/>
  <c r="M12" i="131"/>
  <c r="M11" i="131"/>
  <c r="M47" i="130"/>
  <c r="M46" i="130"/>
  <c r="M45" i="130"/>
  <c r="M44" i="130"/>
  <c r="M43" i="130"/>
  <c r="M42" i="130"/>
  <c r="M41" i="130"/>
  <c r="M40" i="130"/>
  <c r="M39" i="130"/>
  <c r="M38" i="130"/>
  <c r="M37" i="130"/>
  <c r="M36" i="130"/>
  <c r="M35" i="130"/>
  <c r="M34" i="130"/>
  <c r="M33" i="130"/>
  <c r="M32" i="130"/>
  <c r="M31" i="130"/>
  <c r="M30" i="130"/>
  <c r="M29" i="130"/>
  <c r="M28" i="130"/>
  <c r="M27" i="130"/>
  <c r="M26" i="130"/>
  <c r="M25" i="130"/>
  <c r="M24" i="130"/>
  <c r="M23" i="130"/>
  <c r="M22" i="130"/>
  <c r="M21" i="130"/>
  <c r="M20" i="130"/>
  <c r="M19" i="130"/>
  <c r="M18" i="130"/>
  <c r="M17" i="130"/>
  <c r="M16" i="130"/>
  <c r="M15" i="130"/>
  <c r="M14" i="130"/>
  <c r="M13" i="130"/>
  <c r="M12" i="130"/>
  <c r="M11" i="130"/>
  <c r="M47" i="129"/>
  <c r="M46" i="129"/>
  <c r="M45" i="129"/>
  <c r="M44" i="129"/>
  <c r="M43" i="129"/>
  <c r="M42" i="129"/>
  <c r="M41" i="129"/>
  <c r="M40" i="129"/>
  <c r="M39" i="129"/>
  <c r="M38" i="129"/>
  <c r="M37" i="129"/>
  <c r="M36" i="129"/>
  <c r="M35" i="129"/>
  <c r="M34" i="129"/>
  <c r="M33" i="129"/>
  <c r="M32" i="129"/>
  <c r="M31" i="129"/>
  <c r="M30" i="129"/>
  <c r="M29" i="129"/>
  <c r="M28" i="129"/>
  <c r="M27" i="129"/>
  <c r="M26" i="129"/>
  <c r="M25" i="129"/>
  <c r="M24" i="129"/>
  <c r="M23" i="129"/>
  <c r="M22" i="129"/>
  <c r="M21" i="129"/>
  <c r="M20" i="129"/>
  <c r="M19" i="129"/>
  <c r="M18" i="129"/>
  <c r="M17" i="129"/>
  <c r="M16" i="129"/>
  <c r="M15" i="129"/>
  <c r="M14" i="129"/>
  <c r="M13" i="129"/>
  <c r="M12" i="129"/>
  <c r="M11" i="129"/>
  <c r="H9" i="125"/>
  <c r="H44" i="125" s="1"/>
  <c r="H9" i="126" s="1"/>
  <c r="H44" i="126" s="1"/>
  <c r="H9" i="127" s="1"/>
  <c r="H44" i="127" s="1"/>
  <c r="H9" i="128" s="1"/>
  <c r="H44" i="128" s="1"/>
  <c r="I28" i="112"/>
  <c r="I28" i="113"/>
  <c r="K27" i="96"/>
  <c r="K16" i="96"/>
  <c r="L25" i="37"/>
  <c r="J25" i="37"/>
  <c r="H25" i="37"/>
  <c r="N24" i="37"/>
  <c r="N23" i="37"/>
  <c r="N22" i="37"/>
  <c r="N21" i="37"/>
  <c r="N20" i="37"/>
  <c r="N19" i="37"/>
  <c r="N17" i="37"/>
  <c r="N14" i="37"/>
  <c r="I17" i="31"/>
  <c r="I6" i="24"/>
  <c r="C26" i="121" s="1"/>
  <c r="G41" i="21"/>
  <c r="G20" i="21"/>
  <c r="L5" i="273" l="1"/>
  <c r="K10" i="273"/>
  <c r="L5" i="262"/>
  <c r="K10" i="262"/>
  <c r="L5" i="250"/>
  <c r="K10" i="250"/>
  <c r="L5" i="238"/>
  <c r="K10" i="238"/>
  <c r="L5" i="226"/>
  <c r="K10" i="226"/>
  <c r="N25" i="37"/>
  <c r="C45" i="121" s="1"/>
  <c r="I7" i="12"/>
  <c r="G10" i="7" s="1"/>
  <c r="H38" i="8"/>
  <c r="H28" i="8"/>
  <c r="M47" i="122" l="1"/>
  <c r="M46" i="122"/>
  <c r="M45" i="122"/>
  <c r="M44" i="122"/>
  <c r="M43" i="122"/>
  <c r="M42" i="122"/>
  <c r="M41" i="122"/>
  <c r="M40" i="122"/>
  <c r="M39" i="122"/>
  <c r="M38" i="122"/>
  <c r="M37" i="122"/>
  <c r="M36" i="122"/>
  <c r="M35" i="122"/>
  <c r="M34" i="122"/>
  <c r="M33" i="122"/>
  <c r="M32" i="122"/>
  <c r="M31" i="122"/>
  <c r="M30" i="122"/>
  <c r="M29" i="122"/>
  <c r="M28" i="122"/>
  <c r="M27" i="122"/>
  <c r="M26" i="122"/>
  <c r="M25" i="122"/>
  <c r="M24" i="122"/>
  <c r="M23" i="122"/>
  <c r="M22" i="122"/>
  <c r="M21" i="122"/>
  <c r="M20" i="122"/>
  <c r="M19" i="122"/>
  <c r="M18" i="122"/>
  <c r="M17" i="122"/>
  <c r="M16" i="122"/>
  <c r="M15" i="122"/>
  <c r="M14" i="122"/>
  <c r="M13" i="122"/>
  <c r="M12" i="122"/>
  <c r="M11" i="122"/>
  <c r="M47" i="97"/>
  <c r="M46" i="97"/>
  <c r="M45" i="97"/>
  <c r="M44" i="97"/>
  <c r="M43" i="97"/>
  <c r="M42" i="97"/>
  <c r="M41" i="97"/>
  <c r="M40" i="97"/>
  <c r="M39" i="97"/>
  <c r="M38" i="97"/>
  <c r="M37" i="97"/>
  <c r="M36" i="97"/>
  <c r="M35" i="97"/>
  <c r="M34" i="97"/>
  <c r="M33" i="97"/>
  <c r="M32" i="97"/>
  <c r="M31" i="97"/>
  <c r="M30" i="97"/>
  <c r="M29" i="97"/>
  <c r="M28" i="97"/>
  <c r="M27" i="97"/>
  <c r="M26" i="97"/>
  <c r="H17" i="8" l="1"/>
  <c r="J7" i="34"/>
  <c r="J20" i="34" s="1"/>
  <c r="G24" i="4"/>
  <c r="G23" i="4"/>
  <c r="J24" i="108"/>
  <c r="J39" i="108"/>
  <c r="J20" i="111"/>
  <c r="H20" i="111"/>
  <c r="K23" i="115"/>
  <c r="J23" i="115"/>
  <c r="G23" i="115"/>
  <c r="E23" i="115"/>
  <c r="F26" i="106"/>
  <c r="G26" i="106"/>
  <c r="H26" i="106"/>
  <c r="I26" i="106"/>
  <c r="J26" i="106"/>
  <c r="L23" i="106"/>
  <c r="L24" i="106"/>
  <c r="L25" i="106"/>
  <c r="L22" i="106"/>
  <c r="L16" i="106"/>
  <c r="L17" i="106"/>
  <c r="L18" i="106"/>
  <c r="L19" i="106"/>
  <c r="L20" i="106"/>
  <c r="L15" i="106"/>
  <c r="L10" i="106"/>
  <c r="L11" i="106"/>
  <c r="L12" i="106"/>
  <c r="L13" i="106"/>
  <c r="L9" i="106"/>
  <c r="H38" i="105" l="1"/>
  <c r="H40" i="105"/>
  <c r="L26" i="106"/>
  <c r="K5" i="36"/>
  <c r="K20" i="29"/>
  <c r="J21" i="29" l="1"/>
  <c r="G13" i="4" s="1"/>
  <c r="I22" i="29"/>
  <c r="H13" i="4" s="1"/>
  <c r="I50" i="56" l="1"/>
  <c r="B4" i="102"/>
  <c r="C15" i="121"/>
  <c r="C5" i="121"/>
  <c r="E46" i="57"/>
  <c r="G45" i="57"/>
  <c r="H57" i="57"/>
  <c r="I23" i="116"/>
  <c r="B31" i="113"/>
  <c r="B31" i="112"/>
  <c r="G22" i="112"/>
  <c r="H17" i="344" l="1"/>
  <c r="N23" i="111"/>
  <c r="N22" i="111"/>
  <c r="N21" i="111"/>
  <c r="N18" i="111"/>
  <c r="N17" i="111"/>
  <c r="N16" i="111"/>
  <c r="F28" i="45"/>
  <c r="K28" i="45" l="1"/>
  <c r="K9" i="46" s="1"/>
  <c r="J17" i="27"/>
  <c r="C41" i="121" s="1"/>
  <c r="H43" i="28"/>
  <c r="H10" i="200" s="1"/>
  <c r="H43" i="200" s="1"/>
  <c r="H10" i="201" s="1"/>
  <c r="H43" i="201" s="1"/>
  <c r="H10" i="202" s="1"/>
  <c r="H43" i="202" s="1"/>
  <c r="H10" i="203" s="1"/>
  <c r="H43" i="203" s="1"/>
  <c r="I42" i="28"/>
  <c r="J42" i="28" s="1"/>
  <c r="I41" i="28"/>
  <c r="J41" i="28" s="1"/>
  <c r="I40" i="28"/>
  <c r="J40" i="28" s="1"/>
  <c r="I39" i="28"/>
  <c r="J39" i="28" s="1"/>
  <c r="I38" i="28"/>
  <c r="J38" i="28" s="1"/>
  <c r="I37" i="28"/>
  <c r="J37" i="28" s="1"/>
  <c r="I36" i="28"/>
  <c r="J36" i="28" s="1"/>
  <c r="I35" i="28"/>
  <c r="J35" i="28" s="1"/>
  <c r="I34" i="28"/>
  <c r="J34" i="28" s="1"/>
  <c r="J33" i="28"/>
  <c r="I28" i="28"/>
  <c r="J28" i="28" s="1"/>
  <c r="I27" i="28"/>
  <c r="J27" i="28" s="1"/>
  <c r="I26" i="28"/>
  <c r="J26" i="28" s="1"/>
  <c r="I25" i="28"/>
  <c r="J25" i="28" s="1"/>
  <c r="I24" i="28"/>
  <c r="J24" i="28" s="1"/>
  <c r="I23" i="28"/>
  <c r="J23" i="28" s="1"/>
  <c r="I22" i="28"/>
  <c r="J22" i="28" s="1"/>
  <c r="I21" i="28"/>
  <c r="J21" i="28" s="1"/>
  <c r="I20" i="28"/>
  <c r="J20" i="28" s="1"/>
  <c r="I19" i="28"/>
  <c r="J19" i="28" s="1"/>
  <c r="I18" i="28"/>
  <c r="J18" i="28" s="1"/>
  <c r="I17" i="28"/>
  <c r="J17" i="28" s="1"/>
  <c r="I16" i="28"/>
  <c r="J16" i="28" s="1"/>
  <c r="I15" i="28"/>
  <c r="J15" i="28" s="1"/>
  <c r="I14" i="28"/>
  <c r="J14" i="28" s="1"/>
  <c r="I13" i="28"/>
  <c r="J13" i="28" s="1"/>
  <c r="I37" i="24"/>
  <c r="J7" i="27" l="1"/>
  <c r="H11" i="24"/>
  <c r="I19" i="22"/>
  <c r="I27" i="19"/>
  <c r="I8" i="197" s="1"/>
  <c r="I27" i="197" s="1"/>
  <c r="I8" i="198" s="1"/>
  <c r="I27" i="198" s="1"/>
  <c r="I8" i="199" s="1"/>
  <c r="I27" i="199" s="1"/>
  <c r="F43" i="13"/>
  <c r="F5" i="14" s="1"/>
  <c r="F43" i="14" s="1"/>
  <c r="F5" i="123" s="1"/>
  <c r="F43" i="123" s="1"/>
  <c r="K27" i="15"/>
  <c r="K8" i="16" s="1"/>
  <c r="K27" i="16" s="1"/>
  <c r="H22" i="119"/>
  <c r="G22" i="119"/>
  <c r="I22" i="119"/>
  <c r="J22" i="119"/>
  <c r="J43" i="119"/>
  <c r="J25" i="118"/>
  <c r="I42" i="118"/>
  <c r="J42" i="118"/>
  <c r="K27" i="117"/>
  <c r="K9" i="319" s="1"/>
  <c r="K27" i="319" s="1"/>
  <c r="E27" i="117"/>
  <c r="E9" i="319" s="1"/>
  <c r="E27" i="319" s="1"/>
  <c r="E9" i="320" s="1"/>
  <c r="E27" i="320" s="1"/>
  <c r="E9" i="321" s="1"/>
  <c r="E27" i="321" s="1"/>
  <c r="E9" i="322" s="1"/>
  <c r="E27" i="322" s="1"/>
  <c r="F27" i="117"/>
  <c r="F9" i="319" s="1"/>
  <c r="F27" i="319" s="1"/>
  <c r="F9" i="320" s="1"/>
  <c r="F27" i="320" s="1"/>
  <c r="F9" i="321" s="1"/>
  <c r="F27" i="321" s="1"/>
  <c r="F9" i="322" s="1"/>
  <c r="F27" i="322" s="1"/>
  <c r="G27" i="117"/>
  <c r="G9" i="319" s="1"/>
  <c r="G27" i="319" s="1"/>
  <c r="G9" i="320" s="1"/>
  <c r="G27" i="320" s="1"/>
  <c r="G9" i="321" s="1"/>
  <c r="G27" i="321" s="1"/>
  <c r="G9" i="322" s="1"/>
  <c r="G27" i="322" s="1"/>
  <c r="H27" i="117"/>
  <c r="H9" i="319" s="1"/>
  <c r="H27" i="319" s="1"/>
  <c r="H9" i="320" s="1"/>
  <c r="H27" i="320" s="1"/>
  <c r="H9" i="321" s="1"/>
  <c r="H27" i="321" s="1"/>
  <c r="H9" i="322" s="1"/>
  <c r="H27" i="322" s="1"/>
  <c r="I27" i="117"/>
  <c r="I9" i="319" s="1"/>
  <c r="I27" i="319" s="1"/>
  <c r="I9" i="320" s="1"/>
  <c r="I27" i="320" s="1"/>
  <c r="I9" i="321" s="1"/>
  <c r="I27" i="321" s="1"/>
  <c r="I9" i="322" s="1"/>
  <c r="I27" i="322" s="1"/>
  <c r="J27" i="117"/>
  <c r="J9" i="319" s="1"/>
  <c r="J27" i="319" s="1"/>
  <c r="J9" i="320" s="1"/>
  <c r="J27" i="320" s="1"/>
  <c r="J9" i="321" s="1"/>
  <c r="J27" i="321" s="1"/>
  <c r="J9" i="322" s="1"/>
  <c r="J27" i="322" s="1"/>
  <c r="L27" i="117"/>
  <c r="G23" i="116"/>
  <c r="H23" i="116"/>
  <c r="M23" i="114"/>
  <c r="M25" i="114" s="1"/>
  <c r="M27" i="114" s="1"/>
  <c r="G12" i="113"/>
  <c r="H12" i="113"/>
  <c r="G22" i="113"/>
  <c r="H23" i="113"/>
  <c r="I30" i="113"/>
  <c r="K32" i="113" s="1"/>
  <c r="G41" i="113"/>
  <c r="H41" i="113"/>
  <c r="G11" i="112"/>
  <c r="H12" i="112"/>
  <c r="G23" i="112"/>
  <c r="H23" i="112"/>
  <c r="I30" i="112"/>
  <c r="K32" i="112" s="1"/>
  <c r="G41" i="112"/>
  <c r="H41" i="112"/>
  <c r="N13" i="111"/>
  <c r="N15" i="111"/>
  <c r="L21" i="110"/>
  <c r="L24" i="110" s="1"/>
  <c r="L45" i="110"/>
  <c r="L51" i="110"/>
  <c r="L7" i="109"/>
  <c r="L44" i="109"/>
  <c r="J25" i="108"/>
  <c r="J29" i="108" s="1"/>
  <c r="I7" i="107"/>
  <c r="J9" i="107"/>
  <c r="J10" i="107"/>
  <c r="J11" i="107"/>
  <c r="J12" i="107"/>
  <c r="J13" i="107"/>
  <c r="J14" i="107"/>
  <c r="J15" i="107"/>
  <c r="H20" i="107"/>
  <c r="H22" i="107" s="1"/>
  <c r="J21" i="107"/>
  <c r="J32" i="107"/>
  <c r="J34" i="107" s="1"/>
  <c r="J39" i="107"/>
  <c r="E26" i="106"/>
  <c r="K26" i="106"/>
  <c r="G43" i="105"/>
  <c r="H16" i="104"/>
  <c r="G44" i="104"/>
  <c r="G12" i="344" s="1"/>
  <c r="G44" i="344" s="1"/>
  <c r="L35" i="109"/>
  <c r="H31" i="103"/>
  <c r="H39" i="103" s="1"/>
  <c r="L39" i="109" s="1"/>
  <c r="I20" i="22" l="1"/>
  <c r="H26" i="1"/>
  <c r="L9" i="319"/>
  <c r="L27" i="319" s="1"/>
  <c r="L9" i="320" s="1"/>
  <c r="L27" i="320" s="1"/>
  <c r="L9" i="321" s="1"/>
  <c r="L27" i="321" s="1"/>
  <c r="L9" i="322" s="1"/>
  <c r="L27" i="322" s="1"/>
  <c r="G23" i="113"/>
  <c r="H18" i="344"/>
  <c r="H20" i="344"/>
  <c r="H19" i="344"/>
  <c r="I25" i="118"/>
  <c r="H41" i="344"/>
  <c r="K9" i="320"/>
  <c r="K27" i="320" s="1"/>
  <c r="G12" i="112"/>
  <c r="H43" i="258"/>
  <c r="L38" i="109"/>
  <c r="K23" i="109"/>
  <c r="C43" i="121" s="1"/>
  <c r="H43" i="234"/>
  <c r="H43" i="246"/>
  <c r="H43" i="222"/>
  <c r="H39" i="105"/>
  <c r="H43" i="105" s="1"/>
  <c r="L55" i="48"/>
  <c r="G20" i="103"/>
  <c r="I20" i="107"/>
  <c r="F5" i="124"/>
  <c r="F43" i="124" s="1"/>
  <c r="F5" i="132" s="1"/>
  <c r="F43" i="132" s="1"/>
  <c r="L54" i="110"/>
  <c r="K32" i="108"/>
  <c r="J40" i="107"/>
  <c r="J7" i="107"/>
  <c r="J20" i="107" s="1"/>
  <c r="L42" i="117"/>
  <c r="L42" i="319" l="1"/>
  <c r="H23" i="344"/>
  <c r="L42" i="320"/>
  <c r="K9" i="321"/>
  <c r="K27" i="321" s="1"/>
  <c r="G44" i="256"/>
  <c r="G44" i="268"/>
  <c r="J16" i="108"/>
  <c r="L40" i="109"/>
  <c r="L45" i="109" s="1"/>
  <c r="J22" i="107"/>
  <c r="I22" i="107"/>
  <c r="L6" i="109"/>
  <c r="G21" i="103"/>
  <c r="G44" i="103" s="1"/>
  <c r="G44" i="232"/>
  <c r="G44" i="244"/>
  <c r="G44" i="220"/>
  <c r="L20" i="111"/>
  <c r="N19" i="111"/>
  <c r="N20" i="111" s="1"/>
  <c r="L5" i="109" l="1"/>
  <c r="K10" i="109"/>
  <c r="L42" i="321"/>
  <c r="K9" i="322"/>
  <c r="K27" i="322" s="1"/>
  <c r="H44" i="364" s="1"/>
  <c r="Q8" i="2"/>
  <c r="U10" i="2"/>
  <c r="U9" i="2"/>
  <c r="D34" i="2"/>
  <c r="D42" i="2"/>
  <c r="D43" i="2"/>
  <c r="L26" i="10"/>
  <c r="J7" i="378" l="1"/>
  <c r="J8" i="378"/>
  <c r="J7" i="377"/>
  <c r="J8" i="377"/>
  <c r="J7" i="376"/>
  <c r="J8" i="376"/>
  <c r="J8" i="375"/>
  <c r="J7" i="375"/>
  <c r="J8" i="374"/>
  <c r="J7" i="374"/>
  <c r="B30" i="41"/>
  <c r="B30" i="40"/>
  <c r="C26" i="286"/>
  <c r="C26" i="285"/>
  <c r="C26" i="115"/>
  <c r="C26" i="284"/>
  <c r="C26" i="287"/>
  <c r="C26" i="279"/>
  <c r="D27" i="369"/>
  <c r="D27" i="373"/>
  <c r="D27" i="368"/>
  <c r="D27" i="370"/>
  <c r="D27" i="371"/>
  <c r="D27" i="372"/>
  <c r="D29" i="2"/>
  <c r="D25" i="2"/>
  <c r="D28" i="2"/>
  <c r="D27" i="2"/>
  <c r="D26" i="2"/>
  <c r="B2" i="250"/>
  <c r="B2" i="262"/>
  <c r="B2" i="238"/>
  <c r="C8" i="261"/>
  <c r="C8" i="249"/>
  <c r="B2" i="273"/>
  <c r="C8" i="237"/>
  <c r="C8" i="272"/>
  <c r="B2" i="236"/>
  <c r="B2" i="271"/>
  <c r="B2" i="260"/>
  <c r="B2" i="248"/>
  <c r="H44" i="360"/>
  <c r="H44" i="362"/>
  <c r="H44" i="356"/>
  <c r="H44" i="358"/>
  <c r="H22" i="344"/>
  <c r="C8" i="108"/>
  <c r="B2" i="226"/>
  <c r="C8" i="225"/>
  <c r="B2" i="224"/>
  <c r="B2" i="109"/>
  <c r="B2" i="107"/>
  <c r="G4" i="197"/>
  <c r="G4" i="19"/>
  <c r="G4" i="199"/>
  <c r="G4" i="198"/>
  <c r="B41" i="283"/>
  <c r="B5" i="283"/>
  <c r="B36" i="282"/>
  <c r="G6" i="342"/>
  <c r="B45" i="297"/>
  <c r="B45" i="298"/>
  <c r="B45" i="299"/>
  <c r="B45" i="300"/>
  <c r="B45" i="282"/>
  <c r="G6" i="343"/>
  <c r="G6" i="281"/>
  <c r="H5" i="280"/>
  <c r="H5" i="289"/>
  <c r="H5" i="290"/>
  <c r="H5" i="291"/>
  <c r="H5" i="292"/>
  <c r="B31" i="283"/>
  <c r="G6" i="340"/>
  <c r="B37" i="297"/>
  <c r="B9" i="297"/>
  <c r="B37" i="298"/>
  <c r="B9" i="298"/>
  <c r="B37" i="299"/>
  <c r="B9" i="299"/>
  <c r="B37" i="300"/>
  <c r="B9" i="300"/>
  <c r="J10" i="283"/>
  <c r="B37" i="282"/>
  <c r="B9" i="282"/>
  <c r="G6" i="341"/>
  <c r="B36" i="297"/>
  <c r="B36" i="298"/>
  <c r="B36" i="299"/>
  <c r="B36" i="300"/>
  <c r="G6" i="338"/>
  <c r="G6" i="339"/>
  <c r="G6" i="336"/>
  <c r="G6" i="337"/>
  <c r="G6" i="333"/>
  <c r="G6" i="335"/>
  <c r="G6" i="331"/>
  <c r="G6" i="332"/>
  <c r="G6" i="329"/>
  <c r="G6" i="330"/>
  <c r="G6" i="327"/>
  <c r="G6" i="328"/>
  <c r="G6" i="325"/>
  <c r="G6" i="326"/>
  <c r="G6" i="323"/>
  <c r="G6" i="324"/>
  <c r="H44" i="104"/>
  <c r="H12" i="344" s="1"/>
  <c r="L42" i="322"/>
  <c r="G6" i="321"/>
  <c r="G6" i="322"/>
  <c r="G6" i="319"/>
  <c r="G6" i="320"/>
  <c r="B32" i="317"/>
  <c r="B14" i="317"/>
  <c r="B25" i="317"/>
  <c r="B35" i="317"/>
  <c r="B3" i="317"/>
  <c r="B28" i="317"/>
  <c r="B13" i="317"/>
  <c r="B24" i="317"/>
  <c r="B32" i="315"/>
  <c r="B14" i="315"/>
  <c r="B28" i="315"/>
  <c r="B13" i="315"/>
  <c r="B25" i="315"/>
  <c r="B35" i="315"/>
  <c r="B24" i="315"/>
  <c r="B3" i="315"/>
  <c r="B32" i="313"/>
  <c r="B14" i="313"/>
  <c r="B25" i="313"/>
  <c r="B35" i="313"/>
  <c r="B24" i="313"/>
  <c r="B3" i="313"/>
  <c r="B28" i="313"/>
  <c r="B13" i="313"/>
  <c r="B32" i="311"/>
  <c r="B14" i="311"/>
  <c r="B28" i="311"/>
  <c r="B13" i="311"/>
  <c r="B25" i="311"/>
  <c r="B35" i="311"/>
  <c r="B24" i="311"/>
  <c r="B3" i="311"/>
  <c r="B32" i="307"/>
  <c r="B14" i="307"/>
  <c r="B35" i="307"/>
  <c r="B24" i="307"/>
  <c r="B3" i="307"/>
  <c r="B28" i="307"/>
  <c r="B13" i="307"/>
  <c r="B25" i="307"/>
  <c r="B32" i="306"/>
  <c r="B14" i="306"/>
  <c r="B28" i="306"/>
  <c r="B13" i="306"/>
  <c r="B25" i="306"/>
  <c r="B24" i="306"/>
  <c r="B3" i="306"/>
  <c r="B35" i="306"/>
  <c r="B41" i="304"/>
  <c r="J10" i="304"/>
  <c r="B31" i="304"/>
  <c r="B5" i="304"/>
  <c r="B41" i="303"/>
  <c r="B31" i="303"/>
  <c r="B5" i="303"/>
  <c r="J10" i="303"/>
  <c r="J10" i="302"/>
  <c r="B41" i="302"/>
  <c r="B31" i="302"/>
  <c r="B5" i="302"/>
  <c r="B31" i="301"/>
  <c r="B5" i="301"/>
  <c r="J10" i="301"/>
  <c r="B41" i="301"/>
  <c r="G6" i="295"/>
  <c r="G6" i="296"/>
  <c r="G6" i="293"/>
  <c r="G6" i="294"/>
  <c r="I27" i="278"/>
  <c r="D27" i="278"/>
  <c r="I23" i="278"/>
  <c r="B3" i="277"/>
  <c r="B13" i="277"/>
  <c r="B28" i="277"/>
  <c r="B24" i="277"/>
  <c r="B35" i="277"/>
  <c r="B25" i="277"/>
  <c r="B14" i="277"/>
  <c r="B32" i="277"/>
  <c r="B24" i="276"/>
  <c r="B14" i="276"/>
  <c r="B13" i="276"/>
  <c r="B3" i="276"/>
  <c r="B35" i="276"/>
  <c r="B28" i="276"/>
  <c r="B32" i="276"/>
  <c r="B25" i="276"/>
  <c r="L11" i="275"/>
  <c r="J10" i="275"/>
  <c r="B54" i="274"/>
  <c r="B24" i="274"/>
  <c r="B45" i="273"/>
  <c r="B24" i="273"/>
  <c r="B23" i="273"/>
  <c r="B32" i="273"/>
  <c r="B22" i="273"/>
  <c r="E40" i="272"/>
  <c r="E35" i="272"/>
  <c r="B3" i="272"/>
  <c r="D27" i="267"/>
  <c r="I23" i="267"/>
  <c r="I27" i="267"/>
  <c r="B24" i="266"/>
  <c r="B32" i="266"/>
  <c r="B28" i="266"/>
  <c r="B13" i="266"/>
  <c r="B35" i="266"/>
  <c r="B25" i="266"/>
  <c r="B14" i="266"/>
  <c r="B3" i="266"/>
  <c r="B24" i="265"/>
  <c r="B13" i="265"/>
  <c r="B28" i="265"/>
  <c r="B35" i="265"/>
  <c r="B25" i="265"/>
  <c r="B14" i="265"/>
  <c r="B32" i="265"/>
  <c r="B3" i="265"/>
  <c r="J10" i="264"/>
  <c r="L11" i="264"/>
  <c r="B54" i="263"/>
  <c r="B24" i="263"/>
  <c r="B45" i="262"/>
  <c r="B22" i="262"/>
  <c r="B24" i="262"/>
  <c r="B23" i="262"/>
  <c r="B32" i="262"/>
  <c r="E40" i="261"/>
  <c r="E35" i="261"/>
  <c r="B3" i="261"/>
  <c r="I27" i="255"/>
  <c r="D27" i="255"/>
  <c r="I23" i="255"/>
  <c r="B3" i="254"/>
  <c r="B13" i="254"/>
  <c r="B28" i="254"/>
  <c r="B24" i="254"/>
  <c r="B35" i="254"/>
  <c r="B25" i="254"/>
  <c r="B14" i="254"/>
  <c r="B32" i="254"/>
  <c r="B24" i="253"/>
  <c r="B32" i="253"/>
  <c r="B28" i="253"/>
  <c r="B3" i="253"/>
  <c r="B35" i="253"/>
  <c r="B25" i="253"/>
  <c r="B14" i="253"/>
  <c r="B13" i="253"/>
  <c r="L11" i="252"/>
  <c r="J10" i="252"/>
  <c r="D41" i="2"/>
  <c r="B54" i="251"/>
  <c r="B32" i="250"/>
  <c r="B3" i="249"/>
  <c r="D27" i="243"/>
  <c r="L11" i="240"/>
  <c r="E40" i="237"/>
  <c r="B35" i="230"/>
  <c r="B25" i="230"/>
  <c r="B14" i="230"/>
  <c r="B32" i="229"/>
  <c r="B24" i="229"/>
  <c r="B13" i="229"/>
  <c r="B3" i="229"/>
  <c r="B54" i="227"/>
  <c r="B32" i="226"/>
  <c r="B3" i="225"/>
  <c r="I23" i="243"/>
  <c r="J10" i="228"/>
  <c r="B45" i="250"/>
  <c r="B28" i="242"/>
  <c r="B28" i="241"/>
  <c r="J10" i="240"/>
  <c r="B24" i="239"/>
  <c r="B23" i="238"/>
  <c r="B32" i="230"/>
  <c r="B24" i="230"/>
  <c r="B13" i="230"/>
  <c r="B3" i="230"/>
  <c r="B45" i="226"/>
  <c r="B3" i="242"/>
  <c r="B45" i="238"/>
  <c r="B28" i="229"/>
  <c r="B24" i="250"/>
  <c r="B35" i="242"/>
  <c r="B25" i="242"/>
  <c r="B35" i="241"/>
  <c r="B25" i="241"/>
  <c r="B14" i="241"/>
  <c r="B22" i="238"/>
  <c r="E35" i="237"/>
  <c r="I23" i="231"/>
  <c r="B24" i="226"/>
  <c r="B24" i="227"/>
  <c r="E40" i="249"/>
  <c r="B32" i="242"/>
  <c r="B24" i="242"/>
  <c r="B14" i="242"/>
  <c r="B32" i="241"/>
  <c r="B24" i="241"/>
  <c r="B13" i="241"/>
  <c r="B3" i="241"/>
  <c r="B54" i="239"/>
  <c r="B32" i="238"/>
  <c r="B3" i="237"/>
  <c r="I27" i="231"/>
  <c r="L11" i="228"/>
  <c r="E40" i="225"/>
  <c r="B23" i="250"/>
  <c r="B13" i="242"/>
  <c r="B23" i="226"/>
  <c r="B22" i="250"/>
  <c r="E35" i="249"/>
  <c r="I27" i="243"/>
  <c r="B24" i="238"/>
  <c r="B28" i="230"/>
  <c r="B35" i="229"/>
  <c r="B25" i="229"/>
  <c r="B14" i="229"/>
  <c r="B22" i="226"/>
  <c r="E35" i="225"/>
  <c r="B24" i="251"/>
  <c r="D27" i="231"/>
  <c r="G6" i="215"/>
  <c r="G6" i="211"/>
  <c r="G6" i="210"/>
  <c r="G6" i="216"/>
  <c r="B29" i="207"/>
  <c r="G6" i="217"/>
  <c r="G6" i="212"/>
  <c r="G4" i="196"/>
  <c r="G4" i="194"/>
  <c r="G6" i="218"/>
  <c r="G4" i="192"/>
  <c r="G6" i="213"/>
  <c r="G4" i="189"/>
  <c r="G4" i="186"/>
  <c r="G4" i="181"/>
  <c r="G4" i="176"/>
  <c r="G4" i="174"/>
  <c r="G4" i="170"/>
  <c r="G4" i="165"/>
  <c r="G4" i="159"/>
  <c r="G4" i="190"/>
  <c r="G4" i="187"/>
  <c r="G4" i="182"/>
  <c r="G4" i="177"/>
  <c r="G4" i="171"/>
  <c r="G4" i="166"/>
  <c r="G4" i="160"/>
  <c r="G6" i="214"/>
  <c r="G4" i="183"/>
  <c r="G4" i="178"/>
  <c r="G4" i="172"/>
  <c r="G4" i="161"/>
  <c r="B29" i="206"/>
  <c r="G4" i="193"/>
  <c r="G4" i="191"/>
  <c r="G4" i="184"/>
  <c r="G4" i="175"/>
  <c r="G4" i="173"/>
  <c r="G4" i="167"/>
  <c r="G4" i="162"/>
  <c r="G4" i="188"/>
  <c r="G4" i="185"/>
  <c r="G4" i="179"/>
  <c r="G4" i="168"/>
  <c r="G4" i="163"/>
  <c r="G4" i="195"/>
  <c r="G4" i="180"/>
  <c r="G4" i="169"/>
  <c r="G4" i="164"/>
  <c r="G4" i="158"/>
  <c r="G4" i="156"/>
  <c r="G4" i="154"/>
  <c r="G4" i="152"/>
  <c r="G4" i="150"/>
  <c r="G4" i="148"/>
  <c r="G4" i="146"/>
  <c r="G4" i="157"/>
  <c r="G4" i="155"/>
  <c r="G4" i="153"/>
  <c r="G4" i="151"/>
  <c r="G4" i="149"/>
  <c r="G4" i="147"/>
  <c r="G4" i="144"/>
  <c r="G4" i="142"/>
  <c r="G4" i="140"/>
  <c r="G4" i="138"/>
  <c r="G4" i="136"/>
  <c r="G4" i="134"/>
  <c r="G4" i="145"/>
  <c r="G4" i="143"/>
  <c r="G4" i="141"/>
  <c r="G4" i="139"/>
  <c r="G4" i="137"/>
  <c r="G4" i="135"/>
  <c r="G4" i="133"/>
  <c r="B41" i="119"/>
  <c r="J10" i="119"/>
  <c r="B36" i="118"/>
  <c r="B35" i="113"/>
  <c r="B5" i="119"/>
  <c r="H5" i="116"/>
  <c r="D27" i="114"/>
  <c r="B32" i="113"/>
  <c r="B24" i="112"/>
  <c r="I27" i="114"/>
  <c r="B24" i="113"/>
  <c r="B35" i="112"/>
  <c r="B28" i="112"/>
  <c r="L11" i="111"/>
  <c r="B9" i="118"/>
  <c r="B31" i="119"/>
  <c r="B25" i="113"/>
  <c r="B45" i="118"/>
  <c r="I23" i="114"/>
  <c r="B13" i="113"/>
  <c r="B13" i="112"/>
  <c r="B25" i="112"/>
  <c r="B28" i="113"/>
  <c r="B14" i="112"/>
  <c r="J10" i="111"/>
  <c r="B37" i="118"/>
  <c r="G6" i="117"/>
  <c r="B3" i="113"/>
  <c r="B3" i="112"/>
  <c r="B14" i="113"/>
  <c r="B32" i="112"/>
  <c r="B54" i="110"/>
  <c r="B24" i="109"/>
  <c r="B45" i="109"/>
  <c r="B24" i="110"/>
  <c r="B23" i="109"/>
  <c r="B3" i="108"/>
  <c r="B22" i="109"/>
  <c r="B32" i="109"/>
  <c r="E35" i="108"/>
  <c r="E40" i="108"/>
  <c r="Q9" i="2"/>
  <c r="D49" i="2"/>
  <c r="D44" i="2"/>
  <c r="D47" i="2"/>
  <c r="D46" i="2"/>
  <c r="L8" i="378" s="1"/>
  <c r="D35" i="2"/>
  <c r="C38" i="2"/>
  <c r="I34" i="12"/>
  <c r="I33" i="12"/>
  <c r="I32" i="12"/>
  <c r="I31" i="12"/>
  <c r="I26" i="12"/>
  <c r="I25" i="12"/>
  <c r="I24" i="12"/>
  <c r="I23" i="12"/>
  <c r="I22" i="12"/>
  <c r="I21" i="12"/>
  <c r="I20" i="12"/>
  <c r="I19" i="12"/>
  <c r="I18" i="12"/>
  <c r="I17" i="12"/>
  <c r="I16" i="12"/>
  <c r="I15" i="12"/>
  <c r="G12" i="11" s="1"/>
  <c r="I14" i="12"/>
  <c r="I13" i="12"/>
  <c r="I12" i="12"/>
  <c r="G11" i="9" s="1"/>
  <c r="I11" i="12"/>
  <c r="G41" i="8" s="1"/>
  <c r="G45" i="8" s="1"/>
  <c r="I10" i="12"/>
  <c r="G31" i="8" s="1"/>
  <c r="G38" i="8" s="1"/>
  <c r="I9" i="12"/>
  <c r="G20" i="8" s="1"/>
  <c r="G28" i="8" s="1"/>
  <c r="I8" i="12"/>
  <c r="G11" i="8" s="1"/>
  <c r="G17" i="8" s="1"/>
  <c r="G27" i="17"/>
  <c r="G8" i="157" s="1"/>
  <c r="G27" i="157" s="1"/>
  <c r="G8" i="158" s="1"/>
  <c r="G27" i="158" s="1"/>
  <c r="G8" i="159" s="1"/>
  <c r="G27" i="159" s="1"/>
  <c r="G8" i="160" s="1"/>
  <c r="G27" i="160" s="1"/>
  <c r="G8" i="161" s="1"/>
  <c r="G27" i="161" s="1"/>
  <c r="G8" i="162" s="1"/>
  <c r="G27" i="162" s="1"/>
  <c r="G8" i="163" s="1"/>
  <c r="G27" i="163" s="1"/>
  <c r="G8" i="164" s="1"/>
  <c r="G27" i="164" s="1"/>
  <c r="G8" i="165" s="1"/>
  <c r="G27" i="165" s="1"/>
  <c r="G8" i="166" s="1"/>
  <c r="G27" i="166" s="1"/>
  <c r="G8" i="167" s="1"/>
  <c r="G27" i="167" s="1"/>
  <c r="G8" i="168" s="1"/>
  <c r="G27" i="168" s="1"/>
  <c r="G8" i="169" s="1"/>
  <c r="G27" i="169" s="1"/>
  <c r="G8" i="170" s="1"/>
  <c r="G27" i="170" s="1"/>
  <c r="G8" i="171" s="1"/>
  <c r="G27" i="171" s="1"/>
  <c r="G8" i="172" s="1"/>
  <c r="G27" i="172" s="1"/>
  <c r="G8" i="173" s="1"/>
  <c r="G27" i="173" s="1"/>
  <c r="G8" i="174" s="1"/>
  <c r="G27" i="174" s="1"/>
  <c r="G8" i="175" s="1"/>
  <c r="G27" i="175" s="1"/>
  <c r="G8" i="176" s="1"/>
  <c r="G27" i="176" s="1"/>
  <c r="G8" i="177" s="1"/>
  <c r="G27" i="177" s="1"/>
  <c r="G8" i="178" s="1"/>
  <c r="G27" i="178" s="1"/>
  <c r="G8" i="179" s="1"/>
  <c r="G27" i="179" s="1"/>
  <c r="G8" i="180" s="1"/>
  <c r="G27" i="180" s="1"/>
  <c r="G8" i="181" s="1"/>
  <c r="G27" i="181" s="1"/>
  <c r="G8" i="182" s="1"/>
  <c r="G27" i="182" s="1"/>
  <c r="G8" i="183" s="1"/>
  <c r="G27" i="183" s="1"/>
  <c r="G8" i="184" s="1"/>
  <c r="G27" i="184" s="1"/>
  <c r="G8" i="185" s="1"/>
  <c r="G27" i="185" s="1"/>
  <c r="G8" i="186" s="1"/>
  <c r="G27" i="186" s="1"/>
  <c r="G8" i="187" s="1"/>
  <c r="G27" i="187" s="1"/>
  <c r="G8" i="188" s="1"/>
  <c r="G27" i="188" s="1"/>
  <c r="G8" i="189" s="1"/>
  <c r="G27" i="189" s="1"/>
  <c r="G8" i="190" s="1"/>
  <c r="G27" i="190" s="1"/>
  <c r="G8" i="191" s="1"/>
  <c r="G27" i="191" s="1"/>
  <c r="G8" i="192" s="1"/>
  <c r="G27" i="192" s="1"/>
  <c r="G8" i="193" s="1"/>
  <c r="G27" i="193" s="1"/>
  <c r="G8" i="194" s="1"/>
  <c r="G27" i="194" s="1"/>
  <c r="G8" i="195" s="1"/>
  <c r="G27" i="195" s="1"/>
  <c r="G8" i="196" s="1"/>
  <c r="G27" i="196" s="1"/>
  <c r="G33" i="9" l="1"/>
  <c r="G44" i="9" s="1"/>
  <c r="G9" i="125" s="1"/>
  <c r="G44" i="125" s="1"/>
  <c r="G9" i="126" s="1"/>
  <c r="G44" i="126" s="1"/>
  <c r="G9" i="127" s="1"/>
  <c r="G44" i="127" s="1"/>
  <c r="G9" i="128" s="1"/>
  <c r="G44" i="128" s="1"/>
  <c r="I55" i="128" s="1"/>
  <c r="L8" i="376"/>
  <c r="L8" i="377"/>
  <c r="L8" i="374"/>
  <c r="L8" i="375"/>
  <c r="B44" i="237"/>
  <c r="B44" i="272"/>
  <c r="B44" i="225"/>
  <c r="B44" i="261"/>
  <c r="B44" i="108"/>
  <c r="B44" i="249"/>
  <c r="C13" i="29"/>
  <c r="B45" i="272"/>
  <c r="E49" i="249"/>
  <c r="B46" i="237"/>
  <c r="B45" i="225"/>
  <c r="E49" i="261"/>
  <c r="B46" i="249"/>
  <c r="B45" i="237"/>
  <c r="E49" i="108"/>
  <c r="E49" i="272"/>
  <c r="B46" i="261"/>
  <c r="B45" i="249"/>
  <c r="E49" i="225"/>
  <c r="B46" i="108"/>
  <c r="B46" i="272"/>
  <c r="B45" i="261"/>
  <c r="E49" i="237"/>
  <c r="B46" i="225"/>
  <c r="B45" i="108"/>
  <c r="G8" i="372"/>
  <c r="G8" i="368"/>
  <c r="G8" i="371"/>
  <c r="G8" i="370"/>
  <c r="G8" i="373"/>
  <c r="G8" i="369"/>
  <c r="B22" i="311"/>
  <c r="B11" i="311"/>
  <c r="B22" i="317"/>
  <c r="B11" i="317"/>
  <c r="B22" i="307"/>
  <c r="B11" i="307"/>
  <c r="B22" i="315"/>
  <c r="B11" i="315"/>
  <c r="B22" i="306"/>
  <c r="B11" i="306"/>
  <c r="B22" i="313"/>
  <c r="B11" i="313"/>
  <c r="B22" i="277"/>
  <c r="B11" i="277"/>
  <c r="B22" i="253"/>
  <c r="B11" i="253"/>
  <c r="B22" i="229"/>
  <c r="B11" i="229"/>
  <c r="B22" i="276"/>
  <c r="B11" i="276"/>
  <c r="B22" i="266"/>
  <c r="B11" i="266"/>
  <c r="B22" i="242"/>
  <c r="B11" i="242"/>
  <c r="B11" i="265"/>
  <c r="B11" i="241"/>
  <c r="B22" i="254"/>
  <c r="B11" i="254"/>
  <c r="B22" i="230"/>
  <c r="B11" i="230"/>
  <c r="B22" i="265"/>
  <c r="B22" i="241"/>
  <c r="B22" i="113"/>
  <c r="B11" i="113"/>
  <c r="B11" i="112"/>
  <c r="B22" i="112"/>
  <c r="B17" i="313"/>
  <c r="B7" i="313"/>
  <c r="B17" i="311"/>
  <c r="B7" i="311"/>
  <c r="B17" i="306"/>
  <c r="B7" i="306"/>
  <c r="B17" i="317"/>
  <c r="B7" i="317"/>
  <c r="B17" i="307"/>
  <c r="B7" i="307"/>
  <c r="B17" i="315"/>
  <c r="B7" i="315"/>
  <c r="B17" i="254"/>
  <c r="B7" i="254"/>
  <c r="B17" i="230"/>
  <c r="B7" i="230"/>
  <c r="B17" i="266"/>
  <c r="B17" i="277"/>
  <c r="B7" i="277"/>
  <c r="B17" i="253"/>
  <c r="B7" i="253"/>
  <c r="B17" i="229"/>
  <c r="B7" i="229"/>
  <c r="B17" i="276"/>
  <c r="B17" i="265"/>
  <c r="B7" i="265"/>
  <c r="B17" i="241"/>
  <c r="B7" i="241"/>
  <c r="B7" i="276"/>
  <c r="B7" i="266"/>
  <c r="B17" i="242"/>
  <c r="B7" i="242"/>
  <c r="B17" i="113"/>
  <c r="B7" i="113"/>
  <c r="B17" i="112"/>
  <c r="B7" i="112"/>
  <c r="B6" i="58"/>
  <c r="B4" i="26"/>
  <c r="E4" i="330"/>
  <c r="E4" i="325"/>
  <c r="B8" i="20"/>
  <c r="B35" i="282"/>
  <c r="E4" i="343"/>
  <c r="E4" i="341"/>
  <c r="E4" i="281"/>
  <c r="B8" i="297"/>
  <c r="B8" i="298"/>
  <c r="B8" i="300"/>
  <c r="B34" i="283"/>
  <c r="B8" i="282"/>
  <c r="E4" i="342"/>
  <c r="B35" i="297"/>
  <c r="B35" i="298"/>
  <c r="B35" i="300"/>
  <c r="E4" i="340"/>
  <c r="B35" i="299"/>
  <c r="B8" i="299"/>
  <c r="E4" i="338"/>
  <c r="E4" i="336"/>
  <c r="E4" i="339"/>
  <c r="E4" i="337"/>
  <c r="E4" i="328"/>
  <c r="E4" i="326"/>
  <c r="E4" i="335"/>
  <c r="E4" i="332"/>
  <c r="E4" i="323"/>
  <c r="E4" i="321"/>
  <c r="E4" i="319"/>
  <c r="E4" i="329"/>
  <c r="E4" i="327"/>
  <c r="E4" i="333"/>
  <c r="E4" i="331"/>
  <c r="E4" i="324"/>
  <c r="E4" i="322"/>
  <c r="E4" i="320"/>
  <c r="B34" i="303"/>
  <c r="E4" i="296"/>
  <c r="E4" i="294"/>
  <c r="B34" i="304"/>
  <c r="B34" i="301"/>
  <c r="E4" i="293"/>
  <c r="B34" i="302"/>
  <c r="E4" i="295"/>
  <c r="B20" i="273"/>
  <c r="B20" i="262"/>
  <c r="B20" i="238"/>
  <c r="B20" i="250"/>
  <c r="B20" i="226"/>
  <c r="B35" i="118"/>
  <c r="B34" i="119"/>
  <c r="E4" i="117"/>
  <c r="B8" i="118"/>
  <c r="B20" i="109"/>
  <c r="B42" i="283"/>
  <c r="B24" i="282"/>
  <c r="K4" i="342"/>
  <c r="K4" i="340"/>
  <c r="B41" i="297"/>
  <c r="B41" i="298"/>
  <c r="B41" i="299"/>
  <c r="B41" i="300"/>
  <c r="B41" i="282"/>
  <c r="K4" i="343"/>
  <c r="K4" i="341"/>
  <c r="K4" i="281"/>
  <c r="B24" i="297"/>
  <c r="B24" i="298"/>
  <c r="B24" i="299"/>
  <c r="B24" i="300"/>
  <c r="K4" i="339"/>
  <c r="K4" i="337"/>
  <c r="K4" i="336"/>
  <c r="K4" i="338"/>
  <c r="K4" i="335"/>
  <c r="K4" i="332"/>
  <c r="K4" i="330"/>
  <c r="K4" i="323"/>
  <c r="K4" i="321"/>
  <c r="K4" i="319"/>
  <c r="K4" i="329"/>
  <c r="K4" i="327"/>
  <c r="K4" i="325"/>
  <c r="K4" i="333"/>
  <c r="K4" i="331"/>
  <c r="K4" i="324"/>
  <c r="K4" i="322"/>
  <c r="K4" i="320"/>
  <c r="K4" i="328"/>
  <c r="K4" i="326"/>
  <c r="B42" i="304"/>
  <c r="B42" i="301"/>
  <c r="K4" i="295"/>
  <c r="K4" i="293"/>
  <c r="B42" i="303"/>
  <c r="K4" i="296"/>
  <c r="K4" i="294"/>
  <c r="B42" i="302"/>
  <c r="B27" i="262"/>
  <c r="B27" i="238"/>
  <c r="B27" i="273"/>
  <c r="B27" i="250"/>
  <c r="B27" i="226"/>
  <c r="B42" i="119"/>
  <c r="B24" i="118"/>
  <c r="K4" i="117"/>
  <c r="B41" i="118"/>
  <c r="B27" i="109"/>
  <c r="I20" i="102"/>
  <c r="B29" i="311"/>
  <c r="B29" i="317"/>
  <c r="B29" i="307"/>
  <c r="B29" i="315"/>
  <c r="B29" i="306"/>
  <c r="B29" i="313"/>
  <c r="I24" i="278"/>
  <c r="B29" i="277"/>
  <c r="B29" i="253"/>
  <c r="B29" i="229"/>
  <c r="B29" i="265"/>
  <c r="B29" i="276"/>
  <c r="I24" i="267"/>
  <c r="B29" i="266"/>
  <c r="I24" i="243"/>
  <c r="B29" i="242"/>
  <c r="I24" i="255"/>
  <c r="B29" i="254"/>
  <c r="I24" i="231"/>
  <c r="B29" i="230"/>
  <c r="B29" i="241"/>
  <c r="I24" i="114"/>
  <c r="B29" i="113"/>
  <c r="B29" i="112"/>
  <c r="B9" i="365"/>
  <c r="B6" i="367"/>
  <c r="H44" i="344"/>
  <c r="B7" i="364"/>
  <c r="B7" i="363"/>
  <c r="B7" i="362"/>
  <c r="B7" i="361"/>
  <c r="B7" i="360"/>
  <c r="B7" i="359"/>
  <c r="B7" i="358"/>
  <c r="B7" i="357"/>
  <c r="B7" i="356"/>
  <c r="B7" i="355"/>
  <c r="B7" i="344"/>
  <c r="G7" i="280"/>
  <c r="G7" i="289"/>
  <c r="G7" i="290"/>
  <c r="G7" i="291"/>
  <c r="G8" i="279"/>
  <c r="G8" i="284"/>
  <c r="G8" i="285"/>
  <c r="G8" i="286"/>
  <c r="G8" i="287"/>
  <c r="G7" i="292"/>
  <c r="B6" i="305"/>
  <c r="C18" i="272"/>
  <c r="C18" i="237"/>
  <c r="C18" i="108"/>
  <c r="C18" i="261"/>
  <c r="C18" i="225"/>
  <c r="C18" i="249"/>
  <c r="N11" i="275"/>
  <c r="G8" i="278"/>
  <c r="B8" i="273"/>
  <c r="B6" i="274"/>
  <c r="B36" i="274"/>
  <c r="B48" i="272"/>
  <c r="G8" i="267"/>
  <c r="L6" i="270"/>
  <c r="B9" i="258"/>
  <c r="B7" i="268"/>
  <c r="L6" i="259"/>
  <c r="N11" i="264"/>
  <c r="B8" i="262"/>
  <c r="B6" i="263"/>
  <c r="B36" i="263"/>
  <c r="B48" i="261"/>
  <c r="B7" i="256"/>
  <c r="N11" i="252"/>
  <c r="G8" i="255"/>
  <c r="F6" i="198"/>
  <c r="F6" i="194"/>
  <c r="F6" i="199"/>
  <c r="F6" i="192"/>
  <c r="F6" i="195"/>
  <c r="F6" i="190"/>
  <c r="F6" i="187"/>
  <c r="F6" i="182"/>
  <c r="F6" i="177"/>
  <c r="F6" i="171"/>
  <c r="F6" i="166"/>
  <c r="F6" i="160"/>
  <c r="F6" i="183"/>
  <c r="F6" i="178"/>
  <c r="F6" i="172"/>
  <c r="F6" i="161"/>
  <c r="F6" i="193"/>
  <c r="F6" i="191"/>
  <c r="F6" i="184"/>
  <c r="F6" i="175"/>
  <c r="F6" i="173"/>
  <c r="F6" i="167"/>
  <c r="F6" i="162"/>
  <c r="F6" i="196"/>
  <c r="F6" i="188"/>
  <c r="F6" i="185"/>
  <c r="F6" i="179"/>
  <c r="F6" i="168"/>
  <c r="F6" i="163"/>
  <c r="F6" i="180"/>
  <c r="F6" i="169"/>
  <c r="F6" i="164"/>
  <c r="F6" i="158"/>
  <c r="F6" i="197"/>
  <c r="F6" i="189"/>
  <c r="F6" i="186"/>
  <c r="F6" i="181"/>
  <c r="F6" i="176"/>
  <c r="F6" i="174"/>
  <c r="F6" i="170"/>
  <c r="F6" i="165"/>
  <c r="F6" i="159"/>
  <c r="F6" i="157"/>
  <c r="L6" i="235"/>
  <c r="L6" i="247"/>
  <c r="G8" i="231"/>
  <c r="L6" i="223"/>
  <c r="N11" i="228"/>
  <c r="G8" i="243"/>
  <c r="N11" i="240"/>
  <c r="K6" i="199"/>
  <c r="L6" i="192"/>
  <c r="G8" i="208"/>
  <c r="L6" i="195"/>
  <c r="L6" i="193"/>
  <c r="L6" i="183"/>
  <c r="L6" i="178"/>
  <c r="L6" i="172"/>
  <c r="L6" i="161"/>
  <c r="L6" i="194"/>
  <c r="L6" i="191"/>
  <c r="L6" i="184"/>
  <c r="L6" i="175"/>
  <c r="L6" i="173"/>
  <c r="L6" i="167"/>
  <c r="L6" i="162"/>
  <c r="K6" i="198"/>
  <c r="L6" i="196"/>
  <c r="L6" i="188"/>
  <c r="L6" i="185"/>
  <c r="L6" i="179"/>
  <c r="L6" i="168"/>
  <c r="L6" i="163"/>
  <c r="L6" i="180"/>
  <c r="L6" i="169"/>
  <c r="L6" i="164"/>
  <c r="L6" i="158"/>
  <c r="G8" i="209"/>
  <c r="K6" i="197"/>
  <c r="L6" i="189"/>
  <c r="L6" i="186"/>
  <c r="L6" i="181"/>
  <c r="L6" i="176"/>
  <c r="L6" i="174"/>
  <c r="L6" i="170"/>
  <c r="L6" i="165"/>
  <c r="L6" i="159"/>
  <c r="L6" i="190"/>
  <c r="L6" i="187"/>
  <c r="L6" i="182"/>
  <c r="L6" i="177"/>
  <c r="L6" i="171"/>
  <c r="L6" i="166"/>
  <c r="L6" i="160"/>
  <c r="L6" i="157"/>
  <c r="M8" i="131"/>
  <c r="M8" i="129"/>
  <c r="M8" i="130"/>
  <c r="M8" i="122"/>
  <c r="G8" i="115"/>
  <c r="G7" i="116"/>
  <c r="G8" i="114"/>
  <c r="N11" i="111"/>
  <c r="L6" i="106"/>
  <c r="H22" i="56"/>
  <c r="B7" i="220"/>
  <c r="B9" i="246"/>
  <c r="B9" i="222"/>
  <c r="B9" i="234"/>
  <c r="B7" i="232"/>
  <c r="B7" i="244"/>
  <c r="B6" i="128"/>
  <c r="B6" i="125"/>
  <c r="B6" i="126"/>
  <c r="B6" i="127"/>
  <c r="B7" i="104"/>
  <c r="B9" i="105"/>
  <c r="B7" i="103"/>
  <c r="Q10" i="2"/>
  <c r="B6" i="251"/>
  <c r="B36" i="239"/>
  <c r="B6" i="227"/>
  <c r="B8" i="238"/>
  <c r="B48" i="237"/>
  <c r="B8" i="250"/>
  <c r="B8" i="226"/>
  <c r="B36" i="251"/>
  <c r="B6" i="239"/>
  <c r="B36" i="227"/>
  <c r="B48" i="249"/>
  <c r="B48" i="225"/>
  <c r="B48" i="108"/>
  <c r="B36" i="110"/>
  <c r="B8" i="109"/>
  <c r="B6" i="110"/>
  <c r="D45" i="2"/>
  <c r="D48" i="2"/>
  <c r="I8" i="377" l="1"/>
  <c r="I8" i="378"/>
  <c r="I8" i="375"/>
  <c r="I8" i="376"/>
  <c r="H9" i="275"/>
  <c r="I8" i="374"/>
  <c r="H9" i="264"/>
  <c r="E6" i="270"/>
  <c r="H9" i="252"/>
  <c r="E6" i="259"/>
  <c r="E6" i="223"/>
  <c r="E6" i="247"/>
  <c r="H9" i="240"/>
  <c r="E6" i="235"/>
  <c r="H9" i="228"/>
  <c r="G6" i="130"/>
  <c r="G6" i="129"/>
  <c r="G6" i="131"/>
  <c r="G6" i="122"/>
  <c r="H9" i="111"/>
  <c r="E6" i="106"/>
  <c r="Q11" i="2"/>
  <c r="M10" i="97"/>
  <c r="Q12" i="2" l="1"/>
  <c r="M22" i="36"/>
  <c r="I15" i="24" s="1"/>
  <c r="C34" i="121" s="1"/>
  <c r="Q13" i="2" l="1"/>
  <c r="M20" i="97"/>
  <c r="M21" i="97"/>
  <c r="M22" i="97"/>
  <c r="M23" i="97"/>
  <c r="M24" i="97"/>
  <c r="M25" i="97"/>
  <c r="M15" i="97"/>
  <c r="Q14" i="2" l="1"/>
  <c r="M19" i="97"/>
  <c r="Q15" i="2" l="1"/>
  <c r="M17" i="97"/>
  <c r="M18" i="97"/>
  <c r="M16" i="97"/>
  <c r="Q16" i="2" l="1"/>
  <c r="Q17" i="2" s="1"/>
  <c r="Q18" i="2" s="1"/>
  <c r="Q19" i="2" s="1"/>
  <c r="Q20" i="2" s="1"/>
  <c r="Q21" i="2" s="1"/>
  <c r="Q22" i="2" s="1"/>
  <c r="Q23" i="2" s="1"/>
  <c r="Q24" i="2" s="1"/>
  <c r="Q25" i="2" s="1"/>
  <c r="Q26" i="2" s="1"/>
  <c r="Q27" i="2" s="1"/>
  <c r="Q28" i="2" s="1"/>
  <c r="Q29" i="2" s="1"/>
  <c r="Q30" i="2" s="1"/>
  <c r="Q31" i="2" s="1"/>
  <c r="Q32" i="2" s="1"/>
  <c r="Q33" i="2" s="1"/>
  <c r="Q34" i="2" s="1"/>
  <c r="Q35" i="2" s="1"/>
  <c r="Q36" i="2" s="1"/>
  <c r="Q37" i="2" s="1"/>
  <c r="Q38" i="2" s="1"/>
  <c r="Q39" i="2" s="1"/>
  <c r="Q40" i="2" s="1"/>
  <c r="Q41" i="2" s="1"/>
  <c r="Q42" i="2" s="1"/>
  <c r="Q43" i="2" s="1"/>
  <c r="Q44" i="2" s="1"/>
  <c r="Q45" i="2" s="1"/>
  <c r="Q46" i="2" s="1"/>
  <c r="Q47" i="2" s="1"/>
  <c r="Q48" i="2" s="1"/>
  <c r="Q49" i="2" s="1"/>
  <c r="Q50" i="2" s="1"/>
  <c r="Q51" i="2" s="1"/>
  <c r="Q52" i="2" s="1"/>
  <c r="Q53" i="2" s="1"/>
  <c r="Q54" i="2" s="1"/>
  <c r="Q55" i="2" s="1"/>
  <c r="Q56" i="2" s="1"/>
  <c r="Q57" i="2" s="1"/>
  <c r="Q58" i="2" s="1"/>
  <c r="Q59" i="2" s="1"/>
  <c r="Q60" i="2" s="1"/>
  <c r="Q61" i="2" s="1"/>
  <c r="Q62" i="2" s="1"/>
  <c r="Q63" i="2" s="1"/>
  <c r="Q64" i="2" s="1"/>
  <c r="Q65" i="2" s="1"/>
  <c r="Q66" i="2" s="1"/>
  <c r="Q67" i="2" s="1"/>
  <c r="Q68" i="2" s="1"/>
  <c r="Q69" i="2" s="1"/>
  <c r="Q70" i="2" s="1"/>
  <c r="Q71" i="2" s="1"/>
  <c r="Q72" i="2" s="1"/>
  <c r="Q73" i="2" s="1"/>
  <c r="Q74" i="2" s="1"/>
  <c r="Q75" i="2" s="1"/>
  <c r="Q76" i="2" s="1"/>
  <c r="Q77" i="2" s="1"/>
  <c r="Q78" i="2" s="1"/>
  <c r="Q79" i="2" s="1"/>
  <c r="Q80" i="2" s="1"/>
  <c r="Q81" i="2" s="1"/>
  <c r="Q82" i="2" s="1"/>
  <c r="Q83" i="2" s="1"/>
  <c r="Q84" i="2" s="1"/>
  <c r="Q85" i="2" s="1"/>
  <c r="Q86" i="2" s="1"/>
  <c r="Q87" i="2" s="1"/>
  <c r="Q88" i="2" s="1"/>
  <c r="Q89" i="2" s="1"/>
  <c r="Q90" i="2" s="1"/>
  <c r="Q91" i="2" s="1"/>
  <c r="Q92" i="2" s="1"/>
  <c r="Q93" i="2" s="1"/>
  <c r="Q94" i="2" s="1"/>
  <c r="Q95" i="2" s="1"/>
  <c r="Q96" i="2" s="1"/>
  <c r="Q97" i="2" s="1"/>
  <c r="Q98" i="2" s="1"/>
  <c r="Q99" i="2" s="1"/>
  <c r="Q100" i="2" s="1"/>
  <c r="Q101" i="2" s="1"/>
  <c r="Q102" i="2" s="1"/>
  <c r="Q103" i="2" s="1"/>
  <c r="Q104" i="2" s="1"/>
  <c r="Q105" i="2" s="1"/>
  <c r="Q106" i="2" s="1"/>
  <c r="Q107" i="2" s="1"/>
  <c r="Q108" i="2" s="1"/>
  <c r="Q109" i="2" s="1"/>
  <c r="Q110" i="2" s="1"/>
  <c r="Q111" i="2" s="1"/>
  <c r="Q112" i="2" s="1"/>
  <c r="Q113" i="2" s="1"/>
  <c r="Q114" i="2" s="1"/>
  <c r="Q115" i="2" s="1"/>
  <c r="Q116" i="2" s="1"/>
  <c r="Q117" i="2" s="1"/>
  <c r="Q118" i="2" s="1"/>
  <c r="Q119" i="2" s="1"/>
  <c r="Q120" i="2" s="1"/>
  <c r="Q121" i="2" s="1"/>
  <c r="Q122" i="2" s="1"/>
  <c r="Q123" i="2" s="1"/>
  <c r="Q124" i="2" s="1"/>
  <c r="Q125" i="2" s="1"/>
  <c r="Q126" i="2" s="1"/>
  <c r="Q127" i="2" s="1"/>
  <c r="Q128" i="2" s="1"/>
  <c r="Q129" i="2" s="1"/>
  <c r="Q130" i="2" s="1"/>
  <c r="Q131" i="2" s="1"/>
  <c r="Q132" i="2" s="1"/>
  <c r="Q133" i="2" s="1"/>
  <c r="Q134" i="2" s="1"/>
  <c r="Q135" i="2" s="1"/>
  <c r="Q136" i="2" s="1"/>
  <c r="Q137" i="2" s="1"/>
  <c r="Q138" i="2" s="1"/>
  <c r="Q139" i="2" s="1"/>
  <c r="Q140" i="2" s="1"/>
  <c r="Q141" i="2" s="1"/>
  <c r="Q142" i="2" s="1"/>
  <c r="Q143" i="2" s="1"/>
  <c r="Q144" i="2" s="1"/>
  <c r="Q145" i="2" s="1"/>
  <c r="Q146" i="2" s="1"/>
  <c r="Q147" i="2" s="1"/>
  <c r="Q148" i="2" s="1"/>
  <c r="Q149" i="2" s="1"/>
  <c r="Q150" i="2" s="1"/>
  <c r="Q151" i="2" s="1"/>
  <c r="Q152" i="2" s="1"/>
  <c r="Q153" i="2" s="1"/>
  <c r="Q154" i="2" s="1"/>
  <c r="Q155" i="2" s="1"/>
  <c r="Q156" i="2" s="1"/>
  <c r="Q157" i="2" s="1"/>
  <c r="Q158" i="2" s="1"/>
  <c r="Q159" i="2" s="1"/>
  <c r="Q160" i="2" s="1"/>
  <c r="Q161" i="2" s="1"/>
  <c r="Q162" i="2" s="1"/>
  <c r="Q163" i="2" s="1"/>
  <c r="Q164" i="2" s="1"/>
  <c r="Q165" i="2" s="1"/>
  <c r="Q166" i="2" s="1"/>
  <c r="Q167" i="2" s="1"/>
  <c r="Q168" i="2" s="1"/>
  <c r="Q169" i="2" s="1"/>
  <c r="Q170" i="2" s="1"/>
  <c r="Q171" i="2" s="1"/>
  <c r="Q172" i="2" s="1"/>
  <c r="Q173" i="2" s="1"/>
  <c r="Q174" i="2" s="1"/>
  <c r="Q175" i="2" s="1"/>
  <c r="Q176" i="2" s="1"/>
  <c r="Q177" i="2" s="1"/>
  <c r="Q178" i="2" s="1"/>
  <c r="Q179" i="2" s="1"/>
  <c r="Q180" i="2" s="1"/>
  <c r="Q181" i="2" s="1"/>
  <c r="Q182" i="2" s="1"/>
  <c r="Q183" i="2" s="1"/>
  <c r="Q184" i="2" s="1"/>
  <c r="Q185" i="2" s="1"/>
  <c r="Q186" i="2" s="1"/>
  <c r="Q187" i="2" s="1"/>
  <c r="Q188" i="2" s="1"/>
  <c r="Q189" i="2" s="1"/>
  <c r="Q190" i="2" s="1"/>
  <c r="Q191" i="2" s="1"/>
  <c r="Q192" i="2" s="1"/>
  <c r="Q193" i="2" s="1"/>
  <c r="Q194" i="2" s="1"/>
  <c r="Q195" i="2" s="1"/>
  <c r="Q196" i="2" s="1"/>
  <c r="Q197" i="2" s="1"/>
  <c r="Q198" i="2" s="1"/>
  <c r="Q199" i="2" s="1"/>
  <c r="Q200" i="2" s="1"/>
  <c r="Q201" i="2" s="1"/>
  <c r="Q202" i="2" s="1"/>
  <c r="Q203" i="2" s="1"/>
  <c r="Q204" i="2" s="1"/>
  <c r="Q205" i="2" s="1"/>
  <c r="Q206" i="2" s="1"/>
  <c r="Q207" i="2" s="1"/>
  <c r="Q208" i="2" s="1"/>
  <c r="Q209" i="2" s="1"/>
  <c r="Q210" i="2" s="1"/>
  <c r="Q211" i="2" s="1"/>
  <c r="Q212" i="2" s="1"/>
  <c r="Q213" i="2" s="1"/>
  <c r="Q214" i="2" s="1"/>
  <c r="Q215" i="2" s="1"/>
  <c r="Q216" i="2" s="1"/>
  <c r="Q217" i="2" s="1"/>
  <c r="Q218" i="2" s="1"/>
  <c r="Q219" i="2" s="1"/>
  <c r="Q220" i="2" s="1"/>
  <c r="Q221" i="2" s="1"/>
  <c r="Q222" i="2" s="1"/>
  <c r="Q223" i="2" s="1"/>
  <c r="Q224" i="2" s="1"/>
  <c r="Q225" i="2" s="1"/>
  <c r="Q226" i="2" s="1"/>
  <c r="Q227" i="2" s="1"/>
  <c r="Q228" i="2" s="1"/>
  <c r="Q229" i="2" s="1"/>
  <c r="Q230" i="2" s="1"/>
  <c r="Q231" i="2" s="1"/>
  <c r="Q232" i="2" s="1"/>
  <c r="Q233" i="2" s="1"/>
  <c r="Q234" i="2" s="1"/>
  <c r="Q235" i="2" s="1"/>
  <c r="Q236" i="2" s="1"/>
  <c r="Q237" i="2" s="1"/>
  <c r="Q238" i="2" s="1"/>
  <c r="Q239" i="2" s="1"/>
  <c r="Q240" i="2" s="1"/>
  <c r="Q241" i="2" s="1"/>
  <c r="Q242" i="2" s="1"/>
  <c r="Q243" i="2" s="1"/>
  <c r="Q244" i="2" s="1"/>
  <c r="Q245" i="2" s="1"/>
  <c r="Q246" i="2" s="1"/>
  <c r="Q247" i="2" s="1"/>
  <c r="Q248" i="2" s="1"/>
  <c r="Q249" i="2" s="1"/>
  <c r="Q250" i="2" s="1"/>
  <c r="Q251" i="2" s="1"/>
  <c r="Q252" i="2" s="1"/>
  <c r="Q253" i="2" s="1"/>
  <c r="Q254" i="2" s="1"/>
  <c r="Q255" i="2" s="1"/>
  <c r="Q256" i="2" s="1"/>
  <c r="Q257" i="2" s="1"/>
  <c r="Q258" i="2" s="1"/>
  <c r="Q259" i="2" s="1"/>
  <c r="Q260" i="2" s="1"/>
  <c r="Q261" i="2" s="1"/>
  <c r="Q262" i="2" s="1"/>
  <c r="Q263" i="2" s="1"/>
  <c r="Q264" i="2" s="1"/>
  <c r="Q265" i="2" s="1"/>
  <c r="Q266" i="2" s="1"/>
  <c r="Q267" i="2" s="1"/>
  <c r="Q268" i="2" s="1"/>
  <c r="Q269" i="2" s="1"/>
  <c r="Q270" i="2" s="1"/>
  <c r="Q271" i="2" s="1"/>
  <c r="Q272" i="2" s="1"/>
  <c r="Q273" i="2" s="1"/>
  <c r="Q274" i="2" s="1"/>
  <c r="Q275" i="2" s="1"/>
  <c r="Q276" i="2" s="1"/>
  <c r="Q277" i="2" s="1"/>
  <c r="Q278" i="2" s="1"/>
  <c r="Q279" i="2" s="1"/>
  <c r="Q280" i="2" s="1"/>
  <c r="Q281" i="2" s="1"/>
  <c r="Q282" i="2" s="1"/>
  <c r="Q283" i="2" s="1"/>
  <c r="Q284" i="2" s="1"/>
  <c r="Q285" i="2" s="1"/>
  <c r="Q286" i="2" s="1"/>
  <c r="Q287" i="2" s="1"/>
  <c r="Q288" i="2" s="1"/>
  <c r="Q289" i="2" s="1"/>
  <c r="Q290" i="2" s="1"/>
  <c r="Q291" i="2" s="1"/>
  <c r="Q292" i="2" s="1"/>
  <c r="Q293" i="2" s="1"/>
  <c r="Q294" i="2" s="1"/>
  <c r="Q295" i="2" s="1"/>
  <c r="Q296" i="2" s="1"/>
  <c r="Q297" i="2" s="1"/>
  <c r="Q298" i="2" s="1"/>
  <c r="Q299" i="2" s="1"/>
  <c r="Q300" i="2" s="1"/>
  <c r="Q301" i="2" s="1"/>
  <c r="Q302" i="2" s="1"/>
  <c r="Q303" i="2" s="1"/>
  <c r="Q304" i="2" s="1"/>
  <c r="Q305" i="2" s="1"/>
  <c r="Q306" i="2" s="1"/>
  <c r="Q307" i="2" s="1"/>
  <c r="Q308" i="2" s="1"/>
  <c r="Q309" i="2" s="1"/>
  <c r="Q310" i="2" s="1"/>
  <c r="Q311" i="2" s="1"/>
  <c r="Q312" i="2" s="1"/>
  <c r="Q313" i="2" s="1"/>
  <c r="Q314" i="2" s="1"/>
  <c r="Q315" i="2" s="1"/>
  <c r="Q316" i="2" s="1"/>
  <c r="Q317" i="2" s="1"/>
  <c r="Q318" i="2" s="1"/>
  <c r="Q319" i="2" s="1"/>
  <c r="Q320" i="2" s="1"/>
  <c r="Q321" i="2" s="1"/>
  <c r="Q322" i="2" s="1"/>
  <c r="Q323" i="2" s="1"/>
  <c r="Q324" i="2" s="1"/>
  <c r="Q325" i="2" s="1"/>
  <c r="Q326" i="2" s="1"/>
  <c r="Q327" i="2" s="1"/>
  <c r="Q328" i="2" s="1"/>
  <c r="Q329" i="2" s="1"/>
  <c r="Q330" i="2" s="1"/>
  <c r="Q331" i="2" s="1"/>
  <c r="Q332" i="2" s="1"/>
  <c r="Q333" i="2" s="1"/>
  <c r="Q334" i="2" s="1"/>
  <c r="Q335" i="2" s="1"/>
  <c r="Q336" i="2" s="1"/>
  <c r="Q337" i="2" s="1"/>
  <c r="Q338" i="2" s="1"/>
  <c r="Q339" i="2" s="1"/>
  <c r="Q340" i="2" s="1"/>
  <c r="Q341" i="2" s="1"/>
  <c r="Q342" i="2" s="1"/>
  <c r="Q343" i="2" s="1"/>
  <c r="Q344" i="2" s="1"/>
  <c r="Q345" i="2" s="1"/>
  <c r="Q346" i="2" s="1"/>
  <c r="Q347" i="2" s="1"/>
  <c r="Q348" i="2" s="1"/>
  <c r="Q349" i="2" s="1"/>
  <c r="Q350" i="2" s="1"/>
  <c r="Q351" i="2" s="1"/>
  <c r="Q352" i="2" s="1"/>
  <c r="Q353" i="2" s="1"/>
  <c r="Q354" i="2" s="1"/>
  <c r="Q355" i="2" s="1"/>
  <c r="Q356" i="2" s="1"/>
  <c r="Q357" i="2" s="1"/>
  <c r="Q358" i="2" s="1"/>
  <c r="Q359" i="2" s="1"/>
  <c r="Q360" i="2" s="1"/>
  <c r="Q361" i="2" s="1"/>
  <c r="Q362" i="2" s="1"/>
  <c r="Q363" i="2" s="1"/>
  <c r="Q364" i="2" s="1"/>
  <c r="Q365" i="2" s="1"/>
  <c r="Q366" i="2" s="1"/>
  <c r="Q367" i="2" s="1"/>
  <c r="Q368" i="2" s="1"/>
  <c r="Q369" i="2" s="1"/>
  <c r="Q370" i="2" s="1"/>
  <c r="Q371" i="2" s="1"/>
  <c r="Q372" i="2" s="1"/>
  <c r="Q373" i="2" s="1"/>
  <c r="Q374" i="2" s="1"/>
  <c r="Q375" i="2" s="1"/>
  <c r="Q376" i="2" s="1"/>
  <c r="Q377" i="2" s="1"/>
  <c r="Q378" i="2" s="1"/>
  <c r="Q379" i="2" s="1"/>
  <c r="Q380" i="2" s="1"/>
  <c r="Q381" i="2" s="1"/>
  <c r="Q382" i="2" s="1"/>
  <c r="Q383" i="2" s="1"/>
  <c r="Q384" i="2" s="1"/>
  <c r="Q385" i="2" s="1"/>
  <c r="Q386" i="2" s="1"/>
  <c r="Q387" i="2" s="1"/>
  <c r="Q388" i="2" s="1"/>
  <c r="Q389" i="2" s="1"/>
  <c r="Q390" i="2" s="1"/>
  <c r="Q391" i="2" s="1"/>
  <c r="Q392" i="2" s="1"/>
  <c r="Q393" i="2" s="1"/>
  <c r="Q394" i="2" s="1"/>
  <c r="Q395" i="2" s="1"/>
  <c r="Q396" i="2" s="1"/>
  <c r="Q397" i="2" s="1"/>
  <c r="Q398" i="2" s="1"/>
  <c r="Q399" i="2" s="1"/>
  <c r="Q400" i="2" s="1"/>
  <c r="Q401" i="2" s="1"/>
  <c r="Q402" i="2" s="1"/>
  <c r="Q403" i="2" s="1"/>
  <c r="Q404" i="2" s="1"/>
  <c r="Q405" i="2" s="1"/>
  <c r="Q406" i="2" s="1"/>
  <c r="Q407" i="2" s="1"/>
  <c r="Q408" i="2" s="1"/>
  <c r="Q409" i="2" s="1"/>
  <c r="Q410" i="2" s="1"/>
  <c r="Q411" i="2" s="1"/>
  <c r="Q412" i="2" s="1"/>
  <c r="Q413" i="2" s="1"/>
  <c r="Q414" i="2" s="1"/>
  <c r="Q415" i="2" s="1"/>
  <c r="Q416" i="2" s="1"/>
  <c r="Q417" i="2" s="1"/>
  <c r="Q418" i="2" s="1"/>
  <c r="Q419" i="2" s="1"/>
  <c r="Q420" i="2" s="1"/>
  <c r="Q421" i="2" s="1"/>
  <c r="Q422" i="2" s="1"/>
  <c r="Q423" i="2" s="1"/>
  <c r="Q424" i="2" s="1"/>
  <c r="Q425" i="2" s="1"/>
  <c r="Q426" i="2" s="1"/>
  <c r="Q427" i="2" s="1"/>
  <c r="Q428" i="2" s="1"/>
  <c r="Q429" i="2" s="1"/>
  <c r="Q430" i="2" s="1"/>
  <c r="Q431" i="2" s="1"/>
  <c r="Q432" i="2" s="1"/>
  <c r="Q433" i="2" s="1"/>
  <c r="Q434" i="2" s="1"/>
  <c r="Q435" i="2" s="1"/>
  <c r="Q436" i="2" s="1"/>
  <c r="Q437" i="2" s="1"/>
  <c r="Q438" i="2" s="1"/>
  <c r="Q439" i="2" s="1"/>
  <c r="Q440" i="2" s="1"/>
  <c r="Q441" i="2" s="1"/>
  <c r="Q442" i="2" s="1"/>
  <c r="Q443" i="2" s="1"/>
  <c r="Q444" i="2" s="1"/>
  <c r="Q445" i="2" s="1"/>
  <c r="Q446" i="2" s="1"/>
  <c r="Q447" i="2" s="1"/>
  <c r="Q448" i="2" s="1"/>
  <c r="Q449" i="2" s="1"/>
  <c r="Q450" i="2" s="1"/>
  <c r="Q451" i="2" s="1"/>
  <c r="Q452" i="2" s="1"/>
  <c r="Q453" i="2" s="1"/>
  <c r="Q454" i="2" s="1"/>
  <c r="Q455" i="2" s="1"/>
  <c r="Q456" i="2" s="1"/>
  <c r="Q457" i="2" s="1"/>
  <c r="Q458" i="2" s="1"/>
  <c r="Q459" i="2" s="1"/>
  <c r="Q460" i="2" s="1"/>
  <c r="Q461" i="2" s="1"/>
  <c r="Q462" i="2" s="1"/>
  <c r="Q463" i="2" s="1"/>
  <c r="Q464" i="2" s="1"/>
  <c r="Q465" i="2" s="1"/>
  <c r="Q466" i="2" s="1"/>
  <c r="Q467" i="2" s="1"/>
  <c r="Q468" i="2" s="1"/>
  <c r="Q469" i="2" s="1"/>
  <c r="Q470" i="2" s="1"/>
  <c r="Q471" i="2" s="1"/>
  <c r="Q472" i="2" s="1"/>
  <c r="Q473" i="2" s="1"/>
  <c r="Q474" i="2" s="1"/>
  <c r="Q475" i="2" s="1"/>
  <c r="Q476" i="2" s="1"/>
  <c r="Q477" i="2" s="1"/>
  <c r="Q478" i="2" s="1"/>
  <c r="Q479" i="2" s="1"/>
  <c r="Q480" i="2" s="1"/>
  <c r="Q481" i="2" s="1"/>
  <c r="Q482" i="2" s="1"/>
  <c r="Q483" i="2" s="1"/>
  <c r="Q484" i="2" s="1"/>
  <c r="Q485" i="2" s="1"/>
  <c r="Q486" i="2" s="1"/>
  <c r="Q487" i="2" s="1"/>
  <c r="Q488" i="2" s="1"/>
  <c r="Q489" i="2" s="1"/>
  <c r="Q490" i="2" s="1"/>
  <c r="Q491" i="2" s="1"/>
  <c r="Q492" i="2" s="1"/>
  <c r="Q493" i="2" s="1"/>
  <c r="Q494" i="2" s="1"/>
  <c r="Q495" i="2" s="1"/>
  <c r="Q496" i="2" s="1"/>
  <c r="Q497" i="2" s="1"/>
  <c r="Q498" i="2" s="1"/>
  <c r="Q499" i="2" s="1"/>
  <c r="Q500" i="2" s="1"/>
  <c r="Q501" i="2" s="1"/>
  <c r="Q502" i="2" s="1"/>
  <c r="Q503" i="2" s="1"/>
  <c r="Q504" i="2" s="1"/>
  <c r="Q505" i="2" s="1"/>
  <c r="Q506" i="2" s="1"/>
  <c r="Q507" i="2" s="1"/>
  <c r="Q508" i="2" s="1"/>
  <c r="Q509" i="2" s="1"/>
  <c r="Q510" i="2" s="1"/>
  <c r="Q511" i="2" s="1"/>
  <c r="Q512" i="2" s="1"/>
  <c r="Q513" i="2" s="1"/>
  <c r="Q514" i="2" s="1"/>
  <c r="Q515" i="2" s="1"/>
  <c r="Q516" i="2" s="1"/>
  <c r="Q517" i="2" s="1"/>
  <c r="Q518" i="2" s="1"/>
  <c r="Q519" i="2" s="1"/>
  <c r="Q520" i="2" s="1"/>
  <c r="Q521" i="2" s="1"/>
  <c r="Q522" i="2" s="1"/>
  <c r="Q523" i="2" s="1"/>
  <c r="Q524" i="2" s="1"/>
  <c r="Q525" i="2" s="1"/>
  <c r="Q526" i="2" s="1"/>
  <c r="Q527" i="2" s="1"/>
  <c r="Q528" i="2" s="1"/>
  <c r="Q529" i="2" s="1"/>
  <c r="Q530" i="2" s="1"/>
  <c r="Q531" i="2" s="1"/>
  <c r="Q532" i="2" s="1"/>
  <c r="Q533" i="2" s="1"/>
  <c r="Q534" i="2" s="1"/>
  <c r="Q535" i="2" s="1"/>
  <c r="Q536" i="2" s="1"/>
  <c r="Q537" i="2" s="1"/>
  <c r="Q538" i="2" s="1"/>
  <c r="Q539" i="2" s="1"/>
  <c r="Q540" i="2" s="1"/>
  <c r="Q541" i="2" s="1"/>
  <c r="Q542" i="2" s="1"/>
  <c r="Q543" i="2" s="1"/>
  <c r="Q544" i="2" s="1"/>
  <c r="Q545" i="2" s="1"/>
  <c r="Q546" i="2" s="1"/>
  <c r="Q547" i="2" s="1"/>
  <c r="Q548" i="2" s="1"/>
  <c r="Q549" i="2" s="1"/>
  <c r="Q550" i="2" s="1"/>
  <c r="Q551" i="2" s="1"/>
  <c r="Q552" i="2" s="1"/>
  <c r="Q553" i="2" s="1"/>
  <c r="Q554" i="2" s="1"/>
  <c r="Q555" i="2" s="1"/>
  <c r="Q556" i="2" s="1"/>
  <c r="Q557" i="2" s="1"/>
  <c r="Q558" i="2" s="1"/>
  <c r="Q559" i="2" s="1"/>
  <c r="Q560" i="2" s="1"/>
  <c r="Q561" i="2" s="1"/>
  <c r="Q562" i="2" s="1"/>
  <c r="Q563" i="2" s="1"/>
  <c r="Q564" i="2" s="1"/>
  <c r="Q565" i="2" s="1"/>
  <c r="Q566" i="2" s="1"/>
  <c r="Q567" i="2" s="1"/>
  <c r="Q568" i="2" s="1"/>
  <c r="Q569" i="2" s="1"/>
  <c r="Q570" i="2" s="1"/>
  <c r="Q571" i="2" s="1"/>
  <c r="Q572" i="2" s="1"/>
  <c r="Q573" i="2" s="1"/>
  <c r="Q574" i="2" s="1"/>
  <c r="Q575" i="2" s="1"/>
  <c r="Q576" i="2" s="1"/>
  <c r="Q577" i="2" s="1"/>
  <c r="Q578" i="2" s="1"/>
  <c r="Q579" i="2" s="1"/>
  <c r="Q580" i="2" s="1"/>
  <c r="Q581" i="2" s="1"/>
  <c r="Q582" i="2" s="1"/>
  <c r="Q583" i="2" s="1"/>
  <c r="Q584" i="2" s="1"/>
  <c r="Q585" i="2" s="1"/>
  <c r="Q586" i="2" s="1"/>
  <c r="Q587" i="2" s="1"/>
  <c r="Q588" i="2" s="1"/>
  <c r="Q589" i="2" s="1"/>
  <c r="Q590" i="2" s="1"/>
  <c r="Q591" i="2" s="1"/>
  <c r="Q592" i="2" s="1"/>
  <c r="I12" i="28"/>
  <c r="J12" i="28" s="1"/>
  <c r="J11" i="28"/>
  <c r="D12" i="2" l="1"/>
  <c r="D11" i="2"/>
  <c r="D9" i="2"/>
  <c r="B2" i="121" s="1"/>
  <c r="D14" i="2"/>
  <c r="D10" i="2"/>
  <c r="C2" i="121" s="1"/>
  <c r="D37" i="2"/>
  <c r="D39" i="2"/>
  <c r="D2" i="121" s="1"/>
  <c r="L27" i="17"/>
  <c r="L8" i="157" s="1"/>
  <c r="L27" i="157" s="1"/>
  <c r="L8" i="158" s="1"/>
  <c r="L27" i="158" s="1"/>
  <c r="L8" i="159" s="1"/>
  <c r="L27" i="159" s="1"/>
  <c r="L8" i="160" s="1"/>
  <c r="L27" i="160" s="1"/>
  <c r="L8" i="161" s="1"/>
  <c r="L27" i="161" s="1"/>
  <c r="L8" i="162" s="1"/>
  <c r="L27" i="162" s="1"/>
  <c r="L8" i="163" s="1"/>
  <c r="L27" i="163" s="1"/>
  <c r="L8" i="164" s="1"/>
  <c r="L27" i="164" s="1"/>
  <c r="L8" i="165" s="1"/>
  <c r="L27" i="165" s="1"/>
  <c r="L8" i="166" s="1"/>
  <c r="L27" i="166" s="1"/>
  <c r="L8" i="167" s="1"/>
  <c r="L27" i="167" s="1"/>
  <c r="L8" i="168" s="1"/>
  <c r="L27" i="168" s="1"/>
  <c r="L8" i="169" s="1"/>
  <c r="L27" i="169" s="1"/>
  <c r="L8" i="170" s="1"/>
  <c r="L27" i="170" s="1"/>
  <c r="L8" i="171" s="1"/>
  <c r="L27" i="171" s="1"/>
  <c r="L8" i="172" s="1"/>
  <c r="L27" i="172" s="1"/>
  <c r="L8" i="173" s="1"/>
  <c r="L27" i="173" s="1"/>
  <c r="L8" i="174" s="1"/>
  <c r="L27" i="174" s="1"/>
  <c r="L8" i="175" s="1"/>
  <c r="L27" i="175" s="1"/>
  <c r="L8" i="176" s="1"/>
  <c r="L27" i="176" s="1"/>
  <c r="L8" i="177" s="1"/>
  <c r="L27" i="177" s="1"/>
  <c r="L8" i="178" s="1"/>
  <c r="L27" i="178" s="1"/>
  <c r="L8" i="179" s="1"/>
  <c r="L27" i="179" s="1"/>
  <c r="L8" i="180" s="1"/>
  <c r="L27" i="180" s="1"/>
  <c r="L8" i="181" s="1"/>
  <c r="L27" i="181" s="1"/>
  <c r="L8" i="182" s="1"/>
  <c r="L27" i="182" s="1"/>
  <c r="L8" i="183" s="1"/>
  <c r="L27" i="183" s="1"/>
  <c r="L8" i="184" s="1"/>
  <c r="L27" i="184" s="1"/>
  <c r="L8" i="185" s="1"/>
  <c r="L27" i="185" s="1"/>
  <c r="L8" i="186" s="1"/>
  <c r="L27" i="186" s="1"/>
  <c r="L8" i="187" s="1"/>
  <c r="L27" i="187" s="1"/>
  <c r="L8" i="188" s="1"/>
  <c r="L27" i="188" s="1"/>
  <c r="L8" i="189" s="1"/>
  <c r="L27" i="189" s="1"/>
  <c r="L8" i="190" s="1"/>
  <c r="L27" i="190" s="1"/>
  <c r="L8" i="191" s="1"/>
  <c r="L27" i="191" s="1"/>
  <c r="L8" i="192" s="1"/>
  <c r="F27" i="15"/>
  <c r="F8" i="16" s="1"/>
  <c r="H46" i="54" l="1"/>
  <c r="L27" i="192"/>
  <c r="L8" i="193" s="1"/>
  <c r="L27" i="193" s="1"/>
  <c r="L8" i="194" s="1"/>
  <c r="L27" i="194" s="1"/>
  <c r="L8" i="195" s="1"/>
  <c r="L27" i="195" s="1"/>
  <c r="L8" i="196" s="1"/>
  <c r="L27" i="196" s="1"/>
  <c r="H33" i="7" s="1"/>
  <c r="D45" i="91"/>
  <c r="B43" i="12"/>
  <c r="B41" i="12"/>
  <c r="I31" i="24"/>
  <c r="H61" i="54" l="1"/>
  <c r="D86" i="91" l="1"/>
  <c r="D75" i="91"/>
  <c r="D65" i="91"/>
  <c r="D41" i="91"/>
  <c r="B3" i="91"/>
  <c r="C42" i="47"/>
  <c r="L52" i="48"/>
  <c r="H52" i="48"/>
  <c r="D47" i="48"/>
  <c r="D42" i="48"/>
  <c r="D45" i="48"/>
  <c r="D40" i="48"/>
  <c r="C33" i="48"/>
  <c r="E25" i="48"/>
  <c r="D20" i="48"/>
  <c r="D13" i="48"/>
  <c r="D12" i="48"/>
  <c r="B17" i="58"/>
  <c r="B16" i="58"/>
  <c r="B9" i="58"/>
  <c r="B27" i="51"/>
  <c r="J32" i="51"/>
  <c r="C19" i="51"/>
  <c r="B10" i="51"/>
  <c r="B9" i="51"/>
  <c r="B15" i="51"/>
  <c r="B8" i="51"/>
  <c r="B37" i="50"/>
  <c r="B9" i="50"/>
  <c r="B31" i="50"/>
  <c r="B8" i="50"/>
  <c r="G6" i="46"/>
  <c r="G6" i="45"/>
  <c r="K4" i="45"/>
  <c r="E4" i="45"/>
  <c r="G7" i="98"/>
  <c r="C25" i="44"/>
  <c r="G8" i="44"/>
  <c r="D27" i="43"/>
  <c r="G8" i="43"/>
  <c r="J5" i="43"/>
  <c r="J5" i="44" s="1"/>
  <c r="B3" i="42"/>
  <c r="K37" i="42"/>
  <c r="I38" i="42"/>
  <c r="B36" i="42"/>
  <c r="B28" i="42"/>
  <c r="G29" i="42"/>
  <c r="B25" i="42"/>
  <c r="B24" i="42"/>
  <c r="B14" i="42"/>
  <c r="B13" i="42"/>
  <c r="B11" i="42"/>
  <c r="B22" i="42" s="1"/>
  <c r="B7" i="42"/>
  <c r="B17" i="42" s="1"/>
  <c r="B29" i="96"/>
  <c r="B15" i="96"/>
  <c r="B26" i="96" s="1"/>
  <c r="B14" i="96"/>
  <c r="B25" i="96" s="1"/>
  <c r="J6" i="38"/>
  <c r="B3" i="96"/>
  <c r="B3" i="38"/>
  <c r="G30" i="38"/>
  <c r="B29" i="38"/>
  <c r="B25" i="38"/>
  <c r="B15" i="38"/>
  <c r="B14" i="38"/>
  <c r="B12" i="38"/>
  <c r="B7" i="38"/>
  <c r="B12" i="96" l="1"/>
  <c r="B23" i="96" s="1"/>
  <c r="B12" i="207"/>
  <c r="B23" i="207" s="1"/>
  <c r="B12" i="206"/>
  <c r="B23" i="206" s="1"/>
  <c r="B7" i="96"/>
  <c r="B18" i="96" s="1"/>
  <c r="B7" i="206"/>
  <c r="B18" i="206" s="1"/>
  <c r="B7" i="207"/>
  <c r="B18" i="207" s="1"/>
  <c r="G30" i="96"/>
  <c r="G30" i="207"/>
  <c r="G30" i="206"/>
  <c r="K4" i="46"/>
  <c r="K4" i="214"/>
  <c r="K4" i="215"/>
  <c r="K4" i="211"/>
  <c r="K4" i="210"/>
  <c r="K4" i="216"/>
  <c r="K4" i="217"/>
  <c r="K4" i="212"/>
  <c r="K4" i="218"/>
  <c r="K4" i="213"/>
  <c r="J6" i="96"/>
  <c r="J6" i="42" s="1"/>
  <c r="J6" i="206"/>
  <c r="J6" i="207"/>
  <c r="E4" i="46"/>
  <c r="E4" i="213"/>
  <c r="E4" i="214"/>
  <c r="E4" i="215"/>
  <c r="E4" i="211"/>
  <c r="E4" i="210"/>
  <c r="E4" i="216"/>
  <c r="E4" i="217"/>
  <c r="E4" i="212"/>
  <c r="E4" i="218"/>
  <c r="B26" i="38"/>
  <c r="B18" i="38"/>
  <c r="B23" i="38"/>
  <c r="H5" i="98"/>
  <c r="J8" i="40" l="1"/>
  <c r="J8" i="41" s="1"/>
  <c r="J7" i="40"/>
  <c r="J7" i="41" s="1"/>
  <c r="L8" i="40"/>
  <c r="L8" i="41" s="1"/>
  <c r="I8" i="40"/>
  <c r="I8" i="41" s="1"/>
  <c r="N46" i="37"/>
  <c r="L12" i="37"/>
  <c r="J11" i="37"/>
  <c r="N12" i="37"/>
  <c r="H10" i="37"/>
  <c r="B45" i="39"/>
  <c r="B43" i="39"/>
  <c r="C27" i="39"/>
  <c r="C37" i="39" s="1"/>
  <c r="C7" i="39"/>
  <c r="C20" i="39"/>
  <c r="C30" i="39" s="1"/>
  <c r="C40" i="39" s="1"/>
  <c r="C6" i="39"/>
  <c r="C26" i="39" s="1"/>
  <c r="C36" i="39" s="1"/>
  <c r="C27" i="36"/>
  <c r="C26" i="36"/>
  <c r="C25" i="36"/>
  <c r="C28" i="36"/>
  <c r="C5" i="36"/>
  <c r="B21" i="34" l="1"/>
  <c r="B10" i="34"/>
  <c r="B17" i="34"/>
  <c r="B7" i="34"/>
  <c r="B30" i="29"/>
  <c r="C20" i="29"/>
  <c r="C7" i="29"/>
  <c r="B6" i="35"/>
  <c r="B19" i="35"/>
  <c r="B40" i="35" s="1"/>
  <c r="B60" i="30"/>
  <c r="C37" i="30"/>
  <c r="C35" i="30"/>
  <c r="C29" i="30"/>
  <c r="F26" i="30"/>
  <c r="C25" i="30"/>
  <c r="C19" i="30"/>
  <c r="C17" i="30"/>
  <c r="B3" i="30"/>
  <c r="B41" i="26"/>
  <c r="B19" i="26"/>
  <c r="C11" i="26"/>
  <c r="C10" i="26"/>
  <c r="C9" i="26"/>
  <c r="C14" i="26"/>
  <c r="C7" i="26"/>
  <c r="B35" i="31"/>
  <c r="C29" i="31"/>
  <c r="C28" i="31"/>
  <c r="B22" i="31"/>
  <c r="B21" i="31"/>
  <c r="B15" i="31"/>
  <c r="B3" i="31"/>
  <c r="B37" i="27"/>
  <c r="B9" i="27"/>
  <c r="B8" i="27"/>
  <c r="B7" i="27"/>
  <c r="B6" i="27"/>
  <c r="B4" i="27"/>
  <c r="B2" i="24"/>
  <c r="B36" i="22"/>
  <c r="B28" i="22"/>
  <c r="B17" i="22"/>
  <c r="B38" i="22" s="1"/>
  <c r="B6" i="22"/>
  <c r="B31" i="20"/>
  <c r="B10" i="22" s="1"/>
  <c r="C18" i="20"/>
  <c r="C19" i="21" s="1"/>
  <c r="C40" i="21" s="1"/>
  <c r="B13" i="20"/>
  <c r="B14" i="21" s="1"/>
  <c r="B35" i="21" s="1"/>
  <c r="B12" i="20"/>
  <c r="B13" i="21" s="1"/>
  <c r="B34" i="21" s="1"/>
  <c r="C11" i="20"/>
  <c r="C12" i="21" s="1"/>
  <c r="C33" i="21" s="1"/>
  <c r="B15" i="20"/>
  <c r="B16" i="21" s="1"/>
  <c r="B37" i="21" s="1"/>
  <c r="B29" i="20"/>
  <c r="K6" i="19"/>
  <c r="F6" i="19"/>
  <c r="G4" i="17"/>
  <c r="L6" i="17"/>
  <c r="F6" i="17"/>
  <c r="G4" i="16"/>
  <c r="G4" i="15"/>
  <c r="K6" i="15"/>
  <c r="F6" i="15"/>
  <c r="B2" i="13"/>
  <c r="B3" i="12"/>
  <c r="B6" i="11"/>
  <c r="L6" i="10"/>
  <c r="E6" i="10"/>
  <c r="M8" i="97"/>
  <c r="G6" i="97"/>
  <c r="B6" i="9"/>
  <c r="B6" i="8"/>
  <c r="B6" i="7"/>
  <c r="B6" i="6"/>
  <c r="B6" i="1"/>
  <c r="B6" i="4"/>
  <c r="F21" i="52"/>
  <c r="C46" i="52"/>
  <c r="B43" i="52"/>
  <c r="H61" i="56"/>
  <c r="F11" i="56"/>
  <c r="B51" i="57"/>
  <c r="B49" i="57"/>
  <c r="J6" i="57"/>
  <c r="B2" i="57"/>
  <c r="B10" i="57"/>
  <c r="B9" i="57"/>
  <c r="K7" i="57"/>
  <c r="K5" i="57"/>
  <c r="K6" i="57"/>
  <c r="K6" i="16" l="1"/>
  <c r="K6" i="156"/>
  <c r="K6" i="154"/>
  <c r="K6" i="152"/>
  <c r="K6" i="150"/>
  <c r="K6" i="148"/>
  <c r="K6" i="146"/>
  <c r="K6" i="155"/>
  <c r="K6" i="153"/>
  <c r="K6" i="151"/>
  <c r="K6" i="149"/>
  <c r="K6" i="147"/>
  <c r="K6" i="145"/>
  <c r="K6" i="143"/>
  <c r="K6" i="141"/>
  <c r="K6" i="139"/>
  <c r="K6" i="137"/>
  <c r="K6" i="135"/>
  <c r="K6" i="133"/>
  <c r="K6" i="144"/>
  <c r="K6" i="142"/>
  <c r="K6" i="140"/>
  <c r="K6" i="138"/>
  <c r="K6" i="136"/>
  <c r="K6" i="134"/>
  <c r="B4" i="28"/>
  <c r="B4" i="203"/>
  <c r="B4" i="202"/>
  <c r="B4" i="201"/>
  <c r="B4" i="200"/>
  <c r="B2" i="14"/>
  <c r="B2" i="132"/>
  <c r="B2" i="124"/>
  <c r="B2" i="123"/>
  <c r="F6" i="16"/>
  <c r="F6" i="156"/>
  <c r="F6" i="154"/>
  <c r="F6" i="152"/>
  <c r="F6" i="150"/>
  <c r="F6" i="148"/>
  <c r="F6" i="146"/>
  <c r="F6" i="155"/>
  <c r="F6" i="153"/>
  <c r="F6" i="151"/>
  <c r="F6" i="149"/>
  <c r="F6" i="147"/>
  <c r="F6" i="144"/>
  <c r="F6" i="142"/>
  <c r="F6" i="140"/>
  <c r="F6" i="138"/>
  <c r="F6" i="136"/>
  <c r="F6" i="134"/>
  <c r="F6" i="145"/>
  <c r="F6" i="143"/>
  <c r="F6" i="141"/>
  <c r="F6" i="139"/>
  <c r="F6" i="137"/>
  <c r="F6" i="135"/>
  <c r="F6" i="133"/>
  <c r="B27" i="22"/>
  <c r="B37" i="20"/>
  <c r="B9" i="21"/>
  <c r="B30" i="21" s="1"/>
  <c r="G22" i="4"/>
  <c r="I6" i="12"/>
  <c r="I35" i="24"/>
  <c r="H41" i="32"/>
  <c r="H8" i="204" s="1"/>
  <c r="H41" i="204" s="1"/>
  <c r="H8" i="205" s="1"/>
  <c r="H41" i="205" s="1"/>
  <c r="I16" i="31" s="1"/>
  <c r="G48" i="97"/>
  <c r="G10" i="122" s="1"/>
  <c r="G48" i="122" s="1"/>
  <c r="G10" i="129" s="1"/>
  <c r="G48" i="129" s="1"/>
  <c r="G10" i="130" s="1"/>
  <c r="G48" i="130" s="1"/>
  <c r="G10" i="131" s="1"/>
  <c r="G48" i="131" s="1"/>
  <c r="G33" i="29"/>
  <c r="F35" i="12"/>
  <c r="M11" i="97"/>
  <c r="M12" i="97"/>
  <c r="M14" i="97"/>
  <c r="K18" i="36"/>
  <c r="M19" i="36" s="1"/>
  <c r="G34" i="29"/>
  <c r="G36" i="29"/>
  <c r="J17" i="30"/>
  <c r="N19" i="30" s="1"/>
  <c r="I27" i="17"/>
  <c r="I8" i="157" s="1"/>
  <c r="I27" i="157" s="1"/>
  <c r="I8" i="158" s="1"/>
  <c r="I27" i="158" s="1"/>
  <c r="I8" i="159" s="1"/>
  <c r="I27" i="159" s="1"/>
  <c r="I8" i="160" s="1"/>
  <c r="I27" i="160" s="1"/>
  <c r="I8" i="161" s="1"/>
  <c r="I27" i="161" s="1"/>
  <c r="I8" i="162" s="1"/>
  <c r="I27" i="162" s="1"/>
  <c r="I8" i="163" s="1"/>
  <c r="I27" i="163" s="1"/>
  <c r="I8" i="164" s="1"/>
  <c r="I27" i="164" s="1"/>
  <c r="I8" i="165" s="1"/>
  <c r="I27" i="165" s="1"/>
  <c r="I8" i="166" s="1"/>
  <c r="I27" i="166" s="1"/>
  <c r="I8" i="167" s="1"/>
  <c r="I27" i="167" s="1"/>
  <c r="I8" i="168" s="1"/>
  <c r="I27" i="168" s="1"/>
  <c r="I8" i="169" s="1"/>
  <c r="I27" i="169" s="1"/>
  <c r="I8" i="170" s="1"/>
  <c r="I27" i="170" s="1"/>
  <c r="I8" i="171" s="1"/>
  <c r="I27" i="171" s="1"/>
  <c r="I8" i="172" s="1"/>
  <c r="I27" i="172" s="1"/>
  <c r="I8" i="173" s="1"/>
  <c r="I27" i="173" s="1"/>
  <c r="I8" i="174" s="1"/>
  <c r="I27" i="174" s="1"/>
  <c r="I8" i="175" s="1"/>
  <c r="I27" i="175" s="1"/>
  <c r="I8" i="176" s="1"/>
  <c r="I27" i="176" s="1"/>
  <c r="I8" i="177" s="1"/>
  <c r="I27" i="177" s="1"/>
  <c r="I8" i="178" s="1"/>
  <c r="I27" i="178" s="1"/>
  <c r="I8" i="179" s="1"/>
  <c r="I27" i="179" s="1"/>
  <c r="I8" i="180" s="1"/>
  <c r="I27" i="180" s="1"/>
  <c r="I8" i="181" s="1"/>
  <c r="I27" i="181" s="1"/>
  <c r="I8" i="182" s="1"/>
  <c r="I27" i="182" s="1"/>
  <c r="I8" i="183" s="1"/>
  <c r="I27" i="183" s="1"/>
  <c r="I8" i="184" s="1"/>
  <c r="I27" i="184" s="1"/>
  <c r="I8" i="185" s="1"/>
  <c r="I27" i="185" s="1"/>
  <c r="I8" i="186" s="1"/>
  <c r="I27" i="186" s="1"/>
  <c r="I8" i="187" s="1"/>
  <c r="I27" i="187" s="1"/>
  <c r="I8" i="188" s="1"/>
  <c r="I27" i="188" s="1"/>
  <c r="I8" i="189" s="1"/>
  <c r="I27" i="189" s="1"/>
  <c r="I8" i="190" s="1"/>
  <c r="I27" i="190" s="1"/>
  <c r="I8" i="191" s="1"/>
  <c r="I27" i="191" s="1"/>
  <c r="I8" i="192" s="1"/>
  <c r="I27" i="192" s="1"/>
  <c r="I8" i="193" s="1"/>
  <c r="I27" i="193" s="1"/>
  <c r="I8" i="194" s="1"/>
  <c r="I27" i="194" s="1"/>
  <c r="I8" i="195" s="1"/>
  <c r="I27" i="195" s="1"/>
  <c r="I8" i="196" s="1"/>
  <c r="I27" i="196" s="1"/>
  <c r="J27" i="17"/>
  <c r="J8" i="157" s="1"/>
  <c r="J27" i="157" s="1"/>
  <c r="J8" i="158" s="1"/>
  <c r="J27" i="158" s="1"/>
  <c r="J8" i="159" s="1"/>
  <c r="J27" i="159" s="1"/>
  <c r="J8" i="160" s="1"/>
  <c r="J27" i="160" s="1"/>
  <c r="J8" i="161" s="1"/>
  <c r="J27" i="161" s="1"/>
  <c r="J8" i="162" s="1"/>
  <c r="J27" i="162" s="1"/>
  <c r="J8" i="163" s="1"/>
  <c r="J27" i="163" s="1"/>
  <c r="J8" i="164" s="1"/>
  <c r="J27" i="164" s="1"/>
  <c r="J8" i="165" s="1"/>
  <c r="J27" i="165" s="1"/>
  <c r="J8" i="166" s="1"/>
  <c r="J27" i="166" s="1"/>
  <c r="J8" i="167" s="1"/>
  <c r="J27" i="167" s="1"/>
  <c r="J8" i="168" s="1"/>
  <c r="J27" i="168" s="1"/>
  <c r="J8" i="169" s="1"/>
  <c r="J27" i="169" s="1"/>
  <c r="J8" i="170" s="1"/>
  <c r="J27" i="170" s="1"/>
  <c r="J8" i="171" s="1"/>
  <c r="J27" i="171" s="1"/>
  <c r="J8" i="172" s="1"/>
  <c r="J27" i="172" s="1"/>
  <c r="J8" i="173" s="1"/>
  <c r="J27" i="173" s="1"/>
  <c r="J8" i="174" s="1"/>
  <c r="J27" i="174" s="1"/>
  <c r="J8" i="175" s="1"/>
  <c r="J27" i="175" s="1"/>
  <c r="J8" i="176" s="1"/>
  <c r="J27" i="176" s="1"/>
  <c r="J8" i="177" s="1"/>
  <c r="J27" i="177" s="1"/>
  <c r="J8" i="178" s="1"/>
  <c r="J27" i="178" s="1"/>
  <c r="J8" i="179" s="1"/>
  <c r="J27" i="179" s="1"/>
  <c r="J8" i="180" s="1"/>
  <c r="J27" i="180" s="1"/>
  <c r="J8" i="181" s="1"/>
  <c r="J27" i="181" s="1"/>
  <c r="J8" i="182" s="1"/>
  <c r="J27" i="182" s="1"/>
  <c r="J8" i="183" s="1"/>
  <c r="J27" i="183" s="1"/>
  <c r="J8" i="184" s="1"/>
  <c r="J27" i="184" s="1"/>
  <c r="J8" i="185" s="1"/>
  <c r="J27" i="185" s="1"/>
  <c r="J8" i="186" s="1"/>
  <c r="J27" i="186" s="1"/>
  <c r="J8" i="187" s="1"/>
  <c r="J27" i="187" s="1"/>
  <c r="J8" i="188" s="1"/>
  <c r="J27" i="188" s="1"/>
  <c r="J8" i="189" s="1"/>
  <c r="J27" i="189" s="1"/>
  <c r="J8" i="190" s="1"/>
  <c r="J27" i="190" s="1"/>
  <c r="J8" i="191" s="1"/>
  <c r="J27" i="191" s="1"/>
  <c r="J8" i="192" s="1"/>
  <c r="J27" i="192" s="1"/>
  <c r="J8" i="193" s="1"/>
  <c r="J27" i="193" s="1"/>
  <c r="J8" i="194" s="1"/>
  <c r="J27" i="194" s="1"/>
  <c r="J8" i="195" s="1"/>
  <c r="J27" i="195" s="1"/>
  <c r="J8" i="196" s="1"/>
  <c r="J27" i="196" s="1"/>
  <c r="K27" i="17"/>
  <c r="K8" i="157" s="1"/>
  <c r="K27" i="157" s="1"/>
  <c r="K8" i="158" s="1"/>
  <c r="K27" i="158" s="1"/>
  <c r="K8" i="159" s="1"/>
  <c r="K27" i="159" s="1"/>
  <c r="K8" i="160" s="1"/>
  <c r="K27" i="160" s="1"/>
  <c r="K8" i="161" s="1"/>
  <c r="K27" i="161" s="1"/>
  <c r="K8" i="162" s="1"/>
  <c r="K27" i="162" s="1"/>
  <c r="K8" i="163" s="1"/>
  <c r="K27" i="163" s="1"/>
  <c r="K8" i="164" s="1"/>
  <c r="K27" i="164" s="1"/>
  <c r="K8" i="165" s="1"/>
  <c r="K27" i="165" s="1"/>
  <c r="K8" i="166" s="1"/>
  <c r="K27" i="166" s="1"/>
  <c r="K8" i="167" s="1"/>
  <c r="K27" i="167" s="1"/>
  <c r="K8" i="168" s="1"/>
  <c r="K27" i="168" s="1"/>
  <c r="K8" i="169" s="1"/>
  <c r="K27" i="169" s="1"/>
  <c r="K8" i="170" s="1"/>
  <c r="K27" i="170" s="1"/>
  <c r="K8" i="171" s="1"/>
  <c r="K27" i="171" s="1"/>
  <c r="K8" i="172" s="1"/>
  <c r="K27" i="172" s="1"/>
  <c r="K8" i="173" s="1"/>
  <c r="K27" i="173" s="1"/>
  <c r="K8" i="174" s="1"/>
  <c r="K27" i="174" s="1"/>
  <c r="K8" i="175" s="1"/>
  <c r="K27" i="175" s="1"/>
  <c r="K8" i="176" s="1"/>
  <c r="K27" i="176" s="1"/>
  <c r="K8" i="177" s="1"/>
  <c r="K27" i="177" s="1"/>
  <c r="K8" i="178" s="1"/>
  <c r="K27" i="178" s="1"/>
  <c r="K8" i="179" s="1"/>
  <c r="K27" i="179" s="1"/>
  <c r="K8" i="180" s="1"/>
  <c r="K27" i="180" s="1"/>
  <c r="K8" i="181" s="1"/>
  <c r="K27" i="181" s="1"/>
  <c r="K8" i="182" s="1"/>
  <c r="K27" i="182" s="1"/>
  <c r="K8" i="183" s="1"/>
  <c r="K27" i="183" s="1"/>
  <c r="K8" i="184" s="1"/>
  <c r="K27" i="184" s="1"/>
  <c r="K8" i="185" s="1"/>
  <c r="K27" i="185" s="1"/>
  <c r="K8" i="186" s="1"/>
  <c r="K27" i="186" s="1"/>
  <c r="K8" i="187" s="1"/>
  <c r="K27" i="187" s="1"/>
  <c r="K8" i="188" s="1"/>
  <c r="K27" i="188" s="1"/>
  <c r="K8" i="189" s="1"/>
  <c r="K27" i="189" s="1"/>
  <c r="K8" i="190" s="1"/>
  <c r="K27" i="190" s="1"/>
  <c r="K8" i="191" s="1"/>
  <c r="K27" i="191" s="1"/>
  <c r="K8" i="192" s="1"/>
  <c r="K27" i="192" s="1"/>
  <c r="K8" i="193" s="1"/>
  <c r="K27" i="193" s="1"/>
  <c r="K8" i="194" s="1"/>
  <c r="K27" i="194" s="1"/>
  <c r="K8" i="195" s="1"/>
  <c r="K27" i="195" s="1"/>
  <c r="K8" i="196" s="1"/>
  <c r="K27" i="196" s="1"/>
  <c r="G23" i="43"/>
  <c r="F27" i="19"/>
  <c r="F8" i="197" s="1"/>
  <c r="F27" i="197" s="1"/>
  <c r="F8" i="198" s="1"/>
  <c r="F27" i="198" s="1"/>
  <c r="F8" i="199" s="1"/>
  <c r="F27" i="199" s="1"/>
  <c r="E28" i="45"/>
  <c r="E9" i="46" s="1"/>
  <c r="E28" i="46" s="1"/>
  <c r="E9" i="210" s="1"/>
  <c r="E28" i="210" s="1"/>
  <c r="E9" i="211" s="1"/>
  <c r="E28" i="211" s="1"/>
  <c r="E9" i="212" s="1"/>
  <c r="E28" i="212" s="1"/>
  <c r="E9" i="213" s="1"/>
  <c r="E28" i="213" s="1"/>
  <c r="E9" i="214" s="1"/>
  <c r="E28" i="214" s="1"/>
  <c r="E9" i="215" s="1"/>
  <c r="E28" i="215" s="1"/>
  <c r="E9" i="216" s="1"/>
  <c r="E28" i="216" s="1"/>
  <c r="E9" i="217" s="1"/>
  <c r="E28" i="217" s="1"/>
  <c r="E9" i="218" s="1"/>
  <c r="E28" i="218" s="1"/>
  <c r="J32" i="50"/>
  <c r="H44" i="51"/>
  <c r="J23" i="43"/>
  <c r="J9" i="208" s="1"/>
  <c r="J23" i="208" s="1"/>
  <c r="J9" i="209" s="1"/>
  <c r="J23" i="209" s="1"/>
  <c r="I33" i="24"/>
  <c r="I34" i="24"/>
  <c r="I36" i="24"/>
  <c r="J38" i="24"/>
  <c r="K10" i="26"/>
  <c r="K12" i="26"/>
  <c r="K21" i="39"/>
  <c r="L21" i="39"/>
  <c r="F27" i="17"/>
  <c r="F8" i="157" s="1"/>
  <c r="F27" i="157" s="1"/>
  <c r="F8" i="158" s="1"/>
  <c r="F27" i="158" s="1"/>
  <c r="F8" i="159" s="1"/>
  <c r="F27" i="159" s="1"/>
  <c r="F8" i="160" s="1"/>
  <c r="F27" i="160" s="1"/>
  <c r="F8" i="161" s="1"/>
  <c r="F27" i="161" s="1"/>
  <c r="F8" i="162" s="1"/>
  <c r="F27" i="162" s="1"/>
  <c r="F8" i="163" s="1"/>
  <c r="F27" i="163" s="1"/>
  <c r="F8" i="164" s="1"/>
  <c r="F27" i="164" s="1"/>
  <c r="F8" i="165" s="1"/>
  <c r="F27" i="165" s="1"/>
  <c r="F8" i="166" s="1"/>
  <c r="F27" i="166" s="1"/>
  <c r="F8" i="167" s="1"/>
  <c r="F27" i="167" s="1"/>
  <c r="F8" i="168" s="1"/>
  <c r="F27" i="168" s="1"/>
  <c r="F8" i="169" s="1"/>
  <c r="F27" i="169" s="1"/>
  <c r="F8" i="170" s="1"/>
  <c r="F27" i="170" s="1"/>
  <c r="F8" i="171" s="1"/>
  <c r="F27" i="171" s="1"/>
  <c r="F8" i="172" s="1"/>
  <c r="F27" i="172" s="1"/>
  <c r="F8" i="173" s="1"/>
  <c r="F27" i="173" s="1"/>
  <c r="F8" i="174" s="1"/>
  <c r="F27" i="174" s="1"/>
  <c r="F8" i="175" s="1"/>
  <c r="F27" i="175" s="1"/>
  <c r="F8" i="176" s="1"/>
  <c r="F27" i="176" s="1"/>
  <c r="F8" i="177" s="1"/>
  <c r="F27" i="177" s="1"/>
  <c r="F8" i="178" s="1"/>
  <c r="F27" i="178" s="1"/>
  <c r="F8" i="179" s="1"/>
  <c r="F27" i="179" s="1"/>
  <c r="F8" i="180" s="1"/>
  <c r="F27" i="180" s="1"/>
  <c r="F8" i="181" s="1"/>
  <c r="F27" i="181" s="1"/>
  <c r="F8" i="182" s="1"/>
  <c r="F27" i="182" s="1"/>
  <c r="F8" i="183" s="1"/>
  <c r="F27" i="183" s="1"/>
  <c r="F8" i="184" s="1"/>
  <c r="F27" i="184" s="1"/>
  <c r="F8" i="185" s="1"/>
  <c r="F27" i="185" s="1"/>
  <c r="F8" i="186" s="1"/>
  <c r="F27" i="186" s="1"/>
  <c r="F8" i="187" s="1"/>
  <c r="F27" i="187" s="1"/>
  <c r="F8" i="188" s="1"/>
  <c r="F27" i="188" s="1"/>
  <c r="F8" i="189" s="1"/>
  <c r="F27" i="189" s="1"/>
  <c r="F8" i="190" s="1"/>
  <c r="F27" i="190" s="1"/>
  <c r="F8" i="191" s="1"/>
  <c r="F27" i="191" s="1"/>
  <c r="F8" i="192" s="1"/>
  <c r="F27" i="192" s="1"/>
  <c r="F8" i="193" s="1"/>
  <c r="F27" i="193" s="1"/>
  <c r="F8" i="194" s="1"/>
  <c r="F27" i="194" s="1"/>
  <c r="F8" i="195" s="1"/>
  <c r="F27" i="195" s="1"/>
  <c r="F8" i="196" s="1"/>
  <c r="F27" i="196" s="1"/>
  <c r="H43" i="305"/>
  <c r="J8" i="24"/>
  <c r="H19" i="20"/>
  <c r="G12" i="38"/>
  <c r="G28" i="45"/>
  <c r="G9" i="46" s="1"/>
  <c r="I28" i="45"/>
  <c r="J43" i="28"/>
  <c r="J10" i="200" s="1"/>
  <c r="G27" i="19"/>
  <c r="G8" i="197" s="1"/>
  <c r="G27" i="197" s="1"/>
  <c r="G8" i="198" s="1"/>
  <c r="G27" i="198" s="1"/>
  <c r="G8" i="199" s="1"/>
  <c r="G27" i="199" s="1"/>
  <c r="H27" i="19"/>
  <c r="H8" i="197" s="1"/>
  <c r="H27" i="197" s="1"/>
  <c r="H8" i="198" s="1"/>
  <c r="H27" i="198" s="1"/>
  <c r="H8" i="199" s="1"/>
  <c r="H27" i="199" s="1"/>
  <c r="I24" i="40"/>
  <c r="J24" i="40"/>
  <c r="E23" i="43"/>
  <c r="E9" i="208" s="1"/>
  <c r="E23" i="208" s="1"/>
  <c r="E9" i="209" s="1"/>
  <c r="E23" i="209" s="1"/>
  <c r="H27" i="15"/>
  <c r="I27" i="15"/>
  <c r="J27" i="15"/>
  <c r="I47" i="57"/>
  <c r="B47" i="57"/>
  <c r="H46" i="57"/>
  <c r="M17" i="57"/>
  <c r="H17" i="57"/>
  <c r="B17" i="57"/>
  <c r="J27" i="19"/>
  <c r="J8" i="197" s="1"/>
  <c r="J27" i="197" s="1"/>
  <c r="J8" i="198" s="1"/>
  <c r="J27" i="198" s="1"/>
  <c r="J8" i="199" s="1"/>
  <c r="J27" i="199" s="1"/>
  <c r="I32" i="24"/>
  <c r="I10" i="56"/>
  <c r="F10" i="56"/>
  <c r="B12" i="102"/>
  <c r="B8" i="102"/>
  <c r="I56" i="52"/>
  <c r="I53" i="52"/>
  <c r="D21" i="52"/>
  <c r="J20" i="52"/>
  <c r="F20" i="52"/>
  <c r="L41" i="39"/>
  <c r="K41" i="39"/>
  <c r="L31" i="39"/>
  <c r="K31" i="39"/>
  <c r="K24" i="40"/>
  <c r="H46" i="4"/>
  <c r="H10" i="1" s="1"/>
  <c r="K24" i="41"/>
  <c r="J24" i="41"/>
  <c r="I24" i="41"/>
  <c r="H39" i="38"/>
  <c r="G39" i="38"/>
  <c r="K27" i="38"/>
  <c r="H24" i="38"/>
  <c r="G23" i="38"/>
  <c r="G24" i="38" s="1"/>
  <c r="H13" i="38"/>
  <c r="G12" i="96"/>
  <c r="H39" i="96"/>
  <c r="G39" i="96"/>
  <c r="H24" i="96"/>
  <c r="G23" i="96"/>
  <c r="H13" i="96"/>
  <c r="K26" i="42"/>
  <c r="G11" i="42"/>
  <c r="H33" i="42"/>
  <c r="G33" i="42"/>
  <c r="H23" i="42"/>
  <c r="G22" i="42"/>
  <c r="G23" i="42" s="1"/>
  <c r="H12" i="42"/>
  <c r="K23" i="44"/>
  <c r="J23" i="44"/>
  <c r="H23" i="44"/>
  <c r="G23" i="44"/>
  <c r="G23" i="98"/>
  <c r="H23" i="98"/>
  <c r="I23" i="98"/>
  <c r="H28" i="45"/>
  <c r="J28" i="45"/>
  <c r="J9" i="46" s="1"/>
  <c r="J28" i="46" s="1"/>
  <c r="J9" i="210" s="1"/>
  <c r="J28" i="210" s="1"/>
  <c r="J9" i="211" s="1"/>
  <c r="J28" i="211" s="1"/>
  <c r="J9" i="212" s="1"/>
  <c r="J28" i="212" s="1"/>
  <c r="J9" i="213" s="1"/>
  <c r="J28" i="213" s="1"/>
  <c r="J9" i="214" s="1"/>
  <c r="J28" i="214" s="1"/>
  <c r="J9" i="215" s="1"/>
  <c r="J28" i="215" s="1"/>
  <c r="J9" i="216" s="1"/>
  <c r="J28" i="216" s="1"/>
  <c r="J9" i="217" s="1"/>
  <c r="J28" i="217" s="1"/>
  <c r="J9" i="218" s="1"/>
  <c r="J28" i="218" s="1"/>
  <c r="G44" i="51"/>
  <c r="J16" i="51"/>
  <c r="J18" i="58"/>
  <c r="P54" i="48"/>
  <c r="K26" i="10"/>
  <c r="J26" i="10"/>
  <c r="I26" i="10"/>
  <c r="H26" i="10"/>
  <c r="G26" i="10"/>
  <c r="F26" i="10"/>
  <c r="E26" i="10"/>
  <c r="H35" i="12"/>
  <c r="G27" i="15"/>
  <c r="G8" i="16" s="1"/>
  <c r="K48" i="97"/>
  <c r="K10" i="122" s="1"/>
  <c r="K48" i="122" s="1"/>
  <c r="K10" i="129" s="1"/>
  <c r="K48" i="129" s="1"/>
  <c r="K10" i="130" s="1"/>
  <c r="K48" i="130" s="1"/>
  <c r="K10" i="131" s="1"/>
  <c r="K48" i="131" s="1"/>
  <c r="I48" i="97"/>
  <c r="I10" i="122" s="1"/>
  <c r="I48" i="122" s="1"/>
  <c r="I10" i="129" s="1"/>
  <c r="I48" i="129" s="1"/>
  <c r="I10" i="130" s="1"/>
  <c r="I48" i="130" s="1"/>
  <c r="I10" i="131" s="1"/>
  <c r="I48" i="131" s="1"/>
  <c r="M13" i="97"/>
  <c r="C56" i="121" l="1"/>
  <c r="C50" i="121"/>
  <c r="H22" i="305"/>
  <c r="C48" i="121"/>
  <c r="I15" i="51"/>
  <c r="H40" i="305" s="1"/>
  <c r="C54" i="121"/>
  <c r="H25" i="305"/>
  <c r="G24" i="96"/>
  <c r="H24" i="305"/>
  <c r="H23" i="305"/>
  <c r="G9" i="208"/>
  <c r="G23" i="208" s="1"/>
  <c r="G9" i="209" s="1"/>
  <c r="G23" i="209" s="1"/>
  <c r="G12" i="42"/>
  <c r="I8" i="16"/>
  <c r="I27" i="16" s="1"/>
  <c r="I8" i="133" s="1"/>
  <c r="I27" i="133" s="1"/>
  <c r="I8" i="134" s="1"/>
  <c r="I27" i="134" s="1"/>
  <c r="I8" i="135" s="1"/>
  <c r="I27" i="135" s="1"/>
  <c r="I8" i="136" s="1"/>
  <c r="I27" i="136" s="1"/>
  <c r="I8" i="137" s="1"/>
  <c r="I27" i="137" s="1"/>
  <c r="I8" i="138" s="1"/>
  <c r="I27" i="138" s="1"/>
  <c r="I8" i="139" s="1"/>
  <c r="I27" i="139" s="1"/>
  <c r="I8" i="140" s="1"/>
  <c r="I27" i="140" s="1"/>
  <c r="I8" i="141" s="1"/>
  <c r="I27" i="141" s="1"/>
  <c r="I8" i="142" s="1"/>
  <c r="I27" i="142" s="1"/>
  <c r="I8" i="143" s="1"/>
  <c r="I27" i="143" s="1"/>
  <c r="I8" i="144" s="1"/>
  <c r="I27" i="144" s="1"/>
  <c r="I8" i="145" s="1"/>
  <c r="H9" i="46"/>
  <c r="H28" i="46" s="1"/>
  <c r="H9" i="210" s="1"/>
  <c r="H28" i="210" s="1"/>
  <c r="H9" i="211" s="1"/>
  <c r="H28" i="211" s="1"/>
  <c r="H9" i="212" s="1"/>
  <c r="H28" i="212" s="1"/>
  <c r="G13" i="96"/>
  <c r="K40" i="35"/>
  <c r="K19" i="35"/>
  <c r="J8" i="16"/>
  <c r="J27" i="16" s="1"/>
  <c r="J8" i="133" s="1"/>
  <c r="J27" i="133" s="1"/>
  <c r="J8" i="134" s="1"/>
  <c r="J27" i="134" s="1"/>
  <c r="J8" i="135" s="1"/>
  <c r="J27" i="135" s="1"/>
  <c r="J8" i="136" s="1"/>
  <c r="J27" i="136" s="1"/>
  <c r="J8" i="137" s="1"/>
  <c r="J27" i="137" s="1"/>
  <c r="J8" i="138" s="1"/>
  <c r="J27" i="138" s="1"/>
  <c r="J8" i="139" s="1"/>
  <c r="J27" i="139" s="1"/>
  <c r="J8" i="140" s="1"/>
  <c r="J27" i="140" s="1"/>
  <c r="J8" i="141" s="1"/>
  <c r="J27" i="141" s="1"/>
  <c r="J8" i="142" s="1"/>
  <c r="J27" i="142" s="1"/>
  <c r="J8" i="143" s="1"/>
  <c r="J27" i="143" s="1"/>
  <c r="J8" i="144" s="1"/>
  <c r="J27" i="144" s="1"/>
  <c r="J8" i="145" s="1"/>
  <c r="J27" i="145" s="1"/>
  <c r="J8" i="146" s="1"/>
  <c r="J27" i="146" s="1"/>
  <c r="J8" i="148" s="1"/>
  <c r="J27" i="148" s="1"/>
  <c r="J8" i="147" s="1"/>
  <c r="J27" i="147" s="1"/>
  <c r="J8" i="149" s="1"/>
  <c r="J27" i="149" s="1"/>
  <c r="J8" i="150" s="1"/>
  <c r="J27" i="150" s="1"/>
  <c r="J8" i="151" s="1"/>
  <c r="J27" i="151" s="1"/>
  <c r="J8" i="152" s="1"/>
  <c r="J27" i="152" s="1"/>
  <c r="J8" i="153" s="1"/>
  <c r="J27" i="153" s="1"/>
  <c r="J8" i="154" s="1"/>
  <c r="J27" i="154" s="1"/>
  <c r="J8" i="155" s="1"/>
  <c r="J27" i="155" s="1"/>
  <c r="J8" i="156" s="1"/>
  <c r="J27" i="156" s="1"/>
  <c r="H8" i="16"/>
  <c r="H27" i="16" s="1"/>
  <c r="H8" i="133" s="1"/>
  <c r="H27" i="133" s="1"/>
  <c r="H8" i="134" s="1"/>
  <c r="H27" i="134" s="1"/>
  <c r="H8" i="135" s="1"/>
  <c r="H27" i="135" s="1"/>
  <c r="H8" i="136" s="1"/>
  <c r="H27" i="136" s="1"/>
  <c r="H8" i="137" s="1"/>
  <c r="H27" i="137" s="1"/>
  <c r="H8" i="138" s="1"/>
  <c r="H27" i="138" s="1"/>
  <c r="H8" i="139" s="1"/>
  <c r="H27" i="139" s="1"/>
  <c r="H8" i="140" s="1"/>
  <c r="H27" i="140" s="1"/>
  <c r="H8" i="141" s="1"/>
  <c r="H27" i="141" s="1"/>
  <c r="H8" i="142" s="1"/>
  <c r="H27" i="142" s="1"/>
  <c r="H8" i="143" s="1"/>
  <c r="H27" i="143" s="1"/>
  <c r="H8" i="144" s="1"/>
  <c r="H27" i="144" s="1"/>
  <c r="H8" i="145" s="1"/>
  <c r="H27" i="145" s="1"/>
  <c r="H8" i="146" s="1"/>
  <c r="H27" i="146" s="1"/>
  <c r="H8" i="148" s="1"/>
  <c r="H27" i="148" s="1"/>
  <c r="H8" i="147" s="1"/>
  <c r="H27" i="147" s="1"/>
  <c r="H8" i="149" s="1"/>
  <c r="H27" i="149" s="1"/>
  <c r="H8" i="150" s="1"/>
  <c r="H27" i="150" s="1"/>
  <c r="H8" i="151" s="1"/>
  <c r="H27" i="151" s="1"/>
  <c r="H8" i="152" s="1"/>
  <c r="H27" i="152" s="1"/>
  <c r="H8" i="153" s="1"/>
  <c r="H27" i="153" s="1"/>
  <c r="H8" i="154" s="1"/>
  <c r="H27" i="154" s="1"/>
  <c r="H8" i="155" s="1"/>
  <c r="H27" i="155" s="1"/>
  <c r="H8" i="156" s="1"/>
  <c r="H27" i="156" s="1"/>
  <c r="I9" i="46"/>
  <c r="I28" i="46" s="1"/>
  <c r="I9" i="210" s="1"/>
  <c r="I28" i="210" s="1"/>
  <c r="I9" i="211" s="1"/>
  <c r="I28" i="211" s="1"/>
  <c r="I9" i="212" s="1"/>
  <c r="I28" i="212" s="1"/>
  <c r="I9" i="213" s="1"/>
  <c r="I28" i="213" s="1"/>
  <c r="I9" i="214" s="1"/>
  <c r="I28" i="214" s="1"/>
  <c r="I9" i="215" s="1"/>
  <c r="I28" i="215" s="1"/>
  <c r="I9" i="216" s="1"/>
  <c r="I28" i="216" s="1"/>
  <c r="I9" i="217" s="1"/>
  <c r="I28" i="217" s="1"/>
  <c r="I9" i="218" s="1"/>
  <c r="I28" i="218" s="1"/>
  <c r="G13" i="38"/>
  <c r="J6" i="24"/>
  <c r="F9" i="46"/>
  <c r="F28" i="46" s="1"/>
  <c r="F9" i="210" s="1"/>
  <c r="F28" i="210" s="1"/>
  <c r="F9" i="211" s="1"/>
  <c r="F28" i="211" s="1"/>
  <c r="F9" i="212" s="1"/>
  <c r="F28" i="212" s="1"/>
  <c r="F9" i="213" s="1"/>
  <c r="F28" i="213" s="1"/>
  <c r="F9" i="214" s="1"/>
  <c r="F28" i="214" s="1"/>
  <c r="F9" i="215" s="1"/>
  <c r="F28" i="215" s="1"/>
  <c r="F9" i="216" s="1"/>
  <c r="F28" i="216" s="1"/>
  <c r="F9" i="217" s="1"/>
  <c r="F28" i="217" s="1"/>
  <c r="F9" i="218" s="1"/>
  <c r="F28" i="218" s="1"/>
  <c r="I30" i="36"/>
  <c r="F27" i="16"/>
  <c r="F8" i="133" s="1"/>
  <c r="F27" i="133" s="1"/>
  <c r="I18" i="58"/>
  <c r="G27" i="16"/>
  <c r="G8" i="133" s="1"/>
  <c r="G27" i="133" s="1"/>
  <c r="G8" i="134" s="1"/>
  <c r="G27" i="134" s="1"/>
  <c r="G8" i="135" s="1"/>
  <c r="G27" i="135" s="1"/>
  <c r="G8" i="136" s="1"/>
  <c r="G27" i="136" s="1"/>
  <c r="G8" i="137" s="1"/>
  <c r="G27" i="137" s="1"/>
  <c r="G8" i="138" s="1"/>
  <c r="G27" i="138" s="1"/>
  <c r="G8" i="139" s="1"/>
  <c r="G27" i="139" s="1"/>
  <c r="G8" i="140" s="1"/>
  <c r="G27" i="140" s="1"/>
  <c r="G8" i="141" s="1"/>
  <c r="G27" i="141" s="1"/>
  <c r="G8" i="142" s="1"/>
  <c r="G27" i="142" s="1"/>
  <c r="G8" i="143" s="1"/>
  <c r="G27" i="143" s="1"/>
  <c r="G8" i="144" s="1"/>
  <c r="G27" i="144" s="1"/>
  <c r="G8" i="145" s="1"/>
  <c r="G27" i="145" s="1"/>
  <c r="G8" i="146" s="1"/>
  <c r="G27" i="146" s="1"/>
  <c r="G8" i="148" s="1"/>
  <c r="G27" i="148" s="1"/>
  <c r="G8" i="147" s="1"/>
  <c r="G27" i="147" s="1"/>
  <c r="G8" i="149" s="1"/>
  <c r="G27" i="149" s="1"/>
  <c r="G8" i="150" s="1"/>
  <c r="G27" i="150" s="1"/>
  <c r="G8" i="151" s="1"/>
  <c r="G27" i="151" s="1"/>
  <c r="G8" i="152" s="1"/>
  <c r="G27" i="152" s="1"/>
  <c r="G8" i="153" s="1"/>
  <c r="G27" i="153" s="1"/>
  <c r="G8" i="154" s="1"/>
  <c r="G27" i="154" s="1"/>
  <c r="G8" i="155" s="1"/>
  <c r="G27" i="155" s="1"/>
  <c r="G8" i="156" s="1"/>
  <c r="G27" i="156" s="1"/>
  <c r="G35" i="29"/>
  <c r="G37" i="29" s="1"/>
  <c r="H27" i="17"/>
  <c r="H8" i="157" s="1"/>
  <c r="H27" i="157" s="1"/>
  <c r="H8" i="158" s="1"/>
  <c r="H27" i="158" s="1"/>
  <c r="H8" i="159" s="1"/>
  <c r="H27" i="159" s="1"/>
  <c r="H8" i="160" s="1"/>
  <c r="H27" i="160" s="1"/>
  <c r="H8" i="161" s="1"/>
  <c r="H27" i="161" s="1"/>
  <c r="H8" i="162" s="1"/>
  <c r="H27" i="162" s="1"/>
  <c r="H8" i="163" s="1"/>
  <c r="H27" i="163" s="1"/>
  <c r="H8" i="164" s="1"/>
  <c r="H27" i="164" s="1"/>
  <c r="H8" i="165" s="1"/>
  <c r="H27" i="165" s="1"/>
  <c r="H8" i="166" s="1"/>
  <c r="H27" i="166" s="1"/>
  <c r="H8" i="167" s="1"/>
  <c r="H27" i="167" s="1"/>
  <c r="H8" i="168" s="1"/>
  <c r="H27" i="168" s="1"/>
  <c r="H8" i="169" s="1"/>
  <c r="H27" i="169" s="1"/>
  <c r="H8" i="170" s="1"/>
  <c r="H27" i="170" s="1"/>
  <c r="H8" i="171" s="1"/>
  <c r="H27" i="171" s="1"/>
  <c r="H8" i="172" s="1"/>
  <c r="H27" i="172" s="1"/>
  <c r="H8" i="173" s="1"/>
  <c r="H27" i="173" s="1"/>
  <c r="H8" i="174" s="1"/>
  <c r="H27" i="174" s="1"/>
  <c r="H8" i="175" s="1"/>
  <c r="H27" i="175" s="1"/>
  <c r="H8" i="176" s="1"/>
  <c r="H27" i="176" s="1"/>
  <c r="H8" i="177" s="1"/>
  <c r="H27" i="177" s="1"/>
  <c r="H8" i="178" s="1"/>
  <c r="H27" i="178" s="1"/>
  <c r="H8" i="179" s="1"/>
  <c r="H27" i="179" s="1"/>
  <c r="H8" i="180" s="1"/>
  <c r="H27" i="180" s="1"/>
  <c r="H8" i="181" s="1"/>
  <c r="H27" i="181" s="1"/>
  <c r="H8" i="182" s="1"/>
  <c r="H27" i="182" s="1"/>
  <c r="H8" i="183" s="1"/>
  <c r="H27" i="183" s="1"/>
  <c r="H8" i="184" s="1"/>
  <c r="H27" i="184" s="1"/>
  <c r="H8" i="185" s="1"/>
  <c r="H27" i="185" s="1"/>
  <c r="H8" i="186" s="1"/>
  <c r="H27" i="186" s="1"/>
  <c r="H8" i="187" s="1"/>
  <c r="H27" i="187" s="1"/>
  <c r="H8" i="188" s="1"/>
  <c r="H27" i="188" s="1"/>
  <c r="H8" i="189" s="1"/>
  <c r="H27" i="189" s="1"/>
  <c r="H8" i="190" s="1"/>
  <c r="H27" i="190" s="1"/>
  <c r="H8" i="191" s="1"/>
  <c r="H27" i="191" s="1"/>
  <c r="H8" i="192" s="1"/>
  <c r="H27" i="192" s="1"/>
  <c r="H8" i="193" s="1"/>
  <c r="H27" i="193" s="1"/>
  <c r="H8" i="194" s="1"/>
  <c r="H27" i="194" s="1"/>
  <c r="H8" i="195" s="1"/>
  <c r="H27" i="195" s="1"/>
  <c r="H8" i="196" s="1"/>
  <c r="H27" i="196" s="1"/>
  <c r="G35" i="12"/>
  <c r="N12" i="48"/>
  <c r="N14" i="48" s="1"/>
  <c r="P59" i="48"/>
  <c r="M20" i="36"/>
  <c r="G11" i="4"/>
  <c r="I35" i="12"/>
  <c r="K23" i="43"/>
  <c r="K9" i="208" s="1"/>
  <c r="K23" i="208" s="1"/>
  <c r="K9" i="209" s="1"/>
  <c r="K23" i="209" s="1"/>
  <c r="L24" i="40"/>
  <c r="G39" i="4" s="1"/>
  <c r="J15" i="24"/>
  <c r="K20" i="36"/>
  <c r="G19" i="20"/>
  <c r="L28" i="45"/>
  <c r="L9" i="46" s="1"/>
  <c r="L28" i="46" s="1"/>
  <c r="L9" i="210" s="1"/>
  <c r="L28" i="210" s="1"/>
  <c r="L9" i="211" s="1"/>
  <c r="L28" i="211" s="1"/>
  <c r="L9" i="212" s="1"/>
  <c r="L28" i="212" s="1"/>
  <c r="L9" i="213" s="1"/>
  <c r="L28" i="213" s="1"/>
  <c r="L9" i="214" s="1"/>
  <c r="L28" i="214" s="1"/>
  <c r="L9" i="215" s="1"/>
  <c r="L28" i="215" s="1"/>
  <c r="L9" i="216" s="1"/>
  <c r="L28" i="216" s="1"/>
  <c r="L9" i="217" s="1"/>
  <c r="L28" i="217" s="1"/>
  <c r="L9" i="218" s="1"/>
  <c r="L28" i="218" s="1"/>
  <c r="H34" i="305" s="1"/>
  <c r="I38" i="22"/>
  <c r="I43" i="28"/>
  <c r="I10" i="200" s="1"/>
  <c r="I43" i="200" s="1"/>
  <c r="I10" i="201" s="1"/>
  <c r="I43" i="201" s="1"/>
  <c r="I10" i="202" s="1"/>
  <c r="I43" i="202" s="1"/>
  <c r="I10" i="203" s="1"/>
  <c r="I43" i="203" s="1"/>
  <c r="K27" i="19"/>
  <c r="K8" i="197" s="1"/>
  <c r="K27" i="197" s="1"/>
  <c r="K8" i="198" s="1"/>
  <c r="K27" i="198" s="1"/>
  <c r="K8" i="199" s="1"/>
  <c r="K27" i="199" s="1"/>
  <c r="H34" i="7" s="1"/>
  <c r="I11" i="24"/>
  <c r="H14" i="24"/>
  <c r="M48" i="97"/>
  <c r="M10" i="122" s="1"/>
  <c r="M48" i="122" s="1"/>
  <c r="M10" i="129" s="1"/>
  <c r="M48" i="129" s="1"/>
  <c r="M10" i="130" s="1"/>
  <c r="M48" i="130" s="1"/>
  <c r="M10" i="131" s="1"/>
  <c r="M48" i="131" s="1"/>
  <c r="I23" i="29"/>
  <c r="G28" i="46"/>
  <c r="G9" i="210" s="1"/>
  <c r="G28" i="210" s="1"/>
  <c r="G9" i="211" s="1"/>
  <c r="G28" i="211" s="1"/>
  <c r="G9" i="212" s="1"/>
  <c r="G28" i="212" s="1"/>
  <c r="G9" i="213" s="1"/>
  <c r="G28" i="213" s="1"/>
  <c r="G9" i="214" s="1"/>
  <c r="G28" i="214" s="1"/>
  <c r="G9" i="215" s="1"/>
  <c r="G28" i="215" s="1"/>
  <c r="G9" i="216" s="1"/>
  <c r="G28" i="216" s="1"/>
  <c r="G9" i="217" s="1"/>
  <c r="G28" i="217" s="1"/>
  <c r="G9" i="218" s="1"/>
  <c r="G28" i="218" s="1"/>
  <c r="I44" i="51"/>
  <c r="I31" i="50" s="1"/>
  <c r="I39" i="22" l="1"/>
  <c r="H27" i="1"/>
  <c r="H21" i="305"/>
  <c r="C52" i="121"/>
  <c r="I16" i="51"/>
  <c r="H9" i="213"/>
  <c r="H28" i="213" s="1"/>
  <c r="H9" i="214" s="1"/>
  <c r="H28" i="214" s="1"/>
  <c r="H9" i="215" s="1"/>
  <c r="H28" i="215" s="1"/>
  <c r="H9" i="216" s="1"/>
  <c r="H28" i="216" s="1"/>
  <c r="H9" i="217" s="1"/>
  <c r="H28" i="217" s="1"/>
  <c r="H9" i="218" s="1"/>
  <c r="H28" i="218" s="1"/>
  <c r="H32" i="31"/>
  <c r="I12" i="31"/>
  <c r="L30" i="30"/>
  <c r="L32" i="30" s="1"/>
  <c r="F8" i="134"/>
  <c r="F27" i="134" s="1"/>
  <c r="L57" i="48"/>
  <c r="P57" i="48" s="1"/>
  <c r="H44" i="1"/>
  <c r="H22" i="24"/>
  <c r="J6" i="27" s="1"/>
  <c r="J8" i="27" s="1"/>
  <c r="J10" i="27" s="1"/>
  <c r="J12" i="27" s="1"/>
  <c r="J18" i="27" s="1"/>
  <c r="P29" i="102"/>
  <c r="L35" i="40"/>
  <c r="G21" i="4"/>
  <c r="L23" i="26"/>
  <c r="C11" i="121" s="1"/>
  <c r="K21" i="36"/>
  <c r="H35" i="36" s="1"/>
  <c r="P55" i="48"/>
  <c r="G44" i="11"/>
  <c r="G9" i="305" s="1"/>
  <c r="J44" i="51"/>
  <c r="J23" i="29"/>
  <c r="J11" i="24"/>
  <c r="K28" i="46"/>
  <c r="K9" i="210" s="1"/>
  <c r="K28" i="210" s="1"/>
  <c r="K9" i="211" s="1"/>
  <c r="K28" i="211" s="1"/>
  <c r="K9" i="212" s="1"/>
  <c r="K28" i="212" s="1"/>
  <c r="K9" i="213" s="1"/>
  <c r="K28" i="213" s="1"/>
  <c r="K9" i="214" s="1"/>
  <c r="K28" i="214" s="1"/>
  <c r="K9" i="215" s="1"/>
  <c r="K28" i="215" s="1"/>
  <c r="K9" i="216" s="1"/>
  <c r="K28" i="216" s="1"/>
  <c r="K9" i="217" s="1"/>
  <c r="K28" i="217" s="1"/>
  <c r="K9" i="218" s="1"/>
  <c r="K28" i="218" s="1"/>
  <c r="H33" i="305" s="1"/>
  <c r="H38" i="30" l="1"/>
  <c r="C36" i="121" s="1"/>
  <c r="K16" i="35"/>
  <c r="K18" i="35" s="1"/>
  <c r="K22" i="35" s="1"/>
  <c r="K37" i="35"/>
  <c r="N34" i="30"/>
  <c r="N35" i="30" s="1"/>
  <c r="K27" i="36" s="1"/>
  <c r="I29" i="36" s="1"/>
  <c r="L45" i="30"/>
  <c r="L48" i="30" s="1"/>
  <c r="J29" i="24" s="1"/>
  <c r="I40" i="24" s="1"/>
  <c r="L13" i="48"/>
  <c r="K8" i="133"/>
  <c r="K27" i="133" s="1"/>
  <c r="F8" i="135"/>
  <c r="F27" i="135" s="1"/>
  <c r="L26" i="26"/>
  <c r="I15" i="31"/>
  <c r="J10" i="24"/>
  <c r="J14" i="24" s="1"/>
  <c r="H31" i="31" s="1"/>
  <c r="I14" i="24"/>
  <c r="C32" i="121" s="1"/>
  <c r="K31" i="26"/>
  <c r="L38" i="26" s="1"/>
  <c r="K39" i="35" l="1"/>
  <c r="K43" i="35" s="1"/>
  <c r="I51" i="24"/>
  <c r="F19" i="4"/>
  <c r="F8" i="136"/>
  <c r="F27" i="136" s="1"/>
  <c r="K8" i="134"/>
  <c r="K27" i="134" s="1"/>
  <c r="K31" i="133"/>
  <c r="K29" i="133"/>
  <c r="I21" i="24"/>
  <c r="I43" i="24"/>
  <c r="K31" i="36"/>
  <c r="H39" i="305"/>
  <c r="J21" i="24" l="1"/>
  <c r="I14" i="31" s="1"/>
  <c r="C30" i="121"/>
  <c r="J39" i="24"/>
  <c r="J43" i="24" s="1"/>
  <c r="K8" i="135"/>
  <c r="K27" i="135" s="1"/>
  <c r="K31" i="134"/>
  <c r="K29" i="134"/>
  <c r="F8" i="137"/>
  <c r="F27" i="137" s="1"/>
  <c r="I22" i="24"/>
  <c r="C24" i="121" s="1"/>
  <c r="H36" i="7"/>
  <c r="I11" i="31"/>
  <c r="F18" i="4"/>
  <c r="M28" i="36"/>
  <c r="C38" i="121" s="1"/>
  <c r="I32" i="50"/>
  <c r="J22" i="24" l="1"/>
  <c r="H34" i="31"/>
  <c r="J44" i="31" s="1"/>
  <c r="F8" i="138"/>
  <c r="F27" i="138" s="1"/>
  <c r="K8" i="136"/>
  <c r="K27" i="136" s="1"/>
  <c r="K29" i="135"/>
  <c r="K31" i="135"/>
  <c r="M31" i="36"/>
  <c r="I37" i="36"/>
  <c r="G20" i="4"/>
  <c r="H39" i="367" s="1"/>
  <c r="H44" i="11"/>
  <c r="H9" i="305" s="1"/>
  <c r="H44" i="305" s="1"/>
  <c r="H44" i="31" l="1"/>
  <c r="L9" i="26" s="1"/>
  <c r="I43" i="31"/>
  <c r="G40" i="4" s="1"/>
  <c r="G46" i="4" s="1"/>
  <c r="K8" i="137"/>
  <c r="K27" i="137" s="1"/>
  <c r="K29" i="136"/>
  <c r="K31" i="136"/>
  <c r="F8" i="139"/>
  <c r="F27" i="139" s="1"/>
  <c r="G10" i="1" l="1"/>
  <c r="G44" i="1" s="1"/>
  <c r="H45" i="31"/>
  <c r="C9" i="121" s="1"/>
  <c r="F8" i="140"/>
  <c r="F27" i="140" s="1"/>
  <c r="K8" i="138"/>
  <c r="K27" i="138" s="1"/>
  <c r="K29" i="137"/>
  <c r="K31" i="137"/>
  <c r="I45" i="31"/>
  <c r="L15" i="26"/>
  <c r="K14" i="26"/>
  <c r="C7" i="121" l="1"/>
  <c r="H42" i="367"/>
  <c r="K8" i="139"/>
  <c r="K27" i="139" s="1"/>
  <c r="K31" i="138"/>
  <c r="K29" i="138"/>
  <c r="F8" i="141"/>
  <c r="F27" i="141" s="1"/>
  <c r="K15" i="26"/>
  <c r="F8" i="142" l="1"/>
  <c r="F27" i="142" s="1"/>
  <c r="K8" i="140"/>
  <c r="K27" i="140" s="1"/>
  <c r="K29" i="139"/>
  <c r="K31" i="139"/>
  <c r="K8" i="141" l="1"/>
  <c r="K27" i="141" s="1"/>
  <c r="K31" i="140"/>
  <c r="K29" i="140"/>
  <c r="F8" i="143"/>
  <c r="F27" i="143" s="1"/>
  <c r="F8" i="144" l="1"/>
  <c r="F27" i="144" s="1"/>
  <c r="K8" i="142"/>
  <c r="K27" i="142" s="1"/>
  <c r="K31" i="141"/>
  <c r="K29" i="141"/>
  <c r="H10" i="367"/>
  <c r="H25" i="367" s="1"/>
  <c r="G10" i="367"/>
  <c r="G25" i="367" s="1"/>
  <c r="G44" i="367" s="1"/>
  <c r="H44" i="367" l="1"/>
  <c r="L27" i="26"/>
  <c r="C17" i="121" s="1"/>
  <c r="K8" i="143"/>
  <c r="K27" i="143" s="1"/>
  <c r="K31" i="142"/>
  <c r="K29" i="142"/>
  <c r="F8" i="145"/>
  <c r="F27" i="145" s="1"/>
  <c r="F8" i="146" s="1"/>
  <c r="F27" i="146" s="1"/>
  <c r="L28" i="26" l="1"/>
  <c r="L8" i="109"/>
  <c r="M10" i="109" s="1"/>
  <c r="K13" i="109" s="1"/>
  <c r="K21" i="108"/>
  <c r="M33" i="108" s="1"/>
  <c r="F8" i="148"/>
  <c r="F27" i="148" s="1"/>
  <c r="K8" i="144"/>
  <c r="K27" i="144" s="1"/>
  <c r="K29" i="143"/>
  <c r="K31" i="143"/>
  <c r="L39" i="26" l="1"/>
  <c r="C13" i="121"/>
  <c r="K38" i="108"/>
  <c r="J41" i="108" s="1"/>
  <c r="K33" i="108"/>
  <c r="J36" i="108" s="1"/>
  <c r="F8" i="147"/>
  <c r="F27" i="147" s="1"/>
  <c r="K8" i="145"/>
  <c r="K27" i="145" s="1"/>
  <c r="K8" i="146" s="1"/>
  <c r="K27" i="146" s="1"/>
  <c r="K8" i="148" s="1"/>
  <c r="K27" i="148" s="1"/>
  <c r="K8" i="147" s="1"/>
  <c r="K27" i="147" s="1"/>
  <c r="K8" i="149" s="1"/>
  <c r="K27" i="149" s="1"/>
  <c r="K8" i="150" s="1"/>
  <c r="K27" i="150" s="1"/>
  <c r="K8" i="151" s="1"/>
  <c r="K27" i="151" s="1"/>
  <c r="K8" i="152" s="1"/>
  <c r="K27" i="152" s="1"/>
  <c r="K8" i="153" s="1"/>
  <c r="K27" i="153" s="1"/>
  <c r="K8" i="154" s="1"/>
  <c r="K27" i="154" s="1"/>
  <c r="K8" i="155" s="1"/>
  <c r="K27" i="155" s="1"/>
  <c r="K8" i="156" s="1"/>
  <c r="K27" i="156" s="1"/>
  <c r="G11" i="7" s="1"/>
  <c r="G36" i="7" s="1"/>
  <c r="K31" i="144"/>
  <c r="K29" i="144"/>
  <c r="L12" i="109"/>
  <c r="L14" i="109" s="1"/>
  <c r="F8" i="149" l="1"/>
  <c r="F27" i="149" s="1"/>
  <c r="K14" i="109"/>
  <c r="M14" i="109" s="1"/>
  <c r="L22" i="109"/>
  <c r="K27" i="109" s="1"/>
  <c r="F8" i="150" l="1"/>
  <c r="F27" i="150" s="1"/>
  <c r="K28" i="109"/>
  <c r="L28" i="109"/>
  <c r="F8" i="151" l="1"/>
  <c r="F27" i="151" s="1"/>
  <c r="H42" i="103"/>
  <c r="H44" i="103" s="1"/>
  <c r="F8" i="152" l="1"/>
  <c r="F27" i="152" s="1"/>
  <c r="F8" i="153" s="1"/>
  <c r="F27" i="153" s="1"/>
  <c r="F8" i="154" s="1"/>
  <c r="F27" i="154" s="1"/>
  <c r="F8" i="155" s="1"/>
  <c r="F27" i="155" s="1"/>
  <c r="F8" i="156" s="1"/>
  <c r="F27" i="156" s="1"/>
  <c r="H57" i="103"/>
  <c r="J44" i="103"/>
  <c r="I27" i="145"/>
  <c r="K31" i="145" l="1"/>
  <c r="I8" i="146"/>
  <c r="I27" i="146" s="1"/>
  <c r="K29" i="145"/>
  <c r="J43" i="200"/>
  <c r="J10" i="201" s="1"/>
  <c r="J43" i="201" s="1"/>
  <c r="J10" i="202" s="1"/>
  <c r="J43" i="202" s="1"/>
  <c r="J10" i="203" s="1"/>
  <c r="J43" i="203" s="1"/>
  <c r="I8" i="148" l="1"/>
  <c r="I27" i="148" s="1"/>
  <c r="K31" i="146"/>
  <c r="K29" i="146"/>
  <c r="I8" i="147" l="1"/>
  <c r="I27" i="147" s="1"/>
  <c r="K29" i="148"/>
  <c r="K31" i="148"/>
  <c r="I8" i="149" l="1"/>
  <c r="I27" i="149" s="1"/>
  <c r="K31" i="147"/>
  <c r="K29" i="147"/>
  <c r="I8" i="150" l="1"/>
  <c r="I27" i="150" s="1"/>
  <c r="K31" i="149"/>
  <c r="K29" i="149"/>
  <c r="I8" i="151" l="1"/>
  <c r="I27" i="151" s="1"/>
  <c r="K31" i="150"/>
  <c r="K29" i="150"/>
  <c r="I8" i="152" l="1"/>
  <c r="I27" i="152" s="1"/>
  <c r="I8" i="153" s="1"/>
  <c r="I27" i="153" s="1"/>
  <c r="I8" i="154" s="1"/>
  <c r="I27" i="154" s="1"/>
  <c r="I8" i="155" s="1"/>
  <c r="I27" i="155" s="1"/>
  <c r="I8" i="156" s="1"/>
  <c r="I27" i="156" s="1"/>
  <c r="K31" i="151"/>
  <c r="K29" i="151"/>
  <c r="E27" i="332"/>
  <c r="E9" i="333" s="1"/>
  <c r="E27" i="333" s="1"/>
  <c r="E9" i="335" s="1"/>
  <c r="E27" i="335" s="1"/>
  <c r="G44" i="305"/>
  <c r="L8" i="226" l="1"/>
  <c r="K21" i="225"/>
  <c r="M33" i="225" s="1"/>
  <c r="K38" i="225" s="1"/>
  <c r="J41" i="225" s="1"/>
  <c r="M10" i="226" l="1"/>
  <c r="K33" i="225"/>
  <c r="J36" i="225" s="1"/>
  <c r="K13" i="226" l="1"/>
  <c r="L12" i="226"/>
  <c r="L14" i="226" s="1"/>
  <c r="L22" i="226" l="1"/>
  <c r="K14" i="226"/>
  <c r="M14" i="226" s="1"/>
  <c r="L28" i="226" l="1"/>
  <c r="K27" i="226"/>
  <c r="H42" i="220" l="1"/>
  <c r="H44" i="220" s="1"/>
  <c r="K28" i="226"/>
  <c r="J44" i="220" l="1"/>
  <c r="H57" i="220"/>
  <c r="L8" i="238"/>
  <c r="K21" i="237"/>
  <c r="M33" i="237" s="1"/>
  <c r="K38" i="237" l="1"/>
  <c r="J41" i="237" s="1"/>
  <c r="K33" i="237"/>
  <c r="J36" i="237" s="1"/>
  <c r="M10" i="238"/>
  <c r="K13" i="238" l="1"/>
  <c r="L12" i="238"/>
  <c r="L14" i="238" s="1"/>
  <c r="L22" i="238" l="1"/>
  <c r="K14" i="238"/>
  <c r="M14" i="238" s="1"/>
  <c r="L28" i="238" l="1"/>
  <c r="K27" i="238"/>
  <c r="H42" i="232" l="1"/>
  <c r="H44" i="232" s="1"/>
  <c r="K28" i="238"/>
  <c r="H57" i="232" l="1"/>
  <c r="J44" i="232"/>
  <c r="L8" i="250"/>
  <c r="K21" i="249"/>
  <c r="M33" i="249" s="1"/>
  <c r="K33" i="249" l="1"/>
  <c r="J36" i="249" s="1"/>
  <c r="K38" i="249"/>
  <c r="J41" i="249" s="1"/>
  <c r="M10" i="250"/>
  <c r="K13" i="250" l="1"/>
  <c r="L12" i="250"/>
  <c r="L14" i="250" s="1"/>
  <c r="K14" i="250" l="1"/>
  <c r="M14" i="250" s="1"/>
  <c r="L22" i="250"/>
  <c r="K27" i="250" l="1"/>
  <c r="L28" i="250"/>
  <c r="K28" i="250" l="1"/>
  <c r="H42" i="244"/>
  <c r="H44" i="244" s="1"/>
  <c r="H57" i="244" l="1"/>
  <c r="J44" i="244"/>
  <c r="L8" i="262"/>
  <c r="K21" i="261"/>
  <c r="M33" i="261" s="1"/>
  <c r="M10" i="262" l="1"/>
  <c r="K33" i="261"/>
  <c r="J36" i="261" s="1"/>
  <c r="K38" i="261"/>
  <c r="J41" i="261" s="1"/>
  <c r="K13" i="262" l="1"/>
  <c r="L12" i="262"/>
  <c r="L14" i="262" s="1"/>
  <c r="L22" i="262" l="1"/>
  <c r="K14" i="262"/>
  <c r="M14" i="262" s="1"/>
  <c r="L28" i="262" l="1"/>
  <c r="K27" i="262"/>
  <c r="H42" i="256" l="1"/>
  <c r="H44" i="256" s="1"/>
  <c r="K28" i="262"/>
  <c r="H57" i="256" l="1"/>
  <c r="J44" i="256"/>
  <c r="L8" i="273"/>
  <c r="K21" i="272"/>
  <c r="M33" i="272" s="1"/>
  <c r="M10" i="273" l="1"/>
  <c r="K38" i="272"/>
  <c r="J41" i="272" s="1"/>
  <c r="K33" i="272"/>
  <c r="J36" i="272" s="1"/>
  <c r="K13" i="273" l="1"/>
  <c r="L12" i="273"/>
  <c r="L14" i="273" s="1"/>
  <c r="L22" i="273" l="1"/>
  <c r="K14" i="273"/>
  <c r="M14" i="273" s="1"/>
  <c r="K27" i="273" l="1"/>
  <c r="L28" i="273"/>
  <c r="H42" i="268" l="1"/>
  <c r="H44" i="268" s="1"/>
  <c r="K28" i="273"/>
  <c r="J44" i="268" l="1"/>
  <c r="H57" i="268"/>
</calcChain>
</file>

<file path=xl/sharedStrings.xml><?xml version="1.0" encoding="utf-8"?>
<sst xmlns="http://schemas.openxmlformats.org/spreadsheetml/2006/main" count="13573" uniqueCount="3728">
  <si>
    <t>and outstanding for such purposes, together with such emergency notes, may be omitted from this analysis.</t>
  </si>
  <si>
    <t>Note A:</t>
  </si>
  <si>
    <t>In showing the above percentage the following should be noted:</t>
  </si>
  <si>
    <t>Where Item 5 shows $1,500,000.00, and Item 10 shows $1,049,977.50,</t>
  </si>
  <si>
    <t>THE  REQUIRED  CERTIFICATION  BY  AN  RMA  IS  AS  FOLLOWS:</t>
  </si>
  <si>
    <t>Percentage of Collection Excluding  Tax Levy Sale Proceeds</t>
  </si>
  <si>
    <t>SCHEDULE  OF  DUE  FROM / TO  STATE  OF  NEW  JERSEY</t>
  </si>
  <si>
    <t>FOR  SENIOR  CITIZENS  AND  VETERANS  DEDUCTIONS</t>
  </si>
  <si>
    <t>Calculation of Amount to be included on Sheet 22, Item 10 -</t>
  </si>
  <si>
    <t>Sheet  23</t>
  </si>
  <si>
    <t>Line  2</t>
  </si>
  <si>
    <t>Line  3</t>
  </si>
  <si>
    <t>Line  4</t>
  </si>
  <si>
    <t>Sub - Total</t>
  </si>
  <si>
    <t>Less: Line  7</t>
  </si>
  <si>
    <t>To Item 10, Sheet 22</t>
  </si>
  <si>
    <t>Signature  of  Tax  Collector</t>
  </si>
  <si>
    <t>License #</t>
  </si>
  <si>
    <t>Date</t>
  </si>
  <si>
    <t>Sheet  24</t>
  </si>
  <si>
    <t>N.J.  DIVISION  OF  TAXATION  APPEALS  (N.J.S.A.  54:3-27)</t>
  </si>
  <si>
    <t>SCHEDULE  OF  RESERVE  FOR  TAX  APPEALS  PENDING -</t>
  </si>
  <si>
    <t>statements annexed hereto and made a part hereof are true statements of the financial condition of the Local Unit as at</t>
  </si>
  <si>
    <t>,am the Chief Financial</t>
  </si>
  <si>
    <t>, of the</t>
  </si>
  <si>
    <t>48 &amp; 62.</t>
  </si>
  <si>
    <t>49 &amp; 63.</t>
  </si>
  <si>
    <t>50 &amp; 64.</t>
  </si>
  <si>
    <t>51 &amp; 65.</t>
  </si>
  <si>
    <t>52 &amp; 66.</t>
  </si>
  <si>
    <t>53 &amp; 67.</t>
  </si>
  <si>
    <t>54 &amp; 68.</t>
  </si>
  <si>
    <t>Instructions</t>
  </si>
  <si>
    <t>UTILITIES  ONLY</t>
  </si>
  <si>
    <t>If no "utility fund" existed on the books of account and if no utility was</t>
  </si>
  <si>
    <t>instructions of Sheet 2.</t>
  </si>
  <si>
    <t>Sheet  40</t>
  </si>
  <si>
    <t>Bonds and Notes Authorized but Not Issued must be disclosed in this Utility Capital</t>
  </si>
  <si>
    <t>Memo: Designate all "Capital Notes" issued under N.J.S. 40A:2-8(b) with "C".  Such notes must be retired at the rate of 20% of the original amount issued annually.</t>
  </si>
  <si>
    <t>Memo: Type 1 School Notes should be separately listed and totaled.</t>
  </si>
  <si>
    <t>* "Original Date of Issue" refers to the date when the first money was borrowed for a particular improvement, not the renewal date of subsequent notes which were issued.</t>
  </si>
  <si>
    <t>written intent of permanent financing submitted with statement.</t>
  </si>
  <si>
    <t>** If interest on notes is financed by ordinance, designate same, otherwise an amount must be included in this column.</t>
  </si>
  <si>
    <t>RE: UNEXPENDED BALANCES CANCELED:</t>
  </si>
  <si>
    <t>Important: If there is more than one utility in the municipality, identify each note.</t>
  </si>
  <si>
    <t>Memo:</t>
  </si>
  <si>
    <t>Designate all "Capital Notes" issued under N.J.S. 40A:2-8(b) with "C".  Such notes must be retired at the rate</t>
  </si>
  <si>
    <t xml:space="preserve">              of 20% of the original amount issued annually.</t>
  </si>
  <si>
    <t>* See Sheet 33 for clarifications of "Original Date of Issue".</t>
  </si>
  <si>
    <t>** If interest on note is financed by ordinance, designate same, otherwise an amount must be included in this</t>
  </si>
  <si>
    <t xml:space="preserve">              column.</t>
  </si>
  <si>
    <t>Every appropriation overexpended in the budget document must be marked with an * and must agree in the aggregate with this item.</t>
  </si>
  <si>
    <t>Are not to be shown as "Paid or Charged" in the budget document.  In all instances "Total Appropriations" and "Overexpenditures"</t>
  </si>
  <si>
    <t>must equal the sum of "Total Expenditures" and "Unexpended Balances Canceled".</t>
  </si>
  <si>
    <t>Results of Operation, Operating Surplus and Analysis</t>
  </si>
  <si>
    <t>Utility Accounts Receivable; Utility Liens</t>
  </si>
  <si>
    <t>Deferred Charges and List of Judgments-Utility</t>
  </si>
  <si>
    <t>Summary Statement of Debt Service Requirements</t>
  </si>
  <si>
    <t>to the veracity of required information included herein, needed prior to certification by the Director of Local Government</t>
  </si>
  <si>
    <t>Address</t>
  </si>
  <si>
    <t>Phone Number</t>
  </si>
  <si>
    <t>Sheet  1</t>
  </si>
  <si>
    <t>BY SAID, AT A MINIMUM MUST REVIEW THE CONTENTS OF THIS ANNUAL FINANCIAL</t>
  </si>
  <si>
    <t>SCHEDULE  OF  DELINQUENT  TAXES  AND  TAX  TITLE  LIENS</t>
  </si>
  <si>
    <t>A.</t>
  </si>
  <si>
    <t>Taxes</t>
  </si>
  <si>
    <t>B.</t>
  </si>
  <si>
    <t>Canceled:</t>
  </si>
  <si>
    <t>6 &amp; 6b.</t>
  </si>
  <si>
    <t>body prior to introduction of municipal budget</t>
  </si>
  <si>
    <t>Trial Balance-Trust Funds/ Schedule of Trust Fund Deposits and Reserves</t>
  </si>
  <si>
    <t>34 &amp; 34a.</t>
  </si>
  <si>
    <t>Debt Service for Assessment Notes/ Schedule of Capital Lease Program Obligations</t>
  </si>
  <si>
    <t>51a &amp; 65a.</t>
  </si>
  <si>
    <t>Schedule of Capital Lease Program Obligations</t>
  </si>
  <si>
    <t>(Separately Stated)</t>
  </si>
  <si>
    <t xml:space="preserve">Cash Liabilities Must Be Subtotaled and Subtotal Must Be Marked With "C" </t>
  </si>
  <si>
    <r>
      <t xml:space="preserve">There were </t>
    </r>
    <r>
      <rPr>
        <b/>
        <sz val="10"/>
        <rFont val="Arial"/>
        <family val="2"/>
      </rPr>
      <t>no "procedural deficiencies" noted</t>
    </r>
    <r>
      <rPr>
        <sz val="10"/>
        <rFont val="Arial"/>
        <family val="2"/>
      </rPr>
      <t xml:space="preserve"> by the registered municipal</t>
    </r>
  </si>
  <si>
    <r>
      <t xml:space="preserve">There was </t>
    </r>
    <r>
      <rPr>
        <b/>
        <sz val="10"/>
        <rFont val="Arial"/>
        <family val="2"/>
      </rPr>
      <t>no operating deficit</t>
    </r>
    <r>
      <rPr>
        <sz val="10"/>
        <rFont val="Arial"/>
        <family val="2"/>
      </rPr>
      <t xml:space="preserve"> for the previous fiscal year.</t>
    </r>
  </si>
  <si>
    <t>Municipality:</t>
  </si>
  <si>
    <t>Chief Financial Officer:</t>
  </si>
  <si>
    <t>Certificate #:</t>
  </si>
  <si>
    <t>Sheet  1c</t>
  </si>
  <si>
    <t>Total "Interest on Bonds - Type I School Debt Service" (*Items)</t>
  </si>
  <si>
    <t>Amount Issued          -02</t>
  </si>
  <si>
    <t>MUNICODE</t>
  </si>
  <si>
    <t>0512</t>
  </si>
  <si>
    <t>Fax Number</t>
  </si>
  <si>
    <t>(Fax Number)</t>
  </si>
  <si>
    <t>TYPE  I  SCHOOL  SERIAL  BONDS</t>
  </si>
  <si>
    <t>Cash Paid to Appellants (Including 5% Interest from Date of Payment)</t>
  </si>
  <si>
    <t xml:space="preserve">utility owned and operated by the </t>
  </si>
  <si>
    <t>COMPLETED</t>
  </si>
  <si>
    <t>years.</t>
  </si>
  <si>
    <t>Date  of     Issue</t>
  </si>
  <si>
    <t>Interest   Rate</t>
  </si>
  <si>
    <t>Amount Issued</t>
  </si>
  <si>
    <t>Issued</t>
  </si>
  <si>
    <t>ASSESSMENT  SERIAL  BONDS</t>
  </si>
  <si>
    <t>Cash Liabilities Must Be Subtotaled and Subtotal Must Be Marked With "C" -- Taxes Receivable Must Be Subtotaled</t>
  </si>
  <si>
    <t>Title of Account</t>
  </si>
  <si>
    <t>Debit</t>
  </si>
  <si>
    <t>Credit</t>
  </si>
  <si>
    <t>(Do not crowd - add additional sheets)</t>
  </si>
  <si>
    <t>Sheet  3</t>
  </si>
  <si>
    <r>
      <t xml:space="preserve">NOTE  THAT  A  TRIAL  BALANCE  IS  REQUIRED  AND  </t>
    </r>
    <r>
      <rPr>
        <u/>
        <sz val="10"/>
        <rFont val="Times New Roman"/>
        <family val="1"/>
      </rPr>
      <t>NOT  A  BALANCE  SHEET</t>
    </r>
  </si>
  <si>
    <t>Sheet  3a</t>
  </si>
  <si>
    <t xml:space="preserve">TRIAL  BALANCE - PUBLIC  ASSISTANCE  FUND  </t>
  </si>
  <si>
    <t>Sheet  4</t>
  </si>
  <si>
    <t>*To be prepared in compliance with Department of Human Services Municipal Audit Guide,</t>
  </si>
  <si>
    <t>POST  CLOSING  TRIAL  BALANCE</t>
  </si>
  <si>
    <t>FEDERAL  AND  STATE  GRANTS</t>
  </si>
  <si>
    <t>Trial Balance-Capital Fund</t>
  </si>
  <si>
    <t>Cash Reconciliation</t>
  </si>
  <si>
    <r>
      <t xml:space="preserve">pass-through entities.  </t>
    </r>
    <r>
      <rPr>
        <b/>
        <sz val="10"/>
        <rFont val="Arial"/>
        <family val="2"/>
      </rPr>
      <t>Exclude state aid (I.e., CMPTRA, Energy Receipts tax, etc.) since there</t>
    </r>
  </si>
  <si>
    <t>are no compliance requirements.</t>
  </si>
  <si>
    <t>Report expenditures from federal programs received directly from the federal government or indirectly</t>
  </si>
  <si>
    <t>from entities other than state government.</t>
  </si>
  <si>
    <t>For Principal</t>
  </si>
  <si>
    <r>
      <t xml:space="preserve">All </t>
    </r>
    <r>
      <rPr>
        <u/>
        <sz val="8"/>
        <rFont val="Arial"/>
        <family val="2"/>
      </rPr>
      <t>"Certificates of Deposits", Repurchase Agreements" and other investments must be</t>
    </r>
    <r>
      <rPr>
        <sz val="8"/>
        <rFont val="Arial"/>
        <family val="2"/>
      </rPr>
      <t xml:space="preserve"> reported as cash and included in</t>
    </r>
  </si>
  <si>
    <t>(THIS MUST BE SIGNED BY THE REGISTERED MUNICIPAL ACCOUNTANT (STATUTORY AUDITOR) OR</t>
  </si>
  <si>
    <r>
      <t>CHIEF FINANCIAL OFFICER)</t>
    </r>
    <r>
      <rPr>
        <sz val="10"/>
        <rFont val="Arial"/>
        <family val="2"/>
      </rPr>
      <t xml:space="preserve"> </t>
    </r>
    <r>
      <rPr>
        <sz val="8"/>
        <rFont val="Arial"/>
        <family val="2"/>
      </rPr>
      <t>depending on who prepared this Annual Financial Statement as certified to on Sheet 1 or 1(a).</t>
    </r>
  </si>
  <si>
    <t>Signature:</t>
  </si>
  <si>
    <t>Title:</t>
  </si>
  <si>
    <t>examination of its Budget in accordance with N.J.A.C. 5:30-7.5.</t>
  </si>
  <si>
    <t>DEFERRED SCHOOL TAX</t>
  </si>
  <si>
    <t>DEFERRED SCHOOL TAX PAYABLE</t>
  </si>
  <si>
    <t>CONSOLIDATION ACT; FLOOD OR HURRICANE DAMAGE.</t>
  </si>
  <si>
    <t>are recorded on this page</t>
  </si>
  <si>
    <t>Chief Financial Officer</t>
  </si>
  <si>
    <t>Sheet  30</t>
  </si>
  <si>
    <t>1/3 of Amount</t>
  </si>
  <si>
    <t>SCHEDULE  OF  BONDS  ISSUED  AND  OUTSTANDING</t>
  </si>
  <si>
    <t>DUE FROM/TO CURRENT FUND</t>
  </si>
  <si>
    <t>Requirement</t>
  </si>
  <si>
    <t>Emergency Notes</t>
  </si>
  <si>
    <t>Special Emergency Notes</t>
  </si>
  <si>
    <t>Tax Anticipation Notes</t>
  </si>
  <si>
    <t>Interest on Unpaid State &amp; County Taxes</t>
  </si>
  <si>
    <t>Sheet  32</t>
  </si>
  <si>
    <t>DEBT  SERVICE  FOR  NOTES  (OTHER  THAN  ASSESSMENT  NOTES)</t>
  </si>
  <si>
    <t>Sheet  33</t>
  </si>
  <si>
    <t xml:space="preserve">Total    </t>
  </si>
  <si>
    <t>Title or Purpose of Issue</t>
  </si>
  <si>
    <t>Original</t>
  </si>
  <si>
    <t>Date of</t>
  </si>
  <si>
    <t>Issue*</t>
  </si>
  <si>
    <t>This Sheet Must Be Completely Filled in or the Statement Will Be Considered Incomplete</t>
  </si>
  <si>
    <t>Sheet  6.1</t>
  </si>
  <si>
    <t>(3)</t>
  </si>
  <si>
    <t>Surplus Balance - To Surplus (Sheet 21)</t>
  </si>
  <si>
    <t>Miscellaneous Revenues anticipated</t>
  </si>
  <si>
    <t>Delinquent Tax Collections</t>
  </si>
  <si>
    <t>Required Collection of Current Taxes</t>
  </si>
  <si>
    <t>Refunded</t>
  </si>
  <si>
    <t>__________________________________ LOAN</t>
  </si>
  <si>
    <t>Sheet  31a</t>
  </si>
  <si>
    <t>I also certify that all amounts, if any, shown for Investments in Savings and Loan Associations on any trial balance have</t>
  </si>
  <si>
    <t>this certification.</t>
  </si>
  <si>
    <t>column "Total Obligations Authorized", explanation must be made part of or attached to this sheet.</t>
  </si>
  <si>
    <t>STATEMENT  OF  CAPITAL  SURPLUS</t>
  </si>
  <si>
    <t>Premium on Sale of Bonds</t>
  </si>
  <si>
    <t>Funded Improvement Authorizations Canceled</t>
  </si>
  <si>
    <t>Sheet  38</t>
  </si>
  <si>
    <r>
      <t xml:space="preserve">The undersigned certifies </t>
    </r>
    <r>
      <rPr>
        <u/>
        <sz val="10"/>
        <rFont val="Arial"/>
        <family val="2"/>
      </rPr>
      <t xml:space="preserve">that this municipality has complied in full in meeting </t>
    </r>
    <r>
      <rPr>
        <b/>
        <u/>
        <sz val="10"/>
        <rFont val="Arial"/>
        <family val="2"/>
      </rPr>
      <t>ALL</t>
    </r>
    <r>
      <rPr>
        <u/>
        <sz val="10"/>
        <rFont val="Arial"/>
        <family val="2"/>
      </rPr>
      <t xml:space="preserve"> of the</t>
    </r>
  </si>
  <si>
    <t>operated utility.</t>
  </si>
  <si>
    <t>COUNTY  TAXES  PAYABLE</t>
  </si>
  <si>
    <t>N.J.S.  40A:4-20 (Prior to adoption of Budget)</t>
  </si>
  <si>
    <t>Sale of Municipal Assets</t>
  </si>
  <si>
    <t>Transferred to Tax Title Liens</t>
  </si>
  <si>
    <t>Net Cash Collected</t>
  </si>
  <si>
    <t>Reserve for Tax Appeals Pending-N.J. Division of Tax Appeals (N.J.S.A. 54:3-37)</t>
  </si>
  <si>
    <t>Source</t>
  </si>
  <si>
    <t>Surplus Anticipated</t>
  </si>
  <si>
    <t>Surplus Anticipated with Prior Written Consent of</t>
  </si>
  <si>
    <t>Director of Local Government</t>
  </si>
  <si>
    <t>-01</t>
  </si>
  <si>
    <t>-02</t>
  </si>
  <si>
    <t>-03</t>
  </si>
  <si>
    <t>Excess or Deficit*</t>
  </si>
  <si>
    <t>Miscellaneous Revenue Anticipated:</t>
  </si>
  <si>
    <t>Adopted Budget</t>
  </si>
  <si>
    <t>Sheet  36</t>
  </si>
  <si>
    <t>Improvement Authorizations Canceled</t>
  </si>
  <si>
    <t>(financed in whole by the Capital Improvement Fund)</t>
  </si>
  <si>
    <t>List by Improvements  -  Direct Charges Made for Preliminary Costs:</t>
  </si>
  <si>
    <t>Appropriated to Finance Improvement Authorizations</t>
  </si>
  <si>
    <t>appropriation is to be permitted to lapse.</t>
  </si>
  <si>
    <t>SCHEDULE  OF  DOWN  PAYMENTS  ON  IMPROVEMENTS</t>
  </si>
  <si>
    <t>Sheet  37</t>
  </si>
  <si>
    <t>Municipal Budget-Computation of "Reserve for Uncollected Taxes" and "Amount to be Raised by Taxation"</t>
  </si>
  <si>
    <t>Accelerated Tax Sale - Chapter 99.  Calculation to Utilize Proceeds in Current Budget as Deduction to Reserve</t>
  </si>
  <si>
    <t>for Uncollected Taxes Appropriation</t>
  </si>
  <si>
    <t>Delinquent Taxes and Tax Title Liens</t>
  </si>
  <si>
    <t>Foreclosed Property; Contract Sales; Mortgage Sales</t>
  </si>
  <si>
    <t>Deferred Charges and List of Judgments-Current</t>
  </si>
  <si>
    <t>Emergency-Tax Map; Revaluation; Master Plan; Revisions and Codification of Ordinance; Drainage Maps for</t>
  </si>
  <si>
    <t>Analysis of Trust Assessment Cash and Investments Pledged to Liabilities and Surplus</t>
  </si>
  <si>
    <t>TRIAL  BALANCE  --  GENERAL  CAPITAL  FUND</t>
  </si>
  <si>
    <t>Sheet  8</t>
  </si>
  <si>
    <t>Est. Proceeds Bonds and Notes Authorized</t>
  </si>
  <si>
    <t>Bonds and Notes Authorized but Not Issued</t>
  </si>
  <si>
    <t>Cash</t>
  </si>
  <si>
    <t>*On Hand</t>
  </si>
  <si>
    <t>On Deposit</t>
  </si>
  <si>
    <t>Less Checks</t>
  </si>
  <si>
    <t>Outstanding</t>
  </si>
  <si>
    <t>Cash Book</t>
  </si>
  <si>
    <t>Sheet  9</t>
  </si>
  <si>
    <t>Total</t>
  </si>
  <si>
    <t>AND  DOWN  PAYMENTS  (N.J.S. 40A:2-11)</t>
  </si>
  <si>
    <t>Appropriated</t>
  </si>
  <si>
    <t>Obligations</t>
  </si>
  <si>
    <t>Down Payment</t>
  </si>
  <si>
    <t>Provided by</t>
  </si>
  <si>
    <t>Deficit in Anticipated Revenues:</t>
  </si>
  <si>
    <t>Operating Surplus Cash or (Deficit in Operating Surplus Cash)</t>
  </si>
  <si>
    <t>Operating Deficit #</t>
  </si>
  <si>
    <t>Excess in Anticipated Revenues</t>
  </si>
  <si>
    <t>Unexpended Balances of Appropriations</t>
  </si>
  <si>
    <t>Miscellaneous Revenues Not Anticipated</t>
  </si>
  <si>
    <t>Operating Deficit - to Trial Balance</t>
  </si>
  <si>
    <t>Excess in Operations - to Operating Surplus</t>
  </si>
  <si>
    <t>*In the case of a "Deficit in Operating Surplus Cash",</t>
  </si>
  <si>
    <t>Increased by:</t>
  </si>
  <si>
    <t>Decreased by:</t>
  </si>
  <si>
    <t>Collections</t>
  </si>
  <si>
    <t>Overpayments applied</t>
  </si>
  <si>
    <t>Other</t>
  </si>
  <si>
    <t>Transfers from Accounts Receivable</t>
  </si>
  <si>
    <t>Penalties and Costs</t>
  </si>
  <si>
    <t>(Do not include the emergency authorizations pursuant to N.J.S. 40A:4-55, listed on Sheet 29)</t>
  </si>
  <si>
    <t>and Veterans Deductions Allowed</t>
  </si>
  <si>
    <t>Total To Line 14</t>
  </si>
  <si>
    <t>11.</t>
  </si>
  <si>
    <t>Total Credits</t>
  </si>
  <si>
    <t>12.</t>
  </si>
  <si>
    <t>13.</t>
  </si>
  <si>
    <t>Sheet  22</t>
  </si>
  <si>
    <t>(Item 10 divided by Item 5c) is</t>
  </si>
  <si>
    <t>MUNICIPALITIES  AND  COUNTIES</t>
  </si>
  <si>
    <t>FEDERAL  AND  STATE  GRANTS  RECEIVABLE</t>
  </si>
  <si>
    <t>Sheet  11</t>
  </si>
  <si>
    <t>Appropriation</t>
  </si>
  <si>
    <t>By 40A:4-87</t>
  </si>
  <si>
    <t>Budget Appropriations</t>
  </si>
  <si>
    <t>Expended</t>
  </si>
  <si>
    <t>SCHEDULE  OF  APPROPRIATED  RESERVES  FOR</t>
  </si>
  <si>
    <t>Sheet  12</t>
  </si>
  <si>
    <t>SCHEDULE  OF  UNAPPROPRIATED  RESERVES  FOR</t>
  </si>
  <si>
    <t>Ordinance</t>
  </si>
  <si>
    <t>Amount of Down</t>
  </si>
  <si>
    <t>Payment in Budget</t>
  </si>
  <si>
    <t>Years</t>
  </si>
  <si>
    <t xml:space="preserve">NOTE  -  </t>
  </si>
  <si>
    <t>Where amount in column "Down Payment Provided by Ordinance" is LESS than 5% of amount in</t>
  </si>
  <si>
    <t>Adjustment between Taxes (Other than current year) and Tax Title Liens;</t>
  </si>
  <si>
    <t>Collected:</t>
  </si>
  <si>
    <t>(See Note A on Sheet 22 - Current Taxes)</t>
  </si>
  <si>
    <t>Loss on Sales</t>
  </si>
  <si>
    <t>Gain on Sales</t>
  </si>
  <si>
    <t>N.J.S. 40A:4-55.13 et seq. and are recorded on this page</t>
  </si>
  <si>
    <t>Operating</t>
  </si>
  <si>
    <t>Less Assets "Unfinanced"*</t>
  </si>
  <si>
    <t>JUDGMENTS  ENTERED  AGAINST  MUNICIPALITY  AND  NOT  SATISFIED</t>
  </si>
  <si>
    <t>*LOCAL  DISTRICT  SCHOOL  TAX</t>
  </si>
  <si>
    <t>School Tax Payable #</t>
  </si>
  <si>
    <t>School Tax Deferred</t>
  </si>
  <si>
    <t>Paid</t>
  </si>
  <si>
    <t>Sheet  13</t>
  </si>
  <si>
    <t>Total Amount of Miscellaneous Revenues Not Anticipated (Sheet 19)</t>
  </si>
  <si>
    <t>Deficit in Required Collection of Current Taxes (or)</t>
  </si>
  <si>
    <t>Balance for Support of Municipal Budget (or)</t>
  </si>
  <si>
    <t>*Excess Non-Budget Revenue (see footnote)</t>
  </si>
  <si>
    <t>*Deficit Non-Budget Revenue (see footnote)</t>
  </si>
  <si>
    <t>Total Amount to be Raised by Taxation</t>
  </si>
  <si>
    <t>*These items are applicable only when there is no "Amount to be Raised by Taxation" in the "Budget" column of the statement at the top of this sheet. In such instances, any excess or deficit in the above allocation would apply to "Non-Budget Revenue" only.</t>
  </si>
  <si>
    <t>(Continued)</t>
  </si>
  <si>
    <t>Miscellaneous  Revenues  Anticipated: Added By N.J.S. 40A:4-87</t>
  </si>
  <si>
    <t>Excess or Deficit</t>
  </si>
  <si>
    <t>Preparation by Registered Municipal Account (Statement of Statutory Auditor Only)</t>
  </si>
  <si>
    <t>Miscellaneous Revenue Not Anticipated:</t>
  </si>
  <si>
    <t>Proceeds of Sale of Foreclosed Property (Sheet 27)</t>
  </si>
  <si>
    <t>Miscellaneous Revenues Anticipated</t>
  </si>
  <si>
    <t>Required Collection on Current Taxes</t>
  </si>
  <si>
    <t>Deficit Balance - To Trial Balance (Sheet 3)</t>
  </si>
  <si>
    <t>Due From State of New Jersey</t>
  </si>
  <si>
    <t>Due To State of New Jersey</t>
  </si>
  <si>
    <t>(N.J.S.A. 52:27BB-55 as Amended by Chap. 211, P.L. 1981)</t>
  </si>
  <si>
    <t>Seventy (70) percent of Item 1</t>
  </si>
  <si>
    <t>(*) Including prepayments and overpayments applied.</t>
  </si>
  <si>
    <t>Answer  YES  or  NO</t>
  </si>
  <si>
    <t>Payments in Lieu of Taxes on Real Property</t>
  </si>
  <si>
    <t>I hereby certify that the above list of Chapter 159 insertions of revenue have been realized in cash or I have received</t>
  </si>
  <si>
    <t>written notification of the award of public or private revenue.  These insertions meet the statutory requirements of</t>
  </si>
  <si>
    <t>N.J.S.A. 40A:4-87 and matching funds have been provided if applicable.</t>
  </si>
  <si>
    <t xml:space="preserve">CFO Signature:  </t>
  </si>
  <si>
    <t>promulgated by the Division of Local Government Services, solely to assist the Chief Financial</t>
  </si>
  <si>
    <t>Officer in connection with the filing of the Annual Financial Statement for the year then</t>
  </si>
  <si>
    <t>APPROPRIATED RESERVES</t>
  </si>
  <si>
    <t>ended as required by N.J.S. 40A:5-12, as amended.</t>
  </si>
  <si>
    <t>Because the agreed-upon procedures do not constitute an examination of accounts made in</t>
  </si>
  <si>
    <t>accordance with generally accepted auditing standards, I do not express an opinion on any of</t>
  </si>
  <si>
    <t>RESERVE FOR DEBT SERVICE</t>
  </si>
  <si>
    <t>items prescribed by the Division and does not extend to the financial statements of the</t>
  </si>
  <si>
    <t>$1,049,977.50 divided by $1,500,000, or .699985.  The correct percentage to</t>
  </si>
  <si>
    <t>Deferred School Tax Revenue: (See School Taxes, Sheets 13 &amp; 14)</t>
  </si>
  <si>
    <t>SURPLUS  -  CURRENT  FUND</t>
  </si>
  <si>
    <t>1.</t>
  </si>
  <si>
    <t>2.</t>
  </si>
  <si>
    <t>3.</t>
  </si>
  <si>
    <t>4.</t>
  </si>
  <si>
    <t>5.</t>
  </si>
  <si>
    <t>6.</t>
  </si>
  <si>
    <t>7.</t>
  </si>
  <si>
    <t>Board of Education for use of local schools.</t>
  </si>
  <si>
    <t># Must include unpaid requisitions.</t>
  </si>
  <si>
    <t>xxxxxxxxxxx</t>
  </si>
  <si>
    <t>** Interest on Utility Assessment Notes must be included in the Utility Fund Budget appropriation "Interest on Notes".</t>
  </si>
  <si>
    <t>If there is a utility operated by the municipality of if a "utility fund" existed on the books of</t>
  </si>
  <si>
    <t>Chapter 99, P.L.  1997.</t>
  </si>
  <si>
    <t>account, do not sign this statement and do not remove any of the UTILITY sheets from the</t>
  </si>
  <si>
    <t>document.</t>
  </si>
  <si>
    <t>CERTIFICATION</t>
  </si>
  <si>
    <t>I hereby certify that there was no "utility fund" on the books of account and there was no</t>
  </si>
  <si>
    <t>County of</t>
  </si>
  <si>
    <t>,</t>
  </si>
  <si>
    <t>I have therefore removed from this statement the sheets pertaining only to utilities.</t>
  </si>
  <si>
    <t>Name</t>
  </si>
  <si>
    <t>Title</t>
  </si>
  <si>
    <t xml:space="preserve">(This must be signed by the Chief Financial Office, Comptroller, Auditor or Registered </t>
  </si>
  <si>
    <t>Municipal Account.)</t>
  </si>
  <si>
    <t>NOTE:</t>
  </si>
  <si>
    <t>When removing the utility sheets, please be sure to refasten the "index" sheet (the last sheet</t>
  </si>
  <si>
    <t>RESERVE TO PAY BANS</t>
  </si>
  <si>
    <t>Investments</t>
  </si>
  <si>
    <t>are correct, that no transfers have been made to or from emergency appropriations and all statements contained herein</t>
  </si>
  <si>
    <t>Subtotal</t>
  </si>
  <si>
    <t>Added by N.J.S.  40A:4-87:(List)</t>
  </si>
  <si>
    <t>in Cash</t>
  </si>
  <si>
    <t>Excess or</t>
  </si>
  <si>
    <t>Deficit*</t>
  </si>
  <si>
    <t>STATEMENT  OF  BUDGET  APPROPRIATIONS</t>
  </si>
  <si>
    <t>Appropriations:</t>
  </si>
  <si>
    <t>Added by N.J.S. 40A:4-87</t>
  </si>
  <si>
    <t>Emergency</t>
  </si>
  <si>
    <t>Total Appropriations</t>
  </si>
  <si>
    <t>Add: Overexpenditures (See Footnote)</t>
  </si>
  <si>
    <t>Deduct  Expenditures:</t>
  </si>
  <si>
    <t>Surplus (General Budget)**</t>
  </si>
  <si>
    <t>Unexpended Balance Canceled (See Footnote)</t>
  </si>
  <si>
    <t>either an item of revenue "Deficit (General Budget)" or an item of appropriation "Surplus (General</t>
  </si>
  <si>
    <t>Budget)"</t>
  </si>
  <si>
    <t>SECTION 1:</t>
  </si>
  <si>
    <t>Revenue Realized:</t>
  </si>
  <si>
    <t>Budget Revenue (Not Including "Deficit (General Budget)")</t>
  </si>
  <si>
    <t>Miscellaneous Revenue Not Anticipated</t>
  </si>
  <si>
    <t>Total Revenue Realized</t>
  </si>
  <si>
    <t>Expenditures:</t>
  </si>
  <si>
    <t>Appropriations (Not Including "Surplus (General Budget)")</t>
  </si>
  <si>
    <t>Expended Without Appropriation</t>
  </si>
  <si>
    <t>Cash Refund of Prior Year's Revenue</t>
  </si>
  <si>
    <t>in the statement) in order to provide a protective cover sheet to the back of the document.</t>
  </si>
  <si>
    <t>Certification is hereby made that the Net Valuation Taxable of property liable to taxation for</t>
  </si>
  <si>
    <t>with the requirement of N.J.S.A.  54:4-35, was in the amount of $</t>
  </si>
  <si>
    <t>SIGNATURE OF TAX ASSESSOR</t>
  </si>
  <si>
    <t>MUNICIPALITY</t>
  </si>
  <si>
    <t>COUNTY</t>
  </si>
  <si>
    <t>Sheet  2</t>
  </si>
  <si>
    <t>Fed I.D. #</t>
  </si>
  <si>
    <t>Municipality</t>
  </si>
  <si>
    <t>County</t>
  </si>
  <si>
    <t>Report  of  Federal  and  State  Financial  Assistance</t>
  </si>
  <si>
    <t>Expenditures  of  Awards</t>
  </si>
  <si>
    <t xml:space="preserve">Fiscal Year Ending: </t>
  </si>
  <si>
    <t>CASH</t>
  </si>
  <si>
    <t>TAXES RECEIVABLE:</t>
  </si>
  <si>
    <t>PRIOR</t>
  </si>
  <si>
    <t>CURRENT</t>
  </si>
  <si>
    <t>SUBTOTAL</t>
  </si>
  <si>
    <t>TAX TITLE LIENS RECEIVABLE</t>
  </si>
  <si>
    <t>PROPERTY ACQUIRED FOR TAXES</t>
  </si>
  <si>
    <t>On Item 1 if Duplicate (Analysis) Figure is used; be sure to include</t>
  </si>
  <si>
    <t>Senior Citizens and Veterans Deductions.</t>
  </si>
  <si>
    <t>**  Tax appeals pursuant to R.S. 54:3-21 et seq and/or R.S. 54:48-1 et seq approved by resolution of the governing</t>
  </si>
  <si>
    <t>kept and maintained in the Local Unit.</t>
  </si>
  <si>
    <t>Deduct Cash Liabilities Marked with "C" on Trial Balance</t>
  </si>
  <si>
    <t>Cash Surplus</t>
  </si>
  <si>
    <t>Deficit in Cash Surplus</t>
  </si>
  <si>
    <t>Deferred Charges #</t>
  </si>
  <si>
    <t>Cash Deficit #</t>
  </si>
  <si>
    <t>Total Other Assets</t>
  </si>
  <si>
    <t>Sheet  21</t>
  </si>
  <si>
    <t>Other Assets Pledged to Surplus:*</t>
  </si>
  <si>
    <t>(1) Due from State of N.J. Senior                      Citizens and Veterans Deduction</t>
  </si>
  <si>
    <t>(FOR  MUNICIPALITIES  ONLY)</t>
  </si>
  <si>
    <t>Amount of Levy as per Duplicate (Analysis) #</t>
  </si>
  <si>
    <t>$</t>
  </si>
  <si>
    <t>or</t>
  </si>
  <si>
    <t>(Abstract of Ratables)</t>
  </si>
  <si>
    <t>Amount Levied for Added Taxes under</t>
  </si>
  <si>
    <t>N.J.S.A. 54:4-63.12 et seq.</t>
  </si>
  <si>
    <t>N.J.S.A. 54:4-63.1 et seq.</t>
  </si>
  <si>
    <t>Amount Levied for Omitted Taxes under</t>
  </si>
  <si>
    <t>5a.</t>
  </si>
  <si>
    <t>5b.</t>
  </si>
  <si>
    <t>Reductions due to tax appeals **</t>
  </si>
  <si>
    <t>5c.</t>
  </si>
  <si>
    <t>Transferred to Foreclosed Property</t>
  </si>
  <si>
    <t>8.</t>
  </si>
  <si>
    <t>9.</t>
  </si>
  <si>
    <t>10.</t>
  </si>
  <si>
    <t>17 &amp; 17a.</t>
  </si>
  <si>
    <t>22a.</t>
  </si>
  <si>
    <t>25.</t>
  </si>
  <si>
    <t>25a.</t>
  </si>
  <si>
    <t>26.</t>
  </si>
  <si>
    <t>27.</t>
  </si>
  <si>
    <t>28.</t>
  </si>
  <si>
    <t>29.</t>
  </si>
  <si>
    <t>30.</t>
  </si>
  <si>
    <t>32.</t>
  </si>
  <si>
    <t>33.</t>
  </si>
  <si>
    <t>35 &amp; 35a.</t>
  </si>
  <si>
    <t>36.</t>
  </si>
  <si>
    <t>37.</t>
  </si>
  <si>
    <t>38.</t>
  </si>
  <si>
    <t>39.</t>
  </si>
  <si>
    <t>Emergency - Damage to Roads and Bridges by Snow, Ice, etc.; Public Exigencies Caused by Civil Disturbances</t>
  </si>
  <si>
    <t>40.</t>
  </si>
  <si>
    <t>Sheet  69</t>
  </si>
  <si>
    <t>41 &amp; 55.</t>
  </si>
  <si>
    <t>42 &amp; 56.</t>
  </si>
  <si>
    <t>43 &amp; 57.</t>
  </si>
  <si>
    <t>45 &amp; 59.</t>
  </si>
  <si>
    <t>44 &amp; 58.</t>
  </si>
  <si>
    <t>46 &amp; 60.</t>
  </si>
  <si>
    <t>47 &amp; 61.</t>
  </si>
  <si>
    <t>EMERGENCY  AUTHORIZATIONS  UNDER  N.J.S.  40A:4-47  WHICH  HAVE  BEEN</t>
  </si>
  <si>
    <t>FUNDED  OR REFUNDED  UNDER  N.J.S. 40A:2-3  OR  N.J.S.  40A:2-51</t>
  </si>
  <si>
    <t>Purpose</t>
  </si>
  <si>
    <t>Amount</t>
  </si>
  <si>
    <t>Sheet  28</t>
  </si>
  <si>
    <t>In Favor of</t>
  </si>
  <si>
    <t>On Account of</t>
  </si>
  <si>
    <t>Date Entered</t>
  </si>
  <si>
    <t>Appropriated for</t>
  </si>
  <si>
    <t>in Budget of</t>
  </si>
  <si>
    <t>- MANDATORY  CHARGES  ONLY -</t>
  </si>
  <si>
    <t>CURRENT,  TRUST,  AND  GENERAL  CAPITAL  FUNDS</t>
  </si>
  <si>
    <t>exact copy of the original on file with the clerk of the governing body, that all calculations, extensions and additions</t>
  </si>
  <si>
    <t>POST  CLOSING</t>
  </si>
  <si>
    <t>Sheet  27</t>
  </si>
  <si>
    <t>BOND ANTICIPATION NOTES PAYABLE</t>
  </si>
  <si>
    <t>Receipts</t>
  </si>
  <si>
    <t>Sheet  6b</t>
  </si>
  <si>
    <t>SCHEDULE  OF  CAPITAL  LEASE  PROGRAM  OBLIGATIONS</t>
  </si>
  <si>
    <t>Lease Obligation Outstanding</t>
  </si>
  <si>
    <t>For Interest/Fees</t>
  </si>
  <si>
    <t>Report</t>
  </si>
  <si>
    <t>per Audit</t>
  </si>
  <si>
    <t>Caused By</t>
  </si>
  <si>
    <t>Amount in</t>
  </si>
  <si>
    <t>Resulting</t>
  </si>
  <si>
    <t>as at</t>
  </si>
  <si>
    <t>Sheet  29</t>
  </si>
  <si>
    <t>Canceled</t>
  </si>
  <si>
    <t>By Resolution</t>
  </si>
  <si>
    <t>Authorized</t>
  </si>
  <si>
    <t>Not Less Than</t>
  </si>
  <si>
    <t>1/5 of Amount</t>
  </si>
  <si>
    <t>Authorized*</t>
  </si>
  <si>
    <t>Cancelled</t>
  </si>
  <si>
    <t>TAX MAP; REVALUATION; MASTER PLAN; REVISION AND CODIFICATION OF ORDINANCES; DRAINAGE MAPS</t>
  </si>
  <si>
    <t>Local District School Tax-Municipal Open Space Tax</t>
  </si>
  <si>
    <t>TRIAL  BALANCE - CURRENT  FUND (CONT'D)</t>
  </si>
  <si>
    <t>Section in the same manner as set forth in General Capital Fund on Sheet 8</t>
  </si>
  <si>
    <t>Operating and Capital Sections</t>
  </si>
  <si>
    <t>RESERVE FOR CAPITAL PROJECTS</t>
  </si>
  <si>
    <t>EMERGENCY</t>
  </si>
  <si>
    <t>Received in Cash from State</t>
  </si>
  <si>
    <t>Posting Calculation do not</t>
  </si>
  <si>
    <t>Remove</t>
  </si>
  <si>
    <t>Taxes Pending Appeals</t>
  </si>
  <si>
    <t>Interest Earned on Taxes Pending Appeals</t>
  </si>
  <si>
    <t>Interest Earned on Taxes Pending State Appeals</t>
  </si>
  <si>
    <t>Closed to Results of Operation</t>
  </si>
  <si>
    <t>(Portion of Appeal won by Municipality, including Interest)</t>
  </si>
  <si>
    <t>Taxes Pending Appeals*</t>
  </si>
  <si>
    <t>* Includes State Tax Court and County Board of Taxation</t>
  </si>
  <si>
    <t>IT IS HEREBY INCUMBENT UPON THE CHIEF FINANCIAL OFFICER, WHEN NOT PREPARED</t>
  </si>
  <si>
    <t>STATEMENT WITH THE PREPARER, SO AS TO BE FAMILIAR WITH THE REPRESENTATIONS</t>
  </si>
  <si>
    <t>AND ASSERTIONS MADE HEREIN.</t>
  </si>
  <si>
    <t>and that the</t>
  </si>
  <si>
    <t>,  County  of</t>
  </si>
  <si>
    <t>Further,  I  do  hereby  certify that I,</t>
  </si>
  <si>
    <t>Federal and State Grants Receivable</t>
  </si>
  <si>
    <t>Appropriated Reserves for Federal and State Grants</t>
  </si>
  <si>
    <t>Unappropriated Reserves for Federal and State Grants</t>
  </si>
  <si>
    <t>Regional School Tax-Regional High School Tax</t>
  </si>
  <si>
    <t>County Taxes Payable-Special District Taxes</t>
  </si>
  <si>
    <t>General Budget Revenues</t>
  </si>
  <si>
    <t>Allocation of Current Tax Collections</t>
  </si>
  <si>
    <t>General Budget Appropriations</t>
  </si>
  <si>
    <t>Emergency Appropriations for Local District School Purposes</t>
  </si>
  <si>
    <t>Schedule of Miscellaneous Revenues Not Anticipated</t>
  </si>
  <si>
    <t>Surplus Account and Analysis of Balance</t>
  </si>
  <si>
    <t>Sheet  5</t>
  </si>
  <si>
    <t>TRIAL  BALANCE  --  TRUST  FUNDS</t>
  </si>
  <si>
    <t>Sheet  6</t>
  </si>
  <si>
    <t>SCHEDULE  OF  LOANS  ISSUED  AND  OUTSTANDING</t>
  </si>
  <si>
    <t>MUNICIPALITIES  ONLY</t>
  </si>
  <si>
    <t>not plan to conduct one in the current year.</t>
  </si>
  <si>
    <t>FOR FLOOD CONTROL; PRELIMINARY ENGINEERING STUDIES, ETC. FOR SANITARY SEWER SYSTEM; MUNICIPAL</t>
  </si>
  <si>
    <t>Municipal Public Defender -- P.L. 1998, C. 256</t>
  </si>
  <si>
    <t>Transferred to Foreclosed Tax Title Liens:</t>
  </si>
  <si>
    <t>Added Taxes</t>
  </si>
  <si>
    <t>Added Tax Title Liens</t>
  </si>
  <si>
    <t>Taxes - Transfers to Tax Title Liens</t>
  </si>
  <si>
    <t>Tax Title Liens - Transfers from Taxes</t>
  </si>
  <si>
    <t>(1)</t>
  </si>
  <si>
    <t>Balance Before Cash Payments</t>
  </si>
  <si>
    <t>Balance Brought Down</t>
  </si>
  <si>
    <t>15.</t>
  </si>
  <si>
    <t>16.</t>
  </si>
  <si>
    <t>Percentage of Cash Collections to Adjusted Amount Outstanding</t>
  </si>
  <si>
    <t>(Item No. 10 divided by Item No. 9) is</t>
  </si>
  <si>
    <t>17.</t>
  </si>
  <si>
    <t>and represents the</t>
  </si>
  <si>
    <t>(administered by</t>
  </si>
  <si>
    <t>Report expenditures from federal pass-through programs received directly from state government.</t>
  </si>
  <si>
    <t>Report expenditures from state programs received directly from state government or indirectly from</t>
  </si>
  <si>
    <t>permanent financing submitted.</t>
  </si>
  <si>
    <t>The arrangement of the schedules is shown by the index appearing at the bottom hereof. The statement is prepared</t>
  </si>
  <si>
    <t>Municipal Budget Local Examination Certification</t>
  </si>
  <si>
    <t>Report of Federal and State Financial Assistance Expenditures of Awards</t>
  </si>
  <si>
    <t>Instructions and Certification</t>
  </si>
  <si>
    <t>Trial Balance-Current Fund</t>
  </si>
  <si>
    <t>Trial Balance-Public Assistance Fund</t>
  </si>
  <si>
    <t>Trial Balance-Federal and State Funds</t>
  </si>
  <si>
    <t>accompanying Annual Financial Statement from the books of account and records made</t>
  </si>
  <si>
    <t>Listing of agreed-upon procedures not performed and/or matters coming to my attention of</t>
  </si>
  <si>
    <t>DEBT  SERVICE  SCHEDULE  FOR  ASSESSMENT  NOTES</t>
  </si>
  <si>
    <t>SCHEDULE  OF  IMPROVEMENT  AUTHORIZATIONS  (GENERAL  CAPITAL  FUND)</t>
  </si>
  <si>
    <t>IMPROVEMENTS</t>
  </si>
  <si>
    <t>Specify each authorization by purpose. Do</t>
  </si>
  <si>
    <t>not merely designate by a code number.</t>
  </si>
  <si>
    <t>Funded</t>
  </si>
  <si>
    <t>Unfunded</t>
  </si>
  <si>
    <t>Authorizations</t>
  </si>
  <si>
    <t xml:space="preserve">Page Total    </t>
  </si>
  <si>
    <t>Place an * before each item of "Improvement" which represents a funding or refunding of an emergency authorization.</t>
  </si>
  <si>
    <t>Sheet  35</t>
  </si>
  <si>
    <t>SCHEDULE  OF  IMPROVEMENT  AUTHORIZATIONS  (GENERAL  CAPITAL  FUND) (cont.)</t>
  </si>
  <si>
    <t>GENERAL  CAPITAL  FUND</t>
  </si>
  <si>
    <t>SCHEDULE  OF  CAPITAL  IMPROVEMENT  FUND</t>
  </si>
  <si>
    <t>ANALYSIS  OF  TRUST  ASSESSMENT  CASH  AND  INVESTMENTS  PLEDGED  TO</t>
  </si>
  <si>
    <t>LIABILITIES  AND  SURPLUS</t>
  </si>
  <si>
    <t>Audit</t>
  </si>
  <si>
    <t>Balance</t>
  </si>
  <si>
    <t>RECEIPTS</t>
  </si>
  <si>
    <t>Assessments</t>
  </si>
  <si>
    <t>and Liens</t>
  </si>
  <si>
    <t>Current</t>
  </si>
  <si>
    <t>Budget</t>
  </si>
  <si>
    <t>Disbursements</t>
  </si>
  <si>
    <t>Title of Liability to which Cash</t>
  </si>
  <si>
    <t>and Investments are Pledged</t>
  </si>
  <si>
    <t>Sheet  7</t>
  </si>
  <si>
    <t>of Note</t>
  </si>
  <si>
    <t>of</t>
  </si>
  <si>
    <t>Maturity</t>
  </si>
  <si>
    <t>Rate</t>
  </si>
  <si>
    <t>Interest</t>
  </si>
  <si>
    <t>For Interest</t>
  </si>
  <si>
    <t>**</t>
  </si>
  <si>
    <t>Computed to</t>
  </si>
  <si>
    <t>(Insert Date)</t>
  </si>
  <si>
    <t>Sheet  34</t>
  </si>
  <si>
    <t>MEMO:* See Sheet 33 for clarification of "Original Date of Issue"</t>
  </si>
  <si>
    <t>submitted with statement.</t>
  </si>
  <si>
    <t>** Interest on Assessment Notes must be included in the Current Fund Budget appropriation "Interest on Notes".</t>
  </si>
  <si>
    <t>TRIAL  BALANCE  --  TRUST  FUNDS (CONT'D)</t>
  </si>
  <si>
    <t xml:space="preserve">Total                            70000-  </t>
  </si>
  <si>
    <t>Total "Interest on Bonds - Debt Service" (*Items)</t>
  </si>
  <si>
    <t>Sheet  31</t>
  </si>
  <si>
    <t>TYPE  I  SCHOOL  TERM  BONDS</t>
  </si>
  <si>
    <t>GRANTS RECEIVABLE</t>
  </si>
  <si>
    <t>UNAPPROPRIATED RESERVES</t>
  </si>
  <si>
    <t>TRIAL  BALANCE - CURRENT  FUND</t>
  </si>
  <si>
    <t>* Include Deposits In Transit</t>
  </si>
  <si>
    <t>** Be sure to include a Public Assistance Account reconciliation and trial balance if the municipality maintains such a bank account.</t>
  </si>
  <si>
    <t>REQUIRED  CERTIFICATION</t>
  </si>
  <si>
    <t>I hereby certify that all amounts shown in the "Cash on Deposit" column on Sheet 9 and 9(a) have been verified with the</t>
  </si>
  <si>
    <t>Current Tax Levy</t>
  </si>
  <si>
    <t>Due from/to State of New Jersey for Senior Citizens and Veterans Deductions</t>
  </si>
  <si>
    <t>Note: If municipality conducted Accelerated Tax Sale or Tax Levy Sale check here ____ and complete sheet 22a.</t>
  </si>
  <si>
    <t>14.</t>
  </si>
  <si>
    <t>Calculation of Current Taxes Realized in Cash:</t>
  </si>
  <si>
    <t>Total of Line  10</t>
  </si>
  <si>
    <t xml:space="preserve">Less: </t>
  </si>
  <si>
    <t>Reserve for Tax Appeals Pending</t>
  </si>
  <si>
    <t>State Division of Tax Appeals</t>
  </si>
  <si>
    <t>To Current Taxes Realized in Cash (Sheet 17)</t>
  </si>
  <si>
    <t>ACCELERATED  TAX  SALE  /  TAX  LEVY  SALE  -  CHAPTER  99</t>
  </si>
  <si>
    <t>* Not including Type 1 school debt service, emergency authorizations-schools, transfer to</t>
  </si>
  <si>
    <t xml:space="preserve">as  of  December  31, </t>
  </si>
  <si>
    <t>Summary Statement of Debt Service Requirements-Municipal (or County)</t>
  </si>
  <si>
    <t>Summary Statement of Debt Service Requirements-School-Type I and Current</t>
  </si>
  <si>
    <t>Debt Service for Notes (Other than Assessment Notes)</t>
  </si>
  <si>
    <t>Improvement Authorizations</t>
  </si>
  <si>
    <t>Capital Improvement Fund</t>
  </si>
  <si>
    <t>Flood Control; Preliminary Studies, etc. for Sanitary Sewer Systems, Municipal Consolidation Act; Flood or</t>
  </si>
  <si>
    <t>General Capital Surplus, Bond Covenants</t>
  </si>
  <si>
    <t>Required Information (N.J.S.A. 52:27BB-55 as amended by Chap. 211, P.L. 1981)</t>
  </si>
  <si>
    <t>Trial Balance-Utility Fund</t>
  </si>
  <si>
    <t>Trial Balance-Utility Assessment Trust Funds</t>
  </si>
  <si>
    <t>Analysis of Utility Assessment Trust Cash and Investments Pledged to Liabilities and Surplus</t>
  </si>
  <si>
    <t>Utility Revenues and Appropriations</t>
  </si>
  <si>
    <t>Debt Service for Utility Notes (Other than Utility Assessment Notes)</t>
  </si>
  <si>
    <t>Debt Service for Utility Assessment Notes</t>
  </si>
  <si>
    <t>Improvement Authorizations (Utility Capital)</t>
  </si>
  <si>
    <t>Capital Improvement Fund and Down Payments</t>
  </si>
  <si>
    <t>DISTRICT  SCHOOL  PURPOSES</t>
  </si>
  <si>
    <t>(EXCEPT  FOR  TYPE I SCHOOL DEBT SERVICE)</t>
  </si>
  <si>
    <t>Sheet  18</t>
  </si>
  <si>
    <t>N.J.S.  40A:4-46 (After adoption of Budget)</t>
  </si>
  <si>
    <t>Total Authorizations</t>
  </si>
  <si>
    <t>Paid or Charged</t>
  </si>
  <si>
    <t>CURRENT  FUND</t>
  </si>
  <si>
    <t>Sheet  19</t>
  </si>
  <si>
    <t>Amount Realized</t>
  </si>
  <si>
    <t>SCHEDULE  OF  MISCELLANEOUS  REVENUES</t>
  </si>
  <si>
    <t>NOT  ANTICIPATED</t>
  </si>
  <si>
    <t>Sheet  20</t>
  </si>
  <si>
    <t>Have payments been made for all bonded obligations or notes due on or before</t>
  </si>
  <si>
    <t xml:space="preserve">  If answer is "NO" give details</t>
  </si>
  <si>
    <t>just ended?</t>
  </si>
  <si>
    <t>=</t>
  </si>
  <si>
    <t xml:space="preserve">$ </t>
  </si>
  <si>
    <t>Levy --</t>
  </si>
  <si>
    <t>State Taxes</t>
  </si>
  <si>
    <t>Amounts due Special Districts</t>
  </si>
  <si>
    <t>Sheet  39</t>
  </si>
  <si>
    <t>Unpaid</t>
  </si>
  <si>
    <t>IMPORTANT !!</t>
  </si>
  <si>
    <t>NOTE: If answer to Item B1 is YES, then Item B2 must be answered</t>
  </si>
  <si>
    <t>obligations or notes exceed 25% of the total appropriations for operating purpose in the budget for the year</t>
  </si>
  <si>
    <t>IMPORTANT !</t>
  </si>
  <si>
    <t>READ  INSTRUCTIONS</t>
  </si>
  <si>
    <t>INSTRUCTIONS</t>
  </si>
  <si>
    <t>The following certification is to be used ONLY in the event there is NO municipality</t>
  </si>
  <si>
    <t>Fund Balance</t>
  </si>
  <si>
    <t>ACCOUNTS  #1 AND #2 *</t>
  </si>
  <si>
    <t>Public Welfare, General Assistance Program.</t>
  </si>
  <si>
    <t>(Assessment  Section  Must  Be  Separately  Stated)</t>
  </si>
  <si>
    <t>Assessment Serial Bond Issues:</t>
  </si>
  <si>
    <t>Assessment Bond Anticipation Note Issues:</t>
  </si>
  <si>
    <t>Other Liabilities</t>
  </si>
  <si>
    <t>Trust Surplus</t>
  </si>
  <si>
    <t>*Less Assets "Unfinanced"</t>
  </si>
  <si>
    <t>*Show as red figure</t>
  </si>
  <si>
    <t>xxxxxxxxx</t>
  </si>
  <si>
    <t>Note: Sections N.J.S.  40A:4-61, 40A:4-62 and 40A:4-63 of the Local Budget Law require that</t>
  </si>
  <si>
    <t>FEDERAL  AND  STATE  GRANTS  RECEIVABLE (cont'd)</t>
  </si>
  <si>
    <r>
      <t xml:space="preserve">The tax collection rate </t>
    </r>
    <r>
      <rPr>
        <b/>
        <sz val="10"/>
        <rFont val="Arial"/>
        <family val="2"/>
      </rPr>
      <t>exceeded 90%</t>
    </r>
    <r>
      <rPr>
        <sz val="10"/>
        <rFont val="Arial"/>
        <family val="2"/>
      </rPr>
      <t>;</t>
    </r>
  </si>
  <si>
    <t>LIST  BANKS  AND  AMOUNTS  SUPPORTING  "CASH  ON  DEPOSIT"</t>
  </si>
  <si>
    <t>separate bank accounts be maintained for each allocated fund.</t>
  </si>
  <si>
    <t>Sheet  9a</t>
  </si>
  <si>
    <t>Sheet  10</t>
  </si>
  <si>
    <t>Revenue</t>
  </si>
  <si>
    <t>Realized</t>
  </si>
  <si>
    <t>Received</t>
  </si>
  <si>
    <t>Grant</t>
  </si>
  <si>
    <t>Totals</t>
  </si>
  <si>
    <t>Sheet  34a</t>
  </si>
  <si>
    <t>CAPITAL FUND BALANCE</t>
  </si>
  <si>
    <t>CAPITAL SECTION:</t>
  </si>
  <si>
    <t>FIXED CAPITAL:</t>
  </si>
  <si>
    <t>I have prepared the post-closing trial balances, related statement and analyses included in the</t>
  </si>
  <si>
    <t>Certified by me</t>
  </si>
  <si>
    <t>this</t>
  </si>
  <si>
    <t>day of</t>
  </si>
  <si>
    <t>(Registered Municipal Accountant)</t>
  </si>
  <si>
    <t>(Firm Name)</t>
  </si>
  <si>
    <t>(Address)</t>
  </si>
  <si>
    <t>(Phone Number)</t>
  </si>
  <si>
    <t>Date:</t>
  </si>
  <si>
    <t>Sheet  1b</t>
  </si>
  <si>
    <t>MUNICIPAL  BUDGET  LOCAL  EXAMINATION  QUALIFICATION  CERTIFICATION</t>
  </si>
  <si>
    <t>BY</t>
  </si>
  <si>
    <t>CHIEF  FINANCIAL  OFFICER</t>
  </si>
  <si>
    <t>One of the following Certifications must be signed by the Chief Financial Officer if</t>
  </si>
  <si>
    <t>your municipality is eligible for local examination.</t>
  </si>
  <si>
    <t>CERTIFICATION  OF  QUALIFYING  MUNICIPALITY</t>
  </si>
  <si>
    <r>
      <t xml:space="preserve">The outstanding indebtedness of the previous fiscal year </t>
    </r>
    <r>
      <rPr>
        <b/>
        <sz val="10"/>
        <rFont val="Arial"/>
        <family val="2"/>
      </rPr>
      <t>is not in excess of 3.5%;</t>
    </r>
  </si>
  <si>
    <t>appropriations;</t>
  </si>
  <si>
    <r>
      <t xml:space="preserve">All emergencies approved for the previous fiscal year </t>
    </r>
    <r>
      <rPr>
        <b/>
        <sz val="10"/>
        <rFont val="Arial"/>
        <family val="2"/>
      </rPr>
      <t>did not exceed 3%</t>
    </r>
    <r>
      <rPr>
        <sz val="10"/>
        <rFont val="Arial"/>
        <family val="2"/>
      </rPr>
      <t xml:space="preserve"> of total</t>
    </r>
  </si>
  <si>
    <t>Interfund Accounts Receivable</t>
  </si>
  <si>
    <t>Government Services.  Had I performed additional procedures or had I made an examination</t>
  </si>
  <si>
    <t>of the financial statements in accordance with generally accepted auditing standards, other</t>
  </si>
  <si>
    <t>31 &amp;31a.</t>
  </si>
  <si>
    <t>49a &amp; 63a.</t>
  </si>
  <si>
    <t>Summary Statement of Loan Requirements</t>
  </si>
  <si>
    <t xml:space="preserve">matters might have come to my attention that would have been reported to the governing </t>
  </si>
  <si>
    <t xml:space="preserve">body and Division.  This Annual Financial Statement relates only to the accounts and </t>
  </si>
  <si>
    <t>AUTHORIZED AND UNCOMPLETED</t>
  </si>
  <si>
    <t>RESERVE FOR DEFERRED AMORTIZATION</t>
  </si>
  <si>
    <t>RESERVE FOR AMORTIZATION</t>
  </si>
  <si>
    <t>ENCUMBRANCES</t>
  </si>
  <si>
    <t>Utilize this sheet only if you conducted an Accelerated Tax Sale or Tax Levy Sale pursuant to</t>
  </si>
  <si>
    <t>(1) Utilizing  Accelerated  Tax  Sale</t>
  </si>
  <si>
    <t>Total of Line 10 Collected in Cash (sheet 22)</t>
  </si>
  <si>
    <r>
      <t>LESS</t>
    </r>
    <r>
      <rPr>
        <sz val="11"/>
        <rFont val="Arial"/>
        <family val="2"/>
      </rPr>
      <t>: Proceeds from  Accelerated  Tax  Sale</t>
    </r>
  </si>
  <si>
    <t>Percentage of Collection Excluding Accelerated Tax Sale Proceeds</t>
  </si>
  <si>
    <t>(Net Cash Collected divided by Item 5c) is</t>
  </si>
  <si>
    <t>Sheet  22a</t>
  </si>
  <si>
    <t>(2) Utilizing  Tax  Levy  Sale</t>
  </si>
  <si>
    <r>
      <t>LESS</t>
    </r>
    <r>
      <rPr>
        <sz val="11"/>
        <rFont val="Arial"/>
        <family val="2"/>
      </rPr>
      <t>: Proceeds from   Tax  Levy  Sale (excluding premium)</t>
    </r>
  </si>
  <si>
    <t>Information Required for</t>
  </si>
  <si>
    <t>Responses and Data</t>
  </si>
  <si>
    <t>Name of Municipality</t>
  </si>
  <si>
    <t xml:space="preserve">Type </t>
  </si>
  <si>
    <t>Governing Body Type</t>
  </si>
  <si>
    <t xml:space="preserve">Phone </t>
  </si>
  <si>
    <t>Fax</t>
  </si>
  <si>
    <t>xxxxxxxxxx</t>
  </si>
  <si>
    <t>REGIONAL  SCHOOL  TAX</t>
  </si>
  <si>
    <t>(Provide a separate statement for each Regional District involved)</t>
  </si>
  <si>
    <t>REGIONAL  HIGH  SCHOOL  TAX</t>
  </si>
  <si>
    <t>Sheet  14</t>
  </si>
  <si>
    <t>SPECIAL  DISTRICT  TAXES</t>
  </si>
  <si>
    <t>County Taxes</t>
  </si>
  <si>
    <t>Due County for Added and Omitted Taxes</t>
  </si>
  <si>
    <t>General County</t>
  </si>
  <si>
    <t>County Library</t>
  </si>
  <si>
    <t>County Health</t>
  </si>
  <si>
    <t>County Open Space Preservation</t>
  </si>
  <si>
    <t>Fire -</t>
  </si>
  <si>
    <t>Sewer -</t>
  </si>
  <si>
    <t>Water -</t>
  </si>
  <si>
    <t>Garbage -</t>
  </si>
  <si>
    <t>Sheet  15</t>
  </si>
  <si>
    <t>Footnote: Please state the number of districts in each instance.</t>
  </si>
  <si>
    <t>Excess of Anticipated Revenues:</t>
  </si>
  <si>
    <t>Hurricane Damage</t>
  </si>
  <si>
    <t>Sub Total</t>
  </si>
  <si>
    <t>No sheets should be eliminated, except utility fund sheets under the conditions stipulated on sheet 2. Those sheets</t>
  </si>
  <si>
    <t>not filled in should be marked "Not Applicable".</t>
  </si>
  <si>
    <t>INDEX</t>
  </si>
  <si>
    <t>1, 1a, &amp; 1b.</t>
  </si>
  <si>
    <t>Certification and Affidavit</t>
  </si>
  <si>
    <t>1d.</t>
  </si>
  <si>
    <t>1c.</t>
  </si>
  <si>
    <t>6a.</t>
  </si>
  <si>
    <t>9 &amp; 9a.</t>
  </si>
  <si>
    <t>11 &amp; 11a.</t>
  </si>
  <si>
    <t>Note:</t>
  </si>
  <si>
    <t>Sr. Citizens Deductions Per Tax Billings</t>
  </si>
  <si>
    <t>Veterans Deductions Per Tax Billings</t>
  </si>
  <si>
    <t>the percentage represented by the cash collections would be</t>
  </si>
  <si>
    <t>Annual Financial Statement</t>
  </si>
  <si>
    <t>the post-closing trial balances, related statements and analyses.  In connection with the</t>
  </si>
  <si>
    <t>(2)</t>
  </si>
  <si>
    <t>State</t>
  </si>
  <si>
    <t>Expenditures</t>
  </si>
  <si>
    <t>Total Appropriations and Overexpenditures</t>
  </si>
  <si>
    <t>Deduct Expenditures:</t>
  </si>
  <si>
    <t>Paid or Charged [Budget Statement Item (L)]</t>
  </si>
  <si>
    <t>Paid or Charged - Reserve for Uncollected Taxes</t>
  </si>
  <si>
    <t>Reserved</t>
  </si>
  <si>
    <t>Total Expenditures</t>
  </si>
  <si>
    <t>requirements of the State of New Jersey, Department of Community Affairs, Division of Local</t>
  </si>
  <si>
    <t>is not in substantial compliance with the</t>
  </si>
  <si>
    <t>be shown as Item 13 is 69.99% and not 70.00%, nor 69.999%.</t>
  </si>
  <si>
    <t># Note:</t>
  </si>
  <si>
    <t>and have applied certain agreed-upon procedures thereon as</t>
  </si>
  <si>
    <t>Financial Statement for the year ended</t>
  </si>
  <si>
    <t>municipality/county taken as a whole.</t>
  </si>
  <si>
    <t>which the Director should be informed:</t>
  </si>
  <si>
    <t>(UNAUDITED)</t>
  </si>
  <si>
    <t>POPULATION  LAST  CENSUS</t>
  </si>
  <si>
    <t>FIVE  DOLLARS  PER  DAY  PENALTY  IF  NOT  FILED  BY:</t>
  </si>
  <si>
    <t>ANNUAL FINANCIAL STATEMENT REQUIRED TO BE FILED UNDER NEW JERSEY STATUTES</t>
  </si>
  <si>
    <t>ANNOTATED 40A:5-12, AS AMENDED, COMBINED WITH INFORMATION REQUIRED PRIOR TO</t>
  </si>
  <si>
    <t>CERTIFICATION OF BUDGETS BY THE DIRECTOR OF THE DIVISION OF LOCAL GOVERNMENT</t>
  </si>
  <si>
    <t>SERVICES.</t>
  </si>
  <si>
    <t>, County of</t>
  </si>
  <si>
    <t>SEE  BACK  COVER  FOR  INDEX  AND  INSTRUCTIONS.</t>
  </si>
  <si>
    <t>DO  NOT  USE  THESE  SPACES</t>
  </si>
  <si>
    <t>1</t>
  </si>
  <si>
    <t>2</t>
  </si>
  <si>
    <t>Examined By:</t>
  </si>
  <si>
    <t>Preliminary Check</t>
  </si>
  <si>
    <t>Examined</t>
  </si>
  <si>
    <t>Signature</t>
  </si>
  <si>
    <t>(This MUST be signed by Chief Financial Officer, Comptroller, Auditor or Registered Municipal Accountant.)</t>
  </si>
  <si>
    <r>
      <t xml:space="preserve">REQUIRED  </t>
    </r>
    <r>
      <rPr>
        <b/>
        <u/>
        <sz val="11"/>
        <rFont val="Arial"/>
        <family val="2"/>
      </rPr>
      <t>CERTIFICATION</t>
    </r>
    <r>
      <rPr>
        <b/>
        <sz val="11"/>
        <rFont val="Arial"/>
        <family val="2"/>
      </rPr>
      <t xml:space="preserve">  BY  THE  CHIEF  FINANCIAL  OFFICER:</t>
    </r>
  </si>
  <si>
    <t>Officer, License #</t>
  </si>
  <si>
    <t>Less:</t>
  </si>
  <si>
    <t>Deferred Charges Included in</t>
  </si>
  <si>
    <t>Above "Total Expenditures"</t>
  </si>
  <si>
    <t>Total Expenditures - As Adjusted</t>
  </si>
  <si>
    <t>Excess</t>
  </si>
  <si>
    <t>Budget Appropriation - Surplus (General Budget)**</t>
  </si>
  <si>
    <t>Remainder =</t>
  </si>
  <si>
    <t>Deficit</t>
  </si>
  <si>
    <t>Anticipated Revenue - Deficit (General Budget)**</t>
  </si>
  <si>
    <t>SECTION 2:</t>
  </si>
  <si>
    <t>* Excess (Revenue Realized)</t>
  </si>
  <si>
    <r>
      <t xml:space="preserve">above criteria </t>
    </r>
    <r>
      <rPr>
        <sz val="10"/>
        <rFont val="Arial"/>
        <family val="2"/>
      </rPr>
      <t xml:space="preserve"> in determining its qualification for local examination of its Budget in accordance </t>
    </r>
  </si>
  <si>
    <t>with  N.J.A. C. 5:30-7.5.</t>
  </si>
  <si>
    <t>(1) These amounts will always be the same.</t>
  </si>
  <si>
    <t>Sheet  26</t>
  </si>
  <si>
    <t>Federal programs</t>
  </si>
  <si>
    <t>Other Federal</t>
  </si>
  <si>
    <t>Programs</t>
  </si>
  <si>
    <t>the state)</t>
  </si>
  <si>
    <t>Federal pass-through funds can be identified by the Catalog of Federal Domestic Assistance</t>
  </si>
  <si>
    <t>(CFDA) number reported in the State's grant/contract agreements.</t>
  </si>
  <si>
    <t>MUNICIPAL  OPEN  SPACE  TAX</t>
  </si>
  <si>
    <t>Interest Earned</t>
  </si>
  <si>
    <t>Municipal Open Space Tax</t>
  </si>
  <si>
    <r>
      <t>FOOTNOTES</t>
    </r>
    <r>
      <rPr>
        <sz val="8"/>
        <rFont val="Arial"/>
        <family val="2"/>
      </rPr>
      <t xml:space="preserve"> - RE: OVEREXPENDITURES</t>
    </r>
  </si>
  <si>
    <t>RE: UNEXPENDED BALANCES CANCELED</t>
  </si>
  <si>
    <t>(1) MAY BE ALLOWED UNDER CERTAIN CONDITIONS.</t>
  </si>
  <si>
    <t>Amount of Levy Special District Taxes</t>
  </si>
  <si>
    <t>Unexpended Balances Canceled (see footnote)</t>
  </si>
  <si>
    <t>Total General Appropriations (Budget Statement Item 9)</t>
  </si>
  <si>
    <t>Add: Overexpenditures (see footnote)</t>
  </si>
  <si>
    <t>SCHEDULE  OF  EMERGENCY  APPROPRIATIONS  FOR  LOCAL</t>
  </si>
  <si>
    <t>Taxes Receivable</t>
  </si>
  <si>
    <t>Tax Title Liens</t>
  </si>
  <si>
    <t>Signature of Chief Financial Officer</t>
  </si>
  <si>
    <t>TOTAL</t>
  </si>
  <si>
    <t>Single Audit</t>
  </si>
  <si>
    <t>Program Specific Audit</t>
  </si>
  <si>
    <t>Financial Statement Audit Performed in Accordance</t>
  </si>
  <si>
    <t>With Government Auditing Standards (Yellow Book)</t>
  </si>
  <si>
    <t>DEFERRED CHARGES:</t>
  </si>
  <si>
    <t>SPECIAL EMERGENCY (40A:4-55)</t>
  </si>
  <si>
    <t>page totals</t>
  </si>
  <si>
    <t>APPROPRIATION RESERVES</t>
  </si>
  <si>
    <t>ENCUMBRANCES PAYABLE</t>
  </si>
  <si>
    <t>"C"</t>
  </si>
  <si>
    <t>RESERVE FOR RECEIVABLES</t>
  </si>
  <si>
    <t>FUND BALANCE</t>
  </si>
  <si>
    <t>TOTALS</t>
  </si>
  <si>
    <t>FUNDED</t>
  </si>
  <si>
    <t>UNFUNDED</t>
  </si>
  <si>
    <t>DEFERRED CHARGES TO FUTURE TAXATION:</t>
  </si>
  <si>
    <t>IMPROVEMENT AUTHORIZATIONS:</t>
  </si>
  <si>
    <t>CAPITAL IMPROVEMENT FUND</t>
  </si>
  <si>
    <t>Added by N.J.S.  40A:4-87 (List on 17a)</t>
  </si>
  <si>
    <t>Total Miscellaneous Revenue Anticipated</t>
  </si>
  <si>
    <t>Receipts from Delinquent Taxes</t>
  </si>
  <si>
    <t>Amount to be Raised by Taxation:</t>
  </si>
  <si>
    <t>(a)  Local Tax for Municipal Purposes</t>
  </si>
  <si>
    <t>(b)  Addition to Local District School Tax</t>
  </si>
  <si>
    <t>ALLOCATION  OF  CURRENT  TAX  COLLECTIONS</t>
  </si>
  <si>
    <t>Sheet  17</t>
  </si>
  <si>
    <t>Current Taxes Realized in Cash (Total of Item 10 or 14 on Sheet 22)</t>
  </si>
  <si>
    <t>Amount to be Raised by Taxation</t>
  </si>
  <si>
    <t>Local District School Tax</t>
  </si>
  <si>
    <t>Regional School Tax</t>
  </si>
  <si>
    <t>Regional High School Tax</t>
  </si>
  <si>
    <t>Special District Taxes</t>
  </si>
  <si>
    <t>Reserve for Uncollected Taxes</t>
  </si>
  <si>
    <t>Sheet  1a</t>
  </si>
  <si>
    <t xml:space="preserve">available to me by the </t>
  </si>
  <si>
    <r>
      <t xml:space="preserve">Total deferred charges </t>
    </r>
    <r>
      <rPr>
        <b/>
        <sz val="10"/>
        <rFont val="Arial"/>
        <family val="2"/>
      </rPr>
      <t>did not equal or exceed 4%</t>
    </r>
    <r>
      <rPr>
        <sz val="10"/>
        <rFont val="Arial"/>
        <family val="2"/>
      </rPr>
      <t xml:space="preserve"> of the total tax levy;</t>
    </r>
  </si>
  <si>
    <t>accountant on Sheet 1a of the Annual Financial Statement; and</t>
  </si>
  <si>
    <t>CERTIFICATION  OF  NON-QUALIFYING  MUNICIPALITY</t>
  </si>
  <si>
    <t>POST  CLOSING  TRIAL  BALANCE  -</t>
  </si>
  <si>
    <t xml:space="preserve">UTILITY  ASSESSMENT  TRUST  FUNDS </t>
  </si>
  <si>
    <t>IF  MORE  THAN  ONE  UTILITY</t>
  </si>
  <si>
    <t>Remitted, Abated or Canceled</t>
  </si>
  <si>
    <t>Discount Allowed</t>
  </si>
  <si>
    <t>Sheet  17a</t>
  </si>
  <si>
    <t>EACH  ASSESSMENT  SECTION  MUST  BE  SEPARATELY  STATED</t>
  </si>
  <si>
    <t>PLEDGED  TO  LIABILITIES  AND  SURPLUS</t>
  </si>
  <si>
    <t>BUDGET  REVENUES</t>
  </si>
  <si>
    <t>Registered Municipal Accountant</t>
  </si>
  <si>
    <t>Federal ID #</t>
  </si>
  <si>
    <t>Year Ending</t>
  </si>
  <si>
    <t>INSTRUCTIONS  IN  PREPARATION  OF</t>
  </si>
  <si>
    <t>on a full cash basis. Any variations from a full cash basis must be taken up with the Division in advance of the preparation</t>
  </si>
  <si>
    <t>of the statement and the budget.</t>
  </si>
  <si>
    <t>Summary statements only of debt service are required. The use of summarized forms is permitted to conserve time.</t>
  </si>
  <si>
    <t>Responsibility for the supporting detail is placed on the Chief Financial Officer who must be in a position to support the</t>
  </si>
  <si>
    <t>summarized figures.</t>
  </si>
  <si>
    <t>Consent of Director of Local Government Services</t>
  </si>
  <si>
    <t>(FROM  CURRENT  FUND  -  TRIAL  BALANCE)</t>
  </si>
  <si>
    <t>are in proof; I further certify that this statement is correct insofar as I can determine from all the books and records</t>
  </si>
  <si>
    <t>C.</t>
  </si>
  <si>
    <t>D.</t>
  </si>
  <si>
    <t>E.</t>
  </si>
  <si>
    <t>5A.</t>
  </si>
  <si>
    <t>5B.</t>
  </si>
  <si>
    <t>Adjustment to Assessed Valuation</t>
  </si>
  <si>
    <t>Sales</t>
  </si>
  <si>
    <t>Cash *</t>
  </si>
  <si>
    <t>Contract</t>
  </si>
  <si>
    <t>Mortgage</t>
  </si>
  <si>
    <t>SCHEDULE  OF  FORECLOSED  PROPERTY</t>
  </si>
  <si>
    <t>(PROPERTY  ACQUIRED  BY  TAX  TITLE  LIEN  LIQUIDATION)</t>
  </si>
  <si>
    <t>CONTRACT  SALES</t>
  </si>
  <si>
    <t>18.</t>
  </si>
  <si>
    <t>19.</t>
  </si>
  <si>
    <t>Collected*</t>
  </si>
  <si>
    <t>MORTGAGE  SALES</t>
  </si>
  <si>
    <t>20.</t>
  </si>
  <si>
    <t>21.</t>
  </si>
  <si>
    <t>22.</t>
  </si>
  <si>
    <t>23.</t>
  </si>
  <si>
    <t>24.</t>
  </si>
  <si>
    <t>Analysis of Sale of Property:</t>
  </si>
  <si>
    <t>To Results of Operation (Sheet 19)</t>
  </si>
  <si>
    <t>DEFERRED  CHARGES</t>
  </si>
  <si>
    <t>Emergency Authorization -</t>
  </si>
  <si>
    <t>Municipal*</t>
  </si>
  <si>
    <t>Schools</t>
  </si>
  <si>
    <t>*Do not include items funded or refunded as listed below.</t>
  </si>
  <si>
    <t>* IN THE CASE OF A "DEFICIT IN CASH SURPLUS", "OTHER ASSETS"</t>
  </si>
  <si>
    <t>WOULD ALSO BE PLEDGED TO CASH LIABILITIES.</t>
  </si>
  <si>
    <t>NOTE: Deferred charges for authorizations under  N.J.S. 40A:4-55 (Tax Map, etc.), N.J.S. 40A:4-55 (Flood Damage, etc.), N.J.S.</t>
  </si>
  <si>
    <t>40A:4-55.1 (Roads and Bridges, etc.) and N.J.S. 40A:4-55.13 (Public Exigencies, etc.) to the extent of emergency notes issued</t>
  </si>
  <si>
    <t>Budget Year</t>
  </si>
  <si>
    <t>AFS Year</t>
  </si>
  <si>
    <t>PY</t>
  </si>
  <si>
    <t>Muni Code</t>
  </si>
  <si>
    <t>DATES</t>
  </si>
  <si>
    <t>Year End</t>
  </si>
  <si>
    <t>:</t>
  </si>
  <si>
    <t>Type of Audit required by Title 2 U.S. Code of Federal Regulations</t>
  </si>
  <si>
    <t>(CFR) (Uniform Requirements) and OMB 15-08.</t>
  </si>
  <si>
    <t>All local governments, who are recipients of federal and state awards (financial assistance), must</t>
  </si>
  <si>
    <t>report the total amount of federal and state funds expended during its fiscal year and the type of audit</t>
  </si>
  <si>
    <t>required to comply with Title 2 U.S. Code of Federal Regulations(CFR) OMB 15-08.  (Uniform</t>
  </si>
  <si>
    <t>Guidance) and OMB 15-08. The single audit threshold has been been increased to $750,000</t>
  </si>
  <si>
    <t>beginning with Fiscal Year ending after 1/1/15. Expenditures are defined in Title 2 U.S. Code of</t>
  </si>
  <si>
    <t>Federal Regulations (CFR) (Uniform Guidance).</t>
  </si>
  <si>
    <t>DUE FROM CURRENT FUND</t>
  </si>
  <si>
    <t>FEDERAL AND STATE GRANTS RECEIVABLE</t>
  </si>
  <si>
    <t>Homestead Benefit Credit</t>
  </si>
  <si>
    <t>DEFICIT</t>
  </si>
  <si>
    <t>I hereby certify that the debt shown on Sheets 31 to 34, 49 to 51 and 63 to 65a are</t>
  </si>
  <si>
    <t>complete, were computed by me and can be supported upon demand by a register or</t>
  </si>
  <si>
    <t>other detailed analysis.</t>
  </si>
  <si>
    <t>Certificate #</t>
  </si>
  <si>
    <t>Name and County of Municipality</t>
  </si>
  <si>
    <t>Annual Financial Statement - Key Inputs</t>
  </si>
  <si>
    <t>1330</t>
  </si>
  <si>
    <t>Aberdeen Township</t>
  </si>
  <si>
    <t>Monmouth</t>
  </si>
  <si>
    <t>Aberdeen Township, Monmouth County</t>
  </si>
  <si>
    <t>0101</t>
  </si>
  <si>
    <t>Absecon City</t>
  </si>
  <si>
    <t>Atlantic</t>
  </si>
  <si>
    <t>Absecon City, Atlantic County</t>
  </si>
  <si>
    <t>0201</t>
  </si>
  <si>
    <t>Allendale Borough</t>
  </si>
  <si>
    <t>Bergen</t>
  </si>
  <si>
    <t>Allendale Borough, Bergen County</t>
  </si>
  <si>
    <t>1301</t>
  </si>
  <si>
    <t>Allenhurst Borough</t>
  </si>
  <si>
    <t>Allenhurst Borough, Monmouth County</t>
  </si>
  <si>
    <t>1302</t>
  </si>
  <si>
    <t>Allentown Borough</t>
  </si>
  <si>
    <t>Allentown Borough, Monmouth County</t>
  </si>
  <si>
    <t>1701</t>
  </si>
  <si>
    <t>Alloway Township</t>
  </si>
  <si>
    <t>Salem</t>
  </si>
  <si>
    <t>Alloway Township, Salem County</t>
  </si>
  <si>
    <t>2102</t>
  </si>
  <si>
    <t>Alpha Borough</t>
  </si>
  <si>
    <t>Warren</t>
  </si>
  <si>
    <t>Alpha Borough, Warren County</t>
  </si>
  <si>
    <t>0202</t>
  </si>
  <si>
    <t>Alpine Borough</t>
  </si>
  <si>
    <t>Alpine Borough, Bergen County</t>
  </si>
  <si>
    <t>1901</t>
  </si>
  <si>
    <t>Andover Borough</t>
  </si>
  <si>
    <t>Sussex</t>
  </si>
  <si>
    <t>Andover Borough, Sussex County</t>
  </si>
  <si>
    <t>1902</t>
  </si>
  <si>
    <t>Andover Township</t>
  </si>
  <si>
    <t>Andover Township, Sussex County</t>
  </si>
  <si>
    <t>1303</t>
  </si>
  <si>
    <t>Asbury Park City</t>
  </si>
  <si>
    <t>Asbury Park City, Monmouth County</t>
  </si>
  <si>
    <t>0102</t>
  </si>
  <si>
    <t>Atlantic City City</t>
  </si>
  <si>
    <t>Atlantic City City, Atlantic County</t>
  </si>
  <si>
    <t>1304</t>
  </si>
  <si>
    <t>Atlantic Highlands Borough</t>
  </si>
  <si>
    <t>Atlantic Highlands Borough, Monmouth County</t>
  </si>
  <si>
    <t>0401</t>
  </si>
  <si>
    <t>Audubon Borough</t>
  </si>
  <si>
    <t>Camden</t>
  </si>
  <si>
    <t>Audubon Borough, Camden County</t>
  </si>
  <si>
    <t>0402</t>
  </si>
  <si>
    <t>Audubon Park Borough</t>
  </si>
  <si>
    <t>Audubon Park Borough, Camden County</t>
  </si>
  <si>
    <t>0501</t>
  </si>
  <si>
    <t>Avalon Borough</t>
  </si>
  <si>
    <t>Cape May</t>
  </si>
  <si>
    <t>Avalon Borough, Cape May County</t>
  </si>
  <si>
    <t>1305</t>
  </si>
  <si>
    <t>Avon-by-the-Sea Borough</t>
  </si>
  <si>
    <t>Avon-by-the-Sea Borough, Monmouth County</t>
  </si>
  <si>
    <t>1501</t>
  </si>
  <si>
    <t>Barnegat Light Borough</t>
  </si>
  <si>
    <t>Ocean</t>
  </si>
  <si>
    <t>Barnegat Light Borough, Ocean County</t>
  </si>
  <si>
    <t>1533</t>
  </si>
  <si>
    <t>Barnegat Township</t>
  </si>
  <si>
    <t>Barnegat Township, Ocean County</t>
  </si>
  <si>
    <t>0403</t>
  </si>
  <si>
    <t>Barrington Borough</t>
  </si>
  <si>
    <t>Barrington Borough, Camden County</t>
  </si>
  <si>
    <t>0301</t>
  </si>
  <si>
    <t>Bass River Township</t>
  </si>
  <si>
    <t>Burlington</t>
  </si>
  <si>
    <t>Bass River Township, Burlington County</t>
  </si>
  <si>
    <t>1502</t>
  </si>
  <si>
    <t>Bay Head Borough</t>
  </si>
  <si>
    <t>Bay Head Borough, Ocean County</t>
  </si>
  <si>
    <t>0901</t>
  </si>
  <si>
    <t>Bayonne City</t>
  </si>
  <si>
    <t>Hudson</t>
  </si>
  <si>
    <t>Bayonne City, Hudson County</t>
  </si>
  <si>
    <t>1503</t>
  </si>
  <si>
    <t>Beach Haven Borough</t>
  </si>
  <si>
    <t>Beach Haven Borough, Ocean County</t>
  </si>
  <si>
    <t>1504</t>
  </si>
  <si>
    <t>Beachwood Borough</t>
  </si>
  <si>
    <t>Beachwood Borough, Ocean County</t>
  </si>
  <si>
    <t>1801</t>
  </si>
  <si>
    <t>Bedminster Township</t>
  </si>
  <si>
    <t>Somerset</t>
  </si>
  <si>
    <t>Bedminster Township, Somerset County</t>
  </si>
  <si>
    <t>0701</t>
  </si>
  <si>
    <t>Belleville Township</t>
  </si>
  <si>
    <t>Essex</t>
  </si>
  <si>
    <t>Belleville Township, Essex County</t>
  </si>
  <si>
    <t>0404</t>
  </si>
  <si>
    <t>Bellmawr Borough</t>
  </si>
  <si>
    <t>Bellmawr Borough, Camden County</t>
  </si>
  <si>
    <t>1306</t>
  </si>
  <si>
    <t>Belmar Borough</t>
  </si>
  <si>
    <t>Belmar Borough, Monmouth County</t>
  </si>
  <si>
    <t>2103</t>
  </si>
  <si>
    <t>Belvidere Town</t>
  </si>
  <si>
    <t>Belvidere Town, Warren County</t>
  </si>
  <si>
    <t>0203</t>
  </si>
  <si>
    <t>Bergenfield Borough</t>
  </si>
  <si>
    <t>Bergenfield Borough, Bergen County</t>
  </si>
  <si>
    <t>2001</t>
  </si>
  <si>
    <t>Berkeley Heights Township</t>
  </si>
  <si>
    <t>Union</t>
  </si>
  <si>
    <t>Berkeley Heights Township, Union County</t>
  </si>
  <si>
    <t>1505</t>
  </si>
  <si>
    <t>Berkeley Township</t>
  </si>
  <si>
    <t>Berkeley Township, Ocean County</t>
  </si>
  <si>
    <t>0405</t>
  </si>
  <si>
    <t>Berlin Borough</t>
  </si>
  <si>
    <t>Berlin Borough, Camden County</t>
  </si>
  <si>
    <t>0406</t>
  </si>
  <si>
    <t>Berlin Township</t>
  </si>
  <si>
    <t>Berlin Township, Camden County</t>
  </si>
  <si>
    <t>1802</t>
  </si>
  <si>
    <t>Bernards Township</t>
  </si>
  <si>
    <t>Bernards Township, Somerset County</t>
  </si>
  <si>
    <t>1803</t>
  </si>
  <si>
    <t>Bernardsville Borough</t>
  </si>
  <si>
    <t>Bernardsville Borough, Somerset County</t>
  </si>
  <si>
    <t>1002</t>
  </si>
  <si>
    <t>Bethlehem Township</t>
  </si>
  <si>
    <t>Hunterdon</t>
  </si>
  <si>
    <t>Bethlehem Township, Hunterdon County</t>
  </si>
  <si>
    <t>0302</t>
  </si>
  <si>
    <t>Beverly City</t>
  </si>
  <si>
    <t>Beverly City, Burlington County</t>
  </si>
  <si>
    <t>2104</t>
  </si>
  <si>
    <t>Blairstown Township</t>
  </si>
  <si>
    <t>Blairstown Township, Warren County</t>
  </si>
  <si>
    <t>0702</t>
  </si>
  <si>
    <t>Bloomfield Township</t>
  </si>
  <si>
    <t>Bloomfield Township, Essex County</t>
  </si>
  <si>
    <t>1601</t>
  </si>
  <si>
    <t>Bloomingdale Borough</t>
  </si>
  <si>
    <t>Passaic</t>
  </si>
  <si>
    <t>Bloomingdale Borough, Passaic County</t>
  </si>
  <si>
    <t>1003</t>
  </si>
  <si>
    <t>Bloomsbury Borough</t>
  </si>
  <si>
    <t>Bloomsbury Borough, Hunterdon County</t>
  </si>
  <si>
    <t>0204</t>
  </si>
  <si>
    <t>Bogota Borough</t>
  </si>
  <si>
    <t>Bogota Borough, Bergen County</t>
  </si>
  <si>
    <t>1401</t>
  </si>
  <si>
    <t>Boonton Town</t>
  </si>
  <si>
    <t>Morris</t>
  </si>
  <si>
    <t>Boonton Town, Morris County</t>
  </si>
  <si>
    <t>1402</t>
  </si>
  <si>
    <t>Boonton Township</t>
  </si>
  <si>
    <t>Boonton Township, Morris County</t>
  </si>
  <si>
    <t>0303</t>
  </si>
  <si>
    <t>Bordentown City</t>
  </si>
  <si>
    <t>Bordentown City, Burlington County</t>
  </si>
  <si>
    <t>0304</t>
  </si>
  <si>
    <t>Bordentown Township</t>
  </si>
  <si>
    <t>Bordentown Township, Burlington County</t>
  </si>
  <si>
    <t>1804</t>
  </si>
  <si>
    <t>Bound Brook Borough</t>
  </si>
  <si>
    <t>Bound Brook Borough, Somerset County</t>
  </si>
  <si>
    <t>1307</t>
  </si>
  <si>
    <t>Bradley Beach Borough</t>
  </si>
  <si>
    <t>Bradley Beach Borough, Monmouth County</t>
  </si>
  <si>
    <t>1805</t>
  </si>
  <si>
    <t>Branchburg Township</t>
  </si>
  <si>
    <t>Branchburg Township, Somerset County</t>
  </si>
  <si>
    <t>1903</t>
  </si>
  <si>
    <t>Branchville Borough</t>
  </si>
  <si>
    <t>Branchville Borough, Sussex County</t>
  </si>
  <si>
    <t>1506</t>
  </si>
  <si>
    <t>Brick Township</t>
  </si>
  <si>
    <t>Brick Township, Ocean County</t>
  </si>
  <si>
    <t>0601</t>
  </si>
  <si>
    <t>Bridgeton City</t>
  </si>
  <si>
    <t>Cumberland</t>
  </si>
  <si>
    <t>Bridgeton City, Cumberland County</t>
  </si>
  <si>
    <t>1806</t>
  </si>
  <si>
    <t>Bridgewater Township</t>
  </si>
  <si>
    <t>Bridgewater Township, Somerset County</t>
  </si>
  <si>
    <t>1308</t>
  </si>
  <si>
    <t>Brielle Borough</t>
  </si>
  <si>
    <t>Brielle Borough, Monmouth County</t>
  </si>
  <si>
    <t>0103</t>
  </si>
  <si>
    <t>Brigantine City</t>
  </si>
  <si>
    <t>Brigantine City, Atlantic County</t>
  </si>
  <si>
    <t>0407</t>
  </si>
  <si>
    <t>Brooklawn Borough</t>
  </si>
  <si>
    <t>Brooklawn Borough, Camden County</t>
  </si>
  <si>
    <t>0104</t>
  </si>
  <si>
    <t>Buena Borough</t>
  </si>
  <si>
    <t>Buena Borough, Atlantic County</t>
  </si>
  <si>
    <t>0105</t>
  </si>
  <si>
    <t>Buena Vista Township</t>
  </si>
  <si>
    <t>Buena Vista Township, Atlantic County</t>
  </si>
  <si>
    <t>0305</t>
  </si>
  <si>
    <t>Burlington City</t>
  </si>
  <si>
    <t>Burlington City, Burlington County</t>
  </si>
  <si>
    <t>0306</t>
  </si>
  <si>
    <t>Burlington Township</t>
  </si>
  <si>
    <t>Burlington Township, Burlington County</t>
  </si>
  <si>
    <t>1403</t>
  </si>
  <si>
    <t>Butler Borough</t>
  </si>
  <si>
    <t>Butler Borough, Morris County</t>
  </si>
  <si>
    <t>1904</t>
  </si>
  <si>
    <t>Byram Township</t>
  </si>
  <si>
    <t>Byram Township, Sussex County</t>
  </si>
  <si>
    <t>0703</t>
  </si>
  <si>
    <t>1004</t>
  </si>
  <si>
    <t>Califon Borough</t>
  </si>
  <si>
    <t>Califon Borough, Hunterdon County</t>
  </si>
  <si>
    <t>0408</t>
  </si>
  <si>
    <t>Camden City</t>
  </si>
  <si>
    <t>Camden City, Camden County</t>
  </si>
  <si>
    <t>0502</t>
  </si>
  <si>
    <t>Cape May City</t>
  </si>
  <si>
    <t>Cape May City, Cape May County</t>
  </si>
  <si>
    <t>0503</t>
  </si>
  <si>
    <t>Cape May Point Borough</t>
  </si>
  <si>
    <t>Cape May Point Borough, Cape May County</t>
  </si>
  <si>
    <t>0205</t>
  </si>
  <si>
    <t>Carlstadt Borough</t>
  </si>
  <si>
    <t>Carlstadt Borough, Bergen County</t>
  </si>
  <si>
    <t>1713</t>
  </si>
  <si>
    <t>Carneys Point Township</t>
  </si>
  <si>
    <t>Carneys Point Township, Salem County</t>
  </si>
  <si>
    <t>1201</t>
  </si>
  <si>
    <t>Carteret Borough</t>
  </si>
  <si>
    <t>Middlesex</t>
  </si>
  <si>
    <t>Carteret Borough, Middlesex County</t>
  </si>
  <si>
    <t>0704</t>
  </si>
  <si>
    <t>Cedar Grove Township</t>
  </si>
  <si>
    <t>Cedar Grove Township, Essex County</t>
  </si>
  <si>
    <t>1404</t>
  </si>
  <si>
    <t>Chatham Borough</t>
  </si>
  <si>
    <t>Chatham Borough, Morris County</t>
  </si>
  <si>
    <t>1405</t>
  </si>
  <si>
    <t>Chatham Township</t>
  </si>
  <si>
    <t>Chatham Township, Morris County</t>
  </si>
  <si>
    <t>0409</t>
  </si>
  <si>
    <t>Cherry Hill Township</t>
  </si>
  <si>
    <t>Cherry Hill Township, Camden County</t>
  </si>
  <si>
    <t>0410</t>
  </si>
  <si>
    <t>Chesilhurst Borough</t>
  </si>
  <si>
    <t>Chesilhurst Borough, Camden County</t>
  </si>
  <si>
    <t>1406</t>
  </si>
  <si>
    <t>Chester Borough</t>
  </si>
  <si>
    <t>Chester Borough, Morris County</t>
  </si>
  <si>
    <t>1407</t>
  </si>
  <si>
    <t>Chester Township</t>
  </si>
  <si>
    <t>Chester Township, Morris County</t>
  </si>
  <si>
    <t>0307</t>
  </si>
  <si>
    <t>Chesterfield Township</t>
  </si>
  <si>
    <t>Chesterfield Township, Burlington County</t>
  </si>
  <si>
    <t>0308</t>
  </si>
  <si>
    <t>Cinnaminson Township</t>
  </si>
  <si>
    <t>Cinnaminson Township, Burlington County</t>
  </si>
  <si>
    <t>2002</t>
  </si>
  <si>
    <t>Clark Township</t>
  </si>
  <si>
    <t>Clark Township, Union County</t>
  </si>
  <si>
    <t>0801</t>
  </si>
  <si>
    <t>Clayton Borough</t>
  </si>
  <si>
    <t>Gloucester</t>
  </si>
  <si>
    <t>Clayton Borough, Gloucester County</t>
  </si>
  <si>
    <t>0411</t>
  </si>
  <si>
    <t>Clementon Borough</t>
  </si>
  <si>
    <t>Clementon Borough, Camden County</t>
  </si>
  <si>
    <t>0206</t>
  </si>
  <si>
    <t>Cliffside Park Borough</t>
  </si>
  <si>
    <t>Cliffside Park Borough, Bergen County</t>
  </si>
  <si>
    <t>1602</t>
  </si>
  <si>
    <t>Clifton City</t>
  </si>
  <si>
    <t>Clifton City, Passaic County</t>
  </si>
  <si>
    <t>1005</t>
  </si>
  <si>
    <t>Clinton Town</t>
  </si>
  <si>
    <t>Clinton Town, Hunterdon County</t>
  </si>
  <si>
    <t>1006</t>
  </si>
  <si>
    <t>Clinton Township</t>
  </si>
  <si>
    <t>Clinton Township, Hunterdon County</t>
  </si>
  <si>
    <t>0207</t>
  </si>
  <si>
    <t>Closter Borough</t>
  </si>
  <si>
    <t>Closter Borough, Bergen County</t>
  </si>
  <si>
    <t>0412</t>
  </si>
  <si>
    <t>Collingswood Borough</t>
  </si>
  <si>
    <t>Collingswood Borough, Camden County</t>
  </si>
  <si>
    <t>1309</t>
  </si>
  <si>
    <t>Colts Neck Township</t>
  </si>
  <si>
    <t>Colts Neck Township, Monmouth County</t>
  </si>
  <si>
    <t>0602</t>
  </si>
  <si>
    <t>Commercial Township</t>
  </si>
  <si>
    <t>Commercial Township, Cumberland County</t>
  </si>
  <si>
    <t>0106</t>
  </si>
  <si>
    <t>Corbin City</t>
  </si>
  <si>
    <t>Corbin City, Atlantic County</t>
  </si>
  <si>
    <t>1202</t>
  </si>
  <si>
    <t>Cranbury Township</t>
  </si>
  <si>
    <t>Cranbury Township, Middlesex County</t>
  </si>
  <si>
    <t>2003</t>
  </si>
  <si>
    <t>Cranford Township</t>
  </si>
  <si>
    <t>Cranford Township, Union County</t>
  </si>
  <si>
    <t>0208</t>
  </si>
  <si>
    <t>Cresskill Borough</t>
  </si>
  <si>
    <t>Cresskill Borough, Bergen County</t>
  </si>
  <si>
    <t>1310</t>
  </si>
  <si>
    <t>Deal Borough</t>
  </si>
  <si>
    <t>Deal Borough, Monmouth County</t>
  </si>
  <si>
    <t>0603</t>
  </si>
  <si>
    <t>Deerfield Township</t>
  </si>
  <si>
    <t>Deerfield Township, Cumberland County</t>
  </si>
  <si>
    <t>0309</t>
  </si>
  <si>
    <t>Delanco Township</t>
  </si>
  <si>
    <t>Delanco Township, Burlington County</t>
  </si>
  <si>
    <t>1007</t>
  </si>
  <si>
    <t>Delaware Township</t>
  </si>
  <si>
    <t>Delaware Township, Hunterdon County</t>
  </si>
  <si>
    <t>0310</t>
  </si>
  <si>
    <t>Delran Township</t>
  </si>
  <si>
    <t>Delran Township, Burlington County</t>
  </si>
  <si>
    <t>0209</t>
  </si>
  <si>
    <t>Demarest Borough</t>
  </si>
  <si>
    <t>Demarest Borough, Bergen County</t>
  </si>
  <si>
    <t>0504</t>
  </si>
  <si>
    <t>Dennis Township</t>
  </si>
  <si>
    <t>Dennis Township, Cape May County</t>
  </si>
  <si>
    <t>1408</t>
  </si>
  <si>
    <t>Denville Township</t>
  </si>
  <si>
    <t>Denville Township, Morris County</t>
  </si>
  <si>
    <t>0802</t>
  </si>
  <si>
    <t>Deptford Township</t>
  </si>
  <si>
    <t>Deptford Township, Gloucester County</t>
  </si>
  <si>
    <t>1409</t>
  </si>
  <si>
    <t>Dover Town</t>
  </si>
  <si>
    <t>Dover Town, Morris County</t>
  </si>
  <si>
    <t>0604</t>
  </si>
  <si>
    <t>Downe Township</t>
  </si>
  <si>
    <t>Downe Township, Cumberland County</t>
  </si>
  <si>
    <t>0210</t>
  </si>
  <si>
    <t>Dumont Borough</t>
  </si>
  <si>
    <t>Dumont Borough, Bergen County</t>
  </si>
  <si>
    <t>1203</t>
  </si>
  <si>
    <t>Dunellen Borough</t>
  </si>
  <si>
    <t>Dunellen Borough, Middlesex County</t>
  </si>
  <si>
    <t>1508</t>
  </si>
  <si>
    <t>Eagleswood Township</t>
  </si>
  <si>
    <t>Eagleswood Township, Ocean County</t>
  </si>
  <si>
    <t>1008</t>
  </si>
  <si>
    <t>East Amwell Township</t>
  </si>
  <si>
    <t>East Amwell Township, Hunterdon County</t>
  </si>
  <si>
    <t>1204</t>
  </si>
  <si>
    <t>East Brunswick Township</t>
  </si>
  <si>
    <t>East Brunswick Township, Middlesex County</t>
  </si>
  <si>
    <t>0803</t>
  </si>
  <si>
    <t>East Greenwich Township</t>
  </si>
  <si>
    <t>East Greenwich Township, Gloucester County</t>
  </si>
  <si>
    <t>1410</t>
  </si>
  <si>
    <t>East Hanover Township</t>
  </si>
  <si>
    <t>East Hanover Township, Morris County</t>
  </si>
  <si>
    <t>0902</t>
  </si>
  <si>
    <t>East Newark Borough</t>
  </si>
  <si>
    <t>East Newark Borough, Hudson County</t>
  </si>
  <si>
    <t>0705</t>
  </si>
  <si>
    <t>East Orange City</t>
  </si>
  <si>
    <t>East Orange City, Essex County</t>
  </si>
  <si>
    <t>0212</t>
  </si>
  <si>
    <t>East Rutherford Borough</t>
  </si>
  <si>
    <t>East Rutherford Borough, Bergen County</t>
  </si>
  <si>
    <t>1101</t>
  </si>
  <si>
    <t>East Windsor Township</t>
  </si>
  <si>
    <t>Mercer</t>
  </si>
  <si>
    <t>East Windsor Township, Mercer County</t>
  </si>
  <si>
    <t>0311</t>
  </si>
  <si>
    <t>Eastampton Township</t>
  </si>
  <si>
    <t>Eastampton Township, Burlington County</t>
  </si>
  <si>
    <t>1311</t>
  </si>
  <si>
    <t>Eatontown Borough</t>
  </si>
  <si>
    <t>Eatontown Borough, Monmouth County</t>
  </si>
  <si>
    <t>0213</t>
  </si>
  <si>
    <t>Edgewater Borough</t>
  </si>
  <si>
    <t>Edgewater Borough, Bergen County</t>
  </si>
  <si>
    <t>0312</t>
  </si>
  <si>
    <t>Edgewater Park Township</t>
  </si>
  <si>
    <t>Edgewater Park Township, Burlington County</t>
  </si>
  <si>
    <t>1205</t>
  </si>
  <si>
    <t>Edison Township</t>
  </si>
  <si>
    <t>Edison Township, Middlesex County</t>
  </si>
  <si>
    <t>0107</t>
  </si>
  <si>
    <t>Egg Harbor City</t>
  </si>
  <si>
    <t>Egg Harbor City, Atlantic County</t>
  </si>
  <si>
    <t>0108</t>
  </si>
  <si>
    <t>Egg Harbor Township</t>
  </si>
  <si>
    <t>Egg Harbor Township, Atlantic County</t>
  </si>
  <si>
    <t>2004</t>
  </si>
  <si>
    <t>Elizabeth City</t>
  </si>
  <si>
    <t>Elizabeth City, Union County</t>
  </si>
  <si>
    <t>0804</t>
  </si>
  <si>
    <t>Elk Township</t>
  </si>
  <si>
    <t>Elk Township, Gloucester County</t>
  </si>
  <si>
    <t>1702</t>
  </si>
  <si>
    <t>Elmer Borough</t>
  </si>
  <si>
    <t>Elmer Borough, Salem County</t>
  </si>
  <si>
    <t>0211</t>
  </si>
  <si>
    <t>Elmwood Park Borough</t>
  </si>
  <si>
    <t>Elmwood Park Borough, Bergen County</t>
  </si>
  <si>
    <t>1703</t>
  </si>
  <si>
    <t>Elsinboro Township</t>
  </si>
  <si>
    <t>Elsinboro Township, Salem County</t>
  </si>
  <si>
    <t>0214</t>
  </si>
  <si>
    <t>Emerson Borough</t>
  </si>
  <si>
    <t>Emerson Borough, Bergen County</t>
  </si>
  <si>
    <t>0215</t>
  </si>
  <si>
    <t>Englewood City</t>
  </si>
  <si>
    <t>Englewood City, Bergen County</t>
  </si>
  <si>
    <t>0216</t>
  </si>
  <si>
    <t>Englewood Cliffs Borough</t>
  </si>
  <si>
    <t>Englewood Cliffs Borough, Bergen County</t>
  </si>
  <si>
    <t>1312</t>
  </si>
  <si>
    <t>Englishtown Borough</t>
  </si>
  <si>
    <t>Englishtown Borough, Monmouth County</t>
  </si>
  <si>
    <t>0706</t>
  </si>
  <si>
    <t>Essex Fells Township</t>
  </si>
  <si>
    <t>Essex Fells Township, Essex County</t>
  </si>
  <si>
    <t>0109</t>
  </si>
  <si>
    <t>Estell Manor City</t>
  </si>
  <si>
    <t>Estell Manor City, Atlantic County</t>
  </si>
  <si>
    <t>0313</t>
  </si>
  <si>
    <t>Evesham Township</t>
  </si>
  <si>
    <t>Evesham Township, Burlington County</t>
  </si>
  <si>
    <t>1102</t>
  </si>
  <si>
    <t>Ewing Township</t>
  </si>
  <si>
    <t>Ewing Township, Mercer County</t>
  </si>
  <si>
    <t>1313</t>
  </si>
  <si>
    <t>Fair Haven Borough</t>
  </si>
  <si>
    <t>Fair Haven Borough, Monmouth County</t>
  </si>
  <si>
    <t>0217</t>
  </si>
  <si>
    <t>Fair Lawn Borough</t>
  </si>
  <si>
    <t>Fair Lawn Borough, Bergen County</t>
  </si>
  <si>
    <t>0605</t>
  </si>
  <si>
    <t>Fairfield Township</t>
  </si>
  <si>
    <t>Fairfield Township, Cumberland County</t>
  </si>
  <si>
    <t>0707</t>
  </si>
  <si>
    <t>Fairfield Township, Essex County</t>
  </si>
  <si>
    <t>0218</t>
  </si>
  <si>
    <t>Fairview Borough</t>
  </si>
  <si>
    <t>Fairview Borough, Bergen County</t>
  </si>
  <si>
    <t>2005</t>
  </si>
  <si>
    <t>Fanwood Borough</t>
  </si>
  <si>
    <t>Fanwood Borough, Union County</t>
  </si>
  <si>
    <t>1807</t>
  </si>
  <si>
    <t>Far Hills Borough</t>
  </si>
  <si>
    <t>Far Hills Borough, Somerset County</t>
  </si>
  <si>
    <t>1314</t>
  </si>
  <si>
    <t>Farmingdale Borough</t>
  </si>
  <si>
    <t>Farmingdale Borough, Monmouth County</t>
  </si>
  <si>
    <t>0314</t>
  </si>
  <si>
    <t>Fieldsboro Borough</t>
  </si>
  <si>
    <t>Fieldsboro Borough, Burlington County</t>
  </si>
  <si>
    <t>1009</t>
  </si>
  <si>
    <t>Flemington Borough</t>
  </si>
  <si>
    <t>Flemington Borough, Hunterdon County</t>
  </si>
  <si>
    <t>0315</t>
  </si>
  <si>
    <t>Florence Township</t>
  </si>
  <si>
    <t>Florence Township, Burlington County</t>
  </si>
  <si>
    <t>1411</t>
  </si>
  <si>
    <t>Florham Park Borough</t>
  </si>
  <si>
    <t>Florham Park Borough, Morris County</t>
  </si>
  <si>
    <t>0110</t>
  </si>
  <si>
    <t>Folsom Borough</t>
  </si>
  <si>
    <t>Folsom Borough, Atlantic County</t>
  </si>
  <si>
    <t>0219</t>
  </si>
  <si>
    <t>Fort Lee Borough</t>
  </si>
  <si>
    <t>Fort Lee Borough, Bergen County</t>
  </si>
  <si>
    <t>1905</t>
  </si>
  <si>
    <t>Frankford Township</t>
  </si>
  <si>
    <t>Frankford Township, Sussex County</t>
  </si>
  <si>
    <t>1906</t>
  </si>
  <si>
    <t>Franklin Borough</t>
  </si>
  <si>
    <t>Franklin Borough, Sussex County</t>
  </si>
  <si>
    <t>0220</t>
  </si>
  <si>
    <t>Franklin Lakes Borough</t>
  </si>
  <si>
    <t>Franklin Lakes Borough, Bergen County</t>
  </si>
  <si>
    <t>0805</t>
  </si>
  <si>
    <t>Franklin Township</t>
  </si>
  <si>
    <t>Franklin Township, Gloucester County</t>
  </si>
  <si>
    <t>1010</t>
  </si>
  <si>
    <t>Franklin Township, Hunterdon County</t>
  </si>
  <si>
    <t>1808</t>
  </si>
  <si>
    <t>Franklin Township, Somerset County</t>
  </si>
  <si>
    <t>2105</t>
  </si>
  <si>
    <t>Franklin Township, Warren County</t>
  </si>
  <si>
    <t>1907</t>
  </si>
  <si>
    <t>Fredon Township</t>
  </si>
  <si>
    <t>Fredon Township, Sussex County</t>
  </si>
  <si>
    <t>1315</t>
  </si>
  <si>
    <t>Freehold Borough</t>
  </si>
  <si>
    <t>Freehold Borough, Monmouth County</t>
  </si>
  <si>
    <t>1316</t>
  </si>
  <si>
    <t>Freehold Township</t>
  </si>
  <si>
    <t>Freehold Township, Monmouth County</t>
  </si>
  <si>
    <t>2106</t>
  </si>
  <si>
    <t>Frelinghuysen Township</t>
  </si>
  <si>
    <t>Frelinghuysen Township, Warren County</t>
  </si>
  <si>
    <t>1011</t>
  </si>
  <si>
    <t>Frenchtown Borough</t>
  </si>
  <si>
    <t>Frenchtown Borough, Hunterdon County</t>
  </si>
  <si>
    <t>0111</t>
  </si>
  <si>
    <t>Galloway Township</t>
  </si>
  <si>
    <t>Galloway Township, Atlantic County</t>
  </si>
  <si>
    <t>0221</t>
  </si>
  <si>
    <t>Garfield City</t>
  </si>
  <si>
    <t>Garfield City, Bergen County</t>
  </si>
  <si>
    <t>2006</t>
  </si>
  <si>
    <t>Garwood Borough</t>
  </si>
  <si>
    <t>Garwood Borough, Union County</t>
  </si>
  <si>
    <t>0413</t>
  </si>
  <si>
    <t>Gibbsboro Borough</t>
  </si>
  <si>
    <t>Gibbsboro Borough, Camden County</t>
  </si>
  <si>
    <t>0806</t>
  </si>
  <si>
    <t>Glassboro Borough</t>
  </si>
  <si>
    <t>Glassboro Borough, Gloucester County</t>
  </si>
  <si>
    <t>1012</t>
  </si>
  <si>
    <t>Glen Gardner Borough</t>
  </si>
  <si>
    <t>Glen Gardner Borough, Hunterdon County</t>
  </si>
  <si>
    <t>0708</t>
  </si>
  <si>
    <t>Glen Ridge Borough</t>
  </si>
  <si>
    <t>Glen Ridge Borough, Essex County</t>
  </si>
  <si>
    <t>0222</t>
  </si>
  <si>
    <t>Glen Rock Borough</t>
  </si>
  <si>
    <t>Glen Rock Borough, Bergen County</t>
  </si>
  <si>
    <t>0414</t>
  </si>
  <si>
    <t>Gloucester City City</t>
  </si>
  <si>
    <t>Gloucester City City, Camden County</t>
  </si>
  <si>
    <t>0415</t>
  </si>
  <si>
    <t>Gloucester Township</t>
  </si>
  <si>
    <t>Gloucester Township, Camden County</t>
  </si>
  <si>
    <t>1809</t>
  </si>
  <si>
    <t>Green Brook Township</t>
  </si>
  <si>
    <t>Green Brook Township, Somerset County</t>
  </si>
  <si>
    <t>1908</t>
  </si>
  <si>
    <t>Green Township</t>
  </si>
  <si>
    <t>Green Township, Sussex County</t>
  </si>
  <si>
    <t>0606</t>
  </si>
  <si>
    <t>Greenwich Township</t>
  </si>
  <si>
    <t>Greenwich Township, Cumberland County</t>
  </si>
  <si>
    <t>0807</t>
  </si>
  <si>
    <t>Greenwich Township, Gloucester County</t>
  </si>
  <si>
    <t>2107</t>
  </si>
  <si>
    <t>Greenwich Township, Warren County</t>
  </si>
  <si>
    <t>0903</t>
  </si>
  <si>
    <t>Guttenberg Town</t>
  </si>
  <si>
    <t>Guttenberg Town, Hudson County</t>
  </si>
  <si>
    <t>0223</t>
  </si>
  <si>
    <t>Hackensack City</t>
  </si>
  <si>
    <t>Hackensack City, Bergen County</t>
  </si>
  <si>
    <t>2108</t>
  </si>
  <si>
    <t>Hackettstown Town</t>
  </si>
  <si>
    <t>Hackettstown Town, Warren County</t>
  </si>
  <si>
    <t>0418</t>
  </si>
  <si>
    <t>Haddon Heights Borough</t>
  </si>
  <si>
    <t>Haddon Heights Borough, Camden County</t>
  </si>
  <si>
    <t>0416</t>
  </si>
  <si>
    <t>Haddon Township</t>
  </si>
  <si>
    <t>Haddon Township, Camden County</t>
  </si>
  <si>
    <t>0417</t>
  </si>
  <si>
    <t>Haddonfield Borough</t>
  </si>
  <si>
    <t>Haddonfield Borough, Camden County</t>
  </si>
  <si>
    <t>0316</t>
  </si>
  <si>
    <t>Hainesport Township</t>
  </si>
  <si>
    <t>Hainesport Township, Burlington County</t>
  </si>
  <si>
    <t>1603</t>
  </si>
  <si>
    <t>Haledon Borough</t>
  </si>
  <si>
    <t>Haledon Borough, Passaic County</t>
  </si>
  <si>
    <t>1909</t>
  </si>
  <si>
    <t>Hamburg Borough</t>
  </si>
  <si>
    <t>Hamburg Borough, Sussex County</t>
  </si>
  <si>
    <t>0112</t>
  </si>
  <si>
    <t>Hamilton Township</t>
  </si>
  <si>
    <t>Hamilton Township, Atlantic County</t>
  </si>
  <si>
    <t>1103</t>
  </si>
  <si>
    <t>Hamilton Township, Mercer County</t>
  </si>
  <si>
    <t>0113</t>
  </si>
  <si>
    <t>Hammonton Township</t>
  </si>
  <si>
    <t>Hammonton Township, Atlantic County</t>
  </si>
  <si>
    <t>1013</t>
  </si>
  <si>
    <t>Hampton Borough</t>
  </si>
  <si>
    <t>Hampton Borough, Hunterdon County</t>
  </si>
  <si>
    <t>1910</t>
  </si>
  <si>
    <t>Hampton Township</t>
  </si>
  <si>
    <t>Hampton Township, Sussex County</t>
  </si>
  <si>
    <t>1412</t>
  </si>
  <si>
    <t>Hanover Township</t>
  </si>
  <si>
    <t>Hanover Township, Morris County</t>
  </si>
  <si>
    <t>1413</t>
  </si>
  <si>
    <t>Harding Township</t>
  </si>
  <si>
    <t>Harding Township, Morris County</t>
  </si>
  <si>
    <t>2109</t>
  </si>
  <si>
    <t>Hardwick Township</t>
  </si>
  <si>
    <t>Hardwick Township, Warren County</t>
  </si>
  <si>
    <t>1911</t>
  </si>
  <si>
    <t>Hardyston Township</t>
  </si>
  <si>
    <t>Hardyston Township, Sussex County</t>
  </si>
  <si>
    <t>2110</t>
  </si>
  <si>
    <t>Harmony Township</t>
  </si>
  <si>
    <t>Harmony Township, Warren County</t>
  </si>
  <si>
    <t>0224</t>
  </si>
  <si>
    <t>Harrington Park Borough</t>
  </si>
  <si>
    <t>Harrington Park Borough, Bergen County</t>
  </si>
  <si>
    <t>0904</t>
  </si>
  <si>
    <t>Harrison Town</t>
  </si>
  <si>
    <t>Harrison Town, Hudson County</t>
  </si>
  <si>
    <t>0808</t>
  </si>
  <si>
    <t>Harrison Township</t>
  </si>
  <si>
    <t>Harrison Township, Gloucester County</t>
  </si>
  <si>
    <t>1509</t>
  </si>
  <si>
    <t>Harvey Cedars Borough</t>
  </si>
  <si>
    <t>Harvey Cedars Borough, Ocean County</t>
  </si>
  <si>
    <t>0225</t>
  </si>
  <si>
    <t>Hasbrouck Heights Borough</t>
  </si>
  <si>
    <t>Hasbrouck Heights Borough, Bergen County</t>
  </si>
  <si>
    <t>0226</t>
  </si>
  <si>
    <t>Haworth Borough</t>
  </si>
  <si>
    <t>Haworth Borough, Bergen County</t>
  </si>
  <si>
    <t>1604</t>
  </si>
  <si>
    <t>Hawthorne Borough</t>
  </si>
  <si>
    <t>Hawthorne Borough, Passaic County</t>
  </si>
  <si>
    <t>1339</t>
  </si>
  <si>
    <t>Hazlet Township</t>
  </si>
  <si>
    <t>Hazlet Township, Monmouth County</t>
  </si>
  <si>
    <t>1206</t>
  </si>
  <si>
    <t>Helmetta Borough</t>
  </si>
  <si>
    <t>Helmetta Borough, Middlesex County</t>
  </si>
  <si>
    <t>1014</t>
  </si>
  <si>
    <t>High Bridge Borough</t>
  </si>
  <si>
    <t>High Bridge Borough, Hunterdon County</t>
  </si>
  <si>
    <t>1207</t>
  </si>
  <si>
    <t>Highland Park Borough</t>
  </si>
  <si>
    <t>Highland Park Borough, Middlesex County</t>
  </si>
  <si>
    <t>1317</t>
  </si>
  <si>
    <t>Highlands Borough</t>
  </si>
  <si>
    <t>Highlands Borough, Monmouth County</t>
  </si>
  <si>
    <t>1104</t>
  </si>
  <si>
    <t>Hightstown Borough</t>
  </si>
  <si>
    <t>Hightstown Borough, Mercer County</t>
  </si>
  <si>
    <t>1810</t>
  </si>
  <si>
    <t>Hillsborough Township</t>
  </si>
  <si>
    <t>Hillsborough Township, Somerset County</t>
  </si>
  <si>
    <t>0227</t>
  </si>
  <si>
    <t>Hillsdale Borough</t>
  </si>
  <si>
    <t>Hillsdale Borough, Bergen County</t>
  </si>
  <si>
    <t>2007</t>
  </si>
  <si>
    <t>Hillside Township</t>
  </si>
  <si>
    <t>Hillside Township, Union County</t>
  </si>
  <si>
    <t>0419</t>
  </si>
  <si>
    <t>Hi-nella Borough</t>
  </si>
  <si>
    <t>Hi-nella Borough, Camden County</t>
  </si>
  <si>
    <t>0905</t>
  </si>
  <si>
    <t>Hoboken City</t>
  </si>
  <si>
    <t>Hoboken City, Hudson County</t>
  </si>
  <si>
    <t>0228</t>
  </si>
  <si>
    <t>Ho-Ho-Kus Borough</t>
  </si>
  <si>
    <t>Ho-Ho-Kus Borough, Bergen County</t>
  </si>
  <si>
    <t>1015</t>
  </si>
  <si>
    <t>Holland Township</t>
  </si>
  <si>
    <t>Holland Township, Hunterdon County</t>
  </si>
  <si>
    <t>1318</t>
  </si>
  <si>
    <t>Holmdel Township</t>
  </si>
  <si>
    <t>Holmdel Township, Monmouth County</t>
  </si>
  <si>
    <t>1912</t>
  </si>
  <si>
    <t>Hopatcong Borough</t>
  </si>
  <si>
    <t>Hopatcong Borough, Sussex County</t>
  </si>
  <si>
    <t>2111</t>
  </si>
  <si>
    <t>Hope Township</t>
  </si>
  <si>
    <t>Hope Township, Warren County</t>
  </si>
  <si>
    <t>1105</t>
  </si>
  <si>
    <t>Hopewell Borough</t>
  </si>
  <si>
    <t>Hopewell Borough, Mercer County</t>
  </si>
  <si>
    <t>0607</t>
  </si>
  <si>
    <t>Hopewell Township</t>
  </si>
  <si>
    <t>Hopewell Township, Cumberland County</t>
  </si>
  <si>
    <t>1106</t>
  </si>
  <si>
    <t>Hopewell Township, Mercer County</t>
  </si>
  <si>
    <t>1319</t>
  </si>
  <si>
    <t>Howell Township</t>
  </si>
  <si>
    <t>Howell Township, Monmouth County</t>
  </si>
  <si>
    <t>2112</t>
  </si>
  <si>
    <t>Independence Township</t>
  </si>
  <si>
    <t>Independence Township, Warren County</t>
  </si>
  <si>
    <t>1320</t>
  </si>
  <si>
    <t>Interlaken Borough</t>
  </si>
  <si>
    <t>Interlaken Borough, Monmouth County</t>
  </si>
  <si>
    <t>0709</t>
  </si>
  <si>
    <t>Irvington Township</t>
  </si>
  <si>
    <t>Irvington Township, Essex County</t>
  </si>
  <si>
    <t>1510</t>
  </si>
  <si>
    <t>Island Heights Borough</t>
  </si>
  <si>
    <t>Island Heights Borough, Ocean County</t>
  </si>
  <si>
    <t>1511</t>
  </si>
  <si>
    <t>Jackson Township</t>
  </si>
  <si>
    <t>Jackson Township, Ocean County</t>
  </si>
  <si>
    <t>1208</t>
  </si>
  <si>
    <t>Jamesburg Borough</t>
  </si>
  <si>
    <t>Jamesburg Borough, Middlesex County</t>
  </si>
  <si>
    <t>1414</t>
  </si>
  <si>
    <t>Jefferson Township</t>
  </si>
  <si>
    <t>Jefferson Township, Morris County</t>
  </si>
  <si>
    <t>0906</t>
  </si>
  <si>
    <t>Jersey City City</t>
  </si>
  <si>
    <t>Jersey City City, Hudson County</t>
  </si>
  <si>
    <t>1321</t>
  </si>
  <si>
    <t>Keansburg Borough</t>
  </si>
  <si>
    <t>Keansburg Borough, Monmouth County</t>
  </si>
  <si>
    <t>0907</t>
  </si>
  <si>
    <t>Kearny Town</t>
  </si>
  <si>
    <t>Kearny Town, Hudson County</t>
  </si>
  <si>
    <t>2008</t>
  </si>
  <si>
    <t>Kenilworth Borough</t>
  </si>
  <si>
    <t>Kenilworth Borough, Union County</t>
  </si>
  <si>
    <t>1322</t>
  </si>
  <si>
    <t>Keyport Borough</t>
  </si>
  <si>
    <t>Keyport Borough, Monmouth County</t>
  </si>
  <si>
    <t>1016</t>
  </si>
  <si>
    <t>Kingwood Township</t>
  </si>
  <si>
    <t>Kingwood Township, Hunterdon County</t>
  </si>
  <si>
    <t>1415</t>
  </si>
  <si>
    <t>Kinnelon Borough</t>
  </si>
  <si>
    <t>Kinnelon Borough, Morris County</t>
  </si>
  <si>
    <t>2113</t>
  </si>
  <si>
    <t>Knowlton Township</t>
  </si>
  <si>
    <t>Knowlton Township, Warren County</t>
  </si>
  <si>
    <t>1512</t>
  </si>
  <si>
    <t>Lacey Township</t>
  </si>
  <si>
    <t>Lacey Township, Ocean County</t>
  </si>
  <si>
    <t>1913</t>
  </si>
  <si>
    <t>Lafayette Township</t>
  </si>
  <si>
    <t>Lafayette Township, Sussex County</t>
  </si>
  <si>
    <t>1347</t>
  </si>
  <si>
    <t>1513</t>
  </si>
  <si>
    <t>Lakehurst Borough</t>
  </si>
  <si>
    <t>Lakehurst Borough, Ocean County</t>
  </si>
  <si>
    <t>1514</t>
  </si>
  <si>
    <t>Lakewood Township</t>
  </si>
  <si>
    <t>Lakewood Township, Ocean County</t>
  </si>
  <si>
    <t>1017</t>
  </si>
  <si>
    <t>Lambertville City</t>
  </si>
  <si>
    <t>Lambertville City, Hunterdon County</t>
  </si>
  <si>
    <t>0420</t>
  </si>
  <si>
    <t>Laurel Springs Borough</t>
  </si>
  <si>
    <t>Laurel Springs Borough, Camden County</t>
  </si>
  <si>
    <t>1515</t>
  </si>
  <si>
    <t>Lavallette Borough</t>
  </si>
  <si>
    <t>Lavallette Borough, Ocean County</t>
  </si>
  <si>
    <t>0421</t>
  </si>
  <si>
    <t>Lawnside Borough</t>
  </si>
  <si>
    <t>Lawnside Borough, Camden County</t>
  </si>
  <si>
    <t>0608</t>
  </si>
  <si>
    <t>Lawrence Township</t>
  </si>
  <si>
    <t>Lawrence Township, Cumberland County</t>
  </si>
  <si>
    <t>1107</t>
  </si>
  <si>
    <t>Lawrence Township, Mercer County</t>
  </si>
  <si>
    <t>1018</t>
  </si>
  <si>
    <t>Lebanon Borough</t>
  </si>
  <si>
    <t>Lebanon Borough, Hunterdon County</t>
  </si>
  <si>
    <t>1019</t>
  </si>
  <si>
    <t>Lebanon Township</t>
  </si>
  <si>
    <t>Lebanon Township, Hunterdon County</t>
  </si>
  <si>
    <t>0229</t>
  </si>
  <si>
    <t>Leonia Borough</t>
  </si>
  <si>
    <t>Leonia Borough, Bergen County</t>
  </si>
  <si>
    <t>2114</t>
  </si>
  <si>
    <t>Liberty Township</t>
  </si>
  <si>
    <t>Liberty Township, Warren County</t>
  </si>
  <si>
    <t>1416</t>
  </si>
  <si>
    <t>Lincoln Park Borough</t>
  </si>
  <si>
    <t>Lincoln Park Borough, Morris County</t>
  </si>
  <si>
    <t>2009</t>
  </si>
  <si>
    <t>Linden City</t>
  </si>
  <si>
    <t>Linden City, Union County</t>
  </si>
  <si>
    <t>0422</t>
  </si>
  <si>
    <t>Lindenwold Borough</t>
  </si>
  <si>
    <t>Lindenwold Borough, Camden County</t>
  </si>
  <si>
    <t>0114</t>
  </si>
  <si>
    <t>Linwood City</t>
  </si>
  <si>
    <t>Linwood City, Atlantic County</t>
  </si>
  <si>
    <t>1516</t>
  </si>
  <si>
    <t>Little Egg Harbor Township</t>
  </si>
  <si>
    <t>Little Egg Harbor Township, Ocean County</t>
  </si>
  <si>
    <t>1605</t>
  </si>
  <si>
    <t>Little Falls Township</t>
  </si>
  <si>
    <t>Little Falls Township, Passaic County</t>
  </si>
  <si>
    <t>0230</t>
  </si>
  <si>
    <t>Little Ferry Borough</t>
  </si>
  <si>
    <t>Little Ferry Borough, Bergen County</t>
  </si>
  <si>
    <t>1323</t>
  </si>
  <si>
    <t>Little Silver Borough</t>
  </si>
  <si>
    <t>Little Silver Borough, Monmouth County</t>
  </si>
  <si>
    <t>0710</t>
  </si>
  <si>
    <t>Livingston Township</t>
  </si>
  <si>
    <t>Livingston Township, Essex County</t>
  </si>
  <si>
    <t>1324</t>
  </si>
  <si>
    <t>Loch Arbour Village</t>
  </si>
  <si>
    <t>Loch Arbour Village, Monmouth County</t>
  </si>
  <si>
    <t>0231</t>
  </si>
  <si>
    <t>Lodi Borough</t>
  </si>
  <si>
    <t>Lodi Borough, Bergen County</t>
  </si>
  <si>
    <t>0809</t>
  </si>
  <si>
    <t>Logan Township</t>
  </si>
  <si>
    <t>Logan Township, Gloucester County</t>
  </si>
  <si>
    <t>1517</t>
  </si>
  <si>
    <t>Long Beach Township</t>
  </si>
  <si>
    <t>Long Beach Township, Ocean County</t>
  </si>
  <si>
    <t>1325</t>
  </si>
  <si>
    <t>Long Branch City</t>
  </si>
  <si>
    <t>Long Branch City, Monmouth County</t>
  </si>
  <si>
    <t>1430</t>
  </si>
  <si>
    <t>Long Hill Township</t>
  </si>
  <si>
    <t>Long Hill Township, Morris County</t>
  </si>
  <si>
    <t>0115</t>
  </si>
  <si>
    <t>Longport Borough</t>
  </si>
  <si>
    <t>Longport Borough, Atlantic County</t>
  </si>
  <si>
    <t>2115</t>
  </si>
  <si>
    <t>Lopatcong Township</t>
  </si>
  <si>
    <t>Lopatcong Township, Warren County</t>
  </si>
  <si>
    <t>1704</t>
  </si>
  <si>
    <t>Lower Alloways Creek Township</t>
  </si>
  <si>
    <t>Lower Alloways Creek Township, Salem County</t>
  </si>
  <si>
    <t>0505</t>
  </si>
  <si>
    <t>Lower Township</t>
  </si>
  <si>
    <t>Lower Township, Cape May County</t>
  </si>
  <si>
    <t>0317</t>
  </si>
  <si>
    <t>Lumberton Township</t>
  </si>
  <si>
    <t>Lumberton Township, Burlington County</t>
  </si>
  <si>
    <t>0232</t>
  </si>
  <si>
    <t>Lyndhurst Township</t>
  </si>
  <si>
    <t>Lyndhurst Township, Bergen County</t>
  </si>
  <si>
    <t>1417</t>
  </si>
  <si>
    <t>Madison Borough</t>
  </si>
  <si>
    <t>Madison Borough, Morris County</t>
  </si>
  <si>
    <t>0423</t>
  </si>
  <si>
    <t>Magnolia Borough</t>
  </si>
  <si>
    <t>Magnolia Borough, Camden County</t>
  </si>
  <si>
    <t>0233</t>
  </si>
  <si>
    <t>Mahwah Township</t>
  </si>
  <si>
    <t>Mahwah Township, Bergen County</t>
  </si>
  <si>
    <t>1326</t>
  </si>
  <si>
    <t>Manalapan Township</t>
  </si>
  <si>
    <t>Manalapan Township, Monmouth County</t>
  </si>
  <si>
    <t>1327</t>
  </si>
  <si>
    <t>Manasquan Borough</t>
  </si>
  <si>
    <t>Manasquan Borough, Monmouth County</t>
  </si>
  <si>
    <t>1518</t>
  </si>
  <si>
    <t>Manchester Township</t>
  </si>
  <si>
    <t>Manchester Township, Ocean County</t>
  </si>
  <si>
    <t>1705</t>
  </si>
  <si>
    <t>Mannington Township</t>
  </si>
  <si>
    <t>Mannington Township, Salem County</t>
  </si>
  <si>
    <t>0318</t>
  </si>
  <si>
    <t>Mansfield Township</t>
  </si>
  <si>
    <t>Mansfield Township, Burlington County</t>
  </si>
  <si>
    <t>2116</t>
  </si>
  <si>
    <t>Mansfield Township, Warren County</t>
  </si>
  <si>
    <t>1519</t>
  </si>
  <si>
    <t>Mantoloking Borough</t>
  </si>
  <si>
    <t>Mantoloking Borough, Ocean County</t>
  </si>
  <si>
    <t>0810</t>
  </si>
  <si>
    <t>Mantua Township</t>
  </si>
  <si>
    <t>Mantua Township, Gloucester County</t>
  </si>
  <si>
    <t>1811</t>
  </si>
  <si>
    <t>Manville Borough</t>
  </si>
  <si>
    <t>Manville Borough, Somerset County</t>
  </si>
  <si>
    <t>0319</t>
  </si>
  <si>
    <t>Maple Shade Township</t>
  </si>
  <si>
    <t>Maple Shade Township, Burlington County</t>
  </si>
  <si>
    <t>0711</t>
  </si>
  <si>
    <t>Maplewood Township</t>
  </si>
  <si>
    <t>Maplewood Township, Essex County</t>
  </si>
  <si>
    <t>0116</t>
  </si>
  <si>
    <t>Margate City</t>
  </si>
  <si>
    <t>Margate City, Atlantic County</t>
  </si>
  <si>
    <t>1328</t>
  </si>
  <si>
    <t>Marlboro Township</t>
  </si>
  <si>
    <t>Marlboro Township, Monmouth County</t>
  </si>
  <si>
    <t>1329</t>
  </si>
  <si>
    <t>Matawan Borough</t>
  </si>
  <si>
    <t>Matawan Borough, Monmouth County</t>
  </si>
  <si>
    <t>0609</t>
  </si>
  <si>
    <t>Maurice River Township</t>
  </si>
  <si>
    <t>Maurice River Township, Cumberland County</t>
  </si>
  <si>
    <t>0234</t>
  </si>
  <si>
    <t>Maywood Borough</t>
  </si>
  <si>
    <t>Maywood Borough, Bergen County</t>
  </si>
  <si>
    <t>0321</t>
  </si>
  <si>
    <t>Medford Lakes Borough</t>
  </si>
  <si>
    <t>Medford Lakes Borough, Burlington County</t>
  </si>
  <si>
    <t>0320</t>
  </si>
  <si>
    <t>Medford Township</t>
  </si>
  <si>
    <t>Medford Township, Burlington County</t>
  </si>
  <si>
    <t>1418</t>
  </si>
  <si>
    <t>Mendham Borough</t>
  </si>
  <si>
    <t>Mendham Borough, Morris County</t>
  </si>
  <si>
    <t>1419</t>
  </si>
  <si>
    <t>Mendham Township</t>
  </si>
  <si>
    <t>Mendham Township, Morris County</t>
  </si>
  <si>
    <t>0424</t>
  </si>
  <si>
    <t>Merchantville Borough</t>
  </si>
  <si>
    <t>Merchantville Borough, Camden County</t>
  </si>
  <si>
    <t>1210</t>
  </si>
  <si>
    <t>Metuchen Borough</t>
  </si>
  <si>
    <t>Metuchen Borough, Middlesex County</t>
  </si>
  <si>
    <t>0506</t>
  </si>
  <si>
    <t>Middle Township</t>
  </si>
  <si>
    <t>Middle Township, Cape May County</t>
  </si>
  <si>
    <t>1211</t>
  </si>
  <si>
    <t>Middlesex Borough</t>
  </si>
  <si>
    <t>Middlesex Borough, Middlesex County</t>
  </si>
  <si>
    <t>1331</t>
  </si>
  <si>
    <t>Middletown Township</t>
  </si>
  <si>
    <t>Middletown Township, Monmouth County</t>
  </si>
  <si>
    <t>0235</t>
  </si>
  <si>
    <t>Midland Park Borough</t>
  </si>
  <si>
    <t>Midland Park Borough, Bergen County</t>
  </si>
  <si>
    <t>1020</t>
  </si>
  <si>
    <t>Milford Borough</t>
  </si>
  <si>
    <t>Milford Borough, Hunterdon County</t>
  </si>
  <si>
    <t>0712</t>
  </si>
  <si>
    <t>Millburn Township</t>
  </si>
  <si>
    <t>Millburn Township, Essex County</t>
  </si>
  <si>
    <t>1812</t>
  </si>
  <si>
    <t>Millstone Borough</t>
  </si>
  <si>
    <t>Millstone Borough, Somerset County</t>
  </si>
  <si>
    <t>1332</t>
  </si>
  <si>
    <t>Millstone Township</t>
  </si>
  <si>
    <t>Millstone Township, Monmouth County</t>
  </si>
  <si>
    <t>1212</t>
  </si>
  <si>
    <t>Milltown Borough</t>
  </si>
  <si>
    <t>Milltown Borough, Middlesex County</t>
  </si>
  <si>
    <t>0610</t>
  </si>
  <si>
    <t>Millville City</t>
  </si>
  <si>
    <t>Millville City, Cumberland County</t>
  </si>
  <si>
    <t>1420</t>
  </si>
  <si>
    <t>Mine Hill Township</t>
  </si>
  <si>
    <t>Mine Hill Township, Morris County</t>
  </si>
  <si>
    <t>1333</t>
  </si>
  <si>
    <t>Monmouth Beach Borough</t>
  </si>
  <si>
    <t>Monmouth Beach Borough, Monmouth County</t>
  </si>
  <si>
    <t>0811</t>
  </si>
  <si>
    <t>Monroe Township</t>
  </si>
  <si>
    <t>Monroe Township, Gloucester County</t>
  </si>
  <si>
    <t>1213</t>
  </si>
  <si>
    <t>Monroe Township, Middlesex County</t>
  </si>
  <si>
    <t>1914</t>
  </si>
  <si>
    <t>Montague Township</t>
  </si>
  <si>
    <t>Montague Township, Sussex County</t>
  </si>
  <si>
    <t>0713</t>
  </si>
  <si>
    <t>Montclair Township</t>
  </si>
  <si>
    <t>Montclair Township, Essex County</t>
  </si>
  <si>
    <t>1813</t>
  </si>
  <si>
    <t>Montgomery Township</t>
  </si>
  <si>
    <t>Montgomery Township, Somerset County</t>
  </si>
  <si>
    <t>0236</t>
  </si>
  <si>
    <t>Montvale Borough</t>
  </si>
  <si>
    <t>Montvale Borough, Bergen County</t>
  </si>
  <si>
    <t>1421</t>
  </si>
  <si>
    <t>Montville Township</t>
  </si>
  <si>
    <t>Montville Township, Morris County</t>
  </si>
  <si>
    <t>0237</t>
  </si>
  <si>
    <t>Moonachie Borough</t>
  </si>
  <si>
    <t>Moonachie Borough, Bergen County</t>
  </si>
  <si>
    <t>0322</t>
  </si>
  <si>
    <t>Moorestown Township</t>
  </si>
  <si>
    <t>Moorestown Township, Burlington County</t>
  </si>
  <si>
    <t>1423</t>
  </si>
  <si>
    <t>Morris Plains Borough</t>
  </si>
  <si>
    <t>Morris Plains Borough, Morris County</t>
  </si>
  <si>
    <t>1422</t>
  </si>
  <si>
    <t>Morris Township</t>
  </si>
  <si>
    <t>Morris Township, Morris County</t>
  </si>
  <si>
    <t>1424</t>
  </si>
  <si>
    <t>Morristown Town</t>
  </si>
  <si>
    <t>Morristown Town, Morris County</t>
  </si>
  <si>
    <t>1426</t>
  </si>
  <si>
    <t>Mount Arlington Borough</t>
  </si>
  <si>
    <t>Mount Arlington Borough, Morris County</t>
  </si>
  <si>
    <t>0425</t>
  </si>
  <si>
    <t>Mount Ephraim Borough</t>
  </si>
  <si>
    <t>Mount Ephraim Borough, Camden County</t>
  </si>
  <si>
    <t>0323</t>
  </si>
  <si>
    <t>Mount Holly Township</t>
  </si>
  <si>
    <t>Mount Holly Township, Burlington County</t>
  </si>
  <si>
    <t>0324</t>
  </si>
  <si>
    <t>Mount Laurel Township</t>
  </si>
  <si>
    <t>Mount Laurel Township, Burlington County</t>
  </si>
  <si>
    <t>1427</t>
  </si>
  <si>
    <t>Mount Olive Township</t>
  </si>
  <si>
    <t>Mount Olive Township, Morris County</t>
  </si>
  <si>
    <t>1425</t>
  </si>
  <si>
    <t>Mountain Lakes Borough</t>
  </si>
  <si>
    <t>Mountain Lakes Borough, Morris County</t>
  </si>
  <si>
    <t>2010</t>
  </si>
  <si>
    <t>Mountainside Borough</t>
  </si>
  <si>
    <t>Mountainside Borough, Union County</t>
  </si>
  <si>
    <t>0117</t>
  </si>
  <si>
    <t>Mullica Township</t>
  </si>
  <si>
    <t>Mullica Township, Atlantic County</t>
  </si>
  <si>
    <t>0812</t>
  </si>
  <si>
    <t>National Park Borough</t>
  </si>
  <si>
    <t>National Park Borough, Gloucester County</t>
  </si>
  <si>
    <t>1335</t>
  </si>
  <si>
    <t>Neptune City Borough</t>
  </si>
  <si>
    <t>Neptune City Borough, Monmouth County</t>
  </si>
  <si>
    <t>1334</t>
  </si>
  <si>
    <t>Neptune Township</t>
  </si>
  <si>
    <t>Neptune Township, Monmouth County</t>
  </si>
  <si>
    <t>1428</t>
  </si>
  <si>
    <t>Netcong Borough</t>
  </si>
  <si>
    <t>Netcong Borough, Morris County</t>
  </si>
  <si>
    <t>1214</t>
  </si>
  <si>
    <t>New Brunswick City</t>
  </si>
  <si>
    <t>New Brunswick City, Middlesex County</t>
  </si>
  <si>
    <t>0325</t>
  </si>
  <si>
    <t>New Hanover Township</t>
  </si>
  <si>
    <t>New Hanover Township, Burlington County</t>
  </si>
  <si>
    <t>0238</t>
  </si>
  <si>
    <t>New Milford Borough</t>
  </si>
  <si>
    <t>New Milford Borough, Bergen County</t>
  </si>
  <si>
    <t>2011</t>
  </si>
  <si>
    <t>New Providence Borough</t>
  </si>
  <si>
    <t>New Providence Borough, Union County</t>
  </si>
  <si>
    <t>0714</t>
  </si>
  <si>
    <t>Newark City</t>
  </si>
  <si>
    <t>Newark City, Essex County</t>
  </si>
  <si>
    <t>0813</t>
  </si>
  <si>
    <t>Newfield Borough</t>
  </si>
  <si>
    <t>Newfield Borough, Gloucester County</t>
  </si>
  <si>
    <t>1915</t>
  </si>
  <si>
    <t>Newton Town</t>
  </si>
  <si>
    <t>Newton Town, Sussex County</t>
  </si>
  <si>
    <t>0239</t>
  </si>
  <si>
    <t>North Arlington Borough</t>
  </si>
  <si>
    <t>North Arlington Borough, Bergen County</t>
  </si>
  <si>
    <t>0908</t>
  </si>
  <si>
    <t>North Bergen Township</t>
  </si>
  <si>
    <t>North Bergen Township, Hudson County</t>
  </si>
  <si>
    <t>1215</t>
  </si>
  <si>
    <t>North Brunswick Township</t>
  </si>
  <si>
    <t>North Brunswick Township, Middlesex County</t>
  </si>
  <si>
    <t>0715</t>
  </si>
  <si>
    <t>North Caldwell Borough</t>
  </si>
  <si>
    <t>North Caldwell Borough, Essex County</t>
  </si>
  <si>
    <t>1606</t>
  </si>
  <si>
    <t>North Haledon Borough</t>
  </si>
  <si>
    <t>North Haledon Borough, Passaic County</t>
  </si>
  <si>
    <t>0326</t>
  </si>
  <si>
    <t>North Hanover Township</t>
  </si>
  <si>
    <t>North Hanover Township, Burlington County</t>
  </si>
  <si>
    <t>1814</t>
  </si>
  <si>
    <t>North Plainfield Borough</t>
  </si>
  <si>
    <t>North Plainfield Borough, Somerset County</t>
  </si>
  <si>
    <t>0507</t>
  </si>
  <si>
    <t>North Wildwood City</t>
  </si>
  <si>
    <t>North Wildwood City, Cape May County</t>
  </si>
  <si>
    <t>0118</t>
  </si>
  <si>
    <t>Northfield City</t>
  </si>
  <si>
    <t>Northfield City, Atlantic County</t>
  </si>
  <si>
    <t>0240</t>
  </si>
  <si>
    <t>Northvale Borough</t>
  </si>
  <si>
    <t>Northvale Borough, Bergen County</t>
  </si>
  <si>
    <t>0241</t>
  </si>
  <si>
    <t>Norwood Borough</t>
  </si>
  <si>
    <t>Norwood Borough, Bergen County</t>
  </si>
  <si>
    <t>0716</t>
  </si>
  <si>
    <t>Nutley Township</t>
  </si>
  <si>
    <t>Nutley Township, Essex County</t>
  </si>
  <si>
    <t>0242</t>
  </si>
  <si>
    <t>Oakland Borough</t>
  </si>
  <si>
    <t>Oakland Borough, Bergen County</t>
  </si>
  <si>
    <t>0426</t>
  </si>
  <si>
    <t>Oaklyn Borough</t>
  </si>
  <si>
    <t>Oaklyn Borough, Camden County</t>
  </si>
  <si>
    <t>0508</t>
  </si>
  <si>
    <t>Ocean City City</t>
  </si>
  <si>
    <t>Ocean City City, Cape May County</t>
  </si>
  <si>
    <t>1521</t>
  </si>
  <si>
    <t>Ocean Gate Borough</t>
  </si>
  <si>
    <t>Ocean Gate Borough, Ocean County</t>
  </si>
  <si>
    <t>1337</t>
  </si>
  <si>
    <t>Ocean Township</t>
  </si>
  <si>
    <t>Ocean Township, Monmouth County</t>
  </si>
  <si>
    <t>1520</t>
  </si>
  <si>
    <t>Ocean Township, Ocean County</t>
  </si>
  <si>
    <t>1338</t>
  </si>
  <si>
    <t>Oceanport Borough</t>
  </si>
  <si>
    <t>Oceanport Borough, Monmouth County</t>
  </si>
  <si>
    <t>1916</t>
  </si>
  <si>
    <t>Ogdensburg Borough</t>
  </si>
  <si>
    <t>Ogdensburg Borough, Sussex County</t>
  </si>
  <si>
    <t>1209</t>
  </si>
  <si>
    <t>Old Bridge Township</t>
  </si>
  <si>
    <t>Old Bridge Township, Middlesex County</t>
  </si>
  <si>
    <t>0243</t>
  </si>
  <si>
    <t>Old Tappan Borough</t>
  </si>
  <si>
    <t>Old Tappan Borough, Bergen County</t>
  </si>
  <si>
    <t>1706</t>
  </si>
  <si>
    <t>Oldmans Township</t>
  </si>
  <si>
    <t>Oldmans Township, Salem County</t>
  </si>
  <si>
    <t>0244</t>
  </si>
  <si>
    <t>Oradell Borough</t>
  </si>
  <si>
    <t>Oradell Borough, Bergen County</t>
  </si>
  <si>
    <t>0717</t>
  </si>
  <si>
    <t>Orange City</t>
  </si>
  <si>
    <t>Orange City, Essex County</t>
  </si>
  <si>
    <t>2117</t>
  </si>
  <si>
    <t>Oxford Township</t>
  </si>
  <si>
    <t>Oxford Township, Warren County</t>
  </si>
  <si>
    <t>0245</t>
  </si>
  <si>
    <t>Palisades Park Borough</t>
  </si>
  <si>
    <t>Palisades Park Borough, Bergen County</t>
  </si>
  <si>
    <t>0327</t>
  </si>
  <si>
    <t>Palmyra Borough</t>
  </si>
  <si>
    <t>Palmyra Borough, Burlington County</t>
  </si>
  <si>
    <t>0246</t>
  </si>
  <si>
    <t>Paramus Borough</t>
  </si>
  <si>
    <t>Paramus Borough, Bergen County</t>
  </si>
  <si>
    <t>0247</t>
  </si>
  <si>
    <t>Park Ridge Borough</t>
  </si>
  <si>
    <t>Park Ridge Borough, Bergen County</t>
  </si>
  <si>
    <t>1429</t>
  </si>
  <si>
    <t>Parsippany-Troy Hills Township</t>
  </si>
  <si>
    <t>Parsippany-Troy Hills Township, Morris County</t>
  </si>
  <si>
    <t>1607</t>
  </si>
  <si>
    <t>Passaic City</t>
  </si>
  <si>
    <t>Passaic City, Passaic County</t>
  </si>
  <si>
    <t>1608</t>
  </si>
  <si>
    <t>Paterson City</t>
  </si>
  <si>
    <t>Paterson City, Passaic County</t>
  </si>
  <si>
    <t>0814</t>
  </si>
  <si>
    <t>Paulsboro Borough</t>
  </si>
  <si>
    <t>Paulsboro Borough, Gloucester County</t>
  </si>
  <si>
    <t>1815</t>
  </si>
  <si>
    <t>Peapack-Gladstone Borough</t>
  </si>
  <si>
    <t>Peapack-Gladstone Borough, Somerset County</t>
  </si>
  <si>
    <t>0328</t>
  </si>
  <si>
    <t>Pemberton Borough</t>
  </si>
  <si>
    <t>Pemberton Borough, Burlington County</t>
  </si>
  <si>
    <t>0329</t>
  </si>
  <si>
    <t>Pemberton Township</t>
  </si>
  <si>
    <t>Pemberton Township, Burlington County</t>
  </si>
  <si>
    <t>1108</t>
  </si>
  <si>
    <t>Pennington Borough</t>
  </si>
  <si>
    <t>Pennington Borough, Mercer County</t>
  </si>
  <si>
    <t>1707</t>
  </si>
  <si>
    <t>Penns Grove Borough</t>
  </si>
  <si>
    <t>Penns Grove Borough, Salem County</t>
  </si>
  <si>
    <t>0427</t>
  </si>
  <si>
    <t>Pennsauken Township</t>
  </si>
  <si>
    <t>Pennsauken Township, Camden County</t>
  </si>
  <si>
    <t>1708</t>
  </si>
  <si>
    <t>Pennsville Township</t>
  </si>
  <si>
    <t>Pennsville Township, Salem County</t>
  </si>
  <si>
    <t>1431</t>
  </si>
  <si>
    <t>Pequannock Township</t>
  </si>
  <si>
    <t>Pequannock Township, Morris County</t>
  </si>
  <si>
    <t>1216</t>
  </si>
  <si>
    <t>Perth Amboy City</t>
  </si>
  <si>
    <t>Perth Amboy City, Middlesex County</t>
  </si>
  <si>
    <t>2119</t>
  </si>
  <si>
    <t>Phillipsburg Town</t>
  </si>
  <si>
    <t>Phillipsburg Town, Warren County</t>
  </si>
  <si>
    <t>1709</t>
  </si>
  <si>
    <t>Pilesgrove Township</t>
  </si>
  <si>
    <t>Pilesgrove Township, Salem County</t>
  </si>
  <si>
    <t>1522</t>
  </si>
  <si>
    <t>Pine Beach Borough</t>
  </si>
  <si>
    <t>Pine Beach Borough, Ocean County</t>
  </si>
  <si>
    <t>0428</t>
  </si>
  <si>
    <t>Pine Hill Borough</t>
  </si>
  <si>
    <t>Pine Hill Borough, Camden County</t>
  </si>
  <si>
    <t>0429</t>
  </si>
  <si>
    <t>Pine Valley Borough</t>
  </si>
  <si>
    <t>Pine Valley Borough, Camden County</t>
  </si>
  <si>
    <t>1217</t>
  </si>
  <si>
    <t>Piscataway Township</t>
  </si>
  <si>
    <t>Piscataway Township, Middlesex County</t>
  </si>
  <si>
    <t>0815</t>
  </si>
  <si>
    <t>Pitman Borough</t>
  </si>
  <si>
    <t>Pitman Borough, Gloucester County</t>
  </si>
  <si>
    <t>1710</t>
  </si>
  <si>
    <t>Pittsgrove Township</t>
  </si>
  <si>
    <t>Pittsgrove Township, Salem County</t>
  </si>
  <si>
    <t>2012</t>
  </si>
  <si>
    <t>Plainfield City</t>
  </si>
  <si>
    <t>Plainfield City, Union County</t>
  </si>
  <si>
    <t>1218</t>
  </si>
  <si>
    <t>Plainsboro Township</t>
  </si>
  <si>
    <t>Plainsboro Township, Middlesex County</t>
  </si>
  <si>
    <t>0119</t>
  </si>
  <si>
    <t>Pleasantville City</t>
  </si>
  <si>
    <t>Pleasantville City, Atlantic County</t>
  </si>
  <si>
    <t>1523</t>
  </si>
  <si>
    <t>Plumsted Township</t>
  </si>
  <si>
    <t>Plumsted Township, Ocean County</t>
  </si>
  <si>
    <t>2120</t>
  </si>
  <si>
    <t>Pohatcong Township</t>
  </si>
  <si>
    <t>Pohatcong Township, Warren County</t>
  </si>
  <si>
    <t>1525</t>
  </si>
  <si>
    <t>Point Pleasant Beach Borough</t>
  </si>
  <si>
    <t>Point Pleasant Beach Borough, Ocean County</t>
  </si>
  <si>
    <t>1524</t>
  </si>
  <si>
    <t>Point Pleasant Borough</t>
  </si>
  <si>
    <t>Point Pleasant Borough, Ocean County</t>
  </si>
  <si>
    <t>1609</t>
  </si>
  <si>
    <t>Pompton Lakes Borough</t>
  </si>
  <si>
    <t>Pompton Lakes Borough, Passaic County</t>
  </si>
  <si>
    <t>0120</t>
  </si>
  <si>
    <t>Port Republic City</t>
  </si>
  <si>
    <t>Port Republic City, Atlantic County</t>
  </si>
  <si>
    <t>1114</t>
  </si>
  <si>
    <t>Princeton</t>
  </si>
  <si>
    <t>Princeton, Mercer County</t>
  </si>
  <si>
    <t>1610</t>
  </si>
  <si>
    <t>Prospect Park Borough</t>
  </si>
  <si>
    <t>Prospect Park Borough, Passaic County</t>
  </si>
  <si>
    <t>1711</t>
  </si>
  <si>
    <t>Quinton Township</t>
  </si>
  <si>
    <t>Quinton Township, Salem County</t>
  </si>
  <si>
    <t>2013</t>
  </si>
  <si>
    <t>Rahway City</t>
  </si>
  <si>
    <t>Rahway City, Union County</t>
  </si>
  <si>
    <t>0248</t>
  </si>
  <si>
    <t>Ramsey Borough</t>
  </si>
  <si>
    <t>Ramsey Borough, Bergen County</t>
  </si>
  <si>
    <t>1432</t>
  </si>
  <si>
    <t>Randolph Township</t>
  </si>
  <si>
    <t>Randolph Township, Morris County</t>
  </si>
  <si>
    <t>1816</t>
  </si>
  <si>
    <t>Raritan Borough</t>
  </si>
  <si>
    <t>Raritan Borough, Somerset County</t>
  </si>
  <si>
    <t>1021</t>
  </si>
  <si>
    <t>Raritan Township</t>
  </si>
  <si>
    <t>Raritan Township, Hunterdon County</t>
  </si>
  <si>
    <t>1022</t>
  </si>
  <si>
    <t>Readington Township</t>
  </si>
  <si>
    <t>Readington Township, Hunterdon County</t>
  </si>
  <si>
    <t>1340</t>
  </si>
  <si>
    <t>Red Bank Borough</t>
  </si>
  <si>
    <t>Red Bank Borough, Monmouth County</t>
  </si>
  <si>
    <t>0249</t>
  </si>
  <si>
    <t>Ridgefield Borough</t>
  </si>
  <si>
    <t>Ridgefield Borough, Bergen County</t>
  </si>
  <si>
    <t>0250</t>
  </si>
  <si>
    <t>Ridgefield Park Village</t>
  </si>
  <si>
    <t>Ridgefield Park Village, Bergen County</t>
  </si>
  <si>
    <t>0251</t>
  </si>
  <si>
    <t>Ridgewood Village</t>
  </si>
  <si>
    <t>Ridgewood Village, Bergen County</t>
  </si>
  <si>
    <t>1611</t>
  </si>
  <si>
    <t>Ringwood Borough</t>
  </si>
  <si>
    <t>Ringwood Borough, Passaic County</t>
  </si>
  <si>
    <t>0252</t>
  </si>
  <si>
    <t>River Edge Borough</t>
  </si>
  <si>
    <t>River Edge Borough, Bergen County</t>
  </si>
  <si>
    <t>0253</t>
  </si>
  <si>
    <t>River Vale Township</t>
  </si>
  <si>
    <t>River Vale Township, Bergen County</t>
  </si>
  <si>
    <t>1433</t>
  </si>
  <si>
    <t>Riverdale Borough</t>
  </si>
  <si>
    <t>Riverdale Borough, Morris County</t>
  </si>
  <si>
    <t>0330</t>
  </si>
  <si>
    <t>Riverside Township</t>
  </si>
  <si>
    <t>Riverside Township, Burlington County</t>
  </si>
  <si>
    <t>0331</t>
  </si>
  <si>
    <t>Riverton Borough</t>
  </si>
  <si>
    <t>Riverton Borough, Burlington County</t>
  </si>
  <si>
    <t>1112</t>
  </si>
  <si>
    <t>Robbinsville Township</t>
  </si>
  <si>
    <t>Robbinsville Township, Mercer County</t>
  </si>
  <si>
    <t>0254</t>
  </si>
  <si>
    <t>Rochelle Park Township</t>
  </si>
  <si>
    <t>Rochelle Park Township, Bergen County</t>
  </si>
  <si>
    <t>1434</t>
  </si>
  <si>
    <t>Rockaway Borough</t>
  </si>
  <si>
    <t>Rockaway Borough, Morris County</t>
  </si>
  <si>
    <t>1435</t>
  </si>
  <si>
    <t>Rockaway Township</t>
  </si>
  <si>
    <t>Rockaway Township, Morris County</t>
  </si>
  <si>
    <t>0255</t>
  </si>
  <si>
    <t>Rockleigh Borough</t>
  </si>
  <si>
    <t>Rockleigh Borough, Bergen County</t>
  </si>
  <si>
    <t>1817</t>
  </si>
  <si>
    <t>Rocky Hill Borough</t>
  </si>
  <si>
    <t>Rocky Hill Borough, Somerset County</t>
  </si>
  <si>
    <t>1341</t>
  </si>
  <si>
    <t>Roosevelt Borough</t>
  </si>
  <si>
    <t>Roosevelt Borough, Monmouth County</t>
  </si>
  <si>
    <t>0718</t>
  </si>
  <si>
    <t>Roseland Borough</t>
  </si>
  <si>
    <t>Roseland Borough, Essex County</t>
  </si>
  <si>
    <t>2014</t>
  </si>
  <si>
    <t>Roselle Borough</t>
  </si>
  <si>
    <t>Roselle Borough, Union County</t>
  </si>
  <si>
    <t>2015</t>
  </si>
  <si>
    <t>Roselle Park Borough</t>
  </si>
  <si>
    <t>Roselle Park Borough, Union County</t>
  </si>
  <si>
    <t>1436</t>
  </si>
  <si>
    <t>Roxbury Township</t>
  </si>
  <si>
    <t>Roxbury Township, Morris County</t>
  </si>
  <si>
    <t>1342</t>
  </si>
  <si>
    <t>Rumson Borough</t>
  </si>
  <si>
    <t>Rumson Borough, Monmouth County</t>
  </si>
  <si>
    <t>0430</t>
  </si>
  <si>
    <t>Runnemede Borough</t>
  </si>
  <si>
    <t>Runnemede Borough, Camden County</t>
  </si>
  <si>
    <t>0256</t>
  </si>
  <si>
    <t>Rutherford Borough</t>
  </si>
  <si>
    <t>Rutherford Borough, Bergen County</t>
  </si>
  <si>
    <t>0257</t>
  </si>
  <si>
    <t>Saddle Brook Township</t>
  </si>
  <si>
    <t>Saddle Brook Township, Bergen County</t>
  </si>
  <si>
    <t>0258</t>
  </si>
  <si>
    <t>Saddle River Borough</t>
  </si>
  <si>
    <t>Saddle River Borough, Bergen County</t>
  </si>
  <si>
    <t>1712</t>
  </si>
  <si>
    <t>Salem City</t>
  </si>
  <si>
    <t>Salem City, Salem County</t>
  </si>
  <si>
    <t>1917</t>
  </si>
  <si>
    <t>Sandyston Township</t>
  </si>
  <si>
    <t>Sandyston Township, Sussex County</t>
  </si>
  <si>
    <t>1219</t>
  </si>
  <si>
    <t>Sayreville Borough</t>
  </si>
  <si>
    <t>Sayreville Borough, Middlesex County</t>
  </si>
  <si>
    <t>2016</t>
  </si>
  <si>
    <t>Scotch Plains Township</t>
  </si>
  <si>
    <t>Scotch Plains Township, Union County</t>
  </si>
  <si>
    <t>1343</t>
  </si>
  <si>
    <t>Sea Bright Borough</t>
  </si>
  <si>
    <t>Sea Bright Borough, Monmouth County</t>
  </si>
  <si>
    <t>1344</t>
  </si>
  <si>
    <t>Sea Girt Borough</t>
  </si>
  <si>
    <t>Sea Girt Borough, Monmouth County</t>
  </si>
  <si>
    <t>0509</t>
  </si>
  <si>
    <t>Sea Isle City</t>
  </si>
  <si>
    <t>Sea Isle City, Cape May County</t>
  </si>
  <si>
    <t>1526</t>
  </si>
  <si>
    <t>Seaside Heights Borough</t>
  </si>
  <si>
    <t>Seaside Heights Borough, Ocean County</t>
  </si>
  <si>
    <t>1527</t>
  </si>
  <si>
    <t>Seaside Park Borough</t>
  </si>
  <si>
    <t>Seaside Park Borough, Ocean County</t>
  </si>
  <si>
    <t>0909</t>
  </si>
  <si>
    <t>Secaucus Town</t>
  </si>
  <si>
    <t>Secaucus Town, Hudson County</t>
  </si>
  <si>
    <t>0332</t>
  </si>
  <si>
    <t>Shamong Township</t>
  </si>
  <si>
    <t>Shamong Township, Burlington County</t>
  </si>
  <si>
    <t>0611</t>
  </si>
  <si>
    <t>Shiloh Borough</t>
  </si>
  <si>
    <t>Shiloh Borough, Cumberland County</t>
  </si>
  <si>
    <t>1528</t>
  </si>
  <si>
    <t>Ship Bottom Borough</t>
  </si>
  <si>
    <t>Ship Bottom Borough, Ocean County</t>
  </si>
  <si>
    <t>1345</t>
  </si>
  <si>
    <t>Shrewsbury Borough</t>
  </si>
  <si>
    <t>Shrewsbury Borough, Monmouth County</t>
  </si>
  <si>
    <t>1346</t>
  </si>
  <si>
    <t>Shrewsbury Township</t>
  </si>
  <si>
    <t>Shrewsbury Township, Monmouth County</t>
  </si>
  <si>
    <t>0431</t>
  </si>
  <si>
    <t>Somerdale Borough</t>
  </si>
  <si>
    <t>Somerdale Borough, Camden County</t>
  </si>
  <si>
    <t>0121</t>
  </si>
  <si>
    <t>Somers Point City</t>
  </si>
  <si>
    <t>Somers Point City, Atlantic County</t>
  </si>
  <si>
    <t>1818</t>
  </si>
  <si>
    <t>Somerville Borough</t>
  </si>
  <si>
    <t>Somerville Borough, Somerset County</t>
  </si>
  <si>
    <t>1220</t>
  </si>
  <si>
    <t>South Amboy City</t>
  </si>
  <si>
    <t>South Amboy City, Middlesex County</t>
  </si>
  <si>
    <t>1819</t>
  </si>
  <si>
    <t>South Bound Brook Borough</t>
  </si>
  <si>
    <t>South Bound Brook Borough, Somerset County</t>
  </si>
  <si>
    <t>1221</t>
  </si>
  <si>
    <t>South Brunswick Township</t>
  </si>
  <si>
    <t>South Brunswick Township, Middlesex County</t>
  </si>
  <si>
    <t>0259</t>
  </si>
  <si>
    <t>South Hackensack Township</t>
  </si>
  <si>
    <t>South Hackensack Township, Bergen County</t>
  </si>
  <si>
    <t>0816</t>
  </si>
  <si>
    <t>South Harrison Township</t>
  </si>
  <si>
    <t>South Harrison Township, Gloucester County</t>
  </si>
  <si>
    <t>0719</t>
  </si>
  <si>
    <t>South Orange Village</t>
  </si>
  <si>
    <t>South Orange Village, Essex County</t>
  </si>
  <si>
    <t>1222</t>
  </si>
  <si>
    <t>South Plainfield Borough</t>
  </si>
  <si>
    <t>South Plainfield Borough, Middlesex County</t>
  </si>
  <si>
    <t>1223</t>
  </si>
  <si>
    <t>South River Borough</t>
  </si>
  <si>
    <t>South River Borough, Middlesex County</t>
  </si>
  <si>
    <t>1529</t>
  </si>
  <si>
    <t>South Toms River Borough</t>
  </si>
  <si>
    <t>South Toms River Borough, Ocean County</t>
  </si>
  <si>
    <t>0333</t>
  </si>
  <si>
    <t>Southampton Township</t>
  </si>
  <si>
    <t>Southampton Township, Burlington County</t>
  </si>
  <si>
    <t>1918</t>
  </si>
  <si>
    <t>Sparta Township</t>
  </si>
  <si>
    <t>Sparta Township, Sussex County</t>
  </si>
  <si>
    <t>1224</t>
  </si>
  <si>
    <t>Spotswood Borough</t>
  </si>
  <si>
    <t>Spotswood Borough, Middlesex County</t>
  </si>
  <si>
    <t>1348</t>
  </si>
  <si>
    <t>Spring Lake Borough</t>
  </si>
  <si>
    <t>Spring Lake Borough, Monmouth County</t>
  </si>
  <si>
    <t>1349</t>
  </si>
  <si>
    <t>Spring Lake Heights Borough</t>
  </si>
  <si>
    <t>Spring Lake Heights Borough, Monmouth County</t>
  </si>
  <si>
    <t>0334</t>
  </si>
  <si>
    <t>Springfield Township</t>
  </si>
  <si>
    <t>Springfield Township, Burlington County</t>
  </si>
  <si>
    <t>2017</t>
  </si>
  <si>
    <t>Springfield Township, Union County</t>
  </si>
  <si>
    <t>1530</t>
  </si>
  <si>
    <t>Stafford Township</t>
  </si>
  <si>
    <t>Stafford Township, Ocean County</t>
  </si>
  <si>
    <t>1919</t>
  </si>
  <si>
    <t>Stanhope Borough</t>
  </si>
  <si>
    <t>Stanhope Borough, Sussex County</t>
  </si>
  <si>
    <t>1920</t>
  </si>
  <si>
    <t>Stillwater Township</t>
  </si>
  <si>
    <t>Stillwater Township, Sussex County</t>
  </si>
  <si>
    <t>1023</t>
  </si>
  <si>
    <t>Stockton Borough</t>
  </si>
  <si>
    <t>Stockton Borough, Hunterdon County</t>
  </si>
  <si>
    <t>0510</t>
  </si>
  <si>
    <t>Stone Harbor Borough</t>
  </si>
  <si>
    <t>Stone Harbor Borough, Cape May County</t>
  </si>
  <si>
    <t>0612</t>
  </si>
  <si>
    <t>Stow Creek Township</t>
  </si>
  <si>
    <t>Stow Creek Township, Cumberland County</t>
  </si>
  <si>
    <t>0432</t>
  </si>
  <si>
    <t>Stratford Borough</t>
  </si>
  <si>
    <t>Stratford Borough, Camden County</t>
  </si>
  <si>
    <t>2018</t>
  </si>
  <si>
    <t>Summit City</t>
  </si>
  <si>
    <t>Summit City, Union County</t>
  </si>
  <si>
    <t>1531</t>
  </si>
  <si>
    <t>Surf City Borough</t>
  </si>
  <si>
    <t>Surf City Borough, Ocean County</t>
  </si>
  <si>
    <t>1921</t>
  </si>
  <si>
    <t>Sussex Borough</t>
  </si>
  <si>
    <t>Sussex Borough, Sussex County</t>
  </si>
  <si>
    <t>0817</t>
  </si>
  <si>
    <t>Swedesboro Borough</t>
  </si>
  <si>
    <t>Swedesboro Borough, Gloucester County</t>
  </si>
  <si>
    <t>0335</t>
  </si>
  <si>
    <t>Tabernacle Township</t>
  </si>
  <si>
    <t>Tabernacle Township, Burlington County</t>
  </si>
  <si>
    <t>0433</t>
  </si>
  <si>
    <t>Tavistock Borough</t>
  </si>
  <si>
    <t>Tavistock Borough, Camden County</t>
  </si>
  <si>
    <t>0260</t>
  </si>
  <si>
    <t>Teaneck Township</t>
  </si>
  <si>
    <t>Teaneck Township, Bergen County</t>
  </si>
  <si>
    <t>0261</t>
  </si>
  <si>
    <t>Tenafly Borough</t>
  </si>
  <si>
    <t>Tenafly Borough, Bergen County</t>
  </si>
  <si>
    <t>0262</t>
  </si>
  <si>
    <t>Teterboro Borough</t>
  </si>
  <si>
    <t>Teterboro Borough, Bergen County</t>
  </si>
  <si>
    <t>1024</t>
  </si>
  <si>
    <t>Tewksbury Township</t>
  </si>
  <si>
    <t>Tewksbury Township, Hunterdon County</t>
  </si>
  <si>
    <t>1336</t>
  </si>
  <si>
    <t>Tinton Falls Borough</t>
  </si>
  <si>
    <t>Tinton Falls Borough, Monmouth County</t>
  </si>
  <si>
    <t>1507</t>
  </si>
  <si>
    <t>Toms River Township</t>
  </si>
  <si>
    <t>Toms River Township, Ocean County</t>
  </si>
  <si>
    <t>1612</t>
  </si>
  <si>
    <t>Totowa Borough</t>
  </si>
  <si>
    <t>Totowa Borough, Passaic County</t>
  </si>
  <si>
    <t>1111</t>
  </si>
  <si>
    <t>Trenton City</t>
  </si>
  <si>
    <t>Trenton City, Mercer County</t>
  </si>
  <si>
    <t>1532</t>
  </si>
  <si>
    <t>Tuckerton Borough</t>
  </si>
  <si>
    <t>Tuckerton Borough, Ocean County</t>
  </si>
  <si>
    <t>1350</t>
  </si>
  <si>
    <t>Union Beach Borough</t>
  </si>
  <si>
    <t>Union Beach Borough, Monmouth County</t>
  </si>
  <si>
    <t>0910</t>
  </si>
  <si>
    <t>Union City City</t>
  </si>
  <si>
    <t>Union City City, Hudson County</t>
  </si>
  <si>
    <t>1025</t>
  </si>
  <si>
    <t>Union Township</t>
  </si>
  <si>
    <t>Union Township, Hunterdon County</t>
  </si>
  <si>
    <t>2019</t>
  </si>
  <si>
    <t>Union Township, Union County</t>
  </si>
  <si>
    <t>0613</t>
  </si>
  <si>
    <t>Upper Deerfield Township</t>
  </si>
  <si>
    <t>Upper Deerfield Township, Cumberland County</t>
  </si>
  <si>
    <t>1351</t>
  </si>
  <si>
    <t>Upper Freehold Township</t>
  </si>
  <si>
    <t>Upper Freehold Township, Monmouth County</t>
  </si>
  <si>
    <t>1714</t>
  </si>
  <si>
    <t>Upper Pittsgrove Township</t>
  </si>
  <si>
    <t>Upper Pittsgrove Township, Salem County</t>
  </si>
  <si>
    <t>0263</t>
  </si>
  <si>
    <t>Upper Saddle River Borough</t>
  </si>
  <si>
    <t>Upper Saddle River Borough, Bergen County</t>
  </si>
  <si>
    <t>0511</t>
  </si>
  <si>
    <t>Upper Township</t>
  </si>
  <si>
    <t>Upper Township, Cape May County</t>
  </si>
  <si>
    <t>0122</t>
  </si>
  <si>
    <t>Ventnor City</t>
  </si>
  <si>
    <t>Ventnor City, Atlantic County</t>
  </si>
  <si>
    <t>1922</t>
  </si>
  <si>
    <t>Vernon Township</t>
  </si>
  <si>
    <t>Vernon Township, Sussex County</t>
  </si>
  <si>
    <t>0720</t>
  </si>
  <si>
    <t>Verona Township</t>
  </si>
  <si>
    <t>Verona Township, Essex County</t>
  </si>
  <si>
    <t>1437</t>
  </si>
  <si>
    <t>Victory Gardens Borough</t>
  </si>
  <si>
    <t>Victory Gardens Borough, Morris County</t>
  </si>
  <si>
    <t>0614</t>
  </si>
  <si>
    <t>Vineland City</t>
  </si>
  <si>
    <t>Vineland City, Cumberland County</t>
  </si>
  <si>
    <t>0434</t>
  </si>
  <si>
    <t>Voorhees Township</t>
  </si>
  <si>
    <t>Voorhees Township, Camden County</t>
  </si>
  <si>
    <t>0264</t>
  </si>
  <si>
    <t>Waldwick Borough</t>
  </si>
  <si>
    <t>Waldwick Borough, Bergen County</t>
  </si>
  <si>
    <t>1352</t>
  </si>
  <si>
    <t>Wall Township</t>
  </si>
  <si>
    <t>Wall Township, Monmouth County</t>
  </si>
  <si>
    <t>0265</t>
  </si>
  <si>
    <t>Wallington Borough</t>
  </si>
  <si>
    <t>Wallington Borough, Bergen County</t>
  </si>
  <si>
    <t>1923</t>
  </si>
  <si>
    <t>Walpack Township</t>
  </si>
  <si>
    <t>Walpack Township, Sussex County</t>
  </si>
  <si>
    <t>1613</t>
  </si>
  <si>
    <t>Wanaque Borough</t>
  </si>
  <si>
    <t>Wanaque Borough, Passaic County</t>
  </si>
  <si>
    <t>1924</t>
  </si>
  <si>
    <t>Wantage Township</t>
  </si>
  <si>
    <t>Wantage Township, Sussex County</t>
  </si>
  <si>
    <t>1820</t>
  </si>
  <si>
    <t>Warren Township</t>
  </si>
  <si>
    <t>Warren Township, Somerset County</t>
  </si>
  <si>
    <t>2121</t>
  </si>
  <si>
    <t>Washington Borough</t>
  </si>
  <si>
    <t>Washington Borough, Warren County</t>
  </si>
  <si>
    <t>0266</t>
  </si>
  <si>
    <t>Washington Township</t>
  </si>
  <si>
    <t>Washington Township, Bergen County</t>
  </si>
  <si>
    <t>0336</t>
  </si>
  <si>
    <t>Washington Township, Burlington County</t>
  </si>
  <si>
    <t>0818</t>
  </si>
  <si>
    <t>Washington Township, Gloucester County</t>
  </si>
  <si>
    <t>1438</t>
  </si>
  <si>
    <t>Washington Township, Morris County</t>
  </si>
  <si>
    <t>2122</t>
  </si>
  <si>
    <t>Washington Township, Warren County</t>
  </si>
  <si>
    <t>1821</t>
  </si>
  <si>
    <t>Watchung Borough</t>
  </si>
  <si>
    <t>Watchung Borough, Somerset County</t>
  </si>
  <si>
    <t>0435</t>
  </si>
  <si>
    <t>Waterford Township</t>
  </si>
  <si>
    <t>Waterford Township, Camden County</t>
  </si>
  <si>
    <t>1614</t>
  </si>
  <si>
    <t>Wayne Township</t>
  </si>
  <si>
    <t>Wayne Township, Passaic County</t>
  </si>
  <si>
    <t>0911</t>
  </si>
  <si>
    <t>Weehawken Township</t>
  </si>
  <si>
    <t>Weehawken Township, Hudson County</t>
  </si>
  <si>
    <t>0819</t>
  </si>
  <si>
    <t>Wenonah Borough</t>
  </si>
  <si>
    <t>Wenonah Borough, Gloucester County</t>
  </si>
  <si>
    <t>1026</t>
  </si>
  <si>
    <t>West Amwell Township</t>
  </si>
  <si>
    <t>West Amwell Township, Hunterdon County</t>
  </si>
  <si>
    <t>0721</t>
  </si>
  <si>
    <t>West Caldwell Township</t>
  </si>
  <si>
    <t>West Caldwell Township, Essex County</t>
  </si>
  <si>
    <t>West Cape May Borough</t>
  </si>
  <si>
    <t>West Cape May Borough, Cape May County</t>
  </si>
  <si>
    <t>0820</t>
  </si>
  <si>
    <t>West Deptford Township</t>
  </si>
  <si>
    <t>West Deptford Township, Gloucester County</t>
  </si>
  <si>
    <t>1353</t>
  </si>
  <si>
    <t>West Long Branch Borough</t>
  </si>
  <si>
    <t>West Long Branch Borough, Monmouth County</t>
  </si>
  <si>
    <t>1615</t>
  </si>
  <si>
    <t>West Milford Township</t>
  </si>
  <si>
    <t>West Milford Township, Passaic County</t>
  </si>
  <si>
    <t>0912</t>
  </si>
  <si>
    <t>West New York Town</t>
  </si>
  <si>
    <t>West New York Town, Hudson County</t>
  </si>
  <si>
    <t>0722</t>
  </si>
  <si>
    <t>West Orange Township</t>
  </si>
  <si>
    <t>West Orange Township, Essex County</t>
  </si>
  <si>
    <t>0513</t>
  </si>
  <si>
    <t>West Wildwood Borough</t>
  </si>
  <si>
    <t>West Wildwood Borough, Cape May County</t>
  </si>
  <si>
    <t>1113</t>
  </si>
  <si>
    <t>West Windsor Township</t>
  </si>
  <si>
    <t>West Windsor Township, Mercer County</t>
  </si>
  <si>
    <t>0337</t>
  </si>
  <si>
    <t>Westampton Township</t>
  </si>
  <si>
    <t>Westampton Township, Burlington County</t>
  </si>
  <si>
    <t>2020</t>
  </si>
  <si>
    <t>Westfield Town</t>
  </si>
  <si>
    <t>Westfield Town, Union County</t>
  </si>
  <si>
    <t>0821</t>
  </si>
  <si>
    <t>Westville Borough</t>
  </si>
  <si>
    <t>Westville Borough, Gloucester County</t>
  </si>
  <si>
    <t>0267</t>
  </si>
  <si>
    <t>Westwood Borough</t>
  </si>
  <si>
    <t>Westwood Borough, Bergen County</t>
  </si>
  <si>
    <t>0123</t>
  </si>
  <si>
    <t>Weymouth Township</t>
  </si>
  <si>
    <t>Weymouth Township, Atlantic County</t>
  </si>
  <si>
    <t>1439</t>
  </si>
  <si>
    <t>Wharton Borough</t>
  </si>
  <si>
    <t>Wharton Borough, Morris County</t>
  </si>
  <si>
    <t>2123</t>
  </si>
  <si>
    <t>White Township</t>
  </si>
  <si>
    <t>White Township, Warren County</t>
  </si>
  <si>
    <t>0514</t>
  </si>
  <si>
    <t>Wildwood City</t>
  </si>
  <si>
    <t>Wildwood City, Cape May County</t>
  </si>
  <si>
    <t>0515</t>
  </si>
  <si>
    <t>Wildwood Crest Borough</t>
  </si>
  <si>
    <t>Wildwood Crest Borough, Cape May County</t>
  </si>
  <si>
    <t>0338</t>
  </si>
  <si>
    <t>Willingboro Township</t>
  </si>
  <si>
    <t>Willingboro Township, Burlington County</t>
  </si>
  <si>
    <t>2021</t>
  </si>
  <si>
    <t>Winfield Township</t>
  </si>
  <si>
    <t>Winfield Township, Union County</t>
  </si>
  <si>
    <t>0436</t>
  </si>
  <si>
    <t>Winslow Township</t>
  </si>
  <si>
    <t>Winslow Township, Camden County</t>
  </si>
  <si>
    <t>0516</t>
  </si>
  <si>
    <t>Woodbine Borough</t>
  </si>
  <si>
    <t>Woodbine Borough, Cape May County</t>
  </si>
  <si>
    <t>1225</t>
  </si>
  <si>
    <t>Woodbridge Township</t>
  </si>
  <si>
    <t>Woodbridge Township, Middlesex County</t>
  </si>
  <si>
    <t>0822</t>
  </si>
  <si>
    <t>Woodbury City</t>
  </si>
  <si>
    <t>Woodbury City, Gloucester County</t>
  </si>
  <si>
    <t>0823</t>
  </si>
  <si>
    <t>Woodbury Heights Borough</t>
  </si>
  <si>
    <t>Woodbury Heights Borough, Gloucester County</t>
  </si>
  <si>
    <t>0268</t>
  </si>
  <si>
    <t>Woodcliff Lake Borough</t>
  </si>
  <si>
    <t>Woodcliff Lake Borough, Bergen County</t>
  </si>
  <si>
    <t>1616</t>
  </si>
  <si>
    <t>Woodland Park Borough</t>
  </si>
  <si>
    <t>Woodland Park Borough, Passaic County</t>
  </si>
  <si>
    <t>0339</t>
  </si>
  <si>
    <t>Woodland Township</t>
  </si>
  <si>
    <t>Woodland Township, Burlington County</t>
  </si>
  <si>
    <t>0437</t>
  </si>
  <si>
    <t>Woodlynne Borough</t>
  </si>
  <si>
    <t>Woodlynne Borough, Camden County</t>
  </si>
  <si>
    <t>0269</t>
  </si>
  <si>
    <t>Wood-Ridge Borough</t>
  </si>
  <si>
    <t>Wood-Ridge Borough, Bergen County</t>
  </si>
  <si>
    <t>1715</t>
  </si>
  <si>
    <t>Woodstown Borough</t>
  </si>
  <si>
    <t>Woodstown Borough, Salem County</t>
  </si>
  <si>
    <t>0824</t>
  </si>
  <si>
    <t>Woolwich Township</t>
  </si>
  <si>
    <t>Woolwich Township, Gloucester County</t>
  </si>
  <si>
    <t>0340</t>
  </si>
  <si>
    <t>Wrightstown Borough</t>
  </si>
  <si>
    <t>Wrightstown Borough, Burlington County</t>
  </si>
  <si>
    <t>0270</t>
  </si>
  <si>
    <t>Wyckoff Township</t>
  </si>
  <si>
    <t>Wyckoff Township, Bergen County</t>
  </si>
  <si>
    <t>Town Name</t>
  </si>
  <si>
    <t>Town</t>
  </si>
  <si>
    <t>Type of Government</t>
  </si>
  <si>
    <t>Muniname</t>
  </si>
  <si>
    <t>Allendale</t>
  </si>
  <si>
    <t>Allenhurst</t>
  </si>
  <si>
    <t>Allentown</t>
  </si>
  <si>
    <t>Alpha</t>
  </si>
  <si>
    <t>Alpine</t>
  </si>
  <si>
    <t>Andover</t>
  </si>
  <si>
    <t>Atlantic Highlands</t>
  </si>
  <si>
    <t>Audubon</t>
  </si>
  <si>
    <t>Audubon Park</t>
  </si>
  <si>
    <t>Avalon</t>
  </si>
  <si>
    <t>Avon-by-the-Sea</t>
  </si>
  <si>
    <t>Barnegat Light</t>
  </si>
  <si>
    <t>Barrington</t>
  </si>
  <si>
    <t>Bay Head</t>
  </si>
  <si>
    <t>Beach Haven</t>
  </si>
  <si>
    <t>Beachwood</t>
  </si>
  <si>
    <t>Bellmawr</t>
  </si>
  <si>
    <t>Belmar</t>
  </si>
  <si>
    <t>Bergenfield</t>
  </si>
  <si>
    <t>Berlin</t>
  </si>
  <si>
    <t>Bernardsville</t>
  </si>
  <si>
    <t>Bloomingdale</t>
  </si>
  <si>
    <t>Bloomsbury</t>
  </si>
  <si>
    <t>Bogota</t>
  </si>
  <si>
    <t>Bound Brook</t>
  </si>
  <si>
    <t>Bradley Beach</t>
  </si>
  <si>
    <t>Branchville</t>
  </si>
  <si>
    <t>Brielle</t>
  </si>
  <si>
    <t>Brooklawn</t>
  </si>
  <si>
    <t>Buena</t>
  </si>
  <si>
    <t>Butler</t>
  </si>
  <si>
    <t>Califon</t>
  </si>
  <si>
    <t>Cape May Point</t>
  </si>
  <si>
    <t>Carlstadt</t>
  </si>
  <si>
    <t>Carteret</t>
  </si>
  <si>
    <t>Chatham</t>
  </si>
  <si>
    <t>Chesilhurst</t>
  </si>
  <si>
    <t>Chester</t>
  </si>
  <si>
    <t>Clayton</t>
  </si>
  <si>
    <t>Clementon</t>
  </si>
  <si>
    <t>Cliffside Park</t>
  </si>
  <si>
    <t>Closter</t>
  </si>
  <si>
    <t>Collingswood</t>
  </si>
  <si>
    <t>Cresskill</t>
  </si>
  <si>
    <t>Deal</t>
  </si>
  <si>
    <t>Demarest</t>
  </si>
  <si>
    <t>Dumont</t>
  </si>
  <si>
    <t>Dunellen</t>
  </si>
  <si>
    <t>East Newark</t>
  </si>
  <si>
    <t>East Rutherford</t>
  </si>
  <si>
    <t>Eatontown</t>
  </si>
  <si>
    <t>Edgewater</t>
  </si>
  <si>
    <t>Elmer</t>
  </si>
  <si>
    <t>Elmwood Park</t>
  </si>
  <si>
    <t>Emerson</t>
  </si>
  <si>
    <t>Englewood Cliffs</t>
  </si>
  <si>
    <t>Englishtown</t>
  </si>
  <si>
    <t>Fair Haven</t>
  </si>
  <si>
    <t>Fair Lawn</t>
  </si>
  <si>
    <t>Fairview</t>
  </si>
  <si>
    <t>Fanwood</t>
  </si>
  <si>
    <t>Far Hills</t>
  </si>
  <si>
    <t>Farmingdale</t>
  </si>
  <si>
    <t>Fieldsboro</t>
  </si>
  <si>
    <t>Flemington</t>
  </si>
  <si>
    <t>Florham Park</t>
  </si>
  <si>
    <t>Folsom</t>
  </si>
  <si>
    <t>Fort Lee</t>
  </si>
  <si>
    <t>Franklin</t>
  </si>
  <si>
    <t>Franklin Lakes</t>
  </si>
  <si>
    <t>Freehold</t>
  </si>
  <si>
    <t>Frenchtown</t>
  </si>
  <si>
    <t>Garwood</t>
  </si>
  <si>
    <t>Gibbsboro</t>
  </si>
  <si>
    <t>Glassboro</t>
  </si>
  <si>
    <t>Glen Gardner</t>
  </si>
  <si>
    <t>Glen Ridge</t>
  </si>
  <si>
    <t>Glen Rock</t>
  </si>
  <si>
    <t>Haddon Heights</t>
  </si>
  <si>
    <t>Haddonfield</t>
  </si>
  <si>
    <t>Haledon</t>
  </si>
  <si>
    <t>Hamburg</t>
  </si>
  <si>
    <t>Hampton</t>
  </si>
  <si>
    <t>Harrington Park</t>
  </si>
  <si>
    <t>Harvey Cedars</t>
  </si>
  <si>
    <t>Hasbrouck Heights</t>
  </si>
  <si>
    <t>Haworth</t>
  </si>
  <si>
    <t>Hawthorne</t>
  </si>
  <si>
    <t>Helmetta</t>
  </si>
  <si>
    <t>High Bridge</t>
  </si>
  <si>
    <t>Highland Park</t>
  </si>
  <si>
    <t>Highlands</t>
  </si>
  <si>
    <t>Hightstown</t>
  </si>
  <si>
    <t>Hillsdale</t>
  </si>
  <si>
    <t>Hi-nella</t>
  </si>
  <si>
    <t>Ho-Ho-Kus</t>
  </si>
  <si>
    <t>Hopatcong</t>
  </si>
  <si>
    <t>Hopewell</t>
  </si>
  <si>
    <t>Interlaken</t>
  </si>
  <si>
    <t>Island Heights</t>
  </si>
  <si>
    <t>Jamesburg</t>
  </si>
  <si>
    <t>Keansburg</t>
  </si>
  <si>
    <t>Kenilworth</t>
  </si>
  <si>
    <t>Keyport</t>
  </si>
  <si>
    <t>Kinnelon</t>
  </si>
  <si>
    <t>Lakehurst</t>
  </si>
  <si>
    <t>Laurel Springs</t>
  </si>
  <si>
    <t>Lavallette</t>
  </si>
  <si>
    <t>Lawnside</t>
  </si>
  <si>
    <t>Lebanon</t>
  </si>
  <si>
    <t>Leonia</t>
  </si>
  <si>
    <t>Lincoln Park</t>
  </si>
  <si>
    <t>Lindenwold</t>
  </si>
  <si>
    <t>Little Ferry</t>
  </si>
  <si>
    <t>Little Silver</t>
  </si>
  <si>
    <t>Lodi</t>
  </si>
  <si>
    <t>Longport</t>
  </si>
  <si>
    <t>Madison</t>
  </si>
  <si>
    <t>Magnolia</t>
  </si>
  <si>
    <t>Manasquan</t>
  </si>
  <si>
    <t>Mantoloking</t>
  </si>
  <si>
    <t>Manville</t>
  </si>
  <si>
    <t>Matawan</t>
  </si>
  <si>
    <t>Maywood</t>
  </si>
  <si>
    <t>Medford Lakes</t>
  </si>
  <si>
    <t>Mendham</t>
  </si>
  <si>
    <t>Merchantville</t>
  </si>
  <si>
    <t>Metuchen</t>
  </si>
  <si>
    <t>Midland Park</t>
  </si>
  <si>
    <t>Milford</t>
  </si>
  <si>
    <t>Millstone</t>
  </si>
  <si>
    <t>Milltown</t>
  </si>
  <si>
    <t>Monmouth Beach</t>
  </si>
  <si>
    <t>Montvale</t>
  </si>
  <si>
    <t>Moonachie</t>
  </si>
  <si>
    <t>Morris Plains</t>
  </si>
  <si>
    <t>Mount Arlington</t>
  </si>
  <si>
    <t>Mount Ephraim</t>
  </si>
  <si>
    <t>Mountain Lakes</t>
  </si>
  <si>
    <t>Mountainside</t>
  </si>
  <si>
    <t>National Park</t>
  </si>
  <si>
    <t>Neptune City</t>
  </si>
  <si>
    <t>Netcong</t>
  </si>
  <si>
    <t>New Milford</t>
  </si>
  <si>
    <t>New Providence</t>
  </si>
  <si>
    <t>Newfield</t>
  </si>
  <si>
    <t>North Arlington</t>
  </si>
  <si>
    <t>North Caldwell</t>
  </si>
  <si>
    <t>North Haledon</t>
  </si>
  <si>
    <t>North Plainfield</t>
  </si>
  <si>
    <t>Northvale</t>
  </si>
  <si>
    <t>Norwood</t>
  </si>
  <si>
    <t>Oakland</t>
  </si>
  <si>
    <t>Oaklyn</t>
  </si>
  <si>
    <t>Ocean Gate</t>
  </si>
  <si>
    <t>Oceanport</t>
  </si>
  <si>
    <t>Ogdensburg</t>
  </si>
  <si>
    <t>Old Tappan</t>
  </si>
  <si>
    <t>Oradell</t>
  </si>
  <si>
    <t>Palisades Park</t>
  </si>
  <si>
    <t>Palmyra</t>
  </si>
  <si>
    <t>Paramus</t>
  </si>
  <si>
    <t>Park Ridge</t>
  </si>
  <si>
    <t>Paulsboro</t>
  </si>
  <si>
    <t>Peapack-Gladstone</t>
  </si>
  <si>
    <t>Pemberton</t>
  </si>
  <si>
    <t>Pennington</t>
  </si>
  <si>
    <t>Penns Grove</t>
  </si>
  <si>
    <t>Pine Beach</t>
  </si>
  <si>
    <t>Pine Hill</t>
  </si>
  <si>
    <t>Pine Valley</t>
  </si>
  <si>
    <t>Pitman</t>
  </si>
  <si>
    <t>Point Pleasant Beach</t>
  </si>
  <si>
    <t>Point Pleasant</t>
  </si>
  <si>
    <t>Pompton Lakes</t>
  </si>
  <si>
    <t>Prospect Park</t>
  </si>
  <si>
    <t>Ramsey</t>
  </si>
  <si>
    <t>Raritan</t>
  </si>
  <si>
    <t>Red Bank</t>
  </si>
  <si>
    <t>Ridgefield</t>
  </si>
  <si>
    <t>Ringwood</t>
  </si>
  <si>
    <t>River Edge</t>
  </si>
  <si>
    <t>Riverdale</t>
  </si>
  <si>
    <t>Riverton</t>
  </si>
  <si>
    <t>Rockaway</t>
  </si>
  <si>
    <t>Rockleigh</t>
  </si>
  <si>
    <t>Rocky Hill</t>
  </si>
  <si>
    <t>Roosevelt</t>
  </si>
  <si>
    <t>Roseland</t>
  </si>
  <si>
    <t>Roselle</t>
  </si>
  <si>
    <t>Roselle Park</t>
  </si>
  <si>
    <t>Rumson</t>
  </si>
  <si>
    <t>Runnemede</t>
  </si>
  <si>
    <t>Rutherford</t>
  </si>
  <si>
    <t>Saddle River</t>
  </si>
  <si>
    <t>Sayreville</t>
  </si>
  <si>
    <t>Sea Bright</t>
  </si>
  <si>
    <t>Sea Girt</t>
  </si>
  <si>
    <t>Seaside Heights</t>
  </si>
  <si>
    <t>Seaside Park</t>
  </si>
  <si>
    <t>Shiloh</t>
  </si>
  <si>
    <t>Ship Bottom</t>
  </si>
  <si>
    <t>Shrewsbury</t>
  </si>
  <si>
    <t>Somerdale</t>
  </si>
  <si>
    <t>Somerville</t>
  </si>
  <si>
    <t>South Bound Brook</t>
  </si>
  <si>
    <t>South Plainfield</t>
  </si>
  <si>
    <t>South River</t>
  </si>
  <si>
    <t>South Toms River</t>
  </si>
  <si>
    <t>Spotswood</t>
  </si>
  <si>
    <t>Spring Lake</t>
  </si>
  <si>
    <t>Spring Lake Heights</t>
  </si>
  <si>
    <t>Stanhope</t>
  </si>
  <si>
    <t>Stockton</t>
  </si>
  <si>
    <t>Stone Harbor</t>
  </si>
  <si>
    <t>Stratford</t>
  </si>
  <si>
    <t>Surf City</t>
  </si>
  <si>
    <t>Swedesboro</t>
  </si>
  <si>
    <t>Tavistock</t>
  </si>
  <si>
    <t>Tenafly</t>
  </si>
  <si>
    <t>Teterboro</t>
  </si>
  <si>
    <t>Tinton Falls</t>
  </si>
  <si>
    <t>Totowa</t>
  </si>
  <si>
    <t>Tuckerton</t>
  </si>
  <si>
    <t>Union Beach</t>
  </si>
  <si>
    <t>Upper Saddle River</t>
  </si>
  <si>
    <t>Victory Gardens</t>
  </si>
  <si>
    <t>Waldwick</t>
  </si>
  <si>
    <t>Wallington</t>
  </si>
  <si>
    <t>Wanaque</t>
  </si>
  <si>
    <t>Washington</t>
  </si>
  <si>
    <t>Watchung</t>
  </si>
  <si>
    <t>Wenonah</t>
  </si>
  <si>
    <t>West Cape May</t>
  </si>
  <si>
    <t>West Long Branch</t>
  </si>
  <si>
    <t>West Wildwood</t>
  </si>
  <si>
    <t>Westville</t>
  </si>
  <si>
    <t>Westwood</t>
  </si>
  <si>
    <t>Wharton</t>
  </si>
  <si>
    <t>Wildwood Crest</t>
  </si>
  <si>
    <t>Woodbine</t>
  </si>
  <si>
    <t>Woodbury Heights</t>
  </si>
  <si>
    <t>Woodcliff Lake</t>
  </si>
  <si>
    <t>Woodland Park</t>
  </si>
  <si>
    <t>Woodlynne</t>
  </si>
  <si>
    <t>Wood-Ridge</t>
  </si>
  <si>
    <t>Woodstown</t>
  </si>
  <si>
    <t>Wrightstown</t>
  </si>
  <si>
    <t>Aberdeen</t>
  </si>
  <si>
    <t>Alloway</t>
  </si>
  <si>
    <t>Barnegat</t>
  </si>
  <si>
    <t>Bass River</t>
  </si>
  <si>
    <t>Bedminster</t>
  </si>
  <si>
    <t>Belleville</t>
  </si>
  <si>
    <t>Berkeley Heights</t>
  </si>
  <si>
    <t>Berkeley</t>
  </si>
  <si>
    <t>Bernards</t>
  </si>
  <si>
    <t>Bethlehem</t>
  </si>
  <si>
    <t>Blairstown</t>
  </si>
  <si>
    <t>Bloomfield</t>
  </si>
  <si>
    <t>Boonton</t>
  </si>
  <si>
    <t>Bordentown</t>
  </si>
  <si>
    <t>Branchburg</t>
  </si>
  <si>
    <t>Brick</t>
  </si>
  <si>
    <t>Bridgewater</t>
  </si>
  <si>
    <t>Buena Vista</t>
  </si>
  <si>
    <t>Byram</t>
  </si>
  <si>
    <t>Caldwell</t>
  </si>
  <si>
    <t>Carneys Point</t>
  </si>
  <si>
    <t>Cedar Grove</t>
  </si>
  <si>
    <t>Cherry Hill</t>
  </si>
  <si>
    <t>Chesterfield</t>
  </si>
  <si>
    <t>Cinnaminson</t>
  </si>
  <si>
    <t>Clark</t>
  </si>
  <si>
    <t>Clinton</t>
  </si>
  <si>
    <t>Colts Neck</t>
  </si>
  <si>
    <t>Commercial</t>
  </si>
  <si>
    <t>Cranbury</t>
  </si>
  <si>
    <t>Cranford</t>
  </si>
  <si>
    <t>Deerfield</t>
  </si>
  <si>
    <t>Delanco</t>
  </si>
  <si>
    <t>Delaware</t>
  </si>
  <si>
    <t>Delran</t>
  </si>
  <si>
    <t>Dennis</t>
  </si>
  <si>
    <t>Denville</t>
  </si>
  <si>
    <t>Deptford</t>
  </si>
  <si>
    <t>Downe</t>
  </si>
  <si>
    <t>Eagleswood</t>
  </si>
  <si>
    <t>East Amwell</t>
  </si>
  <si>
    <t>East Brunswick</t>
  </si>
  <si>
    <t>East Greenwich</t>
  </si>
  <si>
    <t>East Hanover</t>
  </si>
  <si>
    <t>East Windsor</t>
  </si>
  <si>
    <t>Eastampton</t>
  </si>
  <si>
    <t>Edgewater Park</t>
  </si>
  <si>
    <t>Edison</t>
  </si>
  <si>
    <t>Egg Harbor</t>
  </si>
  <si>
    <t>Elk</t>
  </si>
  <si>
    <t>Elsinboro</t>
  </si>
  <si>
    <t>Essex Fells</t>
  </si>
  <si>
    <t>Evesham</t>
  </si>
  <si>
    <t>Ewing</t>
  </si>
  <si>
    <t>Fairfield</t>
  </si>
  <si>
    <t>Florence</t>
  </si>
  <si>
    <t>Frankford</t>
  </si>
  <si>
    <t>Fredon</t>
  </si>
  <si>
    <t>Frelinghuysen</t>
  </si>
  <si>
    <t>Galloway</t>
  </si>
  <si>
    <t>Green Brook</t>
  </si>
  <si>
    <t>Green</t>
  </si>
  <si>
    <t>Greenwich</t>
  </si>
  <si>
    <t>Haddon</t>
  </si>
  <si>
    <t>Hainesport</t>
  </si>
  <si>
    <t>Hamilton</t>
  </si>
  <si>
    <t>Hammonton</t>
  </si>
  <si>
    <t>Hanover</t>
  </si>
  <si>
    <t>Harding</t>
  </si>
  <si>
    <t>Hardwick</t>
  </si>
  <si>
    <t>Hardyston</t>
  </si>
  <si>
    <t>Harmony</t>
  </si>
  <si>
    <t>Harrison</t>
  </si>
  <si>
    <t>Hazlet</t>
  </si>
  <si>
    <t>Hillsborough</t>
  </si>
  <si>
    <t>Hillside</t>
  </si>
  <si>
    <t>Holland</t>
  </si>
  <si>
    <t>Holmdel</t>
  </si>
  <si>
    <t>Hope</t>
  </si>
  <si>
    <t>Howell</t>
  </si>
  <si>
    <t>Independence</t>
  </si>
  <si>
    <t>Irvington</t>
  </si>
  <si>
    <t>Jackson</t>
  </si>
  <si>
    <t>Jefferson</t>
  </si>
  <si>
    <t>Kingwood</t>
  </si>
  <si>
    <t>Knowlton</t>
  </si>
  <si>
    <t>Lacey</t>
  </si>
  <si>
    <t>Lafayette</t>
  </si>
  <si>
    <t>Lakewood</t>
  </si>
  <si>
    <t>Lawrence</t>
  </si>
  <si>
    <t>Liberty</t>
  </si>
  <si>
    <t>Little Egg Harbor</t>
  </si>
  <si>
    <t>Little Falls</t>
  </si>
  <si>
    <t>Livingston</t>
  </si>
  <si>
    <t>Logan</t>
  </si>
  <si>
    <t>Long Beach</t>
  </si>
  <si>
    <t>Long Hill</t>
  </si>
  <si>
    <t>Lopatcong</t>
  </si>
  <si>
    <t>Lower Alloways Creek</t>
  </si>
  <si>
    <t>Lower</t>
  </si>
  <si>
    <t>Lumberton</t>
  </si>
  <si>
    <t>Lyndhurst</t>
  </si>
  <si>
    <t>Mahwah</t>
  </si>
  <si>
    <t>Manalapan</t>
  </si>
  <si>
    <t>Manchester</t>
  </si>
  <si>
    <t>Mannington</t>
  </si>
  <si>
    <t>Mansfield</t>
  </si>
  <si>
    <t>Mantua</t>
  </si>
  <si>
    <t>Maple Shade</t>
  </si>
  <si>
    <t>Maplewood</t>
  </si>
  <si>
    <t>Marlboro</t>
  </si>
  <si>
    <t>Maurice River</t>
  </si>
  <si>
    <t>Medford</t>
  </si>
  <si>
    <t>Middle</t>
  </si>
  <si>
    <t>Middletown</t>
  </si>
  <si>
    <t>Millburn</t>
  </si>
  <si>
    <t>Mine Hill</t>
  </si>
  <si>
    <t>Monroe</t>
  </si>
  <si>
    <t>Montague</t>
  </si>
  <si>
    <t>Montclair</t>
  </si>
  <si>
    <t>Montgomery</t>
  </si>
  <si>
    <t>Montville</t>
  </si>
  <si>
    <t>Moorestown</t>
  </si>
  <si>
    <t>Mount Holly</t>
  </si>
  <si>
    <t>Mount Laurel</t>
  </si>
  <si>
    <t>Mount Olive</t>
  </si>
  <si>
    <t>Mullica</t>
  </si>
  <si>
    <t>Neptune</t>
  </si>
  <si>
    <t>New Hanover</t>
  </si>
  <si>
    <t>North Bergen</t>
  </si>
  <si>
    <t>North Brunswick</t>
  </si>
  <si>
    <t>North Hanover</t>
  </si>
  <si>
    <t>Nutley</t>
  </si>
  <si>
    <t>Old Bridge</t>
  </si>
  <si>
    <t>Oldmans</t>
  </si>
  <si>
    <t>Oxford</t>
  </si>
  <si>
    <t>Parsippany-Troy Hills</t>
  </si>
  <si>
    <t>Pennsauken</t>
  </si>
  <si>
    <t>Pennsville</t>
  </si>
  <si>
    <t>Pequannock</t>
  </si>
  <si>
    <t>Pilesgrove</t>
  </si>
  <si>
    <t>Piscataway</t>
  </si>
  <si>
    <t>Pittsgrove</t>
  </si>
  <si>
    <t>Plainsboro</t>
  </si>
  <si>
    <t>Plumsted</t>
  </si>
  <si>
    <t>Pohatcong</t>
  </si>
  <si>
    <t>Quinton</t>
  </si>
  <si>
    <t>Randolph</t>
  </si>
  <si>
    <t>Readington</t>
  </si>
  <si>
    <t>River Vale</t>
  </si>
  <si>
    <t>Riverside</t>
  </si>
  <si>
    <t>Robbinsville</t>
  </si>
  <si>
    <t>Rochelle Park</t>
  </si>
  <si>
    <t>Roxbury</t>
  </si>
  <si>
    <t>Saddle Brook</t>
  </si>
  <si>
    <t>Sandyston</t>
  </si>
  <si>
    <t>Scotch Plains</t>
  </si>
  <si>
    <t>Shamong</t>
  </si>
  <si>
    <t>South Brunswick</t>
  </si>
  <si>
    <t>South Hackensack</t>
  </si>
  <si>
    <t>South Harrison</t>
  </si>
  <si>
    <t>Southampton</t>
  </si>
  <si>
    <t>Sparta</t>
  </si>
  <si>
    <t>Springfield</t>
  </si>
  <si>
    <t>Stafford</t>
  </si>
  <si>
    <t>Stillwater</t>
  </si>
  <si>
    <t>Stow Creek</t>
  </si>
  <si>
    <t>Tabernacle</t>
  </si>
  <si>
    <t>Teaneck</t>
  </si>
  <si>
    <t>Tewksbury</t>
  </si>
  <si>
    <t>Toms River</t>
  </si>
  <si>
    <t>Upper Deerfield</t>
  </si>
  <si>
    <t>Upper Freehold</t>
  </si>
  <si>
    <t>Upper Pittsgrove</t>
  </si>
  <si>
    <t>Upper</t>
  </si>
  <si>
    <t>Vernon</t>
  </si>
  <si>
    <t>Verona</t>
  </si>
  <si>
    <t>Voorhees</t>
  </si>
  <si>
    <t>Wall</t>
  </si>
  <si>
    <t>Walpack</t>
  </si>
  <si>
    <t>Wantage</t>
  </si>
  <si>
    <t>Waterford</t>
  </si>
  <si>
    <t>Wayne</t>
  </si>
  <si>
    <t>Weehawken</t>
  </si>
  <si>
    <t>West Amwell</t>
  </si>
  <si>
    <t>West Caldwell</t>
  </si>
  <si>
    <t>West Deptford</t>
  </si>
  <si>
    <t>West Milford</t>
  </si>
  <si>
    <t>West Orange</t>
  </si>
  <si>
    <t>West Windsor</t>
  </si>
  <si>
    <t>Westampton</t>
  </si>
  <si>
    <t>Weymouth</t>
  </si>
  <si>
    <t>White</t>
  </si>
  <si>
    <t>Willingboro</t>
  </si>
  <si>
    <t>Winfield</t>
  </si>
  <si>
    <t>Winslow</t>
  </si>
  <si>
    <t>Woodbridge</t>
  </si>
  <si>
    <t>Woodland</t>
  </si>
  <si>
    <t>Woolwich</t>
  </si>
  <si>
    <t>Wyckoff</t>
  </si>
  <si>
    <t>Absecon</t>
  </si>
  <si>
    <t>Asbury Park</t>
  </si>
  <si>
    <t>Bayonne</t>
  </si>
  <si>
    <t>Beverly</t>
  </si>
  <si>
    <t>Bridgeton</t>
  </si>
  <si>
    <t>Brigantine</t>
  </si>
  <si>
    <t>Clifton</t>
  </si>
  <si>
    <t>East Orange</t>
  </si>
  <si>
    <t>Elizabeth</t>
  </si>
  <si>
    <t>Englewood</t>
  </si>
  <si>
    <t>Estell Manor</t>
  </si>
  <si>
    <t>Garfield</t>
  </si>
  <si>
    <t>Hackensack</t>
  </si>
  <si>
    <t>Hoboken</t>
  </si>
  <si>
    <t>Lambertville</t>
  </si>
  <si>
    <t>Linden</t>
  </si>
  <si>
    <t>Linwood</t>
  </si>
  <si>
    <t>Long Branch</t>
  </si>
  <si>
    <t>Millville</t>
  </si>
  <si>
    <t>New Brunswick</t>
  </si>
  <si>
    <t>Newark</t>
  </si>
  <si>
    <t>North Wildwood</t>
  </si>
  <si>
    <t>Northfield</t>
  </si>
  <si>
    <t>Orange</t>
  </si>
  <si>
    <t>Paterson</t>
  </si>
  <si>
    <t>Perth Amboy</t>
  </si>
  <si>
    <t>Plainfield</t>
  </si>
  <si>
    <t>Pleasantville</t>
  </si>
  <si>
    <t>Port Republic</t>
  </si>
  <si>
    <t>Rahway</t>
  </si>
  <si>
    <t>Somers Point</t>
  </si>
  <si>
    <t>South Amboy</t>
  </si>
  <si>
    <t>Summit</t>
  </si>
  <si>
    <t>Surf</t>
  </si>
  <si>
    <t>Trenton</t>
  </si>
  <si>
    <t>Vineland</t>
  </si>
  <si>
    <t>Wildwood</t>
  </si>
  <si>
    <t>Woodbury</t>
  </si>
  <si>
    <t>City of Orange</t>
  </si>
  <si>
    <t>Belvidere</t>
  </si>
  <si>
    <t>Dover</t>
  </si>
  <si>
    <t>Guttenberg</t>
  </si>
  <si>
    <t>Hackettstown</t>
  </si>
  <si>
    <t>Kearny</t>
  </si>
  <si>
    <t>Morristown</t>
  </si>
  <si>
    <t>Newton</t>
  </si>
  <si>
    <t>Phillipsburg</t>
  </si>
  <si>
    <t>Secaucus</t>
  </si>
  <si>
    <t>West New York</t>
  </si>
  <si>
    <t>Westfield</t>
  </si>
  <si>
    <t>Atlantic City</t>
  </si>
  <si>
    <t>Gloucester City</t>
  </si>
  <si>
    <t>Jersey City</t>
  </si>
  <si>
    <t>Ocean City</t>
  </si>
  <si>
    <t>Union City</t>
  </si>
  <si>
    <t>Township</t>
  </si>
  <si>
    <t>Borough</t>
  </si>
  <si>
    <t>City</t>
  </si>
  <si>
    <t>Village</t>
  </si>
  <si>
    <t>Loch Arbour</t>
  </si>
  <si>
    <t>Ridgefield Park</t>
  </si>
  <si>
    <t>Ridgewood</t>
  </si>
  <si>
    <t>1001</t>
  </si>
  <si>
    <t>2101</t>
  </si>
  <si>
    <t>Alexandria Township</t>
  </si>
  <si>
    <t>Allamuchy Township</t>
  </si>
  <si>
    <t>Alexandria</t>
  </si>
  <si>
    <t>Allamuchy</t>
  </si>
  <si>
    <t>Muncode</t>
  </si>
  <si>
    <t>Lake Como</t>
  </si>
  <si>
    <t>Lake Como Borough</t>
  </si>
  <si>
    <t>Lake Como Borough, Monmouth County</t>
  </si>
  <si>
    <t>Mayor-6 Council Members</t>
  </si>
  <si>
    <t>Mayor-7 Council Members</t>
  </si>
  <si>
    <t>3 Committee Members</t>
  </si>
  <si>
    <t>Mayor-4 Council Members</t>
  </si>
  <si>
    <t>3 Commissioners</t>
  </si>
  <si>
    <t>5 Committee Members</t>
  </si>
  <si>
    <t>5 Council Members</t>
  </si>
  <si>
    <t>Mayor-9 Council Members</t>
  </si>
  <si>
    <t>Mayor-5 Council Members</t>
  </si>
  <si>
    <t>7 Council Members</t>
  </si>
  <si>
    <t>Mayor-8 Alder Persons</t>
  </si>
  <si>
    <t>Mayor-3 Council Members</t>
  </si>
  <si>
    <t>Mayor-10 Council Members</t>
  </si>
  <si>
    <t>Mayor-8 Council Members</t>
  </si>
  <si>
    <t>Mayor-11 Council Members</t>
  </si>
  <si>
    <t>5 Commissioners</t>
  </si>
  <si>
    <t>3 Council Members</t>
  </si>
  <si>
    <t>President -6 Trustees</t>
  </si>
  <si>
    <t>Mayor-8 Committee Members</t>
  </si>
  <si>
    <t>Council Members</t>
  </si>
  <si>
    <t>Committeepersons</t>
  </si>
  <si>
    <t>Commissioners</t>
  </si>
  <si>
    <t>Alderpersons</t>
  </si>
  <si>
    <t>Trustees</t>
  </si>
  <si>
    <t>Governing Body Members</t>
  </si>
  <si>
    <t>2010 Census Population</t>
  </si>
  <si>
    <t>Sheet  41</t>
  </si>
  <si>
    <t xml:space="preserve"> </t>
  </si>
  <si>
    <t>Subtotal - Cash Liabilities</t>
  </si>
  <si>
    <t>Accrued Interest on Bonds and Notes</t>
  </si>
  <si>
    <t>Encumbrances Payable</t>
  </si>
  <si>
    <t>Appropriation Reserves</t>
  </si>
  <si>
    <t>Sheet  41a</t>
  </si>
  <si>
    <t>CONTRACTS PAYABLE</t>
  </si>
  <si>
    <t>BOND ANTICIPATION NOTES</t>
  </si>
  <si>
    <t>BONDS PAYABLE</t>
  </si>
  <si>
    <t>Sheet  42</t>
  </si>
  <si>
    <t>Sheet  43</t>
  </si>
  <si>
    <t>Sheet  44</t>
  </si>
  <si>
    <t>"Overexpenditures" must equal the sum of "Total Expenditures" and "Unexpended Balances Canceled"</t>
  </si>
  <si>
    <t>Are not to be shown as "Paid or Charged" in the budget document.  In all instances "Total Appropriations" and</t>
  </si>
  <si>
    <t>this item.</t>
  </si>
  <si>
    <t>Every appropriation overexpended in the budget document must be marked with an * and must agree in aggregate with</t>
  </si>
  <si>
    <t>FOOTNOTES: - RE: OVEREXPENDITURES:</t>
  </si>
  <si>
    <t>agree with amounts shown for such items on Sheet 45.</t>
  </si>
  <si>
    <t>** Amount in "Received in Cash" column for "Deficit (General Budget)" and amount expended for "Surplus (General Budget)" must</t>
  </si>
  <si>
    <t>Deficit (General Budget) **</t>
  </si>
  <si>
    <t>Capital Fund Balance</t>
  </si>
  <si>
    <t>Reserve for Debt Service</t>
  </si>
  <si>
    <t>Operating Surplus Anticipated with Consent of</t>
  </si>
  <si>
    <t>Operating Surplus Anticipated</t>
  </si>
  <si>
    <t>Sheet  45</t>
  </si>
  <si>
    <r>
      <t>**</t>
    </r>
    <r>
      <rPr>
        <sz val="8"/>
        <rFont val="Arial"/>
        <family val="2"/>
      </rPr>
      <t xml:space="preserve"> Items must be shown in same amounts on Sheet 44.</t>
    </r>
  </si>
  <si>
    <t>("Operating Deficit - to Trial Balance" - Sheet 46)</t>
  </si>
  <si>
    <r>
      <t>Section 2 should be filled out in every case</t>
    </r>
    <r>
      <rPr>
        <sz val="10"/>
        <rFont val="Arial"/>
        <family val="2"/>
      </rPr>
      <t>.</t>
    </r>
  </si>
  <si>
    <t>Sheet  46</t>
  </si>
  <si>
    <t>"other Assets" would be also pledged to cash liabilities.</t>
  </si>
  <si>
    <r>
      <t xml:space="preserve">* See </t>
    </r>
    <r>
      <rPr>
        <u/>
        <sz val="8"/>
        <rFont val="Arial"/>
        <family val="2"/>
      </rPr>
      <t>restriction</t>
    </r>
    <r>
      <rPr>
        <sz val="8"/>
        <rFont val="Arial"/>
        <family val="2"/>
      </rPr>
      <t xml:space="preserve"> in amount on Sheet 45, SECTION 2</t>
    </r>
  </si>
  <si>
    <t>Deficit in Anticipated Revenues</t>
  </si>
  <si>
    <t>Sheet  47</t>
  </si>
  <si>
    <t>Sheet  48</t>
  </si>
  <si>
    <t>Sheet  49</t>
  </si>
  <si>
    <t>Sheet  49a</t>
  </si>
  <si>
    <t>Sheet  50</t>
  </si>
  <si>
    <t>Sheet  51</t>
  </si>
  <si>
    <t>Sheet  51a</t>
  </si>
  <si>
    <t>For Prinicpal</t>
  </si>
  <si>
    <t>Sheet  52</t>
  </si>
  <si>
    <t>Sheet  53</t>
  </si>
  <si>
    <t>Sheet  54</t>
  </si>
  <si>
    <t>Appropriated to Finance Improvement Authorization</t>
  </si>
  <si>
    <t>Next Year End</t>
  </si>
  <si>
    <t>Current Fund - Beginning Fund Balance</t>
  </si>
  <si>
    <t>Current Fund - Ending Fund Balance</t>
  </si>
  <si>
    <t>Current Fund - Cash</t>
  </si>
  <si>
    <t>Current Fund - Investments</t>
  </si>
  <si>
    <t>Total Expenditures - General Budget Appropriation</t>
  </si>
  <si>
    <t>Outstanding General Bonded Debt</t>
  </si>
  <si>
    <t>Outstanding General Note Debt</t>
  </si>
  <si>
    <t>Outstanding Capital Lease Obligations</t>
  </si>
  <si>
    <t>Outstanding General Loan Debt</t>
  </si>
  <si>
    <t>________________  LOAN</t>
  </si>
  <si>
    <t>Current Fund - Cash Liabilities</t>
  </si>
  <si>
    <t>Total General Budget Revenues</t>
  </si>
  <si>
    <t>3 &amp; 3a</t>
  </si>
  <si>
    <t>General Capital</t>
  </si>
  <si>
    <t>Grant Fund</t>
  </si>
  <si>
    <t>DUE FROM/TO STATE - VETERANS AND SENIOR CITIZENS</t>
  </si>
  <si>
    <t>INVESTMENTS</t>
  </si>
  <si>
    <t>TAX OVERPAYMENTS</t>
  </si>
  <si>
    <t>PREPAID TAXES</t>
  </si>
  <si>
    <t>DUE TO STATE:</t>
  </si>
  <si>
    <t>DCA TRAINING FEES</t>
  </si>
  <si>
    <t>DUE FROM -</t>
  </si>
  <si>
    <t>DUE TO -</t>
  </si>
  <si>
    <t>GENERAL SERIAL BONDS</t>
  </si>
  <si>
    <t>TYPE 1 SCHOOL BONDS</t>
  </si>
  <si>
    <t>DOWN PAYMENTS ON IMPROVEMENTS</t>
  </si>
  <si>
    <t>ASSESSMENT NOTES</t>
  </si>
  <si>
    <t>ASSESSMENT SERIAL BONDS</t>
  </si>
  <si>
    <t>Receivables Offset with Reserves:</t>
  </si>
  <si>
    <t>Consumer Accounts Receivable</t>
  </si>
  <si>
    <t>Liens Receivable</t>
  </si>
  <si>
    <t>Deferred Charges (Sheet 48)</t>
  </si>
  <si>
    <t>Cash Liabilities:</t>
  </si>
  <si>
    <t>Deficit in Operations</t>
  </si>
  <si>
    <t>Total Operating</t>
  </si>
  <si>
    <t>need this formula in M32 to calculate M33 orM38 - hide formula from user</t>
  </si>
  <si>
    <t>need this formula in M10 to calculate M33 orM38 - hide formula from user</t>
  </si>
  <si>
    <t>Proof</t>
  </si>
  <si>
    <t>Miscellaneous</t>
  </si>
  <si>
    <t>Due from -</t>
  </si>
  <si>
    <t>Due  to -</t>
  </si>
  <si>
    <t>Reserve for Consumer Accounts and Lien Receivable</t>
  </si>
  <si>
    <t xml:space="preserve">Total      </t>
  </si>
  <si>
    <t>Receivables with Full Reserves:</t>
  </si>
  <si>
    <t>CONTRACT SALES RECEIVABLE</t>
  </si>
  <si>
    <t>MORTGAGE SALES RECEIVABLE</t>
  </si>
  <si>
    <t>MARRIAGE LICENCE</t>
  </si>
  <si>
    <t>LOCAL SCHOOL TAX PAYABLE</t>
  </si>
  <si>
    <t>REGIONAL SCHOOL TAX PAYABLE</t>
  </si>
  <si>
    <t>REGIONAL H.S.TAX PAYABLE</t>
  </si>
  <si>
    <t>DUE COUNTY - ADDED &amp; OMMITTED</t>
  </si>
  <si>
    <t>SPECIAL DISTRICT TAX PAYABLE</t>
  </si>
  <si>
    <t>RESERVE FOR TAX APPEAL</t>
  </si>
  <si>
    <t>DUE TO STATE OF NJ</t>
  </si>
  <si>
    <t>FUND TOTALS</t>
  </si>
  <si>
    <t>RESERVE FOR:</t>
  </si>
  <si>
    <t>ASSESSMENT TRUST FUND</t>
  </si>
  <si>
    <t>MUNICIPAL OPEN SPACE TRUST FUND</t>
  </si>
  <si>
    <t>LOSAP TRUST FUND</t>
  </si>
  <si>
    <t>CDBG TRUST FUND</t>
  </si>
  <si>
    <t>OTHER TRUST FUNDS</t>
  </si>
  <si>
    <t>Trust - Municipal Open Space</t>
  </si>
  <si>
    <t>Trust - LOSAP</t>
  </si>
  <si>
    <t>Trust - CDBG</t>
  </si>
  <si>
    <t>Trust - Other</t>
  </si>
  <si>
    <t>Trust - Assessment</t>
  </si>
  <si>
    <t>UTILITIES:</t>
  </si>
  <si>
    <t>ADD YOUR UTILITIES AS NEEDED</t>
  </si>
  <si>
    <t>Sheet  9a.1</t>
  </si>
  <si>
    <t>Sheet  9a.2</t>
  </si>
  <si>
    <t>Sheet  9a.3</t>
  </si>
  <si>
    <t>TOTAL DEFERRED CHARGES</t>
  </si>
  <si>
    <t>MUST AGREE</t>
  </si>
  <si>
    <t>OTHER TRUST FUNDS (continued)</t>
  </si>
  <si>
    <t>Previous Totals</t>
  </si>
  <si>
    <t>OTHER TRUST FUNDS PAGE TOTAL</t>
  </si>
  <si>
    <t>Sheet  6.2</t>
  </si>
  <si>
    <t>Sheet  6.3</t>
  </si>
  <si>
    <t>Sheet  6.4</t>
  </si>
  <si>
    <t>Sheet 6b.1</t>
  </si>
  <si>
    <t>Sheet  6. TOTALS</t>
  </si>
  <si>
    <t>PAGE TOTAL</t>
  </si>
  <si>
    <t>PREVIOUS PAGE TOTAL</t>
  </si>
  <si>
    <t>Sheet 6b.2</t>
  </si>
  <si>
    <t>Sheet 6b.3</t>
  </si>
  <si>
    <t>Sheet 6b TOTAL</t>
  </si>
  <si>
    <t>Sheet  9a TOTAL</t>
  </si>
  <si>
    <t>Leave blank if CFO prepared</t>
  </si>
  <si>
    <t>PAGE TOTALS</t>
  </si>
  <si>
    <t>PREVIOUS PAGE TOTALS</t>
  </si>
  <si>
    <t>Sheet  10.1</t>
  </si>
  <si>
    <t>Sheet  10.2</t>
  </si>
  <si>
    <t>Sheet  10.3</t>
  </si>
  <si>
    <t>Sheet  10.4</t>
  </si>
  <si>
    <t>Sheet  10.5</t>
  </si>
  <si>
    <t>Sheet  10.6</t>
  </si>
  <si>
    <t>Sheet  10.7</t>
  </si>
  <si>
    <t>Sheet  10.9</t>
  </si>
  <si>
    <t>Sheet  10.8</t>
  </si>
  <si>
    <t>Sheet  10.10</t>
  </si>
  <si>
    <t>Sheet  10.11</t>
  </si>
  <si>
    <t>Sheet  10.12</t>
  </si>
  <si>
    <t>Sheet  10.13</t>
  </si>
  <si>
    <t>Sheet  10.14</t>
  </si>
  <si>
    <t>Sheet  10.15</t>
  </si>
  <si>
    <t>Sheet  10.16</t>
  </si>
  <si>
    <t>Sheet  10.17</t>
  </si>
  <si>
    <t>Sheet  10.19</t>
  </si>
  <si>
    <t>Sheet  10.18</t>
  </si>
  <si>
    <t>Sheet  10.20</t>
  </si>
  <si>
    <t>Sheet  10.21</t>
  </si>
  <si>
    <t>Sheet  10.22</t>
  </si>
  <si>
    <t>Sheet  10.23</t>
  </si>
  <si>
    <t>Sheet  10.24</t>
  </si>
  <si>
    <t xml:space="preserve"> TOTALS</t>
  </si>
  <si>
    <t>Sheet  11.1</t>
  </si>
  <si>
    <t>Sheet  11.2</t>
  </si>
  <si>
    <t>Sheet  11.3</t>
  </si>
  <si>
    <t>Sheet  11.4</t>
  </si>
  <si>
    <t>Sheet  11.5</t>
  </si>
  <si>
    <t>Sheet  11.6</t>
  </si>
  <si>
    <t>Sheet  11.7</t>
  </si>
  <si>
    <t>Sheet  11.8</t>
  </si>
  <si>
    <t>Sheet  11.9</t>
  </si>
  <si>
    <t>Sheet  11.10</t>
  </si>
  <si>
    <t>Sheet  11.11</t>
  </si>
  <si>
    <t>Sheet  11.12</t>
  </si>
  <si>
    <t>Sheet  11.13</t>
  </si>
  <si>
    <t>Sheet  11.14</t>
  </si>
  <si>
    <t>Sheet  11.15</t>
  </si>
  <si>
    <t>Sheet  11.16</t>
  </si>
  <si>
    <t>Sheet  11.17</t>
  </si>
  <si>
    <t>Sheet  11.18</t>
  </si>
  <si>
    <t>Sheet  11.20</t>
  </si>
  <si>
    <t>Sheet  11.19</t>
  </si>
  <si>
    <t>Sheet  11.21</t>
  </si>
  <si>
    <t>Sheet  11.22</t>
  </si>
  <si>
    <t>Sheet  11.23</t>
  </si>
  <si>
    <t>Sheet  11.24</t>
  </si>
  <si>
    <t>Sheet  11.25</t>
  </si>
  <si>
    <t>Sheet  11.26</t>
  </si>
  <si>
    <t>Sheet  11.27</t>
  </si>
  <si>
    <t>Sheet  11.28</t>
  </si>
  <si>
    <t>Sheet  11.29</t>
  </si>
  <si>
    <t>Sheet  11.30</t>
  </si>
  <si>
    <t>Sheet  11.31</t>
  </si>
  <si>
    <t>Sheet  11.32</t>
  </si>
  <si>
    <t>Sheet  11.33</t>
  </si>
  <si>
    <t>Sheet  11.34</t>
  </si>
  <si>
    <t>Sheet  11.35</t>
  </si>
  <si>
    <t>Sheet  11.36</t>
  </si>
  <si>
    <t>Sheet  11.37</t>
  </si>
  <si>
    <t>Sheet  11.38</t>
  </si>
  <si>
    <t>Sheet  11.39</t>
  </si>
  <si>
    <t>Sheet  11 Totals</t>
  </si>
  <si>
    <t>Sheet  12.2</t>
  </si>
  <si>
    <t>Sheet  12 Totals</t>
  </si>
  <si>
    <t>Sheet  17a.2</t>
  </si>
  <si>
    <t>Sheet  17a.1</t>
  </si>
  <si>
    <t>Sheet  17a.3</t>
  </si>
  <si>
    <t>Sheet  17a Totals</t>
  </si>
  <si>
    <t>Sheet  20.1</t>
  </si>
  <si>
    <t>Page Total Amount of Miscellaneous Revenues Not Anticipated (Sheet 19)</t>
  </si>
  <si>
    <t>Sheet  20 Totals</t>
  </si>
  <si>
    <t>Sheet  31a.2</t>
  </si>
  <si>
    <t>Sheet  31a.1</t>
  </si>
  <si>
    <t>Sheet  33.1</t>
  </si>
  <si>
    <t xml:space="preserve">Page Totals    </t>
  </si>
  <si>
    <t xml:space="preserve">PAGE TOTALS    </t>
  </si>
  <si>
    <t>Sheet  33 Totals</t>
  </si>
  <si>
    <t>GRAND TOTALS</t>
  </si>
  <si>
    <t>Need to be able to choose if completed or not.User needs to strike out  "Which I have prepared " or "Which I have not prepared"  Default to "NOT"</t>
  </si>
  <si>
    <r>
      <t xml:space="preserve">The undersigned certifies </t>
    </r>
    <r>
      <rPr>
        <u/>
        <sz val="10"/>
        <rFont val="Arial"/>
        <family val="2"/>
      </rPr>
      <t xml:space="preserve">that this municipality does not meet item(s)          </t>
    </r>
  </si>
  <si>
    <t>Need to be able to choose if completed or not.User needs to strike out  ""except for circumstances as set forth below, no matters" " or " No matters"  Default to "no matters"</t>
  </si>
  <si>
    <t>SCHEDULE OF TRUST FUND RESERVES</t>
  </si>
  <si>
    <t>SCHEDULE OF TRUST FUND RESERVES (CONT'D)</t>
  </si>
  <si>
    <t>TOTAL PAGE</t>
  </si>
  <si>
    <t>(c) Minimum Library Tax</t>
  </si>
  <si>
    <t>DO NOT REMOVE formula in K40 to calculate H40 &amp;I39 - hide formula from user</t>
  </si>
  <si>
    <t>DO NOT REMOVE THIS FORMULA</t>
  </si>
  <si>
    <t>EMERGENCY  AUTHORIZATIONS  UNDER  N.J.S.A.  40A:4-47  WHICH  HAVE  BEEN</t>
  </si>
  <si>
    <t>N.J.S.A. 40A:4-55.1 or N.J.S.A.  40A:4-55.13 listed on Sheets 29 and 30.)</t>
  </si>
  <si>
    <t>(Do not include the emergency authorizations pursuant to N.J.S.A.40A:4-55,</t>
  </si>
  <si>
    <t>FUNDED  OR REFUNDED  UNDER  N.J.S.A. 40A:2-3  OR  N.J.S.A.  40A:2-51</t>
  </si>
  <si>
    <t>Sheet  49a.1</t>
  </si>
  <si>
    <t>Sheet  52.1</t>
  </si>
  <si>
    <t>Sheet  52.2</t>
  </si>
  <si>
    <t>Sheet  52.3</t>
  </si>
  <si>
    <t>Sheet  52.4</t>
  </si>
  <si>
    <t xml:space="preserve">PAGE TOTALS </t>
  </si>
  <si>
    <t>Sheet  52 Totals</t>
  </si>
  <si>
    <t xml:space="preserve">       TOTALS    </t>
  </si>
  <si>
    <t xml:space="preserve">PAGE TOTALS  </t>
  </si>
  <si>
    <t xml:space="preserve">TOTALS  </t>
  </si>
  <si>
    <t xml:space="preserve">Other </t>
  </si>
  <si>
    <t>Sheet  8.1</t>
  </si>
  <si>
    <t>Sheet  10 Totals</t>
  </si>
  <si>
    <t>Sheet  12.1</t>
  </si>
  <si>
    <t>Do Not Remove this formula</t>
  </si>
  <si>
    <t>Do Not Remove This Formula</t>
  </si>
  <si>
    <t>Do Not Remove this Formula</t>
  </si>
  <si>
    <t>As the CFO, did you prepare this annual financial statement? Type Y/N in the grey box below.</t>
  </si>
  <si>
    <t>(which I have prepared)</t>
  </si>
  <si>
    <t>(which I have not prepared)</t>
  </si>
  <si>
    <t>[eliminate one]</t>
  </si>
  <si>
    <t>(except for circumstances as set forth below, no matters)</t>
  </si>
  <si>
    <t>(no matters)</t>
  </si>
  <si>
    <t>Statement is not in substantial compliance? Type Y/N in the grey box below.</t>
  </si>
  <si>
    <t>agreed-upon procedures,</t>
  </si>
  <si>
    <t xml:space="preserve">(except for circumstances as set forth below, no matters) </t>
  </si>
  <si>
    <t xml:space="preserve">[eliminate one] </t>
  </si>
  <si>
    <t>came to my attention that caused me to believe that the Annual</t>
  </si>
  <si>
    <t>LOANS PAYABLE</t>
  </si>
  <si>
    <t>Deductions Allowed By Tax Collector</t>
  </si>
  <si>
    <t>Deductions Disallowed By Tax Collector Prior Taxes</t>
  </si>
  <si>
    <t>Deductions Disallowed By Tax Collector</t>
  </si>
  <si>
    <t>UTILITY 1</t>
  </si>
  <si>
    <t>UTILITY 2</t>
  </si>
  <si>
    <t>UTILITY 3</t>
  </si>
  <si>
    <t>UTILITY 4</t>
  </si>
  <si>
    <t>UTILITY 5</t>
  </si>
  <si>
    <t>UTILITY 6</t>
  </si>
  <si>
    <t>CAPITAL LEASES PAYABLE</t>
  </si>
  <si>
    <t>Amount due School Districts for School Tax</t>
  </si>
  <si>
    <t>Sheet  41a.1</t>
  </si>
  <si>
    <t xml:space="preserve">As the RMA, did you list any circumstances below that caused you to believe that this Annual Financial </t>
  </si>
  <si>
    <t>General Instructions to Complete the Annual Financial Statement Workbook</t>
  </si>
  <si>
    <t>a)</t>
  </si>
  <si>
    <t>b)</t>
  </si>
  <si>
    <t>c)</t>
  </si>
  <si>
    <t xml:space="preserve">The individual spreadsheets containing formulas are locked to protect the formulas. </t>
  </si>
  <si>
    <t>d)</t>
  </si>
  <si>
    <r>
      <t>Fill in only the gray sections of the</t>
    </r>
    <r>
      <rPr>
        <sz val="13"/>
        <rFont val="Cambria"/>
        <family val="1"/>
      </rPr>
      <t xml:space="preserve"> worksheet. </t>
    </r>
  </si>
  <si>
    <t>e)</t>
  </si>
  <si>
    <t>f)</t>
  </si>
  <si>
    <t>g)</t>
  </si>
  <si>
    <t>h)</t>
  </si>
  <si>
    <t>i)</t>
  </si>
  <si>
    <t>0100</t>
  </si>
  <si>
    <t>0200</t>
  </si>
  <si>
    <t>0300</t>
  </si>
  <si>
    <t>0400</t>
  </si>
  <si>
    <t>0500</t>
  </si>
  <si>
    <t>0600</t>
  </si>
  <si>
    <t>0700</t>
  </si>
  <si>
    <t>0800</t>
  </si>
  <si>
    <t>0900</t>
  </si>
  <si>
    <t>1000</t>
  </si>
  <si>
    <t>1100</t>
  </si>
  <si>
    <t>1200</t>
  </si>
  <si>
    <t>1300</t>
  </si>
  <si>
    <t>1400</t>
  </si>
  <si>
    <t>1500</t>
  </si>
  <si>
    <t>1600</t>
  </si>
  <si>
    <t>1700</t>
  </si>
  <si>
    <t>1800</t>
  </si>
  <si>
    <t>1900</t>
  </si>
  <si>
    <t>2000</t>
  </si>
  <si>
    <t>2100</t>
  </si>
  <si>
    <t>Full Name of Municipality / County</t>
  </si>
  <si>
    <t>County of Municipality / County</t>
  </si>
  <si>
    <t>Name of Municipality /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</si>
  <si>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</si>
  <si>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</si>
  <si>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</si>
  <si>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</si>
  <si>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</si>
  <si>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</si>
  <si>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</si>
  <si>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</si>
  <si>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</si>
  <si>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</si>
  <si>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</si>
  <si>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</si>
  <si>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</si>
  <si>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</si>
  <si>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</si>
  <si>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</si>
  <si>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</si>
  <si>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</si>
  <si>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</si>
  <si>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</si>
  <si>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</si>
  <si>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Atlantic County, Atlantic County</t>
  </si>
  <si>
    <t>Bergen County, Bergen County</t>
  </si>
  <si>
    <t>Burlington County, Burlington County</t>
  </si>
  <si>
    <t>Camden County, Camden County</t>
  </si>
  <si>
    <t>Cape May County, Cape May County</t>
  </si>
  <si>
    <t>Cumberland County, Cumberland County</t>
  </si>
  <si>
    <t>Essex County, Essex County</t>
  </si>
  <si>
    <t>Gloucester County, Gloucester County</t>
  </si>
  <si>
    <t>Hudson County, Hudson County</t>
  </si>
  <si>
    <t>Hunterdon County, Hunterdon County</t>
  </si>
  <si>
    <t>Mercer County, Mercer County</t>
  </si>
  <si>
    <t>Middlesex County, Middlesex County</t>
  </si>
  <si>
    <t>Monmouth County, Monmouth County</t>
  </si>
  <si>
    <t>Morris County, Morris County</t>
  </si>
  <si>
    <t>Ocean County, Ocean County</t>
  </si>
  <si>
    <t>Passaic County, Passaic County</t>
  </si>
  <si>
    <t>Salem County, Salem County</t>
  </si>
  <si>
    <t>Somerset County, Somerset County</t>
  </si>
  <si>
    <t>Sussex County, Sussex County</t>
  </si>
  <si>
    <t>Union County, Union County</t>
  </si>
  <si>
    <t>Warren County, Warren County</t>
  </si>
  <si>
    <t>GENERAL  CAPITAL  BONDS</t>
  </si>
  <si>
    <t>Overexpenditure of Appropriations</t>
  </si>
  <si>
    <t>MUST PICK BETWEEN SCHOOL YEAR AND CALENDAR YEAR</t>
  </si>
  <si>
    <t>COUNTY TAX PAYABLE</t>
  </si>
  <si>
    <t xml:space="preserve"> of the criteria above and therefore does not qualify for local</t>
  </si>
  <si>
    <t>Column I formula will be overridden if revenue is not realized</t>
  </si>
  <si>
    <t>Loan</t>
  </si>
  <si>
    <t>LOAN</t>
  </si>
  <si>
    <t>Rents Levied</t>
  </si>
  <si>
    <t>Total Capital</t>
  </si>
  <si>
    <t>("Excess in Operations" - Sheet 46)</t>
  </si>
  <si>
    <t>User Charges Levied</t>
  </si>
  <si>
    <t>Transfer to Liens</t>
  </si>
  <si>
    <t>DLGS</t>
  </si>
  <si>
    <t>UTILITY NAME</t>
  </si>
  <si>
    <t>Sheet  3a.1</t>
  </si>
  <si>
    <t>TOTALS FROM PAGE 3a</t>
  </si>
  <si>
    <t>TOTALS FROM PAGE 3</t>
  </si>
  <si>
    <t xml:space="preserve">Select the municipality  (and county)  or County by clicking  on the arrow on the right side to choose. This will populate the name and county and dates  throughout the workbook.  Then continue to complete each of the fields in order to populate throughout the workbook. If a Utility(s) exist, enter the type of utility into the fields listed. </t>
  </si>
  <si>
    <t>This workbook is composed of several individual worksheets to complete the Annual Financial Statement.</t>
  </si>
  <si>
    <t>Begin by navigating to the "Key Inputs" tab.</t>
  </si>
  <si>
    <t>In all applicable signature lines insert appropriate officials email address.</t>
  </si>
  <si>
    <t>Only the Chief Financial Officer has access to the submit for review tab within the FAST portal.</t>
  </si>
  <si>
    <t xml:space="preserve"> It is designed to automatically calculate linked schedules from each of the data entry points. </t>
  </si>
  <si>
    <t>Sheet  35.1</t>
  </si>
  <si>
    <t>Sheet  35.2</t>
  </si>
  <si>
    <t>Sheet  35.3</t>
  </si>
  <si>
    <t>Sheet  35.4</t>
  </si>
  <si>
    <t>Sheet  35.5</t>
  </si>
  <si>
    <t>Sheet  35.6</t>
  </si>
  <si>
    <t>Sheet  35.7</t>
  </si>
  <si>
    <t>Sheet  35.8</t>
  </si>
  <si>
    <t>Sheet  35.9</t>
  </si>
  <si>
    <t>Sheet  35 Totals</t>
  </si>
  <si>
    <t>Quick Guide:</t>
  </si>
  <si>
    <t>https://www.nj.gov/dca/divisions/dlgs/pdf/FAST%20AFS%20Quick%20User%20Guide.pdf</t>
  </si>
  <si>
    <t>Caldwell Borough</t>
  </si>
  <si>
    <t>Caldwell Borough, Essex County</t>
  </si>
  <si>
    <t>Surplus Anticipated with Consent of Dir. of Local Gov't Services</t>
  </si>
  <si>
    <t>Levy Tax Collection Rate</t>
  </si>
  <si>
    <t>Utility Operating Surplus Appropriated in Budget</t>
  </si>
  <si>
    <t>Current Fund - Cash Surplus</t>
  </si>
  <si>
    <t>Delinquent Taxes</t>
  </si>
  <si>
    <t>Foreclosure Sales Starting Balance</t>
  </si>
  <si>
    <t>Foreclosure Sales Ending Balance</t>
  </si>
  <si>
    <t>Deferred Charges</t>
  </si>
  <si>
    <t>Balance Sheet</t>
  </si>
  <si>
    <t>Appropriations</t>
  </si>
  <si>
    <t>Revenues</t>
  </si>
  <si>
    <t xml:space="preserve">Outstanding Debt </t>
  </si>
  <si>
    <t>Municode</t>
  </si>
  <si>
    <t>Current Fund - Result of Operation</t>
  </si>
  <si>
    <t>Type 1 School District Bonded Debt</t>
  </si>
  <si>
    <t>Board of County Commissioners</t>
  </si>
  <si>
    <t>N.J.S.A.  40A:4-53  SPECIAL  EMERGENCY  -</t>
  </si>
  <si>
    <r>
      <t>N.J.S.A. 40A:4-55.13, ET SEQ.</t>
    </r>
    <r>
      <rPr>
        <sz val="14"/>
        <rFont val="Times New Roman"/>
        <family val="1"/>
      </rPr>
      <t xml:space="preserve">,  </t>
    </r>
    <r>
      <rPr>
        <b/>
        <sz val="14"/>
        <rFont val="Times New Roman"/>
        <family val="1"/>
      </rPr>
      <t>SPECIAL EMERGENCY</t>
    </r>
    <r>
      <rPr>
        <sz val="14"/>
        <rFont val="Times New Roman"/>
        <family val="1"/>
      </rPr>
      <t xml:space="preserve"> - </t>
    </r>
    <r>
      <rPr>
        <sz val="12"/>
        <rFont val="Times New Roman"/>
        <family val="1"/>
      </rPr>
      <t>PUBLIC  EXIGENCIES CAUSED  BY  CIVIL  DISTURBANCES</t>
    </r>
  </si>
  <si>
    <r>
      <t>N.J.S.A. 40A:4-55.1, ET SEQ.</t>
    </r>
    <r>
      <rPr>
        <sz val="14"/>
        <rFont val="Times New Roman"/>
        <family val="1"/>
      </rPr>
      <t xml:space="preserve">, </t>
    </r>
    <r>
      <rPr>
        <b/>
        <sz val="14"/>
        <rFont val="Times New Roman"/>
        <family val="1"/>
      </rPr>
      <t xml:space="preserve"> SPECIAL EMERGENCY</t>
    </r>
    <r>
      <rPr>
        <sz val="14"/>
        <rFont val="Times New Roman"/>
        <family val="1"/>
      </rPr>
      <t xml:space="preserve"> - </t>
    </r>
    <r>
      <rPr>
        <sz val="12"/>
        <rFont val="Times New Roman"/>
        <family val="1"/>
      </rPr>
      <t>DAMAGE CAUSED  TO  ROADS  OR BRIDGES BY  SNOW,  ICE, FROST OR  FLOODS</t>
    </r>
  </si>
  <si>
    <t>It is hereby certified that all outstanding "Special Emergency" appropriations have been adopted by the governing body in full compliance with N.J.S.A. 40A:4-53 et seq. and</t>
  </si>
  <si>
    <t>It is hereby certified that all outstanding "Special Emergency" appropriations have been adopted by the governing body in full compliance with N.J.S.A. 40A:4-55.1 et seq. and</t>
  </si>
  <si>
    <t>Item No.14 multiplied by percentage shown above is</t>
  </si>
  <si>
    <t xml:space="preserve">UTILITY  SPECIAL  EMERGENCY </t>
  </si>
  <si>
    <t>Sheet  48a</t>
  </si>
  <si>
    <t>j)</t>
  </si>
  <si>
    <r>
      <t xml:space="preserve">The completed AFS must be submitted  to the Division, via the FAST portal </t>
    </r>
    <r>
      <rPr>
        <sz val="13"/>
        <rFont val="Cambria"/>
        <family val="1"/>
      </rPr>
      <t xml:space="preserve">and it must be precisely named as: </t>
    </r>
    <r>
      <rPr>
        <b/>
        <sz val="13"/>
        <rFont val="Cambria"/>
        <family val="1"/>
      </rPr>
      <t>xxxx_afs_20xx.xls (provide 4 digits municode and year)</t>
    </r>
    <r>
      <rPr>
        <sz val="13"/>
        <rFont val="Cambria"/>
        <family val="1"/>
      </rPr>
      <t xml:space="preserve">. </t>
    </r>
  </si>
  <si>
    <t>If copying data from a prior workbook, utilize the copy and paste-special values functionality built into Excel to preserve formatting.</t>
  </si>
  <si>
    <t xml:space="preserve">expenses or loss of revenue (N.J.S.A. 40A:4-53 (l) and (m)). </t>
  </si>
  <si>
    <r>
      <t xml:space="preserve">The municipality </t>
    </r>
    <r>
      <rPr>
        <b/>
        <sz val="10"/>
        <rFont val="Arial"/>
        <family val="2"/>
      </rPr>
      <t xml:space="preserve">did not </t>
    </r>
    <r>
      <rPr>
        <sz val="10"/>
        <rFont val="Arial"/>
        <family val="2"/>
      </rPr>
      <t>adopt a Special Emergency ordinance for COVID-related</t>
    </r>
  </si>
  <si>
    <r>
      <t xml:space="preserve">The current year budget </t>
    </r>
    <r>
      <rPr>
        <b/>
        <sz val="10"/>
        <rFont val="Arial"/>
        <family val="2"/>
      </rPr>
      <t>does</t>
    </r>
    <r>
      <rPr>
        <sz val="10"/>
        <rFont val="Arial"/>
        <family val="2"/>
      </rPr>
      <t xml:space="preserve"> </t>
    </r>
    <r>
      <rPr>
        <b/>
        <sz val="10"/>
        <rFont val="Arial"/>
        <family val="2"/>
      </rPr>
      <t>not</t>
    </r>
    <r>
      <rPr>
        <sz val="10"/>
        <rFont val="Arial"/>
        <family val="2"/>
      </rPr>
      <t xml:space="preserve"> contain a Levy or Appropriation "CAP" waiver.</t>
    </r>
  </si>
  <si>
    <r>
      <t xml:space="preserve">The municipality </t>
    </r>
    <r>
      <rPr>
        <b/>
        <sz val="10"/>
        <rFont val="Arial"/>
        <family val="2"/>
      </rPr>
      <t>did</t>
    </r>
    <r>
      <rPr>
        <sz val="10"/>
        <rFont val="Arial"/>
        <family val="2"/>
      </rPr>
      <t xml:space="preserve"> </t>
    </r>
    <r>
      <rPr>
        <b/>
        <sz val="10"/>
        <rFont val="Arial"/>
        <family val="2"/>
      </rPr>
      <t xml:space="preserve">not </t>
    </r>
    <r>
      <rPr>
        <sz val="10"/>
        <rFont val="Arial"/>
        <family val="2"/>
      </rPr>
      <t>conduct an accelerated tax sale for less than 3 consecutive</t>
    </r>
  </si>
  <si>
    <r>
      <t xml:space="preserve">The municipality </t>
    </r>
    <r>
      <rPr>
        <b/>
        <sz val="10"/>
        <rFont val="Arial"/>
        <family val="2"/>
      </rPr>
      <t>did</t>
    </r>
    <r>
      <rPr>
        <sz val="10"/>
        <rFont val="Arial"/>
        <family val="2"/>
      </rPr>
      <t xml:space="preserve"> </t>
    </r>
    <r>
      <rPr>
        <b/>
        <sz val="10"/>
        <rFont val="Arial"/>
        <family val="2"/>
      </rPr>
      <t xml:space="preserve">not </t>
    </r>
    <r>
      <rPr>
        <sz val="10"/>
        <rFont val="Arial"/>
        <family val="2"/>
      </rPr>
      <t>conduct a tax levy sale the previous fiscal year and does</t>
    </r>
  </si>
  <si>
    <t>ARTS AND CULTURAL TRUST FUND</t>
  </si>
  <si>
    <t>Trust - Arts and Cultural</t>
  </si>
  <si>
    <t xml:space="preserve">On the Key Inputs tab, users can click the "Convert to Standard Template" button to reduce the number of unused pages throughout the document. To revert back to the full-size version of the workbook, click the "Revert to Expanded Template" button. </t>
  </si>
  <si>
    <t>k)</t>
  </si>
  <si>
    <t>ANIMAL CONTROL TRUST FUND</t>
  </si>
  <si>
    <t>RESERVE FOR ANIMAL CONTROL TRUST FUND</t>
  </si>
  <si>
    <t>Trust - Animal Control</t>
  </si>
  <si>
    <t>Municipal AFS Version 2020.1</t>
  </si>
  <si>
    <t>21-6001345</t>
  </si>
  <si>
    <t>1 Southwest Avenue</t>
  </si>
  <si>
    <t>Wenonah, NJ 08090</t>
  </si>
  <si>
    <t>856-468-5228</t>
  </si>
  <si>
    <t>856-468-0390</t>
  </si>
  <si>
    <t>Robert E. Scharle</t>
  </si>
  <si>
    <t>N 0497</t>
  </si>
  <si>
    <t>Water/Sewer Utility</t>
  </si>
  <si>
    <t>scharler@comcast.net</t>
  </si>
  <si>
    <t>Y</t>
  </si>
  <si>
    <t>Chief Finacial Officer</t>
  </si>
  <si>
    <t>cblack@co.gloucester.nj.us</t>
  </si>
  <si>
    <t>Water/Sewer Operating</t>
  </si>
  <si>
    <t>Water/Sewer Capital</t>
  </si>
  <si>
    <t>Current Fund/General Capital/Animal Control/Payroll Trust - Sweep</t>
  </si>
  <si>
    <t>Trust - Other Fund</t>
  </si>
  <si>
    <t>Tax Premium</t>
  </si>
  <si>
    <t>COAH Trust Fund</t>
  </si>
  <si>
    <t>TTL Redemption</t>
  </si>
  <si>
    <t>Unemployment Trust Fund</t>
  </si>
  <si>
    <t>Water &amp; Sewer Utility Operating/Capital - Sweep</t>
  </si>
  <si>
    <t>Clean Communities Grant</t>
  </si>
  <si>
    <t>Municipal Alliance for Drug and Alcohol Abuse</t>
  </si>
  <si>
    <t>State Recycling Program</t>
  </si>
  <si>
    <t>NJ Community Forestry Program</t>
  </si>
  <si>
    <t>JIF - Safety Program</t>
  </si>
  <si>
    <t>JIF - Cyber Risk Management Program</t>
  </si>
  <si>
    <t>JIF - Wellness Program</t>
  </si>
  <si>
    <t>JIF - Safety Incentive Program</t>
  </si>
  <si>
    <t>Sustainable Jersey Small Grants program</t>
  </si>
  <si>
    <t>Body Armor Fund</t>
  </si>
  <si>
    <t>Drunk Driving Enforcement Program</t>
  </si>
  <si>
    <t>Sustainable Jersey Small Grants Program</t>
  </si>
  <si>
    <t>Reserve for Due From Trust - Other Funds</t>
  </si>
  <si>
    <t>Grant Receivables Canceled</t>
  </si>
  <si>
    <t>Street Opening Permits</t>
  </si>
  <si>
    <t>NSF Fees</t>
  </si>
  <si>
    <t>Smoke Detector Certificate Fees</t>
  </si>
  <si>
    <t>Abandoned Property Registration Fees</t>
  </si>
  <si>
    <t>Zoning Lists</t>
  </si>
  <si>
    <t>Trash Cans</t>
  </si>
  <si>
    <t>Grading Plans</t>
  </si>
  <si>
    <t>Planning Board Fees</t>
  </si>
  <si>
    <t>Cable Television Franchise Fees</t>
  </si>
  <si>
    <t>Registrar Fees</t>
  </si>
  <si>
    <t>Use of Facilities</t>
  </si>
  <si>
    <t>Administrative Costs for Senior Citizens &amp; Veterans</t>
  </si>
  <si>
    <t>Donations</t>
  </si>
  <si>
    <t>Copies</t>
  </si>
  <si>
    <t>Prior Year Refunds</t>
  </si>
  <si>
    <t>Sale of Equipment</t>
  </si>
  <si>
    <t>Additional Safety Budget Funds</t>
  </si>
  <si>
    <t>Reserve for Thumbs-Up Canceled</t>
  </si>
  <si>
    <t>Reserve for Municipal Alliance - Program Income Canceled</t>
  </si>
  <si>
    <t>kjaworski@woolwichtwp.org</t>
  </si>
  <si>
    <t>T-8170</t>
  </si>
  <si>
    <t>None</t>
  </si>
  <si>
    <t>Due From Trust - Other Fund</t>
  </si>
  <si>
    <t>Due to Federal &amp; State Grant Fund</t>
  </si>
  <si>
    <t>General Improvement Bonds of 2020</t>
  </si>
  <si>
    <t>Variable</t>
  </si>
  <si>
    <t>2015 Roadway Improvements</t>
  </si>
  <si>
    <t>Purchase of Trash &amp; Recycle Carts</t>
  </si>
  <si>
    <t>Purchase of Radior Equip. for Fire Dept.</t>
  </si>
  <si>
    <t>2017 Roadway Improvements</t>
  </si>
  <si>
    <t>Purchase of a Rear End Loader Trash Truck</t>
  </si>
  <si>
    <t>2018 Roadway Improvements</t>
  </si>
  <si>
    <t>S. Marion Ave. - Paving</t>
  </si>
  <si>
    <t>W. Cherry St. - Paving</t>
  </si>
  <si>
    <t>Princeton Ave. - Paving</t>
  </si>
  <si>
    <t>E. Poplar St - Road Improvements</t>
  </si>
  <si>
    <t>Monroe Ave. - Road Improvements</t>
  </si>
  <si>
    <t>Mohawk Drive - Road Improvements</t>
  </si>
  <si>
    <t>Lenape Trail Road Improvements</t>
  </si>
  <si>
    <t>N. Clinton Ave. - Road Impriovements</t>
  </si>
  <si>
    <t>E. Poplar St. - Road Improvemnts</t>
  </si>
  <si>
    <t>Monroe Ave. - Road Improvemnts</t>
  </si>
  <si>
    <t>Mohawk Drive - Road Improvemnts</t>
  </si>
  <si>
    <t>Lenape Trail - Road Improvemnts</t>
  </si>
  <si>
    <t>N. Clinton Ave. - Road Improvemnts</t>
  </si>
  <si>
    <t>Yes</t>
  </si>
  <si>
    <t>No</t>
  </si>
  <si>
    <t>N/A</t>
  </si>
  <si>
    <t>Reserve for LOSAP</t>
  </si>
  <si>
    <t>Due to Current Fund</t>
  </si>
  <si>
    <t>Payroll Deductions Payable</t>
  </si>
  <si>
    <t>Due to State - Marriage Licenses</t>
  </si>
  <si>
    <t>Developers Escrow</t>
  </si>
  <si>
    <t>Unemployment Compensation Trust</t>
  </si>
  <si>
    <t>POAA</t>
  </si>
  <si>
    <t>Municipal Allliance - Program Income</t>
  </si>
  <si>
    <t>Tax Sale Premium</t>
  </si>
  <si>
    <t>LOSAP</t>
  </si>
  <si>
    <t>Prepaid Rents</t>
  </si>
  <si>
    <t>Rents</t>
  </si>
  <si>
    <t>Water &amp; Sewer Bonds of 2020</t>
  </si>
  <si>
    <t>Vatriable</t>
  </si>
  <si>
    <t>2018/2019 Water/Sewer Improvements</t>
  </si>
  <si>
    <t>Painting of Water Tank</t>
  </si>
  <si>
    <t>Chlorinator Replacement</t>
  </si>
  <si>
    <t>Various Sewer System Improvements</t>
  </si>
  <si>
    <t>S. Marion Ave - Water Main Replacement</t>
  </si>
  <si>
    <t>W. Cherry St. - Storm Sewer Replacement</t>
  </si>
  <si>
    <t>Lenape Trail - Storm Sewer Replacement</t>
  </si>
  <si>
    <t>Well #1 Repairs</t>
  </si>
  <si>
    <t>Various Water Main Replacements</t>
  </si>
  <si>
    <t>Rehabilitation of Water Tank</t>
  </si>
  <si>
    <t>S. Marion Ave - Water Main Repl</t>
  </si>
  <si>
    <t>W. Cherry St. - Storm Sewer Repl</t>
  </si>
  <si>
    <t>Lenape Trail - Storm Sewer Repl</t>
  </si>
  <si>
    <t>OceanFirst Bank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</si>
</sst>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8" formatCode="&quot;$&quot;#,##0.00_);[Red]\(&quot;$&quot;#,##0.00\)"/>
    <numFmt numFmtId="44" formatCode="_(&quot;$&quot;* #,##0.00_);_(&quot;$&quot;* \(#,##0.00\);_(&quot;$&quot;* &quot;-&quot;??_);_(@_)"/>
    <numFmt numFmtId="43" formatCode="_(* #,##0.00_);_(* \(#,##0.00\);_(* &quot;-&quot;??_);_(@_)"/>
    <numFmt numFmtId="164" formatCode="mmmm\ d\,\ yyyy"/>
    <numFmt numFmtId="165" formatCode="_(* #,##0_);_(* \(#,##0\);_(* &quot;-&quot;??_);_(@_)"/>
    <numFmt numFmtId="166" formatCode="mm/dd/yy;@"/>
    <numFmt numFmtId="167" formatCode="_(* #,##0.000_);_(* \(#,##0.000\);_(* &quot;-&quot;???_);_(@_)"/>
    <numFmt numFmtId="168" formatCode="_(* #,##0.0000_);_(* \(#,##0.0000\);_(* &quot;-&quot;????_);_(@_)"/>
    <numFmt numFmtId="169" formatCode="0.000%"/>
    <numFmt numFmtId="170" formatCode="0.0000%"/>
  </numFmts>
  <fonts count="78">
    <font>
      <sz val="10"/>
      <name val="Arial"/>
    </font>
    <font>
      <sz val="11"/>
      <color theme="1"/>
      <name val="Calibri"/>
      <family val="2"/>
      <scheme val="minor"/>
    </font>
    <font>
      <sz val="11"/>
      <color theme="1"/>
      <name val="Calibri"/>
      <family val="2"/>
      <scheme val="minor"/>
    </font>
    <font>
      <sz val="10"/>
      <name val="Arial"/>
      <family val="2"/>
    </font>
    <font>
      <b/>
      <sz val="18"/>
      <name val="Arial"/>
      <family val="2"/>
    </font>
    <font>
      <b/>
      <sz val="18"/>
      <name val="Times New Roman"/>
      <family val="1"/>
    </font>
    <font>
      <b/>
      <sz val="12"/>
      <name val="Times New Roman"/>
      <family val="1"/>
    </font>
    <font>
      <sz val="10"/>
      <name val="Times New Roman"/>
      <family val="1"/>
    </font>
    <font>
      <i/>
      <sz val="9"/>
      <name val="Arial"/>
      <family val="2"/>
    </font>
    <font>
      <u/>
      <sz val="10"/>
      <name val="Times New Roman"/>
      <family val="1"/>
    </font>
    <font>
      <sz val="8"/>
      <name val="Arial"/>
      <family val="2"/>
    </font>
    <font>
      <b/>
      <sz val="14"/>
      <name val="Times New Roman"/>
      <family val="1"/>
    </font>
    <font>
      <b/>
      <sz val="16"/>
      <name val="Times New Roman"/>
      <family val="1"/>
    </font>
    <font>
      <sz val="11"/>
      <name val="Arial"/>
      <family val="2"/>
    </font>
    <font>
      <sz val="11"/>
      <name val="Times New Roman"/>
      <family val="1"/>
    </font>
    <font>
      <b/>
      <sz val="9"/>
      <name val="Arial"/>
      <family val="2"/>
    </font>
    <font>
      <sz val="9"/>
      <name val="Arial"/>
      <family val="2"/>
    </font>
    <font>
      <b/>
      <sz val="10"/>
      <name val="Arial"/>
      <family val="2"/>
    </font>
    <font>
      <b/>
      <sz val="11"/>
      <name val="Times New Roman"/>
      <family val="1"/>
    </font>
    <font>
      <b/>
      <u/>
      <sz val="11"/>
      <name val="Times New Roman"/>
      <family val="1"/>
    </font>
    <font>
      <sz val="10"/>
      <name val="Arial"/>
      <family val="2"/>
    </font>
    <font>
      <u/>
      <sz val="8"/>
      <name val="Arial"/>
      <family val="2"/>
    </font>
    <font>
      <u/>
      <sz val="10"/>
      <name val="Arial"/>
      <family val="2"/>
    </font>
    <font>
      <b/>
      <sz val="11"/>
      <name val="Arial"/>
      <family val="2"/>
    </font>
    <font>
      <b/>
      <sz val="12"/>
      <name val="Arial"/>
      <family val="2"/>
    </font>
    <font>
      <b/>
      <i/>
      <sz val="10"/>
      <name val="Arial"/>
      <family val="2"/>
    </font>
    <font>
      <i/>
      <sz val="11"/>
      <name val="Arial"/>
      <family val="2"/>
    </font>
    <font>
      <b/>
      <sz val="14"/>
      <name val="Arial"/>
      <family val="2"/>
    </font>
    <font>
      <b/>
      <u/>
      <sz val="10"/>
      <name val="Arial"/>
      <family val="2"/>
    </font>
    <font>
      <sz val="14"/>
      <name val="Times New Roman"/>
      <family val="1"/>
    </font>
    <font>
      <i/>
      <u/>
      <sz val="10"/>
      <name val="Arial"/>
      <family val="2"/>
    </font>
    <font>
      <b/>
      <sz val="10"/>
      <name val="Times New Roman"/>
      <family val="1"/>
    </font>
    <font>
      <sz val="12"/>
      <name val="Arial"/>
      <family val="2"/>
    </font>
    <font>
      <b/>
      <u/>
      <sz val="11"/>
      <name val="Arial"/>
      <family val="2"/>
    </font>
    <font>
      <b/>
      <u/>
      <sz val="26"/>
      <name val="Times New Roman"/>
      <family val="1"/>
    </font>
    <font>
      <b/>
      <i/>
      <sz val="9"/>
      <name val="Arial"/>
      <family val="2"/>
    </font>
    <font>
      <b/>
      <i/>
      <sz val="11"/>
      <name val="Arial"/>
      <family val="2"/>
    </font>
    <font>
      <b/>
      <sz val="20"/>
      <name val="Times New Roman"/>
      <family val="1"/>
    </font>
    <font>
      <b/>
      <sz val="8"/>
      <name val="Arial"/>
      <family val="2"/>
    </font>
    <font>
      <u/>
      <sz val="9"/>
      <name val="Arial"/>
      <family val="2"/>
    </font>
    <font>
      <sz val="8.5"/>
      <name val="Arial"/>
      <family val="2"/>
    </font>
    <font>
      <sz val="8"/>
      <name val="Arial"/>
      <family val="2"/>
    </font>
    <font>
      <b/>
      <sz val="10"/>
      <name val="Arial"/>
      <family val="2"/>
    </font>
    <font>
      <sz val="9"/>
      <name val="Arial"/>
      <family val="2"/>
    </font>
    <font>
      <sz val="10"/>
      <name val="Arial"/>
      <family val="2"/>
    </font>
    <font>
      <sz val="12"/>
      <name val="Times New Roman"/>
      <family val="1"/>
    </font>
    <font>
      <sz val="10"/>
      <name val="Arial"/>
      <family val="2"/>
    </font>
    <font>
      <u/>
      <sz val="10.45"/>
      <color indexed="12"/>
      <name val="Times New Roman"/>
      <family val="1"/>
    </font>
    <font>
      <sz val="11"/>
      <name val="Arial MT"/>
    </font>
    <font>
      <sz val="10"/>
      <name val="Arial"/>
      <family val="2"/>
    </font>
    <font>
      <u/>
      <sz val="10"/>
      <color indexed="12"/>
      <name val="Arial"/>
      <family val="2"/>
    </font>
    <font>
      <sz val="12"/>
      <name val="Times New Roman"/>
      <family val="1"/>
    </font>
    <font>
      <sz val="10"/>
      <color theme="1"/>
      <name val="Arial"/>
      <family val="2"/>
    </font>
    <font>
      <u/>
      <sz val="10"/>
      <color theme="10"/>
      <name val="Arial"/>
      <family val="2"/>
    </font>
    <font>
      <u/>
      <sz val="9.5500000000000007"/>
      <color indexed="12"/>
      <name val="Arial"/>
      <family val="2"/>
    </font>
    <font>
      <sz val="10"/>
      <color rgb="FF0000FF"/>
      <name val="Arial"/>
      <family val="2"/>
    </font>
    <font>
      <sz val="10"/>
      <color rgb="FF0070C0"/>
      <name val="Arial"/>
      <family val="2"/>
    </font>
    <font>
      <sz val="11"/>
      <color rgb="FF0070C0"/>
      <name val="Arial Narrow"/>
      <family val="2"/>
    </font>
    <font>
      <b/>
      <sz val="13.5"/>
      <name val="Times New Roman"/>
      <family val="1"/>
    </font>
    <font>
      <sz val="16"/>
      <name val="Times New Roman"/>
      <family val="1"/>
    </font>
    <font>
      <sz val="10"/>
      <color theme="3" tint="0.39997558519241921"/>
      <name val="Arial"/>
      <family val="2"/>
    </font>
    <font>
      <sz val="10"/>
      <color rgb="FF00B0F0"/>
      <name val="Arial"/>
      <family val="2"/>
    </font>
    <font>
      <b/>
      <sz val="10"/>
      <color rgb="FFFF0000"/>
      <name val="Arial"/>
      <family val="2"/>
    </font>
    <font>
      <b/>
      <i/>
      <sz val="10"/>
      <color rgb="FFFF0000"/>
      <name val="Arial"/>
      <family val="2"/>
    </font>
    <font>
      <sz val="10"/>
      <color rgb="FF7030A0"/>
      <name val="Arial"/>
      <family val="2"/>
    </font>
    <font>
      <sz val="16"/>
      <color theme="1"/>
      <name val="Calibri"/>
      <family val="2"/>
      <scheme val="minor"/>
    </font>
    <font>
      <b/>
      <sz val="16"/>
      <name val="Calibri"/>
      <family val="2"/>
      <scheme val="minor"/>
    </font>
    <font>
      <sz val="13"/>
      <name val="Cambria"/>
      <family val="1"/>
      <scheme val="major"/>
    </font>
    <font>
      <sz val="13"/>
      <name val="Cambria"/>
      <family val="1"/>
    </font>
    <font>
      <b/>
      <sz val="13"/>
      <name val="Cambria"/>
      <family val="1"/>
    </font>
    <font>
      <sz val="11"/>
      <color rgb="FFFF0000"/>
      <name val="Calibri"/>
      <family val="2"/>
    </font>
    <font>
      <sz val="10"/>
      <color theme="0"/>
      <name val="Arial"/>
      <family val="2"/>
    </font>
    <font>
      <u/>
      <sz val="10"/>
      <color theme="10"/>
      <name val="Arial"/>
      <family val="2"/>
    </font>
    <font>
      <sz val="16"/>
      <color theme="0"/>
      <name val="Calibri"/>
      <family val="2"/>
      <scheme val="minor"/>
    </font>
    <font>
      <sz val="13"/>
      <color theme="1"/>
      <name val="Cambria"/>
      <family val="1"/>
      <scheme val="major"/>
    </font>
    <font>
      <u/>
      <sz val="10"/>
      <color theme="10"/>
      <name val="Cambria"/>
      <family val="1"/>
      <scheme val="major"/>
    </font>
    <font>
      <sz val="10"/>
      <color rgb="FF000000"/>
      <name val="Arial"/>
      <family val="2"/>
    </font>
    <font>
      <sz val="12"/>
      <name val="Cambria"/>
      <family val="1"/>
      <scheme val="maj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04">
    <border>
      <left/>
      <right/>
      <top/>
      <bottom/>
      <diagonal/>
    </border>
    <border>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thin">
        <color indexed="64"/>
      </bottom>
      <diagonal/>
    </border>
    <border>
      <left style="double">
        <color indexed="64"/>
      </left>
      <right style="double">
        <color indexed="64"/>
      </right>
      <top style="double">
        <color indexed="64"/>
      </top>
      <bottom/>
      <diagonal/>
    </border>
    <border>
      <left/>
      <right/>
      <top style="thin">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n">
        <color indexed="64"/>
      </bottom>
      <diagonal/>
    </border>
    <border>
      <left/>
      <right/>
      <top/>
      <bottom style="double">
        <color indexed="64"/>
      </bottom>
      <diagonal/>
    </border>
    <border>
      <left/>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double">
        <color indexed="64"/>
      </left>
      <right/>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diagonal/>
    </border>
    <border>
      <left style="double">
        <color indexed="64"/>
      </left>
      <right style="double">
        <color indexed="64"/>
      </right>
      <top style="thin">
        <color indexed="64"/>
      </top>
      <bottom style="double">
        <color indexed="64"/>
      </bottom>
      <diagonal/>
    </border>
    <border>
      <left/>
      <right/>
      <top style="thin">
        <color indexed="64"/>
      </top>
      <bottom style="double">
        <color indexed="64"/>
      </bottom>
      <diagonal/>
    </border>
    <border>
      <left/>
      <right/>
      <top style="thin">
        <color indexed="64"/>
      </top>
      <bottom style="thick">
        <color indexed="64"/>
      </bottom>
      <diagonal/>
    </border>
    <border>
      <left style="double">
        <color indexed="64"/>
      </left>
      <right style="double">
        <color indexed="64"/>
      </right>
      <top style="thin">
        <color indexed="64"/>
      </top>
      <bottom style="thick">
        <color indexed="64"/>
      </bottom>
      <diagonal/>
    </border>
    <border>
      <left/>
      <right/>
      <top/>
      <bottom style="thin">
        <color indexed="64"/>
      </bottom>
      <diagonal/>
    </border>
    <border>
      <left style="double">
        <color indexed="64"/>
      </left>
      <right style="double">
        <color indexed="64"/>
      </right>
      <top/>
      <bottom style="thin">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ck">
        <color indexed="64"/>
      </top>
      <bottom style="double">
        <color indexed="64"/>
      </bottom>
      <diagonal/>
    </border>
    <border>
      <left style="double">
        <color indexed="64"/>
      </left>
      <right/>
      <top style="thick">
        <color indexed="64"/>
      </top>
      <bottom style="double">
        <color indexed="64"/>
      </bottom>
      <diagonal/>
    </border>
    <border>
      <left style="double">
        <color indexed="64"/>
      </left>
      <right style="double">
        <color indexed="64"/>
      </right>
      <top style="thin">
        <color indexed="64"/>
      </top>
      <bottom style="medium">
        <color indexed="64"/>
      </bottom>
      <diagonal/>
    </border>
    <border>
      <left style="double">
        <color indexed="64"/>
      </left>
      <right/>
      <top style="double">
        <color indexed="64"/>
      </top>
      <bottom style="double">
        <color indexed="64"/>
      </bottom>
      <diagonal/>
    </border>
    <border>
      <left/>
      <right style="double">
        <color indexed="64"/>
      </right>
      <top style="thin">
        <color indexed="64"/>
      </top>
      <bottom/>
      <diagonal/>
    </border>
    <border>
      <left/>
      <right/>
      <top/>
      <bottom style="thick">
        <color indexed="64"/>
      </bottom>
      <diagonal/>
    </border>
    <border>
      <left/>
      <right/>
      <top style="thick">
        <color indexed="64"/>
      </top>
      <bottom style="thin">
        <color indexed="64"/>
      </bottom>
      <diagonal/>
    </border>
    <border>
      <left/>
      <right style="double">
        <color indexed="64"/>
      </right>
      <top/>
      <bottom style="thin">
        <color indexed="64"/>
      </bottom>
      <diagonal/>
    </border>
    <border>
      <left style="thick">
        <color indexed="64"/>
      </left>
      <right style="thick">
        <color indexed="64"/>
      </right>
      <top style="thick">
        <color indexed="64"/>
      </top>
      <bottom style="thick">
        <color indexed="64"/>
      </bottom>
      <diagonal/>
    </border>
    <border>
      <left style="double">
        <color indexed="64"/>
      </left>
      <right/>
      <top style="thick">
        <color indexed="64"/>
      </top>
      <bottom style="thick">
        <color indexed="64"/>
      </bottom>
      <diagonal/>
    </border>
    <border>
      <left/>
      <right style="double">
        <color indexed="64"/>
      </right>
      <top style="thick">
        <color indexed="64"/>
      </top>
      <bottom style="thick">
        <color indexed="64"/>
      </bottom>
      <diagonal/>
    </border>
    <border>
      <left/>
      <right/>
      <top style="thick">
        <color indexed="64"/>
      </top>
      <bottom style="thick">
        <color indexed="64"/>
      </bottom>
      <diagonal/>
    </border>
    <border>
      <left style="double">
        <color indexed="64"/>
      </left>
      <right/>
      <top style="double">
        <color indexed="64"/>
      </top>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ck">
        <color indexed="64"/>
      </bottom>
      <diagonal/>
    </border>
    <border>
      <left/>
      <right style="double">
        <color indexed="64"/>
      </right>
      <top style="double">
        <color indexed="64"/>
      </top>
      <bottom/>
      <diagonal/>
    </border>
    <border>
      <left/>
      <right style="double">
        <color indexed="64"/>
      </right>
      <top/>
      <bottom style="double">
        <color indexed="64"/>
      </bottom>
      <diagonal/>
    </border>
    <border>
      <left style="double">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double">
        <color indexed="64"/>
      </left>
      <right/>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double">
        <color indexed="64"/>
      </bottom>
      <diagonal/>
    </border>
    <border>
      <left/>
      <right style="thin">
        <color indexed="64"/>
      </right>
      <top style="thin">
        <color indexed="64"/>
      </top>
      <bottom style="thin">
        <color indexed="64"/>
      </bottom>
      <diagonal/>
    </border>
    <border>
      <left style="double">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double">
        <color indexed="64"/>
      </bottom>
      <diagonal/>
    </border>
    <border>
      <left style="double">
        <color indexed="64"/>
      </left>
      <right/>
      <top/>
      <bottom style="thick">
        <color indexed="64"/>
      </bottom>
      <diagonal/>
    </border>
    <border>
      <left/>
      <right style="double">
        <color indexed="64"/>
      </right>
      <top style="thick">
        <color indexed="64"/>
      </top>
      <bottom style="thin">
        <color indexed="64"/>
      </bottom>
      <diagonal/>
    </border>
    <border>
      <left style="double">
        <color indexed="64"/>
      </left>
      <right/>
      <top style="thick">
        <color indexed="64"/>
      </top>
      <bottom style="medium">
        <color indexed="64"/>
      </bottom>
      <diagonal/>
    </border>
    <border>
      <left style="double">
        <color indexed="64"/>
      </left>
      <right style="double">
        <color indexed="64"/>
      </right>
      <top style="medium">
        <color indexed="64"/>
      </top>
      <bottom style="medium">
        <color indexed="64"/>
      </bottom>
      <diagonal/>
    </border>
    <border>
      <left style="double">
        <color indexed="64"/>
      </left>
      <right style="double">
        <color indexed="64"/>
      </right>
      <top style="medium">
        <color indexed="64"/>
      </top>
      <bottom style="thin">
        <color indexed="64"/>
      </bottom>
      <diagonal/>
    </border>
    <border>
      <left/>
      <right/>
      <top style="medium">
        <color indexed="64"/>
      </top>
      <bottom style="medium">
        <color indexed="64"/>
      </bottom>
      <diagonal/>
    </border>
    <border>
      <left/>
      <right style="double">
        <color indexed="64"/>
      </right>
      <top style="medium">
        <color indexed="64"/>
      </top>
      <bottom style="thin">
        <color indexed="64"/>
      </bottom>
      <diagonal/>
    </border>
    <border>
      <left/>
      <right/>
      <top style="thick">
        <color indexed="64"/>
      </top>
      <bottom style="double">
        <color indexed="64"/>
      </bottom>
      <diagonal/>
    </border>
    <border>
      <left style="double">
        <color indexed="64"/>
      </left>
      <right/>
      <top style="thin">
        <color indexed="64"/>
      </top>
      <bottom style="thick">
        <color indexed="64"/>
      </bottom>
      <diagonal/>
    </border>
    <border>
      <left style="double">
        <color indexed="64"/>
      </left>
      <right style="double">
        <color indexed="64"/>
      </right>
      <top/>
      <bottom style="thick">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double">
        <color indexed="64"/>
      </bottom>
      <diagonal/>
    </border>
    <border>
      <left/>
      <right style="double">
        <color indexed="64"/>
      </right>
      <top style="thin">
        <color indexed="64"/>
      </top>
      <bottom style="medium">
        <color indexed="64"/>
      </bottom>
      <diagonal/>
    </border>
    <border>
      <left style="double">
        <color indexed="64"/>
      </left>
      <right style="double">
        <color indexed="64"/>
      </right>
      <top style="medium">
        <color indexed="64"/>
      </top>
      <bottom style="double">
        <color indexed="64"/>
      </bottom>
      <diagonal/>
    </border>
    <border>
      <left/>
      <right/>
      <top style="medium">
        <color indexed="64"/>
      </top>
      <bottom style="double">
        <color indexed="64"/>
      </bottom>
      <diagonal/>
    </border>
    <border>
      <left/>
      <right style="thin">
        <color indexed="64"/>
      </right>
      <top/>
      <bottom style="thin">
        <color indexed="64"/>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bottom style="thin">
        <color theme="0" tint="-0.24994659260841701"/>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double">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88">
    <xf numFmtId="0" fontId="0" fillId="0" borderId="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4" fontId="20" fillId="0" borderId="0" applyFont="0" applyFill="0" applyBorder="0" applyAlignment="0" applyProtection="0"/>
    <xf numFmtId="44" fontId="3" fillId="0" borderId="0" applyFont="0" applyFill="0" applyBorder="0" applyAlignment="0" applyProtection="0"/>
    <xf numFmtId="44" fontId="20" fillId="0" borderId="0" applyFont="0" applyFill="0" applyBorder="0" applyAlignment="0" applyProtection="0"/>
    <xf numFmtId="3" fontId="45" fillId="0" borderId="0"/>
    <xf numFmtId="0" fontId="13" fillId="0" borderId="0"/>
    <xf numFmtId="0" fontId="20" fillId="0" borderId="0"/>
    <xf numFmtId="9" fontId="3"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9" fontId="13" fillId="0" borderId="0" applyFont="0" applyFill="0" applyBorder="0" applyAlignment="0" applyProtection="0"/>
    <xf numFmtId="9" fontId="20" fillId="0" borderId="0" applyFont="0" applyFill="0" applyBorder="0" applyAlignment="0" applyProtection="0"/>
    <xf numFmtId="9" fontId="46" fillId="0" borderId="0" applyFont="0" applyFill="0" applyBorder="0" applyAlignment="0" applyProtection="0"/>
    <xf numFmtId="0" fontId="3" fillId="0" borderId="0"/>
    <xf numFmtId="43" fontId="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47" fillId="0" borderId="0" applyNumberFormat="0" applyFill="0" applyBorder="0" applyAlignment="0" applyProtection="0">
      <alignment vertical="top"/>
      <protection locked="0"/>
    </xf>
    <xf numFmtId="3" fontId="45" fillId="0" borderId="0"/>
    <xf numFmtId="3" fontId="45" fillId="0" borderId="0"/>
    <xf numFmtId="0" fontId="45" fillId="0" borderId="0"/>
    <xf numFmtId="0" fontId="45" fillId="0" borderId="0"/>
    <xf numFmtId="0" fontId="13" fillId="0" borderId="0"/>
    <xf numFmtId="0" fontId="48" fillId="0" borderId="0"/>
    <xf numFmtId="0" fontId="3" fillId="0" borderId="0"/>
    <xf numFmtId="0" fontId="45" fillId="0" borderId="0"/>
    <xf numFmtId="0" fontId="13" fillId="0" borderId="0"/>
    <xf numFmtId="9" fontId="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2" fillId="0" borderId="0" applyFont="0" applyFill="0" applyBorder="0" applyAlignment="0" applyProtection="0"/>
    <xf numFmtId="43" fontId="49" fillId="0" borderId="0" applyFont="0" applyFill="0" applyBorder="0" applyAlignment="0" applyProtection="0"/>
    <xf numFmtId="43" fontId="3" fillId="0" borderId="0" applyFont="0" applyFill="0" applyBorder="0" applyAlignment="0" applyProtection="0"/>
    <xf numFmtId="43" fontId="49" fillId="0" borderId="0" applyFont="0" applyFill="0" applyBorder="0" applyAlignment="0" applyProtection="0"/>
    <xf numFmtId="44" fontId="3" fillId="0" borderId="0" applyFont="0" applyFill="0" applyBorder="0" applyAlignment="0" applyProtection="0"/>
    <xf numFmtId="43" fontId="49" fillId="0" borderId="0" applyFont="0" applyFill="0" applyBorder="0" applyAlignment="0" applyProtection="0"/>
    <xf numFmtId="43" fontId="13" fillId="0" borderId="0" applyFont="0" applyFill="0" applyBorder="0" applyAlignment="0" applyProtection="0"/>
    <xf numFmtId="44" fontId="49" fillId="0" borderId="0" applyFont="0" applyFill="0" applyBorder="0" applyAlignment="0" applyProtection="0"/>
    <xf numFmtId="44" fontId="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49" fillId="0" borderId="0" applyFont="0" applyFill="0" applyBorder="0" applyAlignment="0" applyProtection="0"/>
    <xf numFmtId="44" fontId="49" fillId="0" borderId="0" applyFont="0" applyFill="0" applyBorder="0" applyAlignment="0" applyProtection="0"/>
    <xf numFmtId="3" fontId="45" fillId="0" borderId="0"/>
    <xf numFmtId="44" fontId="52" fillId="0" borderId="0" applyFont="0" applyFill="0" applyBorder="0" applyAlignment="0" applyProtection="0"/>
    <xf numFmtId="44" fontId="2" fillId="0" borderId="0" applyFont="0" applyFill="0" applyBorder="0" applyAlignment="0" applyProtection="0"/>
    <xf numFmtId="3" fontId="45" fillId="0" borderId="0"/>
    <xf numFmtId="3" fontId="51" fillId="0" borderId="0"/>
    <xf numFmtId="0" fontId="50"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13" fillId="0" borderId="0"/>
    <xf numFmtId="0" fontId="3" fillId="0" borderId="0"/>
    <xf numFmtId="0" fontId="52" fillId="0" borderId="0"/>
    <xf numFmtId="0" fontId="53" fillId="0" borderId="0" applyNumberFormat="0" applyFill="0" applyBorder="0" applyAlignment="0" applyProtection="0"/>
    <xf numFmtId="0" fontId="3" fillId="0" borderId="0"/>
    <xf numFmtId="0" fontId="3" fillId="0" borderId="0"/>
    <xf numFmtId="9" fontId="49"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2" fillId="0" borderId="0" applyFont="0" applyFill="0" applyBorder="0" applyAlignment="0" applyProtection="0"/>
    <xf numFmtId="9" fontId="3" fillId="0" borderId="0" applyFont="0" applyFill="0" applyBorder="0" applyAlignment="0" applyProtection="0"/>
    <xf numFmtId="0" fontId="2" fillId="0" borderId="0"/>
    <xf numFmtId="9" fontId="3" fillId="0" borderId="0" applyFont="0" applyFill="0" applyBorder="0" applyAlignment="0" applyProtection="0"/>
    <xf numFmtId="43" fontId="13" fillId="0" borderId="0" applyFont="0" applyFill="0" applyBorder="0" applyAlignment="0" applyProtection="0"/>
    <xf numFmtId="0" fontId="1" fillId="0" borderId="0"/>
    <xf numFmtId="43" fontId="1" fillId="0" borderId="0" applyFont="0" applyFill="0" applyBorder="0" applyAlignment="0" applyProtection="0"/>
    <xf numFmtId="0" fontId="72" fillId="0" borderId="0" applyNumberFormat="0" applyFill="0" applyBorder="0" applyAlignment="0" applyProtection="0"/>
  </cellStyleXfs>
  <cellXfs count="2014">
    <xf numFmtId="0" fontId="0" fillId="0" borderId="0" xfId="0"/>
    <xf numFmtId="0" fontId="0" fillId="0" borderId="0" xfId="0" applyAlignment="1">
      <alignment horizontal="center"/>
    </xf>
    <xf numFmtId="0" fontId="5" fillId="0" borderId="0" xfId="0" applyFont="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xf numFmtId="0" fontId="0" fillId="0" borderId="4" xfId="0" applyBorder="1"/>
    <xf numFmtId="0" fontId="0" fillId="0" borderId="5" xfId="0" applyBorder="1"/>
    <xf numFmtId="0" fontId="10" fillId="0" borderId="0" xfId="0" applyFont="1" applyAlignment="1">
      <alignment horizontal="left"/>
    </xf>
    <xf numFmtId="0" fontId="10" fillId="0" borderId="0" xfId="0" applyFont="1" applyAlignment="1">
      <alignment horizontal="center"/>
    </xf>
    <xf numFmtId="0" fontId="0" fillId="0" borderId="8" xfId="0" applyBorder="1"/>
    <xf numFmtId="0" fontId="0" fillId="0" borderId="9" xfId="0" applyBorder="1"/>
    <xf numFmtId="0" fontId="0" fillId="0" borderId="4" xfId="0" applyBorder="1" applyAlignment="1">
      <alignment horizontal="center"/>
    </xf>
    <xf numFmtId="0" fontId="0" fillId="0" borderId="10" xfId="0" applyBorder="1" applyAlignment="1">
      <alignment horizontal="center"/>
    </xf>
    <xf numFmtId="0" fontId="0" fillId="0" borderId="11" xfId="0" applyBorder="1"/>
    <xf numFmtId="0" fontId="0" fillId="0" borderId="10" xfId="0" applyBorder="1"/>
    <xf numFmtId="0" fontId="0" fillId="0" borderId="11" xfId="0" applyBorder="1" applyAlignment="1">
      <alignment horizontal="center"/>
    </xf>
    <xf numFmtId="0" fontId="0" fillId="0" borderId="12" xfId="0" applyBorder="1"/>
    <xf numFmtId="0" fontId="0" fillId="0" borderId="13" xfId="0" applyBorder="1"/>
    <xf numFmtId="0" fontId="0" fillId="0" borderId="14" xfId="0" applyBorder="1"/>
    <xf numFmtId="0" fontId="0" fillId="0" borderId="15" xfId="0" applyBorder="1" applyAlignment="1">
      <alignment horizontal="center"/>
    </xf>
    <xf numFmtId="0" fontId="0" fillId="0" borderId="16" xfId="0" applyBorder="1" applyAlignment="1">
      <alignment horizontal="center"/>
    </xf>
    <xf numFmtId="0" fontId="0" fillId="0" borderId="18" xfId="0" applyBorder="1"/>
    <xf numFmtId="0" fontId="0" fillId="0" borderId="19" xfId="0" applyBorder="1"/>
    <xf numFmtId="0" fontId="0" fillId="0" borderId="20" xfId="0" applyBorder="1"/>
    <xf numFmtId="0" fontId="0" fillId="0" borderId="21" xfId="0" applyBorder="1" applyAlignment="1">
      <alignment horizontal="center" vertical="center"/>
    </xf>
    <xf numFmtId="0" fontId="12" fillId="0" borderId="0" xfId="0" applyFont="1" applyAlignment="1">
      <alignment horizontal="center"/>
    </xf>
    <xf numFmtId="0" fontId="0" fillId="0" borderId="23" xfId="0" applyBorder="1"/>
    <xf numFmtId="0" fontId="0" fillId="0" borderId="24" xfId="0" applyBorder="1"/>
    <xf numFmtId="0" fontId="0" fillId="0" borderId="8" xfId="0" applyBorder="1" applyAlignment="1">
      <alignment horizontal="center"/>
    </xf>
    <xf numFmtId="0" fontId="0" fillId="0" borderId="26" xfId="0" applyBorder="1"/>
    <xf numFmtId="0" fontId="16" fillId="0" borderId="3" xfId="0" applyFont="1" applyBorder="1"/>
    <xf numFmtId="0" fontId="16" fillId="0" borderId="5" xfId="0" applyFont="1" applyBorder="1"/>
    <xf numFmtId="0" fontId="16" fillId="0" borderId="26" xfId="0" applyFont="1" applyBorder="1"/>
    <xf numFmtId="0" fontId="10" fillId="0" borderId="0" xfId="0" applyFont="1"/>
    <xf numFmtId="0" fontId="19" fillId="0" borderId="0" xfId="0" applyFont="1"/>
    <xf numFmtId="0" fontId="20" fillId="0" borderId="0" xfId="0" applyFont="1"/>
    <xf numFmtId="0" fontId="22" fillId="0" borderId="0" xfId="0" applyFont="1"/>
    <xf numFmtId="0" fontId="0" fillId="0" borderId="0" xfId="0" applyAlignment="1">
      <alignment horizontal="right"/>
    </xf>
    <xf numFmtId="0" fontId="4" fillId="0" borderId="0" xfId="0" applyFont="1" applyBorder="1" applyAlignment="1">
      <alignment horizontal="center"/>
    </xf>
    <xf numFmtId="0" fontId="0" fillId="0" borderId="30" xfId="0" applyBorder="1"/>
    <xf numFmtId="0" fontId="0" fillId="0" borderId="31" xfId="0" applyBorder="1"/>
    <xf numFmtId="0" fontId="0" fillId="0" borderId="0" xfId="0" applyBorder="1"/>
    <xf numFmtId="0" fontId="10" fillId="0" borderId="5" xfId="0" applyFont="1" applyBorder="1"/>
    <xf numFmtId="0" fontId="10" fillId="0" borderId="0" xfId="0" applyFont="1" applyBorder="1"/>
    <xf numFmtId="0" fontId="17" fillId="0" borderId="0" xfId="0" applyFont="1" applyAlignment="1">
      <alignment horizontal="center"/>
    </xf>
    <xf numFmtId="0" fontId="17" fillId="0" borderId="7" xfId="0" applyFont="1" applyBorder="1" applyAlignment="1">
      <alignment horizontal="center"/>
    </xf>
    <xf numFmtId="0" fontId="17" fillId="0" borderId="3" xfId="0" applyFont="1" applyBorder="1" applyAlignment="1">
      <alignment horizontal="center"/>
    </xf>
    <xf numFmtId="0" fontId="17" fillId="0" borderId="32" xfId="0" applyFont="1" applyBorder="1" applyAlignment="1">
      <alignment horizontal="center"/>
    </xf>
    <xf numFmtId="0" fontId="0" fillId="0" borderId="3" xfId="0" applyBorder="1" applyAlignment="1">
      <alignment horizontal="right"/>
    </xf>
    <xf numFmtId="0" fontId="0" fillId="0" borderId="18" xfId="0" applyBorder="1" applyAlignment="1">
      <alignment horizontal="right"/>
    </xf>
    <xf numFmtId="0" fontId="17" fillId="0" borderId="33" xfId="0" applyFont="1" applyBorder="1" applyAlignment="1">
      <alignment horizontal="center"/>
    </xf>
    <xf numFmtId="0" fontId="0" fillId="0" borderId="5" xfId="0" applyBorder="1" applyAlignment="1">
      <alignment horizontal="right"/>
    </xf>
    <xf numFmtId="0" fontId="0" fillId="0" borderId="26" xfId="0" applyBorder="1" applyAlignment="1">
      <alignment horizontal="right"/>
    </xf>
    <xf numFmtId="0" fontId="0" fillId="0" borderId="9" xfId="0" applyBorder="1" applyAlignment="1">
      <alignment horizontal="center"/>
    </xf>
    <xf numFmtId="49" fontId="0" fillId="0" borderId="8" xfId="0" applyNumberFormat="1" applyBorder="1" applyAlignment="1">
      <alignment horizontal="center"/>
    </xf>
    <xf numFmtId="49" fontId="0" fillId="0" borderId="11" xfId="0" applyNumberFormat="1" applyBorder="1" applyAlignment="1">
      <alignment horizontal="center"/>
    </xf>
    <xf numFmtId="0" fontId="16" fillId="0" borderId="0" xfId="0" applyFont="1" applyAlignment="1">
      <alignment horizontal="center"/>
    </xf>
    <xf numFmtId="0" fontId="16" fillId="0" borderId="18" xfId="0" applyFont="1" applyBorder="1" applyAlignment="1">
      <alignment horizontal="center"/>
    </xf>
    <xf numFmtId="0" fontId="16" fillId="0" borderId="26" xfId="0" applyFont="1" applyBorder="1" applyAlignment="1">
      <alignment horizontal="center"/>
    </xf>
    <xf numFmtId="0" fontId="16" fillId="0" borderId="3" xfId="0" applyFont="1" applyBorder="1" applyAlignment="1">
      <alignment horizontal="center"/>
    </xf>
    <xf numFmtId="0" fontId="0" fillId="0" borderId="1" xfId="0" applyBorder="1"/>
    <xf numFmtId="0" fontId="10" fillId="0" borderId="18" xfId="0" applyFont="1" applyBorder="1"/>
    <xf numFmtId="43" fontId="0" fillId="0" borderId="33" xfId="1" applyFont="1" applyBorder="1"/>
    <xf numFmtId="43" fontId="0" fillId="0" borderId="18" xfId="1" applyFont="1" applyBorder="1"/>
    <xf numFmtId="43" fontId="0" fillId="0" borderId="0" xfId="1" applyFont="1"/>
    <xf numFmtId="43" fontId="0" fillId="0" borderId="27" xfId="1" applyFont="1" applyBorder="1"/>
    <xf numFmtId="43" fontId="0" fillId="0" borderId="26" xfId="1" applyFont="1" applyBorder="1"/>
    <xf numFmtId="43" fontId="0" fillId="0" borderId="7" xfId="1" applyFont="1" applyBorder="1"/>
    <xf numFmtId="43" fontId="0" fillId="0" borderId="3" xfId="1" applyFont="1" applyBorder="1"/>
    <xf numFmtId="43" fontId="0" fillId="0" borderId="25" xfId="1" applyFont="1" applyBorder="1"/>
    <xf numFmtId="43" fontId="0" fillId="0" borderId="34" xfId="1" applyFont="1" applyBorder="1"/>
    <xf numFmtId="43" fontId="0" fillId="0" borderId="35" xfId="1" applyFont="1" applyBorder="1"/>
    <xf numFmtId="43" fontId="0" fillId="0" borderId="5" xfId="1" applyFont="1" applyBorder="1"/>
    <xf numFmtId="0" fontId="0" fillId="0" borderId="15" xfId="0" applyBorder="1"/>
    <xf numFmtId="0" fontId="0" fillId="0" borderId="20" xfId="0" applyBorder="1" applyAlignment="1">
      <alignment horizontal="right"/>
    </xf>
    <xf numFmtId="43" fontId="0" fillId="0" borderId="36" xfId="1" applyFont="1" applyBorder="1"/>
    <xf numFmtId="0" fontId="0" fillId="0" borderId="31" xfId="0" applyBorder="1" applyAlignment="1">
      <alignment horizontal="right"/>
    </xf>
    <xf numFmtId="43" fontId="0" fillId="0" borderId="12" xfId="1" applyFont="1" applyBorder="1"/>
    <xf numFmtId="43" fontId="0" fillId="0" borderId="11" xfId="1" applyFont="1" applyBorder="1"/>
    <xf numFmtId="43" fontId="0" fillId="0" borderId="30" xfId="1" applyFont="1" applyBorder="1"/>
    <xf numFmtId="0" fontId="17" fillId="0" borderId="37" xfId="0" applyFont="1" applyBorder="1" applyAlignment="1">
      <alignment horizontal="center" vertical="center"/>
    </xf>
    <xf numFmtId="0" fontId="17" fillId="0" borderId="3" xfId="0" applyFont="1" applyBorder="1"/>
    <xf numFmtId="0" fontId="0" fillId="0" borderId="38" xfId="0" applyBorder="1"/>
    <xf numFmtId="43" fontId="0" fillId="0" borderId="8" xfId="1" applyFont="1" applyBorder="1"/>
    <xf numFmtId="49" fontId="0" fillId="0" borderId="0" xfId="0" applyNumberFormat="1" applyAlignment="1">
      <alignment horizontal="center"/>
    </xf>
    <xf numFmtId="49" fontId="0" fillId="0" borderId="18" xfId="0" applyNumberFormat="1" applyBorder="1" applyAlignment="1">
      <alignment horizontal="center"/>
    </xf>
    <xf numFmtId="49" fontId="0" fillId="0" borderId="3" xfId="0" applyNumberFormat="1" applyBorder="1" applyAlignment="1">
      <alignment horizontal="center"/>
    </xf>
    <xf numFmtId="49" fontId="0" fillId="0" borderId="26" xfId="0" applyNumberFormat="1" applyBorder="1" applyAlignment="1">
      <alignment horizontal="center"/>
    </xf>
    <xf numFmtId="0" fontId="0" fillId="0" borderId="37" xfId="0" applyBorder="1"/>
    <xf numFmtId="0" fontId="16" fillId="0" borderId="3" xfId="0" applyFont="1" applyBorder="1" applyAlignment="1">
      <alignment wrapText="1"/>
    </xf>
    <xf numFmtId="49" fontId="25" fillId="0" borderId="0" xfId="0" applyNumberFormat="1" applyFont="1" applyAlignment="1">
      <alignment horizontal="left"/>
    </xf>
    <xf numFmtId="0" fontId="23" fillId="0" borderId="0" xfId="0" applyFont="1"/>
    <xf numFmtId="0" fontId="13" fillId="0" borderId="0" xfId="0" applyFont="1"/>
    <xf numFmtId="0" fontId="26" fillId="0" borderId="0" xfId="0" applyFont="1"/>
    <xf numFmtId="0" fontId="0" fillId="0" borderId="39" xfId="0" applyBorder="1"/>
    <xf numFmtId="0" fontId="0" fillId="0" borderId="40" xfId="0" applyBorder="1"/>
    <xf numFmtId="49" fontId="0" fillId="0" borderId="0" xfId="0" applyNumberFormat="1" applyAlignment="1">
      <alignment horizontal="left"/>
    </xf>
    <xf numFmtId="0" fontId="0" fillId="0" borderId="0" xfId="0" applyAlignment="1">
      <alignment horizontal="left"/>
    </xf>
    <xf numFmtId="43" fontId="0" fillId="0" borderId="22" xfId="1" applyFont="1" applyBorder="1"/>
    <xf numFmtId="0" fontId="16" fillId="0" borderId="0" xfId="0" applyFont="1"/>
    <xf numFmtId="0" fontId="0" fillId="0" borderId="41" xfId="0" applyBorder="1" applyAlignment="1">
      <alignment horizontal="right"/>
    </xf>
    <xf numFmtId="0" fontId="0" fillId="0" borderId="41" xfId="0" applyBorder="1"/>
    <xf numFmtId="43" fontId="13" fillId="0" borderId="27" xfId="1" applyFont="1" applyBorder="1"/>
    <xf numFmtId="43" fontId="13" fillId="0" borderId="10" xfId="1" applyFont="1" applyBorder="1"/>
    <xf numFmtId="43" fontId="13" fillId="0" borderId="22" xfId="1" applyFont="1" applyBorder="1"/>
    <xf numFmtId="0" fontId="0" fillId="0" borderId="0" xfId="0" applyAlignment="1">
      <alignment vertical="center"/>
    </xf>
    <xf numFmtId="0" fontId="0" fillId="0" borderId="21" xfId="0" applyBorder="1"/>
    <xf numFmtId="0" fontId="6" fillId="0" borderId="0" xfId="0" applyFont="1" applyAlignment="1">
      <alignment horizontal="center"/>
    </xf>
    <xf numFmtId="43" fontId="0" fillId="0" borderId="41" xfId="1" applyFont="1" applyBorder="1"/>
    <xf numFmtId="43" fontId="0" fillId="0" borderId="20" xfId="1" applyFont="1" applyBorder="1"/>
    <xf numFmtId="43" fontId="0" fillId="0" borderId="43" xfId="1" applyFont="1" applyBorder="1"/>
    <xf numFmtId="43" fontId="0" fillId="0" borderId="44" xfId="1" applyFont="1" applyBorder="1"/>
    <xf numFmtId="43" fontId="0" fillId="0" borderId="45" xfId="1" applyFont="1" applyBorder="1"/>
    <xf numFmtId="43" fontId="0" fillId="0" borderId="31" xfId="1" applyFont="1" applyBorder="1"/>
    <xf numFmtId="43" fontId="0" fillId="0" borderId="23" xfId="1" applyFont="1" applyBorder="1"/>
    <xf numFmtId="0" fontId="17" fillId="0" borderId="0" xfId="0" applyFont="1"/>
    <xf numFmtId="0" fontId="11" fillId="0" borderId="0" xfId="0" applyFont="1"/>
    <xf numFmtId="43" fontId="3" fillId="0" borderId="7" xfId="1" applyBorder="1"/>
    <xf numFmtId="0" fontId="0" fillId="0" borderId="19" xfId="0" applyBorder="1" applyAlignment="1">
      <alignment horizontal="right"/>
    </xf>
    <xf numFmtId="43" fontId="3" fillId="0" borderId="0" xfId="1" applyBorder="1"/>
    <xf numFmtId="43" fontId="3" fillId="0" borderId="8" xfId="1" applyBorder="1"/>
    <xf numFmtId="43" fontId="3" fillId="0" borderId="34" xfId="1" applyBorder="1"/>
    <xf numFmtId="43" fontId="0" fillId="0" borderId="0" xfId="1" applyFont="1" applyBorder="1"/>
    <xf numFmtId="43" fontId="17" fillId="0" borderId="18" xfId="1" applyFont="1" applyBorder="1" applyAlignment="1">
      <alignment horizontal="center"/>
    </xf>
    <xf numFmtId="43" fontId="17" fillId="0" borderId="3" xfId="1" applyFont="1" applyBorder="1" applyAlignment="1">
      <alignment horizontal="center"/>
    </xf>
    <xf numFmtId="43" fontId="17" fillId="0" borderId="26" xfId="1" applyFont="1" applyBorder="1" applyAlignment="1">
      <alignment horizontal="center"/>
    </xf>
    <xf numFmtId="49" fontId="6" fillId="0" borderId="0" xfId="0" applyNumberFormat="1" applyFont="1" applyAlignment="1">
      <alignment horizontal="center"/>
    </xf>
    <xf numFmtId="0" fontId="22" fillId="0" borderId="0" xfId="0" applyFont="1" applyAlignment="1">
      <alignment horizontal="center"/>
    </xf>
    <xf numFmtId="0" fontId="22" fillId="0" borderId="0" xfId="0" applyFont="1" applyAlignment="1">
      <alignment horizontal="center" vertical="center"/>
    </xf>
    <xf numFmtId="0" fontId="0" fillId="0" borderId="0" xfId="0" applyBorder="1" applyAlignment="1">
      <alignment horizontal="center"/>
    </xf>
    <xf numFmtId="0" fontId="22" fillId="0" borderId="0" xfId="0" applyFont="1" applyBorder="1" applyAlignment="1">
      <alignment horizontal="center"/>
    </xf>
    <xf numFmtId="43" fontId="0" fillId="0" borderId="17" xfId="1" applyFont="1" applyBorder="1"/>
    <xf numFmtId="43" fontId="0" fillId="0" borderId="6" xfId="1" applyFont="1" applyBorder="1"/>
    <xf numFmtId="43" fontId="0" fillId="0" borderId="48" xfId="1" applyFont="1" applyBorder="1"/>
    <xf numFmtId="43" fontId="3" fillId="0" borderId="11" xfId="1" applyBorder="1"/>
    <xf numFmtId="0" fontId="13" fillId="0" borderId="0" xfId="0" applyFont="1" applyAlignment="1">
      <alignment horizontal="center" vertical="center" textRotation="180" wrapText="1"/>
    </xf>
    <xf numFmtId="0" fontId="0" fillId="0" borderId="23" xfId="0" applyBorder="1" applyAlignment="1">
      <alignment horizontal="right"/>
    </xf>
    <xf numFmtId="0" fontId="0" fillId="0" borderId="49" xfId="0" applyBorder="1" applyAlignment="1">
      <alignment horizontal="right"/>
    </xf>
    <xf numFmtId="43" fontId="3" fillId="0" borderId="36" xfId="1" applyBorder="1"/>
    <xf numFmtId="0" fontId="0" fillId="0" borderId="23" xfId="0" applyBorder="1" applyAlignment="1">
      <alignment horizontal="center"/>
    </xf>
    <xf numFmtId="0" fontId="0" fillId="0" borderId="2" xfId="0" applyBorder="1" applyAlignment="1">
      <alignment horizontal="center" vertical="center" wrapText="1"/>
    </xf>
    <xf numFmtId="0" fontId="16" fillId="0" borderId="0" xfId="0" applyFont="1" applyAlignment="1">
      <alignment horizontal="right"/>
    </xf>
    <xf numFmtId="43" fontId="17" fillId="0" borderId="33" xfId="1" applyFont="1" applyBorder="1" applyAlignment="1">
      <alignment horizontal="center"/>
    </xf>
    <xf numFmtId="43" fontId="17" fillId="0" borderId="7" xfId="1" applyFont="1" applyBorder="1" applyAlignment="1">
      <alignment horizontal="center"/>
    </xf>
    <xf numFmtId="49" fontId="0" fillId="0" borderId="3" xfId="0" applyNumberFormat="1" applyBorder="1" applyAlignment="1">
      <alignment horizontal="left"/>
    </xf>
    <xf numFmtId="49" fontId="0" fillId="0" borderId="23" xfId="0" applyNumberFormat="1" applyBorder="1" applyAlignment="1">
      <alignment horizontal="center"/>
    </xf>
    <xf numFmtId="0" fontId="17" fillId="0" borderId="11" xfId="0" applyFont="1" applyBorder="1" applyAlignment="1">
      <alignment horizontal="center"/>
    </xf>
    <xf numFmtId="0" fontId="16" fillId="0" borderId="0" xfId="0" applyFont="1" applyBorder="1" applyAlignment="1">
      <alignment horizontal="center"/>
    </xf>
    <xf numFmtId="0" fontId="17" fillId="0" borderId="0" xfId="0" applyFont="1" applyBorder="1"/>
    <xf numFmtId="0" fontId="10" fillId="0" borderId="0" xfId="0" applyFont="1" applyBorder="1" applyAlignment="1">
      <alignment horizontal="right"/>
    </xf>
    <xf numFmtId="43" fontId="3" fillId="0" borderId="25" xfId="1" applyBorder="1"/>
    <xf numFmtId="49" fontId="10" fillId="0" borderId="0" xfId="0" applyNumberFormat="1" applyFont="1" applyBorder="1" applyAlignment="1">
      <alignment horizontal="left"/>
    </xf>
    <xf numFmtId="0" fontId="10" fillId="0" borderId="0" xfId="0" applyFont="1" applyBorder="1" applyAlignment="1">
      <alignment horizontal="left"/>
    </xf>
    <xf numFmtId="0" fontId="17" fillId="0" borderId="14" xfId="0" applyFont="1" applyBorder="1" applyAlignment="1">
      <alignment horizontal="center"/>
    </xf>
    <xf numFmtId="43" fontId="3" fillId="0" borderId="14" xfId="1" applyBorder="1"/>
    <xf numFmtId="43" fontId="17" fillId="0" borderId="27" xfId="1" applyFont="1" applyBorder="1" applyAlignment="1">
      <alignment horizontal="center"/>
    </xf>
    <xf numFmtId="43" fontId="17" fillId="0" borderId="24" xfId="1" applyFont="1" applyBorder="1" applyAlignment="1">
      <alignment horizontal="center"/>
    </xf>
    <xf numFmtId="43" fontId="3" fillId="0" borderId="26" xfId="1" applyBorder="1"/>
    <xf numFmtId="43" fontId="3" fillId="0" borderId="35" xfId="1" applyBorder="1"/>
    <xf numFmtId="49" fontId="16" fillId="0" borderId="0" xfId="0" applyNumberFormat="1" applyFont="1" applyAlignment="1">
      <alignment horizontal="left"/>
    </xf>
    <xf numFmtId="0" fontId="17" fillId="0" borderId="0" xfId="0" applyFont="1" applyBorder="1" applyAlignment="1">
      <alignment horizontal="center"/>
    </xf>
    <xf numFmtId="0" fontId="0" fillId="0" borderId="52" xfId="0" applyBorder="1"/>
    <xf numFmtId="43" fontId="0" fillId="0" borderId="4" xfId="1" applyFont="1" applyBorder="1"/>
    <xf numFmtId="43" fontId="17" fillId="0" borderId="4" xfId="1" applyFont="1" applyBorder="1" applyAlignment="1">
      <alignment horizontal="center"/>
    </xf>
    <xf numFmtId="43" fontId="17" fillId="0" borderId="0" xfId="1" applyFont="1" applyAlignment="1">
      <alignment horizontal="center"/>
    </xf>
    <xf numFmtId="43" fontId="17" fillId="0" borderId="6" xfId="1" applyFont="1" applyBorder="1" applyAlignment="1">
      <alignment horizontal="center"/>
    </xf>
    <xf numFmtId="43" fontId="0" fillId="0" borderId="53" xfId="1" applyFont="1" applyBorder="1"/>
    <xf numFmtId="43" fontId="17" fillId="0" borderId="32" xfId="1" applyFont="1" applyBorder="1" applyAlignment="1">
      <alignment horizontal="center"/>
    </xf>
    <xf numFmtId="0" fontId="25" fillId="0" borderId="0" xfId="0" applyFont="1"/>
    <xf numFmtId="0" fontId="0" fillId="0" borderId="54" xfId="0" applyBorder="1"/>
    <xf numFmtId="0" fontId="0" fillId="0" borderId="55" xfId="0" applyBorder="1"/>
    <xf numFmtId="0" fontId="0" fillId="0" borderId="56" xfId="0" applyBorder="1"/>
    <xf numFmtId="0" fontId="0" fillId="0" borderId="57" xfId="0" applyBorder="1"/>
    <xf numFmtId="0" fontId="0" fillId="0" borderId="58" xfId="0" applyBorder="1"/>
    <xf numFmtId="49" fontId="0" fillId="0" borderId="0" xfId="0" applyNumberFormat="1" applyBorder="1" applyAlignment="1">
      <alignment horizontal="left"/>
    </xf>
    <xf numFmtId="0" fontId="0" fillId="0" borderId="59" xfId="0" applyBorder="1"/>
    <xf numFmtId="0" fontId="0" fillId="0" borderId="60" xfId="0" applyBorder="1"/>
    <xf numFmtId="0" fontId="0" fillId="0" borderId="61" xfId="0" applyBorder="1"/>
    <xf numFmtId="49" fontId="17" fillId="0" borderId="0" xfId="0" applyNumberFormat="1" applyFont="1" applyBorder="1" applyAlignment="1">
      <alignment horizontal="left"/>
    </xf>
    <xf numFmtId="0" fontId="22" fillId="0" borderId="0" xfId="0" applyFont="1" applyBorder="1"/>
    <xf numFmtId="0" fontId="13" fillId="0" borderId="0" xfId="0" applyFont="1" applyAlignment="1">
      <alignment horizontal="center"/>
    </xf>
    <xf numFmtId="0" fontId="11" fillId="0" borderId="0" xfId="0" applyFont="1" applyAlignment="1">
      <alignment horizontal="left"/>
    </xf>
    <xf numFmtId="0" fontId="13" fillId="0" borderId="0" xfId="0" applyFont="1" applyBorder="1"/>
    <xf numFmtId="0" fontId="23" fillId="0" borderId="3" xfId="0" applyFont="1" applyBorder="1" applyAlignment="1">
      <alignment horizontal="left"/>
    </xf>
    <xf numFmtId="0" fontId="0" fillId="0" borderId="62" xfId="0" applyBorder="1"/>
    <xf numFmtId="49" fontId="0" fillId="0" borderId="62" xfId="0" applyNumberFormat="1" applyBorder="1" applyAlignment="1">
      <alignment horizontal="center" vertical="center"/>
    </xf>
    <xf numFmtId="0" fontId="0" fillId="0" borderId="62" xfId="0" applyBorder="1" applyAlignment="1">
      <alignment horizontal="center" vertical="center"/>
    </xf>
    <xf numFmtId="0" fontId="15" fillId="0" borderId="0" xfId="0" applyFont="1"/>
    <xf numFmtId="43" fontId="3" fillId="0" borderId="0" xfId="1"/>
    <xf numFmtId="0" fontId="13" fillId="0" borderId="18" xfId="0" applyFont="1" applyBorder="1" applyAlignment="1"/>
    <xf numFmtId="0" fontId="0" fillId="0" borderId="65" xfId="0" applyBorder="1"/>
    <xf numFmtId="49" fontId="16" fillId="0" borderId="0" xfId="0" applyNumberFormat="1" applyFont="1"/>
    <xf numFmtId="0" fontId="16" fillId="0" borderId="0" xfId="0" applyFont="1" applyAlignment="1">
      <alignment horizontal="left"/>
    </xf>
    <xf numFmtId="49" fontId="0" fillId="0" borderId="0" xfId="0" applyNumberFormat="1" applyAlignment="1"/>
    <xf numFmtId="0" fontId="0" fillId="0" borderId="0" xfId="0" applyAlignment="1"/>
    <xf numFmtId="43" fontId="17" fillId="0" borderId="28" xfId="1" applyFont="1" applyBorder="1" applyAlignment="1">
      <alignment horizontal="center"/>
    </xf>
    <xf numFmtId="43" fontId="0" fillId="0" borderId="56" xfId="0" applyNumberFormat="1" applyBorder="1"/>
    <xf numFmtId="43" fontId="20" fillId="0" borderId="36" xfId="1" applyFont="1" applyBorder="1" applyAlignment="1"/>
    <xf numFmtId="0" fontId="0" fillId="0" borderId="0" xfId="0" applyAlignment="1">
      <alignment horizontal="center" vertical="top"/>
    </xf>
    <xf numFmtId="0" fontId="0" fillId="0" borderId="15" xfId="0" applyBorder="1" applyAlignment="1">
      <alignment horizontal="center" vertical="top"/>
    </xf>
    <xf numFmtId="49" fontId="16" fillId="0" borderId="0" xfId="0" applyNumberFormat="1" applyFont="1" applyAlignment="1">
      <alignment horizontal="right"/>
    </xf>
    <xf numFmtId="8" fontId="16" fillId="0" borderId="0" xfId="0" applyNumberFormat="1" applyFont="1"/>
    <xf numFmtId="0" fontId="38" fillId="0" borderId="0" xfId="0" applyFont="1"/>
    <xf numFmtId="49" fontId="38" fillId="0" borderId="0" xfId="0" applyNumberFormat="1" applyFont="1" applyBorder="1" applyAlignment="1">
      <alignment horizontal="left"/>
    </xf>
    <xf numFmtId="0" fontId="38" fillId="0" borderId="0" xfId="0" applyFont="1" applyBorder="1"/>
    <xf numFmtId="0" fontId="38" fillId="0" borderId="0" xfId="0" applyFont="1" applyBorder="1" applyAlignment="1">
      <alignment horizontal="right"/>
    </xf>
    <xf numFmtId="0" fontId="38" fillId="0" borderId="0" xfId="0" applyFont="1" applyBorder="1" applyAlignment="1">
      <alignment horizontal="left"/>
    </xf>
    <xf numFmtId="49" fontId="16" fillId="0" borderId="0" xfId="0" applyNumberFormat="1" applyFont="1" applyAlignment="1"/>
    <xf numFmtId="0" fontId="16" fillId="0" borderId="0" xfId="0" applyFont="1" applyAlignment="1"/>
    <xf numFmtId="43" fontId="0" fillId="0" borderId="3" xfId="1" applyFont="1" applyBorder="1" applyAlignment="1">
      <alignment horizontal="center"/>
    </xf>
    <xf numFmtId="43" fontId="0" fillId="0" borderId="32" xfId="1" applyFont="1" applyBorder="1"/>
    <xf numFmtId="43" fontId="13" fillId="0" borderId="3" xfId="1" applyFont="1" applyBorder="1"/>
    <xf numFmtId="43" fontId="13" fillId="0" borderId="34" xfId="1" applyFont="1" applyBorder="1"/>
    <xf numFmtId="43" fontId="13" fillId="0" borderId="33" xfId="1" applyFont="1" applyBorder="1"/>
    <xf numFmtId="43" fontId="13" fillId="0" borderId="18" xfId="1" applyFont="1" applyBorder="1"/>
    <xf numFmtId="43" fontId="13" fillId="0" borderId="11" xfId="1" applyFont="1" applyBorder="1"/>
    <xf numFmtId="43" fontId="13" fillId="0" borderId="8" xfId="1" applyFont="1" applyBorder="1"/>
    <xf numFmtId="43" fontId="13" fillId="0" borderId="28" xfId="1" applyFont="1" applyBorder="1"/>
    <xf numFmtId="43" fontId="13" fillId="0" borderId="30" xfId="1" applyFont="1" applyBorder="1"/>
    <xf numFmtId="43" fontId="13" fillId="0" borderId="64" xfId="1" applyFont="1" applyBorder="1"/>
    <xf numFmtId="43" fontId="0" fillId="0" borderId="0" xfId="0" applyNumberFormat="1"/>
    <xf numFmtId="49" fontId="17" fillId="0" borderId="18" xfId="0" applyNumberFormat="1" applyFont="1" applyBorder="1" applyAlignment="1">
      <alignment horizontal="left"/>
    </xf>
    <xf numFmtId="43" fontId="13" fillId="0" borderId="0" xfId="1" applyFont="1"/>
    <xf numFmtId="43" fontId="13" fillId="0" borderId="26" xfId="1" applyFont="1" applyBorder="1"/>
    <xf numFmtId="43" fontId="13" fillId="0" borderId="82" xfId="1" applyFont="1" applyBorder="1"/>
    <xf numFmtId="43" fontId="13" fillId="0" borderId="35" xfId="1" applyFont="1" applyBorder="1"/>
    <xf numFmtId="43" fontId="13" fillId="0" borderId="12" xfId="1" applyFont="1" applyBorder="1"/>
    <xf numFmtId="43" fontId="13" fillId="0" borderId="36" xfId="1" applyFont="1" applyBorder="1"/>
    <xf numFmtId="0" fontId="13" fillId="0" borderId="15" xfId="0" applyFont="1" applyBorder="1"/>
    <xf numFmtId="43" fontId="13" fillId="0" borderId="83" xfId="1" applyFont="1" applyBorder="1"/>
    <xf numFmtId="43" fontId="13" fillId="0" borderId="84" xfId="1" applyFont="1" applyBorder="1"/>
    <xf numFmtId="43" fontId="13" fillId="0" borderId="23" xfId="1" applyFont="1" applyBorder="1"/>
    <xf numFmtId="43" fontId="0" fillId="0" borderId="86" xfId="1" applyFont="1" applyBorder="1"/>
    <xf numFmtId="43" fontId="0" fillId="0" borderId="87" xfId="1" applyFont="1" applyBorder="1"/>
    <xf numFmtId="0" fontId="39" fillId="0" borderId="0" xfId="0" applyFont="1"/>
    <xf numFmtId="0" fontId="0" fillId="0" borderId="52" xfId="0" applyBorder="1" applyAlignment="1">
      <alignment horizontal="right"/>
    </xf>
    <xf numFmtId="0" fontId="0" fillId="0" borderId="12" xfId="0" applyBorder="1" applyAlignment="1">
      <alignment horizontal="center"/>
    </xf>
    <xf numFmtId="43" fontId="3" fillId="0" borderId="12" xfId="1" applyBorder="1"/>
    <xf numFmtId="0" fontId="0" fillId="0" borderId="0" xfId="0" applyFill="1"/>
    <xf numFmtId="43" fontId="0" fillId="0" borderId="7" xfId="1" applyFont="1" applyFill="1" applyBorder="1"/>
    <xf numFmtId="10" fontId="0" fillId="0" borderId="0" xfId="13" applyNumberFormat="1" applyFont="1"/>
    <xf numFmtId="49" fontId="0" fillId="0" borderId="0" xfId="0" quotePrefix="1" applyNumberFormat="1" applyAlignment="1">
      <alignment horizontal="center"/>
    </xf>
    <xf numFmtId="0" fontId="22" fillId="0" borderId="0" xfId="0" applyFont="1" applyFill="1" applyAlignment="1">
      <alignment horizontal="center"/>
    </xf>
    <xf numFmtId="43" fontId="3" fillId="0" borderId="26" xfId="1" applyFill="1" applyBorder="1"/>
    <xf numFmtId="165" fontId="0" fillId="0" borderId="0" xfId="0" applyNumberFormat="1"/>
    <xf numFmtId="168" fontId="0" fillId="0" borderId="0" xfId="0" applyNumberFormat="1"/>
    <xf numFmtId="167" fontId="0" fillId="0" borderId="0" xfId="0" applyNumberFormat="1"/>
    <xf numFmtId="0" fontId="0" fillId="0" borderId="10" xfId="0" applyFill="1" applyBorder="1" applyAlignment="1">
      <alignment horizontal="center"/>
    </xf>
    <xf numFmtId="43" fontId="0" fillId="0" borderId="0" xfId="0" applyNumberFormat="1" applyFill="1"/>
    <xf numFmtId="0" fontId="0" fillId="0" borderId="23" xfId="0" applyFill="1" applyBorder="1"/>
    <xf numFmtId="0" fontId="0" fillId="0" borderId="0" xfId="0" applyFill="1" applyBorder="1"/>
    <xf numFmtId="0" fontId="0" fillId="0" borderId="2" xfId="0" applyFill="1" applyBorder="1" applyAlignment="1">
      <alignment horizontal="center" vertical="center"/>
    </xf>
    <xf numFmtId="0" fontId="0" fillId="0" borderId="1" xfId="0" applyFill="1" applyBorder="1" applyAlignment="1">
      <alignment horizontal="center" vertical="center"/>
    </xf>
    <xf numFmtId="43" fontId="3" fillId="0" borderId="4" xfId="1" applyFill="1" applyBorder="1"/>
    <xf numFmtId="43" fontId="3" fillId="0" borderId="0" xfId="1" applyFill="1"/>
    <xf numFmtId="43" fontId="3" fillId="0" borderId="3" xfId="1" applyFill="1" applyBorder="1"/>
    <xf numFmtId="43" fontId="17" fillId="0" borderId="3" xfId="1" applyFont="1" applyFill="1" applyBorder="1" applyAlignment="1">
      <alignment horizontal="center"/>
    </xf>
    <xf numFmtId="0" fontId="0" fillId="0" borderId="13" xfId="0" applyFill="1" applyBorder="1"/>
    <xf numFmtId="0" fontId="0" fillId="0" borderId="16" xfId="0" applyFill="1" applyBorder="1" applyAlignment="1">
      <alignment horizontal="center"/>
    </xf>
    <xf numFmtId="0" fontId="0" fillId="0" borderId="14" xfId="0" applyFill="1" applyBorder="1"/>
    <xf numFmtId="43" fontId="13" fillId="0" borderId="26" xfId="1" applyFont="1" applyFill="1" applyBorder="1"/>
    <xf numFmtId="43" fontId="13" fillId="0" borderId="32" xfId="1" applyFont="1" applyFill="1" applyBorder="1"/>
    <xf numFmtId="43" fontId="13" fillId="0" borderId="87" xfId="1" applyFont="1" applyFill="1" applyBorder="1"/>
    <xf numFmtId="43" fontId="0" fillId="0" borderId="3" xfId="1" applyFont="1" applyFill="1" applyBorder="1"/>
    <xf numFmtId="43" fontId="0" fillId="0" borderId="26" xfId="1" applyFont="1" applyFill="1" applyBorder="1"/>
    <xf numFmtId="43" fontId="3" fillId="0" borderId="0" xfId="0" applyNumberFormat="1" applyFont="1"/>
    <xf numFmtId="43" fontId="3" fillId="0" borderId="0" xfId="0" applyNumberFormat="1" applyFont="1" applyFill="1"/>
    <xf numFmtId="0" fontId="0" fillId="0" borderId="0" xfId="0"/>
    <xf numFmtId="0" fontId="3" fillId="0" borderId="0" xfId="0" applyFont="1"/>
    <xf numFmtId="0" fontId="0" fillId="0" borderId="0" xfId="0" applyFill="1"/>
    <xf numFmtId="0" fontId="13" fillId="0" borderId="0" xfId="38"/>
    <xf numFmtId="0" fontId="0" fillId="0" borderId="26" xfId="0" applyFill="1" applyBorder="1" applyAlignment="1"/>
    <xf numFmtId="0" fontId="0" fillId="0" borderId="0" xfId="0"/>
    <xf numFmtId="0" fontId="0" fillId="0" borderId="3" xfId="0" applyBorder="1"/>
    <xf numFmtId="0" fontId="0" fillId="0" borderId="10" xfId="0" applyBorder="1" applyAlignment="1">
      <alignment horizontal="center"/>
    </xf>
    <xf numFmtId="0" fontId="0" fillId="0" borderId="18" xfId="0" applyBorder="1"/>
    <xf numFmtId="0" fontId="0" fillId="0" borderId="26" xfId="0" applyBorder="1"/>
    <xf numFmtId="0" fontId="3" fillId="0" borderId="0" xfId="0" applyFont="1"/>
    <xf numFmtId="0" fontId="0" fillId="0" borderId="0" xfId="0" applyBorder="1"/>
    <xf numFmtId="43" fontId="0" fillId="0" borderId="0" xfId="1" applyFont="1"/>
    <xf numFmtId="0" fontId="13" fillId="0" borderId="0" xfId="0" applyFont="1"/>
    <xf numFmtId="0" fontId="16" fillId="0" borderId="0" xfId="0" applyFont="1"/>
    <xf numFmtId="0" fontId="22" fillId="0" borderId="0" xfId="0" applyFont="1" applyAlignment="1">
      <alignment horizontal="center"/>
    </xf>
    <xf numFmtId="43" fontId="0" fillId="0" borderId="0" xfId="0" applyNumberFormat="1"/>
    <xf numFmtId="43" fontId="3" fillId="0" borderId="7" xfId="1" applyFill="1" applyBorder="1"/>
    <xf numFmtId="0" fontId="13" fillId="0" borderId="0" xfId="38"/>
    <xf numFmtId="14" fontId="22" fillId="0" borderId="0" xfId="0" applyNumberFormat="1" applyFont="1" applyBorder="1" applyAlignment="1">
      <alignment horizontal="center"/>
    </xf>
    <xf numFmtId="0" fontId="22" fillId="0" borderId="0" xfId="0" applyNumberFormat="1" applyFont="1" applyAlignment="1">
      <alignment horizontal="left"/>
    </xf>
    <xf numFmtId="0" fontId="0" fillId="0" borderId="0" xfId="0" applyNumberFormat="1" applyAlignment="1">
      <alignment horizontal="left"/>
    </xf>
    <xf numFmtId="14" fontId="0" fillId="0" borderId="0" xfId="0" applyNumberFormat="1" applyAlignment="1">
      <alignment horizontal="center"/>
    </xf>
    <xf numFmtId="14" fontId="0" fillId="0" borderId="16" xfId="0" applyNumberFormat="1" applyBorder="1" applyAlignment="1">
      <alignment horizontal="center"/>
    </xf>
    <xf numFmtId="14" fontId="0" fillId="0" borderId="10" xfId="0" applyNumberFormat="1" applyBorder="1" applyAlignment="1">
      <alignment horizontal="center"/>
    </xf>
    <xf numFmtId="14" fontId="0" fillId="0" borderId="16" xfId="0" applyNumberFormat="1" applyFill="1" applyBorder="1" applyAlignment="1">
      <alignment horizontal="center"/>
    </xf>
    <xf numFmtId="0" fontId="3" fillId="0" borderId="3" xfId="0" quotePrefix="1" applyFont="1" applyBorder="1"/>
    <xf numFmtId="1" fontId="3" fillId="0" borderId="0" xfId="19" applyNumberFormat="1" applyAlignment="1">
      <alignment horizontal="center"/>
    </xf>
    <xf numFmtId="0" fontId="3" fillId="0" borderId="3" xfId="19" applyBorder="1"/>
    <xf numFmtId="14" fontId="10" fillId="0" borderId="0" xfId="0" applyNumberFormat="1" applyFont="1" applyAlignment="1">
      <alignment horizontal="center"/>
    </xf>
    <xf numFmtId="14" fontId="0" fillId="0" borderId="11" xfId="0" applyNumberFormat="1" applyBorder="1" applyAlignment="1">
      <alignment horizontal="center"/>
    </xf>
    <xf numFmtId="14" fontId="0" fillId="0" borderId="15" xfId="0" applyNumberFormat="1" applyBorder="1" applyAlignment="1">
      <alignment horizontal="center"/>
    </xf>
    <xf numFmtId="0" fontId="16" fillId="0" borderId="0" xfId="0" applyNumberFormat="1" applyFont="1" applyAlignment="1">
      <alignment horizontal="left"/>
    </xf>
    <xf numFmtId="43" fontId="0" fillId="0" borderId="20" xfId="1" applyFont="1" applyFill="1" applyBorder="1"/>
    <xf numFmtId="43" fontId="13" fillId="0" borderId="27" xfId="1" applyFont="1" applyFill="1" applyBorder="1"/>
    <xf numFmtId="43" fontId="17" fillId="0" borderId="7" xfId="1" applyFont="1" applyFill="1" applyBorder="1" applyAlignment="1">
      <alignment horizontal="center"/>
    </xf>
    <xf numFmtId="43" fontId="13" fillId="0" borderId="3" xfId="1" applyFont="1" applyFill="1" applyBorder="1"/>
    <xf numFmtId="43" fontId="0" fillId="0" borderId="0" xfId="0" applyNumberFormat="1"/>
    <xf numFmtId="0" fontId="0" fillId="0" borderId="0" xfId="0" applyAlignment="1">
      <alignment horizontal="center"/>
    </xf>
    <xf numFmtId="43" fontId="13" fillId="0" borderId="36" xfId="1" applyFont="1" applyFill="1" applyBorder="1"/>
    <xf numFmtId="43" fontId="17" fillId="0" borderId="27" xfId="1" applyFont="1" applyFill="1" applyBorder="1" applyAlignment="1">
      <alignment horizontal="center"/>
    </xf>
    <xf numFmtId="43" fontId="17" fillId="0" borderId="6" xfId="1" applyFont="1" applyFill="1" applyBorder="1" applyAlignment="1">
      <alignment horizontal="center"/>
    </xf>
    <xf numFmtId="43" fontId="3" fillId="0" borderId="48" xfId="1" applyFont="1" applyFill="1" applyBorder="1"/>
    <xf numFmtId="0" fontId="0" fillId="0" borderId="0" xfId="0"/>
    <xf numFmtId="0" fontId="3" fillId="0" borderId="31" xfId="0" applyFont="1" applyBorder="1"/>
    <xf numFmtId="43" fontId="3" fillId="0" borderId="17" xfId="1" applyFont="1" applyFill="1" applyBorder="1"/>
    <xf numFmtId="0" fontId="3" fillId="0" borderId="0" xfId="69" applyFont="1" applyFill="1" applyBorder="1" applyAlignment="1">
      <alignment horizontal="left"/>
    </xf>
    <xf numFmtId="0" fontId="0" fillId="0" borderId="0" xfId="0"/>
    <xf numFmtId="0" fontId="0" fillId="0" borderId="3" xfId="0" applyBorder="1"/>
    <xf numFmtId="0" fontId="3" fillId="0" borderId="0" xfId="0" applyFont="1"/>
    <xf numFmtId="43" fontId="0" fillId="0" borderId="0" xfId="0" applyNumberFormat="1"/>
    <xf numFmtId="0" fontId="3" fillId="0" borderId="3" xfId="0" applyFont="1" applyBorder="1"/>
    <xf numFmtId="43" fontId="0" fillId="0" borderId="0" xfId="0" applyNumberFormat="1" applyFill="1"/>
    <xf numFmtId="0" fontId="3" fillId="0" borderId="23" xfId="0" applyFont="1" applyBorder="1"/>
    <xf numFmtId="0" fontId="23" fillId="0" borderId="0" xfId="0" applyFont="1" applyAlignment="1">
      <alignment horizontal="center" vertical="center" textRotation="180" wrapText="1"/>
    </xf>
    <xf numFmtId="0" fontId="13" fillId="0" borderId="23" xfId="0" applyFont="1" applyBorder="1"/>
    <xf numFmtId="0" fontId="3" fillId="0" borderId="0" xfId="19"/>
    <xf numFmtId="43" fontId="3" fillId="0" borderId="22" xfId="1" applyFont="1" applyBorder="1"/>
    <xf numFmtId="0" fontId="3" fillId="0" borderId="0" xfId="68" applyFont="1" applyFill="1" applyBorder="1" applyAlignment="1">
      <alignment horizontal="left"/>
    </xf>
    <xf numFmtId="0" fontId="3" fillId="0" borderId="3" xfId="19" applyBorder="1"/>
    <xf numFmtId="43" fontId="13" fillId="0" borderId="7" xfId="1" applyFont="1" applyBorder="1"/>
    <xf numFmtId="43" fontId="13" fillId="0" borderId="29" xfId="1" applyFont="1" applyBorder="1"/>
    <xf numFmtId="43" fontId="13" fillId="0" borderId="7" xfId="1" applyFont="1" applyFill="1" applyBorder="1"/>
    <xf numFmtId="43" fontId="3" fillId="0" borderId="0" xfId="1" applyFont="1" applyFill="1"/>
    <xf numFmtId="0" fontId="24" fillId="0" borderId="0" xfId="0" applyFont="1" applyFill="1" applyAlignment="1">
      <alignment horizontal="center"/>
    </xf>
    <xf numFmtId="0" fontId="0" fillId="0" borderId="8" xfId="0" applyFill="1" applyBorder="1"/>
    <xf numFmtId="43" fontId="17" fillId="0" borderId="18" xfId="1" applyFont="1" applyFill="1" applyBorder="1" applyAlignment="1">
      <alignment horizontal="center"/>
    </xf>
    <xf numFmtId="43" fontId="17" fillId="0" borderId="32" xfId="1" applyFont="1" applyFill="1" applyBorder="1" applyAlignment="1">
      <alignment horizontal="center"/>
    </xf>
    <xf numFmtId="43" fontId="13" fillId="0" borderId="11" xfId="1" applyFont="1" applyFill="1" applyBorder="1"/>
    <xf numFmtId="43" fontId="13" fillId="0" borderId="8" xfId="1" applyFont="1" applyFill="1" applyBorder="1"/>
    <xf numFmtId="0" fontId="3" fillId="0" borderId="0" xfId="0" applyFont="1" applyFill="1" applyBorder="1"/>
    <xf numFmtId="0" fontId="4" fillId="0" borderId="0" xfId="0" applyFont="1" applyFill="1" applyBorder="1" applyAlignment="1">
      <alignment horizontal="center"/>
    </xf>
    <xf numFmtId="0" fontId="0" fillId="0" borderId="18" xfId="0" applyFill="1" applyBorder="1"/>
    <xf numFmtId="43" fontId="23" fillId="0" borderId="28" xfId="1" applyFont="1" applyFill="1" applyBorder="1"/>
    <xf numFmtId="0" fontId="0" fillId="0" borderId="3" xfId="0" applyFill="1" applyBorder="1"/>
    <xf numFmtId="43" fontId="13" fillId="0" borderId="29" xfId="1" applyFont="1" applyFill="1" applyBorder="1"/>
    <xf numFmtId="0" fontId="0" fillId="0" borderId="0" xfId="0" quotePrefix="1" applyFill="1" applyBorder="1"/>
    <xf numFmtId="43" fontId="0" fillId="0" borderId="0" xfId="0" applyNumberFormat="1" applyFill="1" applyBorder="1"/>
    <xf numFmtId="0" fontId="20" fillId="0" borderId="0" xfId="0" applyFont="1" applyFill="1" applyBorder="1"/>
    <xf numFmtId="43" fontId="13" fillId="0" borderId="30" xfId="1" applyFont="1" applyFill="1" applyBorder="1"/>
    <xf numFmtId="0" fontId="42" fillId="0" borderId="0" xfId="0" applyFont="1" applyFill="1"/>
    <xf numFmtId="0" fontId="42" fillId="0" borderId="0" xfId="0" applyFont="1" applyFill="1" applyAlignment="1">
      <alignment horizontal="center"/>
    </xf>
    <xf numFmtId="43" fontId="42" fillId="0" borderId="0" xfId="0" applyNumberFormat="1" applyFont="1" applyFill="1"/>
    <xf numFmtId="0" fontId="0" fillId="0" borderId="0" xfId="0" applyFill="1" applyAlignment="1">
      <alignment horizontal="right"/>
    </xf>
    <xf numFmtId="43" fontId="0" fillId="0" borderId="8" xfId="1" applyFont="1" applyFill="1" applyBorder="1"/>
    <xf numFmtId="0" fontId="3" fillId="0" borderId="0" xfId="0" applyFont="1" applyFill="1"/>
    <xf numFmtId="43" fontId="13" fillId="0" borderId="4" xfId="1" applyFont="1" applyFill="1" applyBorder="1"/>
    <xf numFmtId="43" fontId="13" fillId="0" borderId="86" xfId="1" applyFont="1" applyFill="1" applyBorder="1"/>
    <xf numFmtId="0" fontId="0" fillId="0" borderId="0" xfId="0" applyAlignment="1">
      <alignment horizontal="center"/>
    </xf>
    <xf numFmtId="43" fontId="17" fillId="0" borderId="29" xfId="1" applyFont="1" applyBorder="1" applyAlignment="1">
      <alignment horizontal="center"/>
    </xf>
    <xf numFmtId="0" fontId="3" fillId="0" borderId="0" xfId="0" applyFont="1" applyBorder="1"/>
    <xf numFmtId="14" fontId="3" fillId="0" borderId="92" xfId="0" applyNumberFormat="1" applyFont="1" applyFill="1" applyBorder="1"/>
    <xf numFmtId="1" fontId="3" fillId="0" borderId="92" xfId="0" applyNumberFormat="1" applyFont="1" applyFill="1" applyBorder="1"/>
    <xf numFmtId="49" fontId="3" fillId="0" borderId="92" xfId="0" quotePrefix="1" applyNumberFormat="1" applyFont="1" applyFill="1" applyBorder="1" applyAlignment="1">
      <alignment horizontal="center"/>
    </xf>
    <xf numFmtId="0" fontId="0" fillId="2" borderId="93" xfId="0" applyNumberFormat="1" applyFill="1" applyBorder="1" applyAlignment="1" applyProtection="1">
      <alignment horizontal="center"/>
      <protection locked="0"/>
    </xf>
    <xf numFmtId="0" fontId="0" fillId="0" borderId="93" xfId="0" applyNumberFormat="1" applyFill="1" applyBorder="1" applyAlignment="1">
      <alignment horizontal="center"/>
    </xf>
    <xf numFmtId="37" fontId="0" fillId="0" borderId="92" xfId="0" applyNumberFormat="1" applyFill="1" applyBorder="1" applyAlignment="1">
      <alignment horizontal="center"/>
    </xf>
    <xf numFmtId="43" fontId="13" fillId="2" borderId="7" xfId="1" applyFont="1" applyFill="1" applyBorder="1" applyProtection="1">
      <protection locked="0"/>
    </xf>
    <xf numFmtId="43" fontId="13" fillId="0" borderId="7" xfId="1" applyFont="1" applyFill="1" applyBorder="1" applyProtection="1">
      <protection locked="0"/>
    </xf>
    <xf numFmtId="43" fontId="0" fillId="2" borderId="7" xfId="1" applyFont="1" applyFill="1" applyBorder="1" applyProtection="1">
      <protection locked="0"/>
    </xf>
    <xf numFmtId="0" fontId="0" fillId="2" borderId="26" xfId="0" applyFill="1" applyBorder="1" applyProtection="1">
      <protection locked="0"/>
    </xf>
    <xf numFmtId="43" fontId="3" fillId="2" borderId="26" xfId="1" applyFill="1" applyBorder="1" applyProtection="1">
      <protection locked="0"/>
    </xf>
    <xf numFmtId="0" fontId="55" fillId="0" borderId="0" xfId="0" applyFont="1"/>
    <xf numFmtId="0" fontId="0" fillId="0" borderId="26" xfId="0" applyBorder="1" applyProtection="1">
      <protection locked="0"/>
    </xf>
    <xf numFmtId="0" fontId="0" fillId="0" borderId="0" xfId="0" applyProtection="1">
      <protection locked="0"/>
    </xf>
    <xf numFmtId="0" fontId="0" fillId="0" borderId="3" xfId="0" applyBorder="1" applyProtection="1">
      <protection locked="0"/>
    </xf>
    <xf numFmtId="0" fontId="0" fillId="0" borderId="18" xfId="0" applyBorder="1" applyProtection="1"/>
    <xf numFmtId="0" fontId="0" fillId="0" borderId="19" xfId="0" applyBorder="1" applyProtection="1"/>
    <xf numFmtId="0" fontId="0" fillId="0" borderId="3" xfId="0" applyBorder="1" applyProtection="1"/>
    <xf numFmtId="0" fontId="0" fillId="0" borderId="20" xfId="0" applyBorder="1" applyProtection="1"/>
    <xf numFmtId="0" fontId="56" fillId="0" borderId="0" xfId="0" applyFont="1"/>
    <xf numFmtId="0" fontId="57" fillId="0" borderId="0" xfId="0" applyFont="1" applyAlignment="1" applyProtection="1">
      <alignment horizontal="left"/>
    </xf>
    <xf numFmtId="0" fontId="57" fillId="0" borderId="0" xfId="0" quotePrefix="1" applyFont="1" applyAlignment="1">
      <alignment horizontal="left"/>
    </xf>
    <xf numFmtId="0" fontId="57" fillId="0" borderId="0" xfId="0" quotePrefix="1" applyFont="1" applyAlignment="1" applyProtection="1">
      <alignment horizontal="left"/>
    </xf>
    <xf numFmtId="0" fontId="57" fillId="0" borderId="0" xfId="0" applyFont="1" applyFill="1" applyAlignment="1" applyProtection="1">
      <alignment horizontal="left"/>
    </xf>
    <xf numFmtId="0" fontId="3" fillId="0" borderId="94" xfId="0" applyFont="1" applyFill="1" applyBorder="1"/>
    <xf numFmtId="0" fontId="0" fillId="0" borderId="92" xfId="0" applyFill="1" applyBorder="1"/>
    <xf numFmtId="3" fontId="0" fillId="0" borderId="0" xfId="0" applyNumberFormat="1"/>
    <xf numFmtId="0" fontId="3" fillId="0" borderId="92" xfId="0" applyFont="1" applyFill="1" applyBorder="1"/>
    <xf numFmtId="14" fontId="0" fillId="0" borderId="92" xfId="0" applyNumberFormat="1" applyFill="1" applyBorder="1" applyAlignment="1">
      <alignment horizontal="center"/>
    </xf>
    <xf numFmtId="0" fontId="0" fillId="2" borderId="92" xfId="0" applyFill="1" applyBorder="1" applyProtection="1">
      <protection locked="0"/>
    </xf>
    <xf numFmtId="14" fontId="0" fillId="2" borderId="92" xfId="0" applyNumberFormat="1" applyFill="1" applyBorder="1" applyProtection="1">
      <protection locked="0"/>
    </xf>
    <xf numFmtId="0" fontId="0" fillId="2" borderId="0" xfId="0" applyFill="1" applyProtection="1">
      <protection locked="0"/>
    </xf>
    <xf numFmtId="0" fontId="3" fillId="0" borderId="0" xfId="19" applyFill="1"/>
    <xf numFmtId="43" fontId="3" fillId="0" borderId="0" xfId="19" applyNumberFormat="1" applyFill="1"/>
    <xf numFmtId="0" fontId="3" fillId="0" borderId="0" xfId="19" applyFill="1" applyAlignment="1">
      <alignment horizontal="center"/>
    </xf>
    <xf numFmtId="43" fontId="3" fillId="0" borderId="11" xfId="1" applyFill="1" applyBorder="1"/>
    <xf numFmtId="0" fontId="3" fillId="0" borderId="3" xfId="19" applyFill="1" applyBorder="1"/>
    <xf numFmtId="0" fontId="3" fillId="0" borderId="2" xfId="19" applyFill="1" applyBorder="1" applyAlignment="1">
      <alignment horizontal="center" vertical="center"/>
    </xf>
    <xf numFmtId="43" fontId="13" fillId="0" borderId="12" xfId="1" applyFont="1" applyFill="1" applyBorder="1"/>
    <xf numFmtId="43" fontId="13" fillId="0" borderId="83" xfId="1" applyFont="1" applyFill="1" applyBorder="1"/>
    <xf numFmtId="0" fontId="3" fillId="0" borderId="3" xfId="19" applyFont="1" applyFill="1" applyBorder="1"/>
    <xf numFmtId="0" fontId="17" fillId="0" borderId="3" xfId="19" applyFont="1" applyFill="1" applyBorder="1"/>
    <xf numFmtId="0" fontId="3" fillId="0" borderId="0" xfId="19" applyAlignment="1">
      <alignment horizontal="center"/>
    </xf>
    <xf numFmtId="0" fontId="3" fillId="0" borderId="1" xfId="19" applyBorder="1" applyAlignment="1">
      <alignment horizontal="center" vertical="center"/>
    </xf>
    <xf numFmtId="0" fontId="3" fillId="0" borderId="2" xfId="19" applyBorder="1" applyAlignment="1">
      <alignment horizontal="center" vertical="center"/>
    </xf>
    <xf numFmtId="0" fontId="10" fillId="0" borderId="0" xfId="19" applyFont="1"/>
    <xf numFmtId="0" fontId="3" fillId="0" borderId="31" xfId="19" applyBorder="1"/>
    <xf numFmtId="0" fontId="3" fillId="0" borderId="23" xfId="19" applyBorder="1"/>
    <xf numFmtId="0" fontId="3" fillId="0" borderId="20" xfId="19" applyBorder="1"/>
    <xf numFmtId="0" fontId="3" fillId="0" borderId="18" xfId="19" applyBorder="1"/>
    <xf numFmtId="0" fontId="3" fillId="0" borderId="14" xfId="19" applyBorder="1"/>
    <xf numFmtId="0" fontId="3" fillId="0" borderId="12" xfId="19" applyBorder="1"/>
    <xf numFmtId="0" fontId="3" fillId="0" borderId="11" xfId="19" applyBorder="1"/>
    <xf numFmtId="0" fontId="3" fillId="0" borderId="11" xfId="19" applyBorder="1" applyAlignment="1">
      <alignment horizontal="center"/>
    </xf>
    <xf numFmtId="0" fontId="3" fillId="0" borderId="8" xfId="19" applyBorder="1"/>
    <xf numFmtId="0" fontId="3" fillId="0" borderId="15" xfId="19" applyBorder="1" applyAlignment="1">
      <alignment horizontal="center"/>
    </xf>
    <xf numFmtId="0" fontId="3" fillId="0" borderId="10" xfId="19" applyBorder="1" applyAlignment="1">
      <alignment horizontal="center"/>
    </xf>
    <xf numFmtId="0" fontId="3" fillId="0" borderId="16" xfId="19" applyBorder="1" applyAlignment="1">
      <alignment horizontal="center"/>
    </xf>
    <xf numFmtId="0" fontId="3" fillId="0" borderId="13" xfId="19" applyBorder="1"/>
    <xf numFmtId="0" fontId="3" fillId="0" borderId="9" xfId="19" applyBorder="1"/>
    <xf numFmtId="0" fontId="3" fillId="0" borderId="4" xfId="19" applyBorder="1" applyAlignment="1">
      <alignment horizontal="center"/>
    </xf>
    <xf numFmtId="0" fontId="10" fillId="0" borderId="0" xfId="19" applyFont="1" applyFill="1"/>
    <xf numFmtId="43" fontId="3" fillId="0" borderId="35" xfId="1" applyFont="1" applyFill="1" applyBorder="1" applyAlignment="1"/>
    <xf numFmtId="43" fontId="3" fillId="0" borderId="20" xfId="1" applyFont="1" applyFill="1" applyBorder="1" applyAlignment="1"/>
    <xf numFmtId="0" fontId="3" fillId="0" borderId="3" xfId="19" applyFont="1" applyFill="1" applyBorder="1" applyAlignment="1"/>
    <xf numFmtId="43" fontId="3" fillId="0" borderId="5" xfId="1" applyFont="1" applyFill="1" applyBorder="1" applyAlignment="1"/>
    <xf numFmtId="43" fontId="3" fillId="0" borderId="74" xfId="1" applyFont="1" applyFill="1" applyBorder="1" applyAlignment="1"/>
    <xf numFmtId="43" fontId="3" fillId="0" borderId="26" xfId="1" applyFont="1" applyFill="1" applyBorder="1" applyAlignment="1"/>
    <xf numFmtId="43" fontId="3" fillId="0" borderId="15" xfId="1" applyFont="1" applyFill="1" applyBorder="1" applyAlignment="1"/>
    <xf numFmtId="43" fontId="3" fillId="0" borderId="53" xfId="1" applyFont="1" applyFill="1" applyBorder="1" applyAlignment="1"/>
    <xf numFmtId="43" fontId="3" fillId="0" borderId="41" xfId="1" applyFont="1" applyFill="1" applyBorder="1" applyAlignment="1"/>
    <xf numFmtId="0" fontId="3" fillId="0" borderId="26" xfId="19" applyFont="1" applyFill="1" applyBorder="1" applyAlignment="1"/>
    <xf numFmtId="0" fontId="13" fillId="0" borderId="26" xfId="19" applyFont="1" applyFill="1" applyBorder="1" applyAlignment="1"/>
    <xf numFmtId="43" fontId="3" fillId="0" borderId="41" xfId="1" applyFont="1" applyFill="1" applyBorder="1" applyAlignment="1">
      <alignment horizontal="right"/>
    </xf>
    <xf numFmtId="43" fontId="3" fillId="0" borderId="19" xfId="1" applyFont="1" applyFill="1" applyBorder="1" applyAlignment="1">
      <alignment horizontal="right"/>
    </xf>
    <xf numFmtId="0" fontId="3" fillId="0" borderId="18" xfId="19" applyFont="1" applyFill="1" applyBorder="1" applyAlignment="1"/>
    <xf numFmtId="0" fontId="13" fillId="0" borderId="18" xfId="19" applyFont="1" applyFill="1" applyBorder="1" applyAlignment="1"/>
    <xf numFmtId="43" fontId="3" fillId="0" borderId="35" xfId="1" applyFill="1" applyBorder="1"/>
    <xf numFmtId="43" fontId="3" fillId="0" borderId="34" xfId="1" applyFill="1" applyBorder="1"/>
    <xf numFmtId="0" fontId="16" fillId="0" borderId="38" xfId="19" applyFont="1" applyFill="1" applyBorder="1" applyAlignment="1">
      <alignment horizontal="center"/>
    </xf>
    <xf numFmtId="0" fontId="16" fillId="0" borderId="26" xfId="19" applyFont="1" applyFill="1" applyBorder="1" applyAlignment="1">
      <alignment horizontal="center"/>
    </xf>
    <xf numFmtId="0" fontId="16" fillId="0" borderId="3" xfId="19" applyFont="1" applyFill="1" applyBorder="1"/>
    <xf numFmtId="43" fontId="3" fillId="0" borderId="27" xfId="1" applyFill="1" applyBorder="1"/>
    <xf numFmtId="0" fontId="16" fillId="0" borderId="3" xfId="19" applyFont="1" applyFill="1" applyBorder="1" applyAlignment="1">
      <alignment horizontal="center"/>
    </xf>
    <xf numFmtId="43" fontId="3" fillId="0" borderId="3" xfId="1" applyFont="1" applyFill="1" applyBorder="1" applyAlignment="1"/>
    <xf numFmtId="0" fontId="3" fillId="0" borderId="26" xfId="19" applyFill="1" applyBorder="1"/>
    <xf numFmtId="43" fontId="3" fillId="0" borderId="10" xfId="1" applyFill="1" applyBorder="1"/>
    <xf numFmtId="0" fontId="16" fillId="0" borderId="0" xfId="19" applyFont="1" applyFill="1" applyAlignment="1">
      <alignment horizontal="center"/>
    </xf>
    <xf numFmtId="43" fontId="3" fillId="0" borderId="18" xfId="1" applyFill="1" applyBorder="1"/>
    <xf numFmtId="43" fontId="3" fillId="0" borderId="33" xfId="1" applyFill="1" applyBorder="1"/>
    <xf numFmtId="0" fontId="16" fillId="0" borderId="18" xfId="19" applyFont="1" applyFill="1" applyBorder="1" applyAlignment="1">
      <alignment horizontal="center"/>
    </xf>
    <xf numFmtId="0" fontId="3" fillId="0" borderId="18" xfId="19" applyFill="1" applyBorder="1"/>
    <xf numFmtId="49" fontId="3" fillId="0" borderId="8" xfId="19" applyNumberFormat="1" applyFill="1" applyBorder="1" applyAlignment="1">
      <alignment horizontal="center"/>
    </xf>
    <xf numFmtId="49" fontId="3" fillId="0" borderId="11" xfId="19" applyNumberFormat="1" applyFill="1" applyBorder="1" applyAlignment="1">
      <alignment horizontal="center"/>
    </xf>
    <xf numFmtId="0" fontId="3" fillId="0" borderId="9" xfId="19" applyFill="1" applyBorder="1" applyAlignment="1">
      <alignment horizontal="center"/>
    </xf>
    <xf numFmtId="0" fontId="3" fillId="0" borderId="4" xfId="19" applyFill="1" applyBorder="1" applyAlignment="1">
      <alignment horizontal="center"/>
    </xf>
    <xf numFmtId="0" fontId="5" fillId="0" borderId="0" xfId="19" applyFont="1" applyFill="1" applyAlignment="1">
      <alignment horizontal="center"/>
    </xf>
    <xf numFmtId="0" fontId="3" fillId="0" borderId="0" xfId="19" applyFont="1" applyFill="1"/>
    <xf numFmtId="43" fontId="0" fillId="0" borderId="0" xfId="1" applyFont="1" applyFill="1"/>
    <xf numFmtId="43" fontId="0" fillId="0" borderId="11" xfId="1" applyFont="1" applyFill="1" applyBorder="1"/>
    <xf numFmtId="0" fontId="3" fillId="0" borderId="8" xfId="19" applyFill="1" applyBorder="1"/>
    <xf numFmtId="0" fontId="3" fillId="0" borderId="0" xfId="19" applyFill="1" applyBorder="1"/>
    <xf numFmtId="0" fontId="3" fillId="0" borderId="63" xfId="19" applyFill="1" applyBorder="1"/>
    <xf numFmtId="43" fontId="17" fillId="0" borderId="33" xfId="1" applyFont="1" applyFill="1" applyBorder="1" applyAlignment="1">
      <alignment horizontal="center"/>
    </xf>
    <xf numFmtId="0" fontId="16" fillId="0" borderId="0" xfId="19" applyFont="1" applyFill="1"/>
    <xf numFmtId="0" fontId="3" fillId="0" borderId="0" xfId="19" applyFill="1" applyAlignment="1">
      <alignment horizontal="right"/>
    </xf>
    <xf numFmtId="0" fontId="15" fillId="0" borderId="0" xfId="19" applyFont="1" applyFill="1"/>
    <xf numFmtId="43" fontId="3" fillId="0" borderId="81" xfId="1" applyFill="1" applyBorder="1"/>
    <xf numFmtId="14" fontId="3" fillId="0" borderId="18" xfId="19" applyNumberFormat="1" applyFill="1" applyBorder="1"/>
    <xf numFmtId="0" fontId="3" fillId="0" borderId="1" xfId="19" applyFill="1" applyBorder="1"/>
    <xf numFmtId="43" fontId="3" fillId="0" borderId="5" xfId="19" applyNumberFormat="1" applyFont="1" applyFill="1" applyBorder="1" applyAlignment="1">
      <alignment horizontal="center"/>
    </xf>
    <xf numFmtId="43" fontId="3" fillId="0" borderId="7" xfId="19" applyNumberFormat="1" applyFont="1" applyFill="1" applyBorder="1" applyAlignment="1"/>
    <xf numFmtId="1" fontId="3" fillId="0" borderId="0" xfId="19" applyNumberFormat="1"/>
    <xf numFmtId="0" fontId="3" fillId="0" borderId="26" xfId="19" applyBorder="1"/>
    <xf numFmtId="1" fontId="3" fillId="0" borderId="0" xfId="19" applyNumberFormat="1" applyFont="1"/>
    <xf numFmtId="49" fontId="3" fillId="0" borderId="0" xfId="19" applyNumberFormat="1" applyAlignment="1">
      <alignment horizontal="center"/>
    </xf>
    <xf numFmtId="0" fontId="22" fillId="0" borderId="0" xfId="19" applyFont="1" applyAlignment="1">
      <alignment horizontal="center"/>
    </xf>
    <xf numFmtId="0" fontId="22" fillId="0" borderId="0" xfId="19" applyFont="1" applyAlignment="1">
      <alignment horizontal="center" vertical="center"/>
    </xf>
    <xf numFmtId="0" fontId="3" fillId="0" borderId="0" xfId="19" applyAlignment="1">
      <alignment vertical="center"/>
    </xf>
    <xf numFmtId="49" fontId="6" fillId="0" borderId="0" xfId="19" applyNumberFormat="1" applyFont="1" applyAlignment="1">
      <alignment horizontal="center"/>
    </xf>
    <xf numFmtId="14" fontId="22" fillId="0" borderId="0" xfId="19" applyNumberFormat="1" applyFont="1" applyBorder="1" applyAlignment="1">
      <alignment horizontal="center"/>
    </xf>
    <xf numFmtId="14" fontId="3" fillId="0" borderId="0" xfId="19" applyNumberFormat="1" applyAlignment="1">
      <alignment horizontal="center"/>
    </xf>
    <xf numFmtId="0" fontId="3" fillId="0" borderId="23" xfId="19" applyFill="1" applyBorder="1"/>
    <xf numFmtId="0" fontId="3" fillId="0" borderId="30" xfId="19" applyFill="1" applyBorder="1"/>
    <xf numFmtId="0" fontId="3" fillId="0" borderId="31" xfId="19" applyFill="1" applyBorder="1"/>
    <xf numFmtId="0" fontId="3" fillId="0" borderId="29" xfId="19" applyFill="1" applyBorder="1"/>
    <xf numFmtId="0" fontId="3" fillId="0" borderId="37" xfId="19" applyFill="1" applyBorder="1" applyAlignment="1">
      <alignment horizontal="center" vertical="center" wrapText="1"/>
    </xf>
    <xf numFmtId="0" fontId="3" fillId="0" borderId="2" xfId="19" applyFont="1" applyFill="1" applyBorder="1" applyAlignment="1">
      <alignment horizontal="center" vertical="center"/>
    </xf>
    <xf numFmtId="0" fontId="3" fillId="0" borderId="0" xfId="19" applyFill="1" applyBorder="1" applyAlignment="1">
      <alignment horizontal="center"/>
    </xf>
    <xf numFmtId="43" fontId="3" fillId="0" borderId="0" xfId="19" applyNumberFormat="1" applyFill="1" applyBorder="1" applyAlignment="1">
      <alignment horizontal="center"/>
    </xf>
    <xf numFmtId="43" fontId="3" fillId="0" borderId="20" xfId="19" applyNumberFormat="1" applyFill="1" applyBorder="1"/>
    <xf numFmtId="0" fontId="3" fillId="0" borderId="18" xfId="19" applyFont="1" applyFill="1" applyBorder="1"/>
    <xf numFmtId="0" fontId="3" fillId="0" borderId="23" xfId="19" applyFont="1" applyFill="1" applyBorder="1"/>
    <xf numFmtId="0" fontId="3" fillId="0" borderId="31" xfId="19" applyFill="1" applyBorder="1" applyAlignment="1">
      <alignment horizontal="right"/>
    </xf>
    <xf numFmtId="0" fontId="3" fillId="0" borderId="19" xfId="19" applyFill="1" applyBorder="1" applyAlignment="1">
      <alignment horizontal="right"/>
    </xf>
    <xf numFmtId="0" fontId="3" fillId="0" borderId="26" xfId="19" applyFont="1" applyFill="1" applyBorder="1"/>
    <xf numFmtId="43" fontId="3" fillId="0" borderId="29" xfId="1" applyFill="1" applyBorder="1" applyAlignment="1">
      <alignment horizontal="right"/>
    </xf>
    <xf numFmtId="0" fontId="6" fillId="0" borderId="0" xfId="19" applyFont="1" applyFill="1" applyAlignment="1">
      <alignment horizontal="center"/>
    </xf>
    <xf numFmtId="0" fontId="16" fillId="0" borderId="0" xfId="19" applyFont="1" applyAlignment="1">
      <alignment horizontal="center"/>
    </xf>
    <xf numFmtId="0" fontId="3" fillId="0" borderId="30" xfId="19" applyBorder="1"/>
    <xf numFmtId="0" fontId="3" fillId="0" borderId="29" xfId="19" applyBorder="1"/>
    <xf numFmtId="0" fontId="3" fillId="0" borderId="37" xfId="19" applyBorder="1" applyAlignment="1">
      <alignment horizontal="center" vertical="center" wrapText="1"/>
    </xf>
    <xf numFmtId="0" fontId="3" fillId="0" borderId="0" xfId="19" applyBorder="1" applyAlignment="1">
      <alignment horizontal="center"/>
    </xf>
    <xf numFmtId="43" fontId="3" fillId="0" borderId="0" xfId="19" applyNumberFormat="1" applyBorder="1" applyAlignment="1">
      <alignment horizontal="center"/>
    </xf>
    <xf numFmtId="0" fontId="3" fillId="0" borderId="0" xfId="19" applyBorder="1"/>
    <xf numFmtId="0" fontId="3" fillId="0" borderId="3" xfId="19" applyFont="1" applyBorder="1"/>
    <xf numFmtId="43" fontId="3" fillId="0" borderId="20" xfId="19" applyNumberFormat="1" applyBorder="1"/>
    <xf numFmtId="43" fontId="3" fillId="0" borderId="19" xfId="19" applyNumberFormat="1" applyBorder="1"/>
    <xf numFmtId="0" fontId="3" fillId="0" borderId="31" xfId="19" applyBorder="1" applyAlignment="1">
      <alignment horizontal="right"/>
    </xf>
    <xf numFmtId="0" fontId="3" fillId="0" borderId="19" xfId="19" applyBorder="1" applyAlignment="1">
      <alignment horizontal="right"/>
    </xf>
    <xf numFmtId="0" fontId="3" fillId="0" borderId="1" xfId="19" applyBorder="1"/>
    <xf numFmtId="0" fontId="6" fillId="0" borderId="0" xfId="19" applyFont="1" applyAlignment="1">
      <alignment horizontal="center"/>
    </xf>
    <xf numFmtId="0" fontId="17" fillId="0" borderId="0" xfId="19" applyFont="1" applyFill="1" applyBorder="1"/>
    <xf numFmtId="0" fontId="17" fillId="0" borderId="0" xfId="19" applyFont="1" applyFill="1"/>
    <xf numFmtId="0" fontId="15" fillId="0" borderId="0" xfId="19" applyFont="1" applyFill="1" applyAlignment="1">
      <alignment horizontal="left"/>
    </xf>
    <xf numFmtId="43" fontId="0" fillId="0" borderId="52" xfId="1" applyFont="1" applyFill="1" applyBorder="1"/>
    <xf numFmtId="0" fontId="3" fillId="0" borderId="72" xfId="19" applyFill="1" applyBorder="1"/>
    <xf numFmtId="0" fontId="3" fillId="0" borderId="12" xfId="19" applyFont="1" applyFill="1" applyBorder="1"/>
    <xf numFmtId="0" fontId="3" fillId="0" borderId="71" xfId="19" applyFill="1" applyBorder="1"/>
    <xf numFmtId="0" fontId="3" fillId="0" borderId="29" xfId="19" applyFont="1" applyFill="1" applyBorder="1"/>
    <xf numFmtId="0" fontId="3" fillId="0" borderId="70" xfId="19" applyFill="1" applyBorder="1"/>
    <xf numFmtId="0" fontId="3" fillId="0" borderId="69" xfId="19" applyFont="1" applyFill="1" applyBorder="1"/>
    <xf numFmtId="0" fontId="38" fillId="0" borderId="0" xfId="19" applyFont="1" applyFill="1"/>
    <xf numFmtId="0" fontId="10" fillId="0" borderId="0" xfId="19" applyFont="1" applyFill="1" applyBorder="1" applyAlignment="1">
      <alignment horizontal="right"/>
    </xf>
    <xf numFmtId="0" fontId="10" fillId="0" borderId="0" xfId="19" applyFont="1" applyFill="1" applyBorder="1"/>
    <xf numFmtId="49" fontId="10" fillId="0" borderId="0" xfId="19" applyNumberFormat="1" applyFont="1" applyFill="1" applyBorder="1" applyAlignment="1">
      <alignment horizontal="center"/>
    </xf>
    <xf numFmtId="43" fontId="3" fillId="0" borderId="0" xfId="1" applyFill="1" applyBorder="1"/>
    <xf numFmtId="10" fontId="3" fillId="0" borderId="0" xfId="13" applyNumberFormat="1" applyFill="1" applyBorder="1"/>
    <xf numFmtId="49" fontId="3" fillId="0" borderId="0" xfId="19" applyNumberFormat="1" applyFill="1" applyBorder="1" applyAlignment="1">
      <alignment horizontal="center"/>
    </xf>
    <xf numFmtId="0" fontId="13" fillId="0" borderId="0" xfId="19" applyFont="1" applyFill="1" applyAlignment="1">
      <alignment horizontal="center" vertical="center" textRotation="180" wrapText="1"/>
    </xf>
    <xf numFmtId="49" fontId="3" fillId="0" borderId="3" xfId="19" applyNumberFormat="1" applyFill="1" applyBorder="1" applyAlignment="1">
      <alignment horizontal="center"/>
    </xf>
    <xf numFmtId="49" fontId="3" fillId="0" borderId="18" xfId="19" applyNumberFormat="1" applyFill="1" applyBorder="1" applyAlignment="1">
      <alignment horizontal="center"/>
    </xf>
    <xf numFmtId="0" fontId="3" fillId="0" borderId="11" xfId="19" applyFill="1" applyBorder="1" applyAlignment="1">
      <alignment horizontal="center"/>
    </xf>
    <xf numFmtId="0" fontId="3" fillId="0" borderId="10" xfId="19" applyFill="1" applyBorder="1" applyAlignment="1">
      <alignment horizontal="center"/>
    </xf>
    <xf numFmtId="0" fontId="3" fillId="0" borderId="9" xfId="19" applyFill="1" applyBorder="1"/>
    <xf numFmtId="0" fontId="10" fillId="0" borderId="0" xfId="19" applyFont="1" applyAlignment="1">
      <alignment horizontal="left"/>
    </xf>
    <xf numFmtId="0" fontId="17" fillId="0" borderId="0" xfId="19" applyFont="1" applyBorder="1"/>
    <xf numFmtId="0" fontId="16" fillId="0" borderId="0" xfId="19" applyFont="1" applyBorder="1" applyAlignment="1">
      <alignment horizontal="center"/>
    </xf>
    <xf numFmtId="49" fontId="3" fillId="0" borderId="23" xfId="19" applyNumberFormat="1" applyBorder="1" applyAlignment="1">
      <alignment horizontal="center"/>
    </xf>
    <xf numFmtId="0" fontId="13" fillId="0" borderId="0" xfId="19" applyFont="1" applyAlignment="1">
      <alignment horizontal="center" vertical="center" textRotation="180" wrapText="1"/>
    </xf>
    <xf numFmtId="0" fontId="17" fillId="0" borderId="11" xfId="19" applyFont="1" applyBorder="1" applyAlignment="1">
      <alignment horizontal="center"/>
    </xf>
    <xf numFmtId="0" fontId="10" fillId="0" borderId="0" xfId="19" applyFont="1" applyBorder="1" applyAlignment="1">
      <alignment horizontal="right"/>
    </xf>
    <xf numFmtId="0" fontId="10" fillId="0" borderId="0" xfId="19" applyFont="1" applyBorder="1"/>
    <xf numFmtId="49" fontId="10" fillId="0" borderId="0" xfId="19" applyNumberFormat="1" applyFont="1" applyBorder="1" applyAlignment="1">
      <alignment horizontal="left"/>
    </xf>
    <xf numFmtId="0" fontId="3" fillId="0" borderId="52" xfId="19" applyBorder="1"/>
    <xf numFmtId="0" fontId="3" fillId="0" borderId="23" xfId="19" applyBorder="1" applyAlignment="1">
      <alignment horizontal="right"/>
    </xf>
    <xf numFmtId="0" fontId="3" fillId="0" borderId="38" xfId="19" applyBorder="1"/>
    <xf numFmtId="43" fontId="3" fillId="0" borderId="0" xfId="19" applyNumberFormat="1"/>
    <xf numFmtId="0" fontId="16" fillId="0" borderId="0" xfId="19" applyFont="1"/>
    <xf numFmtId="0" fontId="3" fillId="0" borderId="3" xfId="19" applyBorder="1" applyAlignment="1">
      <alignment horizontal="right"/>
    </xf>
    <xf numFmtId="0" fontId="16" fillId="0" borderId="26" xfId="19" applyFont="1" applyBorder="1"/>
    <xf numFmtId="0" fontId="3" fillId="0" borderId="18" xfId="19" applyBorder="1" applyAlignment="1">
      <alignment horizontal="right"/>
    </xf>
    <xf numFmtId="0" fontId="3" fillId="0" borderId="26" xfId="19" applyBorder="1" applyAlignment="1">
      <alignment horizontal="right"/>
    </xf>
    <xf numFmtId="0" fontId="3" fillId="0" borderId="5" xfId="19" applyBorder="1"/>
    <xf numFmtId="0" fontId="16" fillId="0" borderId="5" xfId="19" applyFont="1" applyBorder="1"/>
    <xf numFmtId="43" fontId="0" fillId="0" borderId="30" xfId="1" applyFont="1" applyFill="1" applyBorder="1"/>
    <xf numFmtId="0" fontId="3" fillId="0" borderId="3" xfId="19" quotePrefix="1" applyFont="1" applyFill="1" applyBorder="1"/>
    <xf numFmtId="43" fontId="3" fillId="0" borderId="8" xfId="1" applyFill="1" applyBorder="1"/>
    <xf numFmtId="0" fontId="3" fillId="0" borderId="8" xfId="19" applyFill="1" applyBorder="1" applyAlignment="1">
      <alignment horizontal="center"/>
    </xf>
    <xf numFmtId="0" fontId="3" fillId="0" borderId="0" xfId="19" applyFont="1" applyFill="1" applyAlignment="1">
      <alignment horizontal="center"/>
    </xf>
    <xf numFmtId="0" fontId="0" fillId="2" borderId="3" xfId="0" applyFill="1" applyBorder="1" applyProtection="1">
      <protection locked="0"/>
    </xf>
    <xf numFmtId="0" fontId="3" fillId="2" borderId="3" xfId="0" applyFont="1" applyFill="1" applyBorder="1" applyProtection="1">
      <protection locked="0"/>
    </xf>
    <xf numFmtId="43" fontId="13" fillId="2" borderId="29" xfId="1" applyFont="1" applyFill="1" applyBorder="1" applyProtection="1">
      <protection locked="0"/>
    </xf>
    <xf numFmtId="0" fontId="0" fillId="2" borderId="18" xfId="0" applyFill="1" applyBorder="1" applyProtection="1">
      <protection locked="0"/>
    </xf>
    <xf numFmtId="0" fontId="0" fillId="2" borderId="19" xfId="0" applyFill="1" applyBorder="1" applyProtection="1">
      <protection locked="0"/>
    </xf>
    <xf numFmtId="43" fontId="0" fillId="2" borderId="33" xfId="1" applyFont="1" applyFill="1" applyBorder="1" applyProtection="1">
      <protection locked="0"/>
    </xf>
    <xf numFmtId="0" fontId="0" fillId="2" borderId="20" xfId="0" applyFill="1" applyBorder="1" applyProtection="1">
      <protection locked="0"/>
    </xf>
    <xf numFmtId="0" fontId="20" fillId="2" borderId="3" xfId="0" applyFont="1" applyFill="1" applyBorder="1" applyProtection="1">
      <protection locked="0"/>
    </xf>
    <xf numFmtId="43" fontId="0" fillId="0" borderId="17" xfId="1" applyFont="1" applyFill="1" applyBorder="1" applyProtection="1">
      <protection locked="0"/>
    </xf>
    <xf numFmtId="43" fontId="3" fillId="2" borderId="7" xfId="1" applyFont="1" applyFill="1" applyBorder="1" applyProtection="1">
      <protection locked="0"/>
    </xf>
    <xf numFmtId="0" fontId="43" fillId="2" borderId="3" xfId="0" applyFont="1" applyFill="1" applyBorder="1" applyProtection="1">
      <protection locked="0"/>
    </xf>
    <xf numFmtId="0" fontId="3" fillId="2" borderId="20" xfId="0" applyFont="1" applyFill="1" applyBorder="1" applyProtection="1">
      <protection locked="0"/>
    </xf>
    <xf numFmtId="43" fontId="0" fillId="2" borderId="3" xfId="1" applyFont="1" applyFill="1" applyBorder="1" applyProtection="1">
      <protection locked="0"/>
    </xf>
    <xf numFmtId="43" fontId="0" fillId="2" borderId="5" xfId="1" applyFont="1" applyFill="1" applyBorder="1" applyProtection="1">
      <protection locked="0"/>
    </xf>
    <xf numFmtId="43" fontId="0" fillId="2" borderId="26" xfId="1" applyFont="1" applyFill="1" applyBorder="1" applyProtection="1">
      <protection locked="0"/>
    </xf>
    <xf numFmtId="43" fontId="0" fillId="2" borderId="20" xfId="1" applyFont="1" applyFill="1" applyBorder="1" applyProtection="1">
      <protection locked="0"/>
    </xf>
    <xf numFmtId="43" fontId="0" fillId="2" borderId="29" xfId="1" applyFont="1" applyFill="1" applyBorder="1" applyProtection="1">
      <protection locked="0"/>
    </xf>
    <xf numFmtId="0" fontId="0" fillId="0" borderId="3" xfId="0" applyBorder="1" applyAlignment="1" applyProtection="1">
      <alignment horizontal="right"/>
      <protection locked="0"/>
    </xf>
    <xf numFmtId="43" fontId="13" fillId="2" borderId="83" xfId="1" applyFont="1" applyFill="1" applyBorder="1" applyProtection="1">
      <protection locked="0"/>
    </xf>
    <xf numFmtId="43" fontId="13" fillId="2" borderId="36" xfId="1" applyFont="1" applyFill="1" applyBorder="1" applyProtection="1">
      <protection locked="0"/>
    </xf>
    <xf numFmtId="43" fontId="13" fillId="2" borderId="28" xfId="1" applyFont="1" applyFill="1" applyBorder="1" applyProtection="1">
      <protection locked="0"/>
    </xf>
    <xf numFmtId="43" fontId="13" fillId="2" borderId="53" xfId="1" applyFont="1" applyFill="1" applyBorder="1" applyProtection="1">
      <protection locked="0"/>
    </xf>
    <xf numFmtId="43" fontId="13" fillId="2" borderId="3" xfId="1" applyFont="1" applyFill="1" applyBorder="1" applyProtection="1">
      <protection locked="0"/>
    </xf>
    <xf numFmtId="43" fontId="13" fillId="2" borderId="18" xfId="1" applyFont="1" applyFill="1" applyBorder="1" applyProtection="1">
      <protection locked="0"/>
    </xf>
    <xf numFmtId="43" fontId="13" fillId="2" borderId="27" xfId="1" applyFont="1" applyFill="1" applyBorder="1" applyProtection="1">
      <protection locked="0"/>
    </xf>
    <xf numFmtId="0" fontId="0" fillId="2" borderId="28" xfId="0" applyFill="1" applyBorder="1" applyProtection="1">
      <protection locked="0"/>
    </xf>
    <xf numFmtId="43" fontId="0" fillId="2" borderId="19" xfId="1" applyFont="1" applyFill="1" applyBorder="1" applyProtection="1">
      <protection locked="0"/>
    </xf>
    <xf numFmtId="43" fontId="0" fillId="2" borderId="33" xfId="1" applyFont="1" applyFill="1" applyBorder="1" applyAlignment="1" applyProtection="1">
      <alignment horizontal="center"/>
      <protection locked="0"/>
    </xf>
    <xf numFmtId="0" fontId="0" fillId="2" borderId="29" xfId="0" applyFill="1" applyBorder="1" applyProtection="1">
      <protection locked="0"/>
    </xf>
    <xf numFmtId="43" fontId="0" fillId="2" borderId="38" xfId="1" applyFont="1" applyFill="1" applyBorder="1" applyProtection="1">
      <protection locked="0"/>
    </xf>
    <xf numFmtId="43" fontId="0" fillId="2" borderId="6" xfId="1" applyFont="1" applyFill="1" applyBorder="1" applyProtection="1">
      <protection locked="0"/>
    </xf>
    <xf numFmtId="43" fontId="3" fillId="2" borderId="19" xfId="1" applyFill="1" applyBorder="1" applyProtection="1">
      <protection locked="0"/>
    </xf>
    <xf numFmtId="43" fontId="3" fillId="2" borderId="33" xfId="1" applyFill="1" applyBorder="1" applyAlignment="1" applyProtection="1">
      <alignment horizontal="center"/>
      <protection locked="0"/>
    </xf>
    <xf numFmtId="43" fontId="3" fillId="2" borderId="20" xfId="1" applyFill="1" applyBorder="1" applyProtection="1">
      <protection locked="0"/>
    </xf>
    <xf numFmtId="43" fontId="3" fillId="2" borderId="7" xfId="1" applyFill="1" applyBorder="1" applyProtection="1">
      <protection locked="0"/>
    </xf>
    <xf numFmtId="43" fontId="3" fillId="2" borderId="17" xfId="1" applyFill="1" applyBorder="1" applyProtection="1">
      <protection locked="0"/>
    </xf>
    <xf numFmtId="43" fontId="3" fillId="2" borderId="38" xfId="1" applyFill="1" applyBorder="1" applyProtection="1">
      <protection locked="0"/>
    </xf>
    <xf numFmtId="43" fontId="3" fillId="2" borderId="6" xfId="1" applyFill="1" applyBorder="1" applyProtection="1">
      <protection locked="0"/>
    </xf>
    <xf numFmtId="43" fontId="3" fillId="2" borderId="33" xfId="1" applyFill="1" applyBorder="1" applyProtection="1">
      <protection locked="0"/>
    </xf>
    <xf numFmtId="0" fontId="0" fillId="2" borderId="8" xfId="0" applyFill="1" applyBorder="1" applyProtection="1">
      <protection locked="0"/>
    </xf>
    <xf numFmtId="0" fontId="0" fillId="2" borderId="19" xfId="0" applyFill="1" applyBorder="1" applyAlignment="1" applyProtection="1">
      <alignment horizontal="right"/>
      <protection locked="0"/>
    </xf>
    <xf numFmtId="43" fontId="3" fillId="2" borderId="31" xfId="1" applyFill="1" applyBorder="1" applyProtection="1">
      <protection locked="0"/>
    </xf>
    <xf numFmtId="43" fontId="3" fillId="2" borderId="3" xfId="1" applyFill="1" applyBorder="1" applyProtection="1">
      <protection locked="0"/>
    </xf>
    <xf numFmtId="43" fontId="0" fillId="2" borderId="19" xfId="1" applyFont="1" applyFill="1" applyBorder="1" applyAlignment="1" applyProtection="1">
      <protection locked="0"/>
    </xf>
    <xf numFmtId="14" fontId="0" fillId="2" borderId="7" xfId="0" applyNumberFormat="1" applyFill="1" applyBorder="1" applyAlignment="1" applyProtection="1">
      <alignment horizontal="center"/>
      <protection locked="0"/>
    </xf>
    <xf numFmtId="166" fontId="0" fillId="2" borderId="7" xfId="1" applyNumberFormat="1" applyFont="1" applyFill="1" applyBorder="1" applyAlignment="1" applyProtection="1">
      <alignment horizontal="center"/>
      <protection locked="0"/>
    </xf>
    <xf numFmtId="43" fontId="44" fillId="2" borderId="7" xfId="1" applyFont="1" applyFill="1" applyBorder="1" applyProtection="1">
      <protection locked="0"/>
    </xf>
    <xf numFmtId="166" fontId="0" fillId="2" borderId="17" xfId="0" applyNumberFormat="1" applyFill="1" applyBorder="1" applyAlignment="1" applyProtection="1">
      <alignment horizontal="center"/>
      <protection locked="0"/>
    </xf>
    <xf numFmtId="14" fontId="0" fillId="2" borderId="7" xfId="1" quotePrefix="1" applyNumberFormat="1" applyFont="1" applyFill="1" applyBorder="1" applyAlignment="1" applyProtection="1">
      <alignment horizontal="center"/>
      <protection locked="0"/>
    </xf>
    <xf numFmtId="43" fontId="0" fillId="2" borderId="25" xfId="1" applyFont="1" applyFill="1" applyBorder="1" applyProtection="1">
      <protection locked="0"/>
    </xf>
    <xf numFmtId="0" fontId="0" fillId="2" borderId="25" xfId="0" applyFill="1" applyBorder="1" applyProtection="1">
      <protection locked="0"/>
    </xf>
    <xf numFmtId="43" fontId="3" fillId="2" borderId="33" xfId="1" applyFill="1" applyBorder="1" applyAlignment="1" applyProtection="1">
      <protection locked="0"/>
    </xf>
    <xf numFmtId="0" fontId="0" fillId="2" borderId="33" xfId="0" applyFill="1" applyBorder="1" applyAlignment="1" applyProtection="1">
      <protection locked="0"/>
    </xf>
    <xf numFmtId="10" fontId="3" fillId="2" borderId="33" xfId="13" applyNumberFormat="1" applyFill="1" applyBorder="1" applyAlignment="1" applyProtection="1">
      <protection locked="0"/>
    </xf>
    <xf numFmtId="0" fontId="0" fillId="2" borderId="47" xfId="0" applyFill="1" applyBorder="1" applyAlignment="1" applyProtection="1">
      <protection locked="0"/>
    </xf>
    <xf numFmtId="0" fontId="0" fillId="2" borderId="7" xfId="0" applyFill="1" applyBorder="1" applyProtection="1">
      <protection locked="0"/>
    </xf>
    <xf numFmtId="10" fontId="3" fillId="2" borderId="7" xfId="13" applyNumberFormat="1" applyFill="1" applyBorder="1" applyProtection="1">
      <protection locked="0"/>
    </xf>
    <xf numFmtId="0" fontId="0" fillId="2" borderId="17" xfId="0" applyFill="1" applyBorder="1" applyProtection="1">
      <protection locked="0"/>
    </xf>
    <xf numFmtId="0" fontId="0" fillId="2" borderId="6" xfId="0" applyFill="1" applyBorder="1" applyProtection="1">
      <protection locked="0"/>
    </xf>
    <xf numFmtId="10" fontId="3" fillId="2" borderId="6" xfId="13" applyNumberFormat="1" applyFill="1" applyBorder="1" applyProtection="1">
      <protection locked="0"/>
    </xf>
    <xf numFmtId="43" fontId="3" fillId="2" borderId="25" xfId="1" applyFill="1" applyBorder="1" applyProtection="1">
      <protection locked="0"/>
    </xf>
    <xf numFmtId="0" fontId="0" fillId="2" borderId="50" xfId="0" applyFill="1" applyBorder="1" applyProtection="1">
      <protection locked="0"/>
    </xf>
    <xf numFmtId="43" fontId="3" fillId="2" borderId="28" xfId="1" applyFill="1" applyBorder="1" applyAlignment="1" applyProtection="1">
      <protection locked="0"/>
    </xf>
    <xf numFmtId="43" fontId="3" fillId="2" borderId="47" xfId="1" applyFill="1" applyBorder="1" applyAlignment="1" applyProtection="1">
      <protection locked="0"/>
    </xf>
    <xf numFmtId="43" fontId="3" fillId="2" borderId="29" xfId="1" applyFill="1" applyBorder="1" applyProtection="1">
      <protection locked="0"/>
    </xf>
    <xf numFmtId="43" fontId="3" fillId="2" borderId="53" xfId="1" applyFill="1" applyBorder="1" applyProtection="1">
      <protection locked="0"/>
    </xf>
    <xf numFmtId="43" fontId="3" fillId="2" borderId="81" xfId="1" applyFill="1" applyBorder="1" applyProtection="1">
      <protection locked="0"/>
    </xf>
    <xf numFmtId="43" fontId="3" fillId="2" borderId="50" xfId="1" applyFill="1" applyBorder="1" applyProtection="1">
      <protection locked="0"/>
    </xf>
    <xf numFmtId="43" fontId="13" fillId="2" borderId="6" xfId="1" applyFont="1" applyFill="1" applyBorder="1" applyProtection="1">
      <protection locked="0"/>
    </xf>
    <xf numFmtId="43" fontId="13" fillId="2" borderId="25" xfId="1" applyFont="1" applyFill="1" applyBorder="1" applyProtection="1">
      <protection locked="0"/>
    </xf>
    <xf numFmtId="43" fontId="0" fillId="2" borderId="18" xfId="1" applyFont="1" applyFill="1" applyBorder="1" applyProtection="1">
      <protection locked="0"/>
    </xf>
    <xf numFmtId="43" fontId="3" fillId="2" borderId="18" xfId="1" applyFill="1" applyBorder="1" applyProtection="1">
      <protection locked="0"/>
    </xf>
    <xf numFmtId="0" fontId="0" fillId="0" borderId="3" xfId="0" applyFill="1" applyBorder="1" applyProtection="1"/>
    <xf numFmtId="43" fontId="3" fillId="2" borderId="9" xfId="1" applyFill="1" applyBorder="1" applyProtection="1">
      <protection locked="0"/>
    </xf>
    <xf numFmtId="0" fontId="3" fillId="2" borderId="18" xfId="0" applyFont="1" applyFill="1" applyBorder="1" applyProtection="1">
      <protection locked="0"/>
    </xf>
    <xf numFmtId="0" fontId="41" fillId="2" borderId="3" xfId="0" applyFont="1" applyFill="1" applyBorder="1" applyProtection="1">
      <protection locked="0"/>
    </xf>
    <xf numFmtId="0" fontId="40" fillId="2" borderId="3" xfId="0" applyFont="1" applyFill="1" applyBorder="1" applyProtection="1">
      <protection locked="0"/>
    </xf>
    <xf numFmtId="43" fontId="0" fillId="2" borderId="24" xfId="1" applyFont="1" applyFill="1" applyBorder="1" applyProtection="1">
      <protection locked="0"/>
    </xf>
    <xf numFmtId="0" fontId="17" fillId="2" borderId="26" xfId="0" applyFont="1" applyFill="1" applyBorder="1" applyAlignment="1" applyProtection="1">
      <alignment horizontal="center"/>
      <protection locked="0"/>
    </xf>
    <xf numFmtId="0" fontId="3" fillId="2" borderId="3" xfId="19" applyFill="1" applyBorder="1"/>
    <xf numFmtId="0" fontId="3" fillId="2" borderId="3" xfId="19" applyFill="1" applyBorder="1" applyProtection="1">
      <protection locked="0"/>
    </xf>
    <xf numFmtId="0" fontId="3" fillId="2" borderId="0" xfId="19" applyFill="1" applyProtection="1">
      <protection locked="0"/>
    </xf>
    <xf numFmtId="43" fontId="3" fillId="2" borderId="4" xfId="1" applyFill="1" applyBorder="1" applyProtection="1">
      <protection locked="0"/>
    </xf>
    <xf numFmtId="43" fontId="3" fillId="2" borderId="0" xfId="1" applyFill="1" applyProtection="1">
      <protection locked="0"/>
    </xf>
    <xf numFmtId="0" fontId="3" fillId="2" borderId="20" xfId="19" applyFill="1" applyBorder="1" applyProtection="1">
      <protection locked="0"/>
    </xf>
    <xf numFmtId="43" fontId="3" fillId="2" borderId="27" xfId="1" applyFill="1" applyBorder="1" applyProtection="1">
      <protection locked="0"/>
    </xf>
    <xf numFmtId="43" fontId="3" fillId="2" borderId="82" xfId="1" applyFill="1" applyBorder="1" applyProtection="1">
      <protection locked="0"/>
    </xf>
    <xf numFmtId="43" fontId="3" fillId="2" borderId="26" xfId="1" applyFont="1" applyFill="1" applyBorder="1" applyAlignment="1" applyProtection="1">
      <protection locked="0"/>
    </xf>
    <xf numFmtId="43" fontId="3" fillId="2" borderId="81" xfId="1" applyFont="1" applyFill="1" applyBorder="1" applyAlignment="1"/>
    <xf numFmtId="43" fontId="3" fillId="2" borderId="81" xfId="1" applyFont="1" applyFill="1" applyBorder="1" applyAlignment="1" applyProtection="1">
      <protection locked="0"/>
    </xf>
    <xf numFmtId="43" fontId="3" fillId="2" borderId="7" xfId="1" applyFont="1" applyFill="1" applyBorder="1" applyAlignment="1" applyProtection="1">
      <protection locked="0"/>
    </xf>
    <xf numFmtId="43" fontId="3" fillId="2" borderId="25" xfId="1" applyFont="1" applyFill="1" applyBorder="1" applyAlignment="1" applyProtection="1">
      <protection locked="0"/>
    </xf>
    <xf numFmtId="43" fontId="0" fillId="2" borderId="0" xfId="1" applyFont="1" applyFill="1" applyProtection="1">
      <protection locked="0"/>
    </xf>
    <xf numFmtId="43" fontId="13" fillId="2" borderId="5" xfId="1" applyFont="1" applyFill="1" applyBorder="1" applyProtection="1">
      <protection locked="0"/>
    </xf>
    <xf numFmtId="43" fontId="0" fillId="2" borderId="4" xfId="1" applyFont="1" applyFill="1" applyBorder="1" applyProtection="1">
      <protection locked="0"/>
    </xf>
    <xf numFmtId="43" fontId="0" fillId="0" borderId="3" xfId="1" applyFont="1" applyFill="1" applyBorder="1" applyProtection="1"/>
    <xf numFmtId="43" fontId="0" fillId="2" borderId="27" xfId="1" applyFont="1" applyFill="1" applyBorder="1" applyProtection="1">
      <protection locked="0"/>
    </xf>
    <xf numFmtId="43" fontId="3" fillId="2" borderId="26" xfId="1" applyFont="1" applyFill="1" applyBorder="1" applyProtection="1">
      <protection locked="0"/>
    </xf>
    <xf numFmtId="0" fontId="3" fillId="2" borderId="26" xfId="0" applyFont="1" applyFill="1" applyBorder="1" applyProtection="1">
      <protection locked="0"/>
    </xf>
    <xf numFmtId="0" fontId="3" fillId="0" borderId="0" xfId="19" applyProtection="1">
      <protection locked="0"/>
    </xf>
    <xf numFmtId="0" fontId="3" fillId="2" borderId="26" xfId="19" applyFill="1" applyBorder="1" applyProtection="1">
      <protection locked="0"/>
    </xf>
    <xf numFmtId="0" fontId="3" fillId="2" borderId="26" xfId="19" applyFont="1" applyFill="1" applyBorder="1" applyProtection="1">
      <protection locked="0"/>
    </xf>
    <xf numFmtId="43" fontId="3" fillId="0" borderId="26" xfId="19" applyNumberFormat="1" applyFill="1" applyBorder="1" applyProtection="1"/>
    <xf numFmtId="43" fontId="3" fillId="2" borderId="24" xfId="1" applyFill="1" applyBorder="1" applyProtection="1">
      <protection locked="0"/>
    </xf>
    <xf numFmtId="43" fontId="3" fillId="2" borderId="20" xfId="1" applyFont="1" applyFill="1" applyBorder="1" applyProtection="1">
      <protection locked="0"/>
    </xf>
    <xf numFmtId="0" fontId="3" fillId="2" borderId="18" xfId="19" applyFill="1" applyBorder="1" applyProtection="1">
      <protection locked="0"/>
    </xf>
    <xf numFmtId="43" fontId="3" fillId="2" borderId="31" xfId="1" applyFont="1" applyFill="1" applyBorder="1" applyProtection="1">
      <protection locked="0"/>
    </xf>
    <xf numFmtId="0" fontId="3" fillId="2" borderId="18" xfId="19" applyFont="1" applyFill="1" applyBorder="1" applyProtection="1">
      <protection locked="0"/>
    </xf>
    <xf numFmtId="0" fontId="3" fillId="2" borderId="19" xfId="19" applyFill="1" applyBorder="1" applyProtection="1">
      <protection locked="0"/>
    </xf>
    <xf numFmtId="14" fontId="3" fillId="2" borderId="33" xfId="19" applyNumberFormat="1" applyFill="1" applyBorder="1" applyAlignment="1" applyProtection="1">
      <alignment horizontal="center"/>
      <protection locked="0"/>
    </xf>
    <xf numFmtId="14" fontId="3" fillId="2" borderId="33" xfId="1" applyNumberFormat="1" applyFill="1" applyBorder="1" applyAlignment="1" applyProtection="1">
      <protection locked="0"/>
    </xf>
    <xf numFmtId="0" fontId="3" fillId="2" borderId="95" xfId="19" applyFill="1" applyBorder="1" applyAlignment="1" applyProtection="1">
      <protection locked="0"/>
    </xf>
    <xf numFmtId="49" fontId="3" fillId="2" borderId="3" xfId="19" applyNumberFormat="1" applyFont="1" applyFill="1" applyBorder="1" applyProtection="1">
      <protection locked="0"/>
    </xf>
    <xf numFmtId="14" fontId="3" fillId="2" borderId="7" xfId="19" applyNumberFormat="1" applyFill="1" applyBorder="1" applyAlignment="1" applyProtection="1">
      <alignment horizontal="center"/>
      <protection locked="0"/>
    </xf>
    <xf numFmtId="10" fontId="3" fillId="2" borderId="7" xfId="13" applyNumberFormat="1" applyFont="1" applyFill="1" applyBorder="1" applyAlignment="1" applyProtection="1">
      <protection locked="0"/>
    </xf>
    <xf numFmtId="43" fontId="3" fillId="2" borderId="7" xfId="1" applyFont="1" applyFill="1" applyBorder="1" applyAlignment="1" applyProtection="1">
      <alignment horizontal="center"/>
      <protection locked="0"/>
    </xf>
    <xf numFmtId="0" fontId="3" fillId="2" borderId="68" xfId="19" applyFill="1" applyBorder="1" applyProtection="1">
      <protection locked="0"/>
    </xf>
    <xf numFmtId="0" fontId="3" fillId="2" borderId="7" xfId="19" applyFill="1" applyBorder="1" applyProtection="1">
      <protection locked="0"/>
    </xf>
    <xf numFmtId="0" fontId="3" fillId="2" borderId="6" xfId="19" applyFill="1" applyBorder="1" applyProtection="1">
      <protection locked="0"/>
    </xf>
    <xf numFmtId="0" fontId="25" fillId="2" borderId="3" xfId="19" applyFont="1" applyFill="1" applyBorder="1" applyProtection="1">
      <protection locked="0"/>
    </xf>
    <xf numFmtId="0" fontId="25" fillId="2" borderId="20" xfId="19" applyFont="1" applyFill="1" applyBorder="1" applyProtection="1">
      <protection locked="0"/>
    </xf>
    <xf numFmtId="43" fontId="3" fillId="0" borderId="7" xfId="1" applyFill="1" applyBorder="1" applyProtection="1"/>
    <xf numFmtId="0" fontId="3" fillId="0" borderId="3" xfId="19" applyFill="1" applyBorder="1" applyProtection="1"/>
    <xf numFmtId="0" fontId="3" fillId="0" borderId="20" xfId="19" applyFill="1" applyBorder="1" applyProtection="1"/>
    <xf numFmtId="0" fontId="3" fillId="0" borderId="7" xfId="19" applyFill="1" applyBorder="1" applyProtection="1"/>
    <xf numFmtId="10" fontId="3" fillId="0" borderId="7" xfId="13" applyNumberFormat="1" applyFill="1" applyBorder="1" applyProtection="1"/>
    <xf numFmtId="43" fontId="3" fillId="0" borderId="29" xfId="1" applyFill="1" applyBorder="1" applyProtection="1"/>
    <xf numFmtId="0" fontId="3" fillId="0" borderId="68" xfId="19" applyFill="1" applyBorder="1" applyProtection="1"/>
    <xf numFmtId="49" fontId="3" fillId="0" borderId="3" xfId="19" applyNumberFormat="1" applyFill="1" applyBorder="1" applyAlignment="1" applyProtection="1">
      <alignment horizontal="left"/>
    </xf>
    <xf numFmtId="0" fontId="3" fillId="2" borderId="33" xfId="19" applyFill="1" applyBorder="1" applyAlignment="1" applyProtection="1">
      <protection locked="0"/>
    </xf>
    <xf numFmtId="0" fontId="3" fillId="2" borderId="47" xfId="19" applyFill="1" applyBorder="1" applyAlignment="1" applyProtection="1">
      <protection locked="0"/>
    </xf>
    <xf numFmtId="0" fontId="3" fillId="2" borderId="17" xfId="19" applyFill="1" applyBorder="1" applyProtection="1">
      <protection locked="0"/>
    </xf>
    <xf numFmtId="43" fontId="3" fillId="2" borderId="17" xfId="1" applyFont="1" applyFill="1" applyBorder="1" applyProtection="1">
      <protection locked="0"/>
    </xf>
    <xf numFmtId="49" fontId="3" fillId="2" borderId="18" xfId="19" applyNumberFormat="1" applyFill="1" applyBorder="1" applyAlignment="1" applyProtection="1">
      <alignment horizontal="left"/>
      <protection locked="0"/>
    </xf>
    <xf numFmtId="49" fontId="3" fillId="2" borderId="3" xfId="19" applyNumberFormat="1" applyFont="1" applyFill="1" applyBorder="1" applyAlignment="1" applyProtection="1">
      <alignment horizontal="left"/>
      <protection locked="0"/>
    </xf>
    <xf numFmtId="0" fontId="3" fillId="2" borderId="3" xfId="19" applyFont="1" applyFill="1" applyBorder="1" applyProtection="1">
      <protection locked="0"/>
    </xf>
    <xf numFmtId="49" fontId="3" fillId="2" borderId="3" xfId="19" quotePrefix="1" applyNumberFormat="1" applyFont="1" applyFill="1" applyBorder="1" applyAlignment="1" applyProtection="1">
      <alignment horizontal="left"/>
      <protection locked="0"/>
    </xf>
    <xf numFmtId="49" fontId="3" fillId="2" borderId="3" xfId="19" applyNumberFormat="1" applyFill="1" applyBorder="1" applyAlignment="1" applyProtection="1">
      <alignment horizontal="left"/>
      <protection locked="0"/>
    </xf>
    <xf numFmtId="0" fontId="3" fillId="2" borderId="20" xfId="19" applyFill="1" applyBorder="1" applyAlignment="1" applyProtection="1">
      <alignment horizontal="right"/>
      <protection locked="0"/>
    </xf>
    <xf numFmtId="14" fontId="3" fillId="0" borderId="18" xfId="19" quotePrefix="1" applyNumberFormat="1" applyFill="1" applyBorder="1"/>
    <xf numFmtId="0" fontId="3" fillId="0" borderId="0" xfId="0" applyFont="1" applyAlignment="1">
      <alignment horizontal="center"/>
    </xf>
    <xf numFmtId="0" fontId="59" fillId="0" borderId="0" xfId="0" applyFont="1"/>
    <xf numFmtId="0" fontId="60" fillId="0" borderId="0" xfId="0" applyFont="1"/>
    <xf numFmtId="0" fontId="3" fillId="2" borderId="26" xfId="0" applyFont="1" applyFill="1" applyBorder="1" applyAlignment="1" applyProtection="1">
      <alignment horizontal="center"/>
      <protection locked="0"/>
    </xf>
    <xf numFmtId="43" fontId="60" fillId="0" borderId="0" xfId="0" applyNumberFormat="1" applyFont="1"/>
    <xf numFmtId="0" fontId="3" fillId="2" borderId="19" xfId="0" applyFont="1" applyFill="1" applyBorder="1" applyProtection="1">
      <protection locked="0"/>
    </xf>
    <xf numFmtId="43" fontId="60" fillId="0" borderId="0" xfId="0" applyNumberFormat="1" applyFont="1" applyFill="1"/>
    <xf numFmtId="43" fontId="56" fillId="0" borderId="0" xfId="0" applyNumberFormat="1" applyFont="1"/>
    <xf numFmtId="0" fontId="3" fillId="2" borderId="3" xfId="0" applyFont="1" applyFill="1" applyBorder="1" applyAlignment="1" applyProtection="1">
      <alignment horizontal="center"/>
      <protection locked="0"/>
    </xf>
    <xf numFmtId="43" fontId="13" fillId="3" borderId="3" xfId="1" applyFont="1" applyFill="1" applyBorder="1" applyProtection="1">
      <protection locked="0"/>
    </xf>
    <xf numFmtId="43" fontId="13" fillId="2" borderId="3" xfId="1" applyFont="1" applyFill="1" applyBorder="1"/>
    <xf numFmtId="43" fontId="0" fillId="3" borderId="19" xfId="1" applyFont="1" applyFill="1" applyBorder="1"/>
    <xf numFmtId="43" fontId="0" fillId="3" borderId="20" xfId="1" applyFont="1" applyFill="1" applyBorder="1"/>
    <xf numFmtId="43" fontId="13" fillId="3" borderId="7" xfId="1" applyFont="1" applyFill="1" applyBorder="1" applyProtection="1">
      <protection locked="0"/>
    </xf>
    <xf numFmtId="0" fontId="0" fillId="0" borderId="7" xfId="0" applyFill="1" applyBorder="1"/>
    <xf numFmtId="0" fontId="0" fillId="0" borderId="27" xfId="0" applyFill="1" applyBorder="1"/>
    <xf numFmtId="0" fontId="0" fillId="3" borderId="3" xfId="0" applyFill="1" applyBorder="1"/>
    <xf numFmtId="0" fontId="0" fillId="0" borderId="4" xfId="0" applyBorder="1" applyAlignment="1">
      <alignment horizontal="center" vertical="center"/>
    </xf>
    <xf numFmtId="43" fontId="13" fillId="2" borderId="10" xfId="1" applyFont="1" applyFill="1" applyBorder="1" applyProtection="1">
      <protection locked="0"/>
    </xf>
    <xf numFmtId="43" fontId="13" fillId="2" borderId="15" xfId="1" applyFont="1" applyFill="1" applyBorder="1" applyProtection="1">
      <protection locked="0"/>
    </xf>
    <xf numFmtId="43" fontId="15" fillId="0" borderId="28" xfId="1" applyFont="1" applyBorder="1" applyAlignment="1">
      <alignment horizontal="center"/>
    </xf>
    <xf numFmtId="43" fontId="13" fillId="2" borderId="64" xfId="1" applyFont="1" applyFill="1" applyBorder="1" applyProtection="1">
      <protection locked="0"/>
    </xf>
    <xf numFmtId="43" fontId="13" fillId="3" borderId="7" xfId="1" applyFont="1" applyFill="1" applyBorder="1"/>
    <xf numFmtId="10" fontId="60" fillId="0" borderId="0" xfId="13" applyNumberFormat="1" applyFont="1"/>
    <xf numFmtId="0" fontId="3" fillId="3" borderId="3" xfId="0" applyFont="1" applyFill="1" applyBorder="1"/>
    <xf numFmtId="0" fontId="0" fillId="0" borderId="0" xfId="0" applyAlignment="1">
      <alignment horizontal="center"/>
    </xf>
    <xf numFmtId="0" fontId="0" fillId="0" borderId="1" xfId="0" applyBorder="1" applyAlignment="1">
      <alignment horizontal="center" vertical="center"/>
    </xf>
    <xf numFmtId="0" fontId="22" fillId="0" borderId="0" xfId="0" applyFont="1" applyAlignment="1">
      <alignment horizontal="center"/>
    </xf>
    <xf numFmtId="0" fontId="4" fillId="0" borderId="0" xfId="0" applyFont="1" applyBorder="1" applyAlignment="1">
      <alignment horizontal="center"/>
    </xf>
    <xf numFmtId="0" fontId="0" fillId="0" borderId="21" xfId="0" applyBorder="1" applyAlignment="1">
      <alignment horizontal="center" vertical="center"/>
    </xf>
    <xf numFmtId="43" fontId="61" fillId="0" borderId="0" xfId="1" applyFont="1"/>
    <xf numFmtId="0" fontId="61" fillId="0" borderId="0" xfId="19" applyFont="1" applyFill="1"/>
    <xf numFmtId="0" fontId="3" fillId="3" borderId="0" xfId="19" applyFill="1"/>
    <xf numFmtId="0" fontId="61" fillId="0" borderId="0" xfId="0" applyFont="1"/>
    <xf numFmtId="43" fontId="61" fillId="0" borderId="0" xfId="0" applyNumberFormat="1" applyFont="1"/>
    <xf numFmtId="0" fontId="0" fillId="0" borderId="64" xfId="0" applyFill="1" applyBorder="1"/>
    <xf numFmtId="0" fontId="0" fillId="0" borderId="64" xfId="0" applyBorder="1"/>
    <xf numFmtId="0" fontId="0" fillId="3" borderId="0" xfId="0" applyFill="1"/>
    <xf numFmtId="0" fontId="61" fillId="3" borderId="0" xfId="0" applyFont="1" applyFill="1"/>
    <xf numFmtId="43" fontId="0" fillId="3" borderId="0" xfId="0" applyNumberFormat="1" applyFill="1"/>
    <xf numFmtId="43" fontId="3" fillId="3" borderId="0" xfId="0" applyNumberFormat="1" applyFont="1" applyFill="1"/>
    <xf numFmtId="0" fontId="0" fillId="3" borderId="3" xfId="0" applyFill="1" applyBorder="1" applyProtection="1">
      <protection locked="0"/>
    </xf>
    <xf numFmtId="43" fontId="61" fillId="3" borderId="0" xfId="0" applyNumberFormat="1" applyFont="1" applyFill="1"/>
    <xf numFmtId="10" fontId="61" fillId="0" borderId="0" xfId="13" applyNumberFormat="1" applyFont="1"/>
    <xf numFmtId="43" fontId="13" fillId="0" borderId="96" xfId="1" applyFont="1" applyFill="1" applyBorder="1"/>
    <xf numFmtId="43" fontId="0" fillId="0" borderId="97" xfId="0" applyNumberFormat="1" applyBorder="1"/>
    <xf numFmtId="0" fontId="6" fillId="0" borderId="0" xfId="0" applyFont="1" applyAlignment="1">
      <alignment horizontal="center"/>
    </xf>
    <xf numFmtId="0" fontId="16" fillId="0" borderId="0" xfId="0" applyFont="1" applyBorder="1" applyAlignment="1">
      <alignment horizontal="center"/>
    </xf>
    <xf numFmtId="0" fontId="0" fillId="0" borderId="1" xfId="0" applyBorder="1" applyAlignment="1">
      <alignment horizontal="center" vertical="center"/>
    </xf>
    <xf numFmtId="0" fontId="23" fillId="0" borderId="0" xfId="0" applyFont="1" applyAlignment="1">
      <alignment horizontal="center" vertical="center" textRotation="180" wrapText="1"/>
    </xf>
    <xf numFmtId="0" fontId="0" fillId="0" borderId="15" xfId="0" applyBorder="1" applyAlignment="1">
      <alignment horizontal="center"/>
    </xf>
    <xf numFmtId="0" fontId="16" fillId="0" borderId="0" xfId="0" applyFont="1" applyAlignment="1">
      <alignment horizontal="center"/>
    </xf>
    <xf numFmtId="0" fontId="62" fillId="0" borderId="0" xfId="0" applyFont="1"/>
    <xf numFmtId="43" fontId="0" fillId="2" borderId="81" xfId="1" applyFont="1" applyFill="1" applyBorder="1" applyProtection="1">
      <protection locked="0"/>
    </xf>
    <xf numFmtId="0" fontId="0" fillId="0" borderId="6" xfId="0" applyBorder="1" applyAlignment="1">
      <alignment horizontal="center" vertical="center"/>
    </xf>
    <xf numFmtId="0" fontId="0" fillId="2" borderId="3" xfId="0" applyFill="1" applyBorder="1" applyAlignment="1" applyProtection="1">
      <alignment horizontal="left" vertical="center"/>
      <protection locked="0"/>
    </xf>
    <xf numFmtId="0" fontId="0" fillId="2" borderId="20" xfId="0" applyFill="1" applyBorder="1" applyAlignment="1" applyProtection="1">
      <alignment horizontal="left" vertical="center"/>
      <protection locked="0"/>
    </xf>
    <xf numFmtId="0" fontId="3" fillId="2" borderId="3" xfId="0" applyFont="1" applyFill="1" applyBorder="1" applyAlignment="1" applyProtection="1">
      <protection locked="0"/>
    </xf>
    <xf numFmtId="0" fontId="0" fillId="2" borderId="3" xfId="0" applyFill="1" applyBorder="1" applyAlignment="1" applyProtection="1">
      <protection locked="0"/>
    </xf>
    <xf numFmtId="0" fontId="20" fillId="2" borderId="3" xfId="0" applyFont="1" applyFill="1" applyBorder="1" applyAlignment="1" applyProtection="1">
      <protection locked="0"/>
    </xf>
    <xf numFmtId="43" fontId="3" fillId="2" borderId="3" xfId="1" applyFont="1" applyFill="1" applyBorder="1" applyProtection="1">
      <protection locked="0"/>
    </xf>
    <xf numFmtId="10" fontId="24" fillId="0" borderId="26" xfId="13" applyNumberFormat="1" applyFont="1" applyBorder="1"/>
    <xf numFmtId="10" fontId="0" fillId="0" borderId="26" xfId="13" applyNumberFormat="1" applyFont="1" applyBorder="1"/>
    <xf numFmtId="43" fontId="0" fillId="0" borderId="26" xfId="1" applyFont="1" applyFill="1" applyBorder="1" applyProtection="1">
      <protection locked="0"/>
    </xf>
    <xf numFmtId="0" fontId="3" fillId="0" borderId="26" xfId="0" applyFont="1" applyBorder="1"/>
    <xf numFmtId="43" fontId="0" fillId="0" borderId="33" xfId="1" applyFont="1" applyFill="1" applyBorder="1" applyProtection="1">
      <protection locked="0"/>
    </xf>
    <xf numFmtId="0" fontId="3" fillId="0" borderId="98" xfId="19" applyBorder="1"/>
    <xf numFmtId="0" fontId="3" fillId="0" borderId="0" xfId="19" applyFill="1" applyProtection="1">
      <protection locked="0"/>
    </xf>
    <xf numFmtId="0" fontId="62" fillId="0" borderId="0" xfId="19" applyFont="1" applyFill="1"/>
    <xf numFmtId="0" fontId="0" fillId="0" borderId="0" xfId="0" applyBorder="1" applyAlignment="1">
      <alignment horizontal="center" vertical="center"/>
    </xf>
    <xf numFmtId="43" fontId="13" fillId="0" borderId="10" xfId="0" applyNumberFormat="1" applyFont="1" applyFill="1" applyBorder="1" applyAlignment="1">
      <alignment horizontal="center"/>
    </xf>
    <xf numFmtId="0" fontId="3" fillId="0" borderId="23" xfId="0" applyFont="1" applyFill="1" applyBorder="1"/>
    <xf numFmtId="43" fontId="3" fillId="2" borderId="7" xfId="1" applyFont="1" applyFill="1" applyBorder="1" applyAlignment="1" applyProtection="1">
      <alignment horizontal="right"/>
      <protection locked="0"/>
    </xf>
    <xf numFmtId="0" fontId="3" fillId="0" borderId="0" xfId="19" applyFill="1" applyAlignment="1">
      <alignment horizontal="center"/>
    </xf>
    <xf numFmtId="0" fontId="16" fillId="0" borderId="0" xfId="19" applyFont="1" applyFill="1" applyAlignment="1">
      <alignment horizontal="center"/>
    </xf>
    <xf numFmtId="0" fontId="3" fillId="0" borderId="0" xfId="19" applyFill="1" applyBorder="1" applyAlignment="1">
      <alignment horizontal="center"/>
    </xf>
    <xf numFmtId="0" fontId="3" fillId="0" borderId="0" xfId="19" applyAlignment="1">
      <alignment horizontal="center"/>
    </xf>
    <xf numFmtId="43" fontId="3" fillId="0" borderId="29" xfId="1" applyFill="1" applyBorder="1" applyAlignment="1">
      <alignment horizontal="right"/>
    </xf>
    <xf numFmtId="0" fontId="3" fillId="0" borderId="37" xfId="19" applyFill="1" applyBorder="1" applyAlignment="1">
      <alignment horizontal="center" vertical="center" wrapText="1"/>
    </xf>
    <xf numFmtId="0" fontId="3" fillId="0" borderId="0" xfId="19" applyBorder="1" applyAlignment="1">
      <alignment horizontal="center"/>
    </xf>
    <xf numFmtId="0" fontId="3" fillId="0" borderId="10" xfId="0" applyFont="1" applyBorder="1" applyAlignment="1">
      <alignment horizontal="center"/>
    </xf>
    <xf numFmtId="43" fontId="0" fillId="0" borderId="13" xfId="1" applyFont="1" applyFill="1" applyBorder="1" applyProtection="1">
      <protection locked="0"/>
    </xf>
    <xf numFmtId="0" fontId="0" fillId="0" borderId="18" xfId="0" applyFill="1" applyBorder="1" applyProtection="1">
      <protection locked="0"/>
    </xf>
    <xf numFmtId="0" fontId="0" fillId="0" borderId="19" xfId="0" applyFill="1" applyBorder="1" applyProtection="1">
      <protection locked="0"/>
    </xf>
    <xf numFmtId="0" fontId="64" fillId="0" borderId="0" xfId="0" applyFont="1"/>
    <xf numFmtId="0" fontId="3" fillId="2" borderId="41" xfId="0" applyFont="1" applyFill="1" applyBorder="1" applyProtection="1">
      <protection locked="0"/>
    </xf>
    <xf numFmtId="0" fontId="3" fillId="0" borderId="18" xfId="0" applyFont="1" applyBorder="1"/>
    <xf numFmtId="0" fontId="3" fillId="0" borderId="31" xfId="0" applyFont="1" applyBorder="1" applyAlignment="1">
      <alignment horizontal="right"/>
    </xf>
    <xf numFmtId="14" fontId="3" fillId="0" borderId="11" xfId="19" applyNumberFormat="1" applyBorder="1" applyAlignment="1">
      <alignment horizontal="center"/>
    </xf>
    <xf numFmtId="0" fontId="3" fillId="2" borderId="33" xfId="19" applyFill="1" applyBorder="1" applyProtection="1">
      <protection locked="0"/>
    </xf>
    <xf numFmtId="10" fontId="3" fillId="2" borderId="33" xfId="13" applyNumberFormat="1" applyFill="1" applyBorder="1" applyProtection="1">
      <protection locked="0"/>
    </xf>
    <xf numFmtId="0" fontId="3" fillId="2" borderId="47" xfId="19" applyFill="1" applyBorder="1" applyProtection="1">
      <protection locked="0"/>
    </xf>
    <xf numFmtId="0" fontId="17" fillId="0" borderId="0" xfId="19" applyFont="1"/>
    <xf numFmtId="43" fontId="3" fillId="2" borderId="28" xfId="1" applyFill="1" applyBorder="1" applyProtection="1">
      <protection locked="0"/>
    </xf>
    <xf numFmtId="43" fontId="3" fillId="2" borderId="47" xfId="1" applyFill="1" applyBorder="1" applyProtection="1">
      <protection locked="0"/>
    </xf>
    <xf numFmtId="49" fontId="10" fillId="0" borderId="0" xfId="19" applyNumberFormat="1" applyFont="1" applyAlignment="1">
      <alignment horizontal="left"/>
    </xf>
    <xf numFmtId="0" fontId="10" fillId="0" borderId="0" xfId="19" applyFont="1" applyAlignment="1">
      <alignment horizontal="right"/>
    </xf>
    <xf numFmtId="49" fontId="3" fillId="2" borderId="3" xfId="19" quotePrefix="1" applyNumberFormat="1" applyFill="1" applyBorder="1" applyAlignment="1" applyProtection="1">
      <alignment horizontal="left"/>
      <protection locked="0"/>
    </xf>
    <xf numFmtId="43" fontId="3" fillId="0" borderId="29" xfId="1" applyBorder="1" applyAlignment="1">
      <alignment horizontal="right"/>
    </xf>
    <xf numFmtId="0" fontId="6" fillId="0" borderId="0" xfId="19" applyFont="1" applyAlignment="1">
      <alignment horizontal="center"/>
    </xf>
    <xf numFmtId="0" fontId="3" fillId="0" borderId="37" xfId="19" applyBorder="1" applyAlignment="1">
      <alignment horizontal="center" vertical="center" wrapText="1"/>
    </xf>
    <xf numFmtId="0" fontId="3" fillId="0" borderId="0" xfId="19" applyBorder="1" applyAlignment="1">
      <alignment horizontal="center"/>
    </xf>
    <xf numFmtId="0" fontId="0" fillId="0" borderId="66" xfId="0" applyBorder="1"/>
    <xf numFmtId="0" fontId="0" fillId="0" borderId="101" xfId="0" applyBorder="1" applyAlignment="1">
      <alignment horizontal="center" vertical="center" wrapText="1"/>
    </xf>
    <xf numFmtId="0" fontId="0" fillId="2" borderId="47"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0" borderId="0" xfId="0" applyAlignment="1">
      <alignment horizontal="center"/>
    </xf>
    <xf numFmtId="0" fontId="0" fillId="2" borderId="3" xfId="0" applyFill="1" applyBorder="1" applyAlignment="1" applyProtection="1">
      <alignment horizontal="left"/>
      <protection locked="0"/>
    </xf>
    <xf numFmtId="0" fontId="0" fillId="0" borderId="1" xfId="0" applyBorder="1" applyAlignment="1">
      <alignment horizontal="center" vertical="center"/>
    </xf>
    <xf numFmtId="0" fontId="0" fillId="0" borderId="0" xfId="0" applyFill="1" applyAlignment="1">
      <alignment horizontal="center"/>
    </xf>
    <xf numFmtId="0" fontId="0" fillId="0" borderId="46" xfId="0" applyBorder="1" applyAlignment="1">
      <alignment horizontal="center"/>
    </xf>
    <xf numFmtId="0" fontId="0" fillId="0" borderId="15" xfId="0" applyBorder="1" applyAlignment="1">
      <alignment horizontal="center"/>
    </xf>
    <xf numFmtId="0" fontId="0" fillId="2" borderId="20" xfId="0" applyFill="1" applyBorder="1" applyAlignment="1" applyProtection="1">
      <alignment horizontal="center"/>
      <protection locked="0"/>
    </xf>
    <xf numFmtId="0" fontId="0" fillId="2" borderId="3" xfId="0" applyFill="1" applyBorder="1" applyAlignment="1" applyProtection="1">
      <alignment horizontal="right"/>
      <protection locked="0"/>
    </xf>
    <xf numFmtId="43" fontId="3" fillId="0" borderId="0" xfId="19" applyNumberFormat="1" applyFont="1" applyFill="1" applyBorder="1" applyAlignment="1"/>
    <xf numFmtId="43" fontId="3" fillId="0" borderId="0" xfId="19" applyNumberFormat="1" applyFont="1" applyFill="1" applyBorder="1" applyAlignment="1">
      <alignment horizontal="center"/>
    </xf>
    <xf numFmtId="0" fontId="3" fillId="3" borderId="4" xfId="19" applyFill="1" applyBorder="1" applyAlignment="1" applyProtection="1">
      <alignment horizontal="center"/>
      <protection locked="0"/>
    </xf>
    <xf numFmtId="0" fontId="0" fillId="2" borderId="3" xfId="0" applyFill="1" applyBorder="1" applyAlignment="1" applyProtection="1">
      <alignment horizontal="center"/>
      <protection locked="0"/>
    </xf>
    <xf numFmtId="0" fontId="3" fillId="2" borderId="62" xfId="0" applyFont="1" applyFill="1" applyBorder="1" applyAlignment="1" applyProtection="1">
      <alignment vertical="center"/>
      <protection locked="0"/>
    </xf>
    <xf numFmtId="0" fontId="17" fillId="2" borderId="62" xfId="0" applyFont="1" applyFill="1" applyBorder="1" applyProtection="1">
      <protection locked="0"/>
    </xf>
    <xf numFmtId="0" fontId="13" fillId="2" borderId="0" xfId="0" applyFont="1" applyFill="1" applyProtection="1">
      <protection locked="0"/>
    </xf>
    <xf numFmtId="0" fontId="13" fillId="2" borderId="0" xfId="0" applyFont="1" applyFill="1" applyAlignment="1" applyProtection="1">
      <alignment horizontal="center"/>
      <protection locked="0"/>
    </xf>
    <xf numFmtId="0" fontId="13" fillId="2" borderId="0" xfId="0" applyFont="1" applyFill="1" applyAlignment="1" applyProtection="1">
      <alignment horizontal="left"/>
      <protection locked="0"/>
    </xf>
    <xf numFmtId="0" fontId="13" fillId="2" borderId="0" xfId="0" quotePrefix="1" applyFont="1" applyFill="1" applyAlignment="1" applyProtection="1">
      <alignment horizontal="center"/>
      <protection locked="0"/>
    </xf>
    <xf numFmtId="0" fontId="3" fillId="2" borderId="0" xfId="0" applyFont="1" applyFill="1" applyProtection="1">
      <protection locked="0"/>
    </xf>
    <xf numFmtId="43" fontId="13" fillId="0" borderId="0" xfId="0" applyNumberFormat="1" applyFont="1" applyFill="1" applyBorder="1" applyAlignment="1" applyProtection="1">
      <alignment horizontal="center"/>
    </xf>
    <xf numFmtId="43" fontId="13" fillId="3" borderId="3" xfId="1" applyFont="1" applyFill="1" applyBorder="1" applyProtection="1"/>
    <xf numFmtId="0" fontId="3" fillId="3" borderId="3" xfId="0" applyFont="1" applyFill="1" applyBorder="1" applyProtection="1"/>
    <xf numFmtId="0" fontId="3" fillId="3" borderId="3" xfId="0" applyFont="1" applyFill="1" applyBorder="1" applyAlignment="1" applyProtection="1">
      <alignment horizontal="center"/>
    </xf>
    <xf numFmtId="0" fontId="0" fillId="3" borderId="3" xfId="0" applyFill="1" applyBorder="1" applyAlignment="1" applyProtection="1">
      <alignment horizontal="center"/>
    </xf>
    <xf numFmtId="0" fontId="0" fillId="3" borderId="20" xfId="0" applyFill="1" applyBorder="1" applyAlignment="1" applyProtection="1">
      <alignment horizontal="center"/>
    </xf>
    <xf numFmtId="0" fontId="0" fillId="0" borderId="0" xfId="0" applyFill="1" applyProtection="1"/>
    <xf numFmtId="43" fontId="0" fillId="0" borderId="4" xfId="1" applyFont="1" applyFill="1" applyBorder="1" applyProtection="1"/>
    <xf numFmtId="43" fontId="0" fillId="0" borderId="0" xfId="1" applyFont="1" applyFill="1" applyProtection="1"/>
    <xf numFmtId="43" fontId="0" fillId="0" borderId="7" xfId="1" applyFont="1" applyFill="1" applyBorder="1" applyProtection="1"/>
    <xf numFmtId="0" fontId="3" fillId="0" borderId="3" xfId="0" applyFont="1" applyFill="1" applyBorder="1" applyProtection="1"/>
    <xf numFmtId="43" fontId="0" fillId="0" borderId="17" xfId="1" applyFont="1" applyFill="1" applyBorder="1" applyProtection="1"/>
    <xf numFmtId="0" fontId="0" fillId="3" borderId="3" xfId="0" applyFill="1" applyBorder="1" applyProtection="1"/>
    <xf numFmtId="43" fontId="0" fillId="3" borderId="34" xfId="1" applyFont="1" applyFill="1" applyBorder="1" applyProtection="1"/>
    <xf numFmtId="43" fontId="0" fillId="3" borderId="35" xfId="1" applyFont="1" applyFill="1" applyBorder="1" applyProtection="1"/>
    <xf numFmtId="43" fontId="0" fillId="0" borderId="27" xfId="1" applyFont="1" applyFill="1" applyBorder="1" applyProtection="1"/>
    <xf numFmtId="43" fontId="0" fillId="0" borderId="26" xfId="1" applyFont="1" applyFill="1" applyBorder="1" applyProtection="1"/>
    <xf numFmtId="43" fontId="0" fillId="3" borderId="80" xfId="1" applyFont="1" applyFill="1" applyBorder="1" applyProtection="1"/>
    <xf numFmtId="43" fontId="0" fillId="0" borderId="29" xfId="1" applyFont="1" applyFill="1" applyBorder="1" applyProtection="1"/>
    <xf numFmtId="0" fontId="0" fillId="0" borderId="0" xfId="0" applyAlignment="1" applyProtection="1">
      <alignment horizontal="center"/>
    </xf>
    <xf numFmtId="0" fontId="0" fillId="0" borderId="0" xfId="0" applyProtection="1"/>
    <xf numFmtId="0" fontId="3" fillId="0" borderId="0" xfId="0" applyFont="1" applyFill="1" applyProtection="1"/>
    <xf numFmtId="43" fontId="3" fillId="0" borderId="26" xfId="1" applyBorder="1" applyProtection="1"/>
    <xf numFmtId="0" fontId="3" fillId="0" borderId="26" xfId="0" applyFont="1" applyFill="1" applyBorder="1" applyProtection="1"/>
    <xf numFmtId="0" fontId="0" fillId="0" borderId="26" xfId="0" applyFill="1" applyBorder="1" applyProtection="1"/>
    <xf numFmtId="43" fontId="3" fillId="0" borderId="26" xfId="1" applyFill="1" applyBorder="1" applyProtection="1"/>
    <xf numFmtId="0" fontId="0" fillId="0" borderId="23" xfId="0" applyBorder="1" applyProtection="1"/>
    <xf numFmtId="0" fontId="0" fillId="0" borderId="31" xfId="0" applyBorder="1" applyProtection="1"/>
    <xf numFmtId="43" fontId="0" fillId="0" borderId="22" xfId="1" applyFont="1" applyBorder="1" applyProtection="1"/>
    <xf numFmtId="43" fontId="0" fillId="0" borderId="48" xfId="1" applyFont="1" applyBorder="1" applyProtection="1"/>
    <xf numFmtId="0" fontId="0" fillId="0" borderId="13" xfId="0" applyBorder="1" applyProtection="1"/>
    <xf numFmtId="0" fontId="0" fillId="0" borderId="16" xfId="0" applyBorder="1" applyAlignment="1" applyProtection="1">
      <alignment horizontal="center"/>
    </xf>
    <xf numFmtId="14" fontId="0" fillId="0" borderId="16" xfId="0" applyNumberFormat="1" applyBorder="1" applyAlignment="1" applyProtection="1">
      <alignment horizontal="center"/>
    </xf>
    <xf numFmtId="0" fontId="0" fillId="0" borderId="14" xfId="0" applyBorder="1" applyProtection="1"/>
    <xf numFmtId="43" fontId="17" fillId="0" borderId="47" xfId="1" applyFont="1" applyBorder="1" applyAlignment="1" applyProtection="1">
      <alignment horizontal="center"/>
    </xf>
    <xf numFmtId="43" fontId="17" fillId="0" borderId="17" xfId="1" applyFont="1" applyFill="1" applyBorder="1" applyAlignment="1" applyProtection="1">
      <alignment horizontal="center"/>
    </xf>
    <xf numFmtId="43" fontId="17" fillId="0" borderId="17" xfId="1" applyFont="1" applyBorder="1" applyAlignment="1" applyProtection="1">
      <alignment horizontal="center"/>
    </xf>
    <xf numFmtId="43" fontId="13" fillId="0" borderId="6" xfId="1" applyFont="1" applyFill="1" applyBorder="1" applyProtection="1"/>
    <xf numFmtId="43" fontId="15" fillId="0" borderId="7" xfId="1" applyFont="1" applyBorder="1" applyAlignment="1" applyProtection="1">
      <alignment horizontal="center"/>
    </xf>
    <xf numFmtId="43" fontId="13" fillId="0" borderId="7" xfId="1" applyFont="1" applyBorder="1" applyProtection="1"/>
    <xf numFmtId="43" fontId="13" fillId="3" borderId="7" xfId="1" applyFont="1" applyFill="1" applyBorder="1" applyProtection="1"/>
    <xf numFmtId="43" fontId="13" fillId="0" borderId="29" xfId="1" applyFont="1" applyBorder="1" applyProtection="1"/>
    <xf numFmtId="0" fontId="3" fillId="0" borderId="3" xfId="0" applyFont="1" applyBorder="1" applyProtection="1"/>
    <xf numFmtId="43" fontId="13" fillId="3" borderId="10" xfId="1" applyFont="1" applyFill="1" applyBorder="1" applyProtection="1"/>
    <xf numFmtId="43" fontId="13" fillId="3" borderId="15" xfId="1" applyFont="1" applyFill="1" applyBorder="1" applyProtection="1"/>
    <xf numFmtId="0" fontId="3" fillId="3" borderId="0" xfId="0" applyFont="1" applyFill="1" applyProtection="1"/>
    <xf numFmtId="43" fontId="13" fillId="3" borderId="29" xfId="1" applyFont="1" applyFill="1" applyBorder="1" applyProtection="1"/>
    <xf numFmtId="43" fontId="15" fillId="2" borderId="64" xfId="1" applyFont="1" applyFill="1" applyBorder="1" applyAlignment="1" applyProtection="1">
      <alignment horizontal="center"/>
      <protection locked="0"/>
    </xf>
    <xf numFmtId="43" fontId="15" fillId="2" borderId="7" xfId="1" applyFont="1" applyFill="1" applyBorder="1" applyAlignment="1" applyProtection="1">
      <alignment horizontal="center"/>
      <protection locked="0"/>
    </xf>
    <xf numFmtId="0" fontId="3" fillId="0" borderId="18" xfId="0" applyFont="1" applyFill="1" applyBorder="1" applyProtection="1"/>
    <xf numFmtId="0" fontId="0" fillId="0" borderId="18" xfId="0" applyFill="1" applyBorder="1" applyProtection="1"/>
    <xf numFmtId="43" fontId="13" fillId="0" borderId="28" xfId="1" applyFont="1" applyFill="1" applyBorder="1" applyProtection="1"/>
    <xf numFmtId="43" fontId="0" fillId="0" borderId="47" xfId="1" applyFont="1" applyFill="1" applyBorder="1" applyProtection="1"/>
    <xf numFmtId="0" fontId="0" fillId="0" borderId="9" xfId="0" applyBorder="1" applyProtection="1"/>
    <xf numFmtId="0" fontId="0" fillId="0" borderId="4" xfId="0" applyBorder="1" applyAlignment="1" applyProtection="1">
      <alignment horizontal="center"/>
    </xf>
    <xf numFmtId="0" fontId="0" fillId="0" borderId="4" xfId="0" applyBorder="1" applyProtection="1"/>
    <xf numFmtId="0" fontId="0" fillId="0" borderId="10" xfId="0" applyBorder="1" applyAlignment="1" applyProtection="1">
      <alignment horizontal="center"/>
    </xf>
    <xf numFmtId="0" fontId="3" fillId="0" borderId="10" xfId="0" applyFont="1" applyBorder="1" applyAlignment="1" applyProtection="1">
      <alignment horizontal="center"/>
    </xf>
    <xf numFmtId="0" fontId="0" fillId="0" borderId="10" xfId="0" applyFill="1" applyBorder="1" applyAlignment="1" applyProtection="1">
      <alignment horizontal="center"/>
    </xf>
    <xf numFmtId="14" fontId="0" fillId="0" borderId="10" xfId="0" applyNumberFormat="1" applyBorder="1" applyAlignment="1" applyProtection="1">
      <alignment horizontal="center"/>
    </xf>
    <xf numFmtId="0" fontId="0" fillId="0" borderId="10" xfId="0" applyBorder="1" applyProtection="1"/>
    <xf numFmtId="0" fontId="0" fillId="0" borderId="15" xfId="0" applyBorder="1" applyAlignment="1" applyProtection="1">
      <alignment horizontal="center"/>
    </xf>
    <xf numFmtId="0" fontId="0" fillId="0" borderId="8" xfId="0" applyBorder="1" applyProtection="1"/>
    <xf numFmtId="0" fontId="0" fillId="0" borderId="11" xfId="0" applyBorder="1" applyProtection="1"/>
    <xf numFmtId="0" fontId="0" fillId="0" borderId="11" xfId="0" applyBorder="1" applyAlignment="1" applyProtection="1">
      <alignment horizontal="center"/>
    </xf>
    <xf numFmtId="0" fontId="0" fillId="0" borderId="12" xfId="0" applyBorder="1" applyProtection="1"/>
    <xf numFmtId="0" fontId="0" fillId="0" borderId="19" xfId="0" applyFill="1" applyBorder="1" applyProtection="1"/>
    <xf numFmtId="43" fontId="0" fillId="0" borderId="33" xfId="1" applyFont="1" applyFill="1" applyBorder="1" applyProtection="1"/>
    <xf numFmtId="43" fontId="0" fillId="0" borderId="13" xfId="1" applyFont="1" applyFill="1" applyBorder="1" applyProtection="1"/>
    <xf numFmtId="43" fontId="0" fillId="0" borderId="99" xfId="1" applyFont="1" applyFill="1" applyBorder="1" applyProtection="1"/>
    <xf numFmtId="43" fontId="0" fillId="0" borderId="100" xfId="1" applyFont="1" applyFill="1" applyBorder="1" applyProtection="1"/>
    <xf numFmtId="43" fontId="0" fillId="0" borderId="16" xfId="1" applyFont="1" applyFill="1" applyBorder="1" applyProtection="1"/>
    <xf numFmtId="43" fontId="0" fillId="0" borderId="14" xfId="1" applyFont="1" applyBorder="1" applyProtection="1"/>
    <xf numFmtId="43" fontId="13" fillId="0" borderId="7" xfId="1" applyFont="1" applyFill="1" applyBorder="1" applyProtection="1"/>
    <xf numFmtId="43" fontId="13" fillId="0" borderId="29" xfId="1" applyFont="1" applyFill="1" applyBorder="1" applyProtection="1"/>
    <xf numFmtId="0" fontId="3" fillId="0" borderId="0" xfId="19" applyFill="1" applyAlignment="1">
      <alignment horizontal="center"/>
    </xf>
    <xf numFmtId="43" fontId="3" fillId="0" borderId="20" xfId="1" applyFill="1" applyBorder="1"/>
    <xf numFmtId="0" fontId="0" fillId="2" borderId="93" xfId="0" applyNumberFormat="1" applyFill="1" applyBorder="1" applyAlignment="1" applyProtection="1">
      <alignment horizontal="left"/>
      <protection locked="0"/>
    </xf>
    <xf numFmtId="43" fontId="13" fillId="0" borderId="10" xfId="1" applyFont="1" applyFill="1" applyBorder="1" applyProtection="1"/>
    <xf numFmtId="43" fontId="13" fillId="0" borderId="15" xfId="1" applyFont="1" applyFill="1" applyBorder="1" applyProtection="1"/>
    <xf numFmtId="43" fontId="13" fillId="0" borderId="3" xfId="1" applyFont="1" applyFill="1" applyBorder="1" applyProtection="1"/>
    <xf numFmtId="0" fontId="3" fillId="0" borderId="3" xfId="19" applyFont="1" applyFill="1" applyBorder="1" applyProtection="1"/>
    <xf numFmtId="10" fontId="3" fillId="2" borderId="28" xfId="13" applyNumberFormat="1" applyFill="1" applyBorder="1" applyProtection="1">
      <protection locked="0"/>
    </xf>
    <xf numFmtId="10" fontId="3" fillId="2" borderId="29" xfId="13" applyNumberFormat="1" applyFill="1" applyBorder="1" applyProtection="1">
      <protection locked="0"/>
    </xf>
    <xf numFmtId="10" fontId="3" fillId="2" borderId="28" xfId="13" applyNumberFormat="1" applyFill="1" applyBorder="1" applyAlignment="1" applyProtection="1">
      <alignment horizontal="center"/>
      <protection locked="0"/>
    </xf>
    <xf numFmtId="0" fontId="3" fillId="0" borderId="0" xfId="19" applyFill="1" applyAlignment="1">
      <alignment horizontal="center"/>
    </xf>
    <xf numFmtId="43" fontId="3" fillId="0" borderId="19" xfId="1" applyFill="1" applyBorder="1" applyAlignment="1">
      <alignment horizontal="right"/>
    </xf>
    <xf numFmtId="43" fontId="3" fillId="0" borderId="20" xfId="1" applyFill="1" applyBorder="1" applyProtection="1">
      <protection locked="0"/>
    </xf>
    <xf numFmtId="0" fontId="3" fillId="0" borderId="15" xfId="0" applyFont="1" applyBorder="1" applyAlignment="1">
      <alignment horizontal="center"/>
    </xf>
    <xf numFmtId="43" fontId="3" fillId="2" borderId="3" xfId="1" applyNumberFormat="1" applyFill="1" applyBorder="1" applyProtection="1">
      <protection locked="0"/>
    </xf>
    <xf numFmtId="43" fontId="3" fillId="2" borderId="7" xfId="1" applyNumberFormat="1" applyFill="1" applyBorder="1" applyProtection="1">
      <protection locked="0"/>
    </xf>
    <xf numFmtId="43" fontId="3" fillId="2" borderId="18" xfId="1" applyNumberFormat="1" applyFill="1" applyBorder="1" applyProtection="1">
      <protection locked="0"/>
    </xf>
    <xf numFmtId="43" fontId="0" fillId="2" borderId="28" xfId="1" applyFont="1" applyFill="1" applyBorder="1" applyProtection="1">
      <protection locked="0"/>
    </xf>
    <xf numFmtId="0" fontId="65" fillId="0" borderId="0" xfId="85" applyFont="1" applyAlignment="1">
      <alignment horizontal="left"/>
    </xf>
    <xf numFmtId="0" fontId="66" fillId="0" borderId="0" xfId="85" quotePrefix="1" applyFont="1" applyAlignment="1">
      <alignment horizontal="left" vertical="center"/>
    </xf>
    <xf numFmtId="0" fontId="13" fillId="0" borderId="0" xfId="85" applyFont="1"/>
    <xf numFmtId="0" fontId="1" fillId="0" borderId="0" xfId="85"/>
    <xf numFmtId="165" fontId="67" fillId="0" borderId="0" xfId="86" applyNumberFormat="1" applyFont="1" applyAlignment="1">
      <alignment horizontal="right" vertical="center" wrapText="1"/>
    </xf>
    <xf numFmtId="0" fontId="67" fillId="0" borderId="0" xfId="85" applyFont="1" applyAlignment="1">
      <alignment horizontal="left" vertical="center" wrapText="1"/>
    </xf>
    <xf numFmtId="0" fontId="67" fillId="0" borderId="0" xfId="85" quotePrefix="1" applyFont="1" applyAlignment="1">
      <alignment horizontal="left" vertical="center" wrapText="1"/>
    </xf>
    <xf numFmtId="0" fontId="1" fillId="0" borderId="0" xfId="85" applyAlignment="1">
      <alignment wrapText="1"/>
    </xf>
    <xf numFmtId="0" fontId="67" fillId="0" borderId="0" xfId="85" applyFont="1" applyAlignment="1">
      <alignment vertical="center" wrapText="1"/>
    </xf>
    <xf numFmtId="0" fontId="67" fillId="0" borderId="0" xfId="85" applyFont="1" applyAlignment="1">
      <alignment horizontal="left" vertical="center"/>
    </xf>
    <xf numFmtId="0" fontId="65" fillId="0" borderId="0" xfId="85" applyFont="1" applyAlignment="1">
      <alignment horizontal="left" wrapText="1"/>
    </xf>
    <xf numFmtId="0" fontId="1" fillId="0" borderId="0" xfId="85" applyAlignment="1">
      <alignment vertical="center" wrapText="1"/>
    </xf>
    <xf numFmtId="43" fontId="0" fillId="2" borderId="64" xfId="1" applyFont="1" applyFill="1" applyBorder="1" applyAlignment="1" applyProtection="1">
      <protection locked="0"/>
    </xf>
    <xf numFmtId="43" fontId="0" fillId="0" borderId="6" xfId="1" applyFont="1" applyFill="1" applyBorder="1" applyAlignment="1"/>
    <xf numFmtId="49" fontId="57" fillId="0" borderId="0" xfId="0" applyNumberFormat="1" applyFont="1" applyAlignment="1" applyProtection="1">
      <alignment horizontal="left"/>
    </xf>
    <xf numFmtId="37" fontId="0" fillId="2" borderId="92" xfId="0" applyNumberFormat="1" applyFill="1" applyBorder="1" applyAlignment="1" applyProtection="1">
      <alignment horizontal="center"/>
      <protection locked="0"/>
    </xf>
    <xf numFmtId="0" fontId="6" fillId="0" borderId="0" xfId="0" applyFont="1" applyFill="1" applyBorder="1" applyAlignment="1"/>
    <xf numFmtId="49" fontId="0" fillId="0" borderId="0" xfId="0" applyNumberFormat="1" applyFill="1" applyBorder="1" applyAlignment="1">
      <alignment horizontal="center"/>
    </xf>
    <xf numFmtId="0" fontId="0" fillId="0" borderId="0" xfId="0" applyFill="1" applyBorder="1" applyAlignment="1">
      <alignment horizontal="right"/>
    </xf>
    <xf numFmtId="43" fontId="0" fillId="0" borderId="0" xfId="1" applyFont="1" applyFill="1" applyBorder="1" applyProtection="1">
      <protection locked="0"/>
    </xf>
    <xf numFmtId="49" fontId="0" fillId="0" borderId="0" xfId="0" applyNumberFormat="1" applyFill="1" applyBorder="1" applyAlignment="1">
      <alignment horizontal="left"/>
    </xf>
    <xf numFmtId="49" fontId="16" fillId="0" borderId="0" xfId="0" applyNumberFormat="1" applyFont="1" applyFill="1" applyBorder="1" applyAlignment="1">
      <alignment horizontal="left"/>
    </xf>
    <xf numFmtId="43" fontId="13" fillId="0" borderId="81" xfId="1" applyFont="1" applyBorder="1"/>
    <xf numFmtId="43" fontId="0" fillId="0" borderId="6" xfId="1" applyFont="1" applyFill="1" applyBorder="1"/>
    <xf numFmtId="10" fontId="0" fillId="2" borderId="47" xfId="13" applyNumberFormat="1" applyFont="1" applyFill="1" applyBorder="1" applyProtection="1">
      <protection locked="0"/>
    </xf>
    <xf numFmtId="10" fontId="0" fillId="2" borderId="17" xfId="13" applyNumberFormat="1" applyFont="1" applyFill="1" applyBorder="1" applyProtection="1">
      <protection locked="0"/>
    </xf>
    <xf numFmtId="10" fontId="0" fillId="2" borderId="47" xfId="0" applyNumberFormat="1" applyFill="1" applyBorder="1" applyAlignment="1" applyProtection="1">
      <alignment horizontal="right"/>
      <protection locked="0"/>
    </xf>
    <xf numFmtId="10" fontId="0" fillId="2" borderId="17" xfId="0" applyNumberFormat="1" applyFill="1" applyBorder="1" applyAlignment="1" applyProtection="1">
      <alignment horizontal="right"/>
      <protection locked="0"/>
    </xf>
    <xf numFmtId="170" fontId="0" fillId="2" borderId="7" xfId="13" applyNumberFormat="1" applyFont="1" applyFill="1" applyBorder="1" applyProtection="1">
      <protection locked="0"/>
    </xf>
    <xf numFmtId="170" fontId="0" fillId="2" borderId="25" xfId="13" applyNumberFormat="1" applyFont="1" applyFill="1" applyBorder="1" applyProtection="1">
      <protection locked="0"/>
    </xf>
    <xf numFmtId="170" fontId="3" fillId="2" borderId="33" xfId="13" applyNumberFormat="1" applyFill="1" applyBorder="1" applyAlignment="1" applyProtection="1">
      <protection locked="0"/>
    </xf>
    <xf numFmtId="170" fontId="3" fillId="2" borderId="7" xfId="13" applyNumberFormat="1" applyFill="1" applyBorder="1" applyProtection="1">
      <protection locked="0"/>
    </xf>
    <xf numFmtId="170" fontId="3" fillId="2" borderId="6" xfId="13" applyNumberFormat="1" applyFill="1" applyBorder="1" applyProtection="1">
      <protection locked="0"/>
    </xf>
    <xf numFmtId="170" fontId="3" fillId="2" borderId="25" xfId="13" applyNumberFormat="1" applyFill="1" applyBorder="1" applyProtection="1">
      <protection locked="0"/>
    </xf>
    <xf numFmtId="0" fontId="0" fillId="0" borderId="0" xfId="0" applyAlignment="1" applyProtection="1">
      <alignment horizontal="center"/>
    </xf>
    <xf numFmtId="0" fontId="24" fillId="0" borderId="0" xfId="0" applyFont="1" applyAlignment="1">
      <alignment horizontal="center"/>
    </xf>
    <xf numFmtId="0" fontId="0" fillId="0" borderId="0" xfId="0" applyAlignment="1">
      <alignment horizontal="center"/>
    </xf>
    <xf numFmtId="0" fontId="0" fillId="0" borderId="1" xfId="0" applyBorder="1" applyAlignment="1">
      <alignment horizontal="center" vertical="center"/>
    </xf>
    <xf numFmtId="0" fontId="0" fillId="0" borderId="0" xfId="0" applyAlignment="1" applyProtection="1">
      <alignment horizontal="center"/>
    </xf>
    <xf numFmtId="0" fontId="0" fillId="0" borderId="37" xfId="0" applyBorder="1" applyAlignment="1">
      <alignment horizontal="center" vertical="center"/>
    </xf>
    <xf numFmtId="0" fontId="0" fillId="0" borderId="2" xfId="0" applyBorder="1" applyAlignment="1" applyProtection="1">
      <alignment horizontal="center" vertical="center"/>
    </xf>
    <xf numFmtId="0" fontId="0" fillId="0" borderId="1" xfId="0" applyBorder="1" applyAlignment="1" applyProtection="1">
      <alignment horizontal="center" vertical="center"/>
    </xf>
    <xf numFmtId="43" fontId="0" fillId="0" borderId="53" xfId="1" applyFont="1" applyFill="1" applyBorder="1" applyAlignment="1" applyProtection="1"/>
    <xf numFmtId="0" fontId="3" fillId="0" borderId="26" xfId="0" applyFont="1" applyBorder="1" applyAlignment="1">
      <alignment horizontal="right"/>
    </xf>
    <xf numFmtId="43" fontId="17" fillId="2" borderId="29" xfId="1" applyFont="1" applyFill="1" applyBorder="1" applyAlignment="1" applyProtection="1">
      <alignment horizontal="center"/>
      <protection locked="0"/>
    </xf>
    <xf numFmtId="43" fontId="17" fillId="2" borderId="7" xfId="1" applyFont="1" applyFill="1" applyBorder="1" applyAlignment="1" applyProtection="1">
      <alignment horizontal="center"/>
      <protection locked="0"/>
    </xf>
    <xf numFmtId="43" fontId="17" fillId="0" borderId="7" xfId="1" applyFont="1" applyBorder="1" applyAlignment="1" applyProtection="1">
      <alignment horizontal="center"/>
    </xf>
    <xf numFmtId="43" fontId="0" fillId="0" borderId="6" xfId="1" applyFont="1" applyFill="1" applyBorder="1" applyAlignment="1" applyProtection="1"/>
    <xf numFmtId="43" fontId="0" fillId="3" borderId="7" xfId="1" applyFont="1" applyFill="1" applyBorder="1" applyProtection="1"/>
    <xf numFmtId="43" fontId="0" fillId="2" borderId="27" xfId="1" applyFont="1" applyFill="1" applyBorder="1" applyAlignment="1" applyProtection="1">
      <protection locked="0"/>
    </xf>
    <xf numFmtId="43" fontId="17" fillId="0" borderId="3" xfId="1" applyFont="1" applyBorder="1" applyAlignment="1" applyProtection="1">
      <alignment horizontal="center"/>
    </xf>
    <xf numFmtId="43" fontId="17" fillId="0" borderId="32" xfId="1" applyFont="1" applyBorder="1" applyAlignment="1" applyProtection="1">
      <alignment horizontal="center"/>
    </xf>
    <xf numFmtId="43" fontId="0" fillId="0" borderId="12" xfId="1" applyFont="1" applyBorder="1" applyProtection="1"/>
    <xf numFmtId="43" fontId="0" fillId="0" borderId="26" xfId="1" applyFont="1" applyBorder="1" applyProtection="1"/>
    <xf numFmtId="49" fontId="0" fillId="0" borderId="3" xfId="0" applyNumberFormat="1" applyBorder="1" applyAlignment="1" applyProtection="1">
      <alignment horizontal="center"/>
    </xf>
    <xf numFmtId="43" fontId="17" fillId="0" borderId="29" xfId="1" applyFont="1" applyBorder="1" applyAlignment="1" applyProtection="1">
      <alignment horizontal="center"/>
    </xf>
    <xf numFmtId="43" fontId="0" fillId="0" borderId="29" xfId="1" applyFont="1" applyBorder="1" applyProtection="1"/>
    <xf numFmtId="49" fontId="0" fillId="0" borderId="0" xfId="0" applyNumberFormat="1" applyAlignment="1" applyProtection="1">
      <alignment horizontal="center"/>
    </xf>
    <xf numFmtId="43" fontId="0" fillId="0" borderId="30" xfId="1" applyFont="1" applyBorder="1" applyProtection="1"/>
    <xf numFmtId="0" fontId="17" fillId="0" borderId="0" xfId="0" applyFont="1" applyAlignment="1">
      <alignment horizontal="center"/>
    </xf>
    <xf numFmtId="0" fontId="17" fillId="0" borderId="26" xfId="0" applyFont="1" applyBorder="1" applyAlignment="1">
      <alignment horizontal="center"/>
    </xf>
    <xf numFmtId="0" fontId="16" fillId="0" borderId="0" xfId="0" applyFont="1" applyBorder="1" applyAlignment="1">
      <alignment horizontal="center"/>
    </xf>
    <xf numFmtId="0" fontId="24" fillId="0" borderId="0" xfId="0" applyFont="1" applyAlignment="1">
      <alignment horizontal="center"/>
    </xf>
    <xf numFmtId="49" fontId="0" fillId="0" borderId="0" xfId="0" applyNumberFormat="1" applyAlignment="1">
      <alignment horizont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pplyProtection="1">
      <alignment horizontal="center" vertical="center"/>
    </xf>
    <xf numFmtId="0" fontId="0" fillId="0" borderId="21" xfId="0" applyBorder="1" applyAlignment="1">
      <alignment horizontal="center"/>
    </xf>
    <xf numFmtId="0" fontId="0" fillId="0" borderId="0" xfId="0" applyAlignment="1" applyProtection="1">
      <alignment horizontal="center"/>
    </xf>
    <xf numFmtId="0" fontId="0" fillId="0" borderId="51" xfId="0" applyBorder="1" applyAlignment="1">
      <alignment horizontal="center"/>
    </xf>
    <xf numFmtId="0" fontId="0" fillId="0" borderId="15" xfId="0" applyBorder="1" applyAlignment="1">
      <alignment horizontal="center"/>
    </xf>
    <xf numFmtId="43" fontId="17" fillId="0" borderId="29" xfId="1" applyFont="1" applyBorder="1" applyAlignment="1">
      <alignment horizontal="center"/>
    </xf>
    <xf numFmtId="43" fontId="17" fillId="0" borderId="20" xfId="1" applyFont="1" applyBorder="1" applyAlignment="1">
      <alignment horizontal="center"/>
    </xf>
    <xf numFmtId="43" fontId="17" fillId="0" borderId="38" xfId="1" applyFont="1" applyBorder="1" applyAlignment="1">
      <alignment horizontal="center"/>
    </xf>
    <xf numFmtId="43" fontId="3" fillId="0" borderId="29" xfId="1" applyBorder="1" applyAlignment="1">
      <alignment horizontal="right"/>
    </xf>
    <xf numFmtId="43" fontId="3" fillId="0" borderId="20" xfId="1" applyBorder="1" applyAlignment="1">
      <alignment horizontal="right"/>
    </xf>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0" fontId="0" fillId="0" borderId="0" xfId="0" applyBorder="1" applyAlignment="1">
      <alignment horizontal="center"/>
    </xf>
    <xf numFmtId="43" fontId="17" fillId="0" borderId="6" xfId="1" applyFont="1" applyBorder="1" applyAlignment="1">
      <alignment horizontal="center"/>
    </xf>
    <xf numFmtId="0" fontId="3" fillId="0" borderId="1" xfId="19" applyFill="1" applyBorder="1" applyAlignment="1">
      <alignment horizontal="center" vertical="center"/>
    </xf>
    <xf numFmtId="0" fontId="3" fillId="0" borderId="0" xfId="19" applyFill="1" applyAlignment="1">
      <alignment horizontal="center"/>
    </xf>
    <xf numFmtId="0" fontId="16" fillId="0" borderId="0" xfId="19" applyFont="1" applyFill="1" applyAlignment="1">
      <alignment horizontal="center"/>
    </xf>
    <xf numFmtId="0" fontId="3" fillId="0" borderId="37" xfId="19" applyBorder="1" applyAlignment="1">
      <alignment horizontal="center" vertical="center" wrapText="1"/>
    </xf>
    <xf numFmtId="0" fontId="3" fillId="0" borderId="0" xfId="19" applyBorder="1" applyAlignment="1">
      <alignment horizontal="center"/>
    </xf>
    <xf numFmtId="0" fontId="0" fillId="0" borderId="0" xfId="0" applyBorder="1" applyProtection="1">
      <protection locked="0"/>
    </xf>
    <xf numFmtId="43" fontId="0" fillId="0" borderId="33" xfId="1" applyFont="1" applyBorder="1" applyProtection="1"/>
    <xf numFmtId="43" fontId="0" fillId="0" borderId="7" xfId="1" applyFont="1" applyBorder="1" applyProtection="1"/>
    <xf numFmtId="43" fontId="0" fillId="0" borderId="27" xfId="1" applyFont="1" applyBorder="1" applyProtection="1"/>
    <xf numFmtId="43" fontId="0" fillId="0" borderId="11" xfId="1" applyFont="1" applyBorder="1" applyProtection="1"/>
    <xf numFmtId="43" fontId="0" fillId="2" borderId="36" xfId="1" applyFont="1" applyFill="1" applyBorder="1" applyProtection="1">
      <protection locked="0"/>
    </xf>
    <xf numFmtId="0" fontId="0" fillId="0" borderId="13" xfId="0" applyFill="1" applyBorder="1" applyProtection="1"/>
    <xf numFmtId="0" fontId="0" fillId="0" borderId="16" xfId="0" applyFill="1" applyBorder="1" applyAlignment="1" applyProtection="1">
      <alignment horizontal="center"/>
    </xf>
    <xf numFmtId="14" fontId="0" fillId="0" borderId="16" xfId="0" applyNumberFormat="1" applyFill="1" applyBorder="1" applyAlignment="1" applyProtection="1">
      <alignment horizontal="center"/>
    </xf>
    <xf numFmtId="0" fontId="0" fillId="0" borderId="14" xfId="0" applyFill="1" applyBorder="1" applyProtection="1"/>
    <xf numFmtId="0" fontId="52" fillId="0" borderId="0" xfId="0" applyFont="1" applyFill="1" applyProtection="1"/>
    <xf numFmtId="0" fontId="3" fillId="0" borderId="20" xfId="0" applyFont="1" applyFill="1" applyBorder="1" applyProtection="1"/>
    <xf numFmtId="43" fontId="3" fillId="0" borderId="7" xfId="1" applyFont="1" applyFill="1" applyBorder="1" applyProtection="1"/>
    <xf numFmtId="43" fontId="3" fillId="0" borderId="17" xfId="1" applyFont="1" applyFill="1" applyBorder="1" applyProtection="1"/>
    <xf numFmtId="0" fontId="3" fillId="0" borderId="0" xfId="0" applyFont="1" applyAlignment="1" applyProtection="1">
      <alignment horizontal="center"/>
    </xf>
    <xf numFmtId="0" fontId="3" fillId="0" borderId="19" xfId="0" applyFont="1" applyFill="1" applyBorder="1" applyProtection="1"/>
    <xf numFmtId="43" fontId="13" fillId="2" borderId="33" xfId="1" applyFont="1" applyFill="1" applyBorder="1" applyProtection="1">
      <protection locked="0"/>
    </xf>
    <xf numFmtId="43" fontId="13" fillId="2" borderId="81" xfId="1" applyFont="1" applyFill="1" applyBorder="1" applyProtection="1">
      <protection locked="0"/>
    </xf>
    <xf numFmtId="0" fontId="17" fillId="0" borderId="37" xfId="0" applyFont="1" applyBorder="1" applyAlignment="1" applyProtection="1">
      <alignment horizontal="center" vertical="center"/>
    </xf>
    <xf numFmtId="0" fontId="24" fillId="0" borderId="0" xfId="0" applyFont="1" applyAlignment="1" applyProtection="1">
      <alignment horizontal="center"/>
    </xf>
    <xf numFmtId="0" fontId="17" fillId="0" borderId="29" xfId="0" applyFont="1" applyBorder="1" applyAlignment="1" applyProtection="1">
      <alignment horizontal="center"/>
    </xf>
    <xf numFmtId="0" fontId="17" fillId="0" borderId="7" xfId="0" applyFont="1" applyBorder="1" applyAlignment="1" applyProtection="1">
      <alignment horizontal="center"/>
    </xf>
    <xf numFmtId="0" fontId="17" fillId="0" borderId="53" xfId="0" applyFont="1" applyBorder="1" applyAlignment="1" applyProtection="1">
      <alignment horizontal="center"/>
    </xf>
    <xf numFmtId="0" fontId="17" fillId="0" borderId="64" xfId="0" applyFont="1" applyBorder="1" applyAlignment="1" applyProtection="1">
      <alignment horizontal="center"/>
    </xf>
    <xf numFmtId="43" fontId="0" fillId="0" borderId="6" xfId="1" applyFont="1" applyBorder="1" applyProtection="1"/>
    <xf numFmtId="0" fontId="0" fillId="0" borderId="37" xfId="0" applyBorder="1" applyAlignment="1" applyProtection="1">
      <alignment horizontal="center" vertical="center"/>
    </xf>
    <xf numFmtId="0" fontId="17" fillId="0" borderId="33" xfId="0" applyFont="1" applyBorder="1" applyAlignment="1" applyProtection="1">
      <alignment horizontal="center"/>
    </xf>
    <xf numFmtId="0" fontId="0" fillId="0" borderId="1" xfId="0" applyBorder="1" applyProtection="1"/>
    <xf numFmtId="43" fontId="0" fillId="3" borderId="28" xfId="1" applyFont="1" applyFill="1" applyBorder="1" applyProtection="1"/>
    <xf numFmtId="43" fontId="17" fillId="0" borderId="18" xfId="1" applyFont="1" applyBorder="1" applyAlignment="1" applyProtection="1">
      <alignment horizontal="center"/>
    </xf>
    <xf numFmtId="43" fontId="17" fillId="0" borderId="20" xfId="1" applyFont="1" applyBorder="1" applyAlignment="1" applyProtection="1">
      <alignment horizontal="center"/>
    </xf>
    <xf numFmtId="49" fontId="0" fillId="0" borderId="18" xfId="0" applyNumberFormat="1" applyBorder="1" applyAlignment="1" applyProtection="1">
      <alignment horizontal="center"/>
    </xf>
    <xf numFmtId="0" fontId="0" fillId="0" borderId="19" xfId="0" applyBorder="1" applyAlignment="1" applyProtection="1">
      <alignment horizontal="right"/>
    </xf>
    <xf numFmtId="0" fontId="0" fillId="0" borderId="20" xfId="0" applyBorder="1" applyAlignment="1" applyProtection="1">
      <alignment horizontal="right"/>
    </xf>
    <xf numFmtId="0" fontId="0" fillId="0" borderId="5" xfId="0" applyBorder="1" applyProtection="1"/>
    <xf numFmtId="0" fontId="0" fillId="0" borderId="38" xfId="0" applyBorder="1" applyAlignment="1" applyProtection="1">
      <alignment horizontal="right"/>
    </xf>
    <xf numFmtId="0" fontId="16" fillId="0" borderId="3" xfId="0" applyFont="1" applyBorder="1" applyAlignment="1" applyProtection="1"/>
    <xf numFmtId="0" fontId="20" fillId="0" borderId="3" xfId="0" applyFont="1" applyBorder="1" applyAlignment="1" applyProtection="1"/>
    <xf numFmtId="0" fontId="16" fillId="0" borderId="26" xfId="0" applyFont="1" applyBorder="1" applyAlignment="1" applyProtection="1">
      <alignment wrapText="1"/>
    </xf>
    <xf numFmtId="0" fontId="20" fillId="0" borderId="26" xfId="0" applyFont="1" applyBorder="1" applyAlignment="1" applyProtection="1">
      <alignment horizontal="left"/>
    </xf>
    <xf numFmtId="0" fontId="16" fillId="0" borderId="3" xfId="0" applyFont="1" applyBorder="1" applyAlignment="1" applyProtection="1">
      <alignment wrapText="1"/>
    </xf>
    <xf numFmtId="43" fontId="0" fillId="3" borderId="83" xfId="1" applyFont="1" applyFill="1" applyBorder="1" applyProtection="1"/>
    <xf numFmtId="43" fontId="3" fillId="0" borderId="8" xfId="1" applyBorder="1" applyProtection="1"/>
    <xf numFmtId="43" fontId="17" fillId="0" borderId="25" xfId="1" applyFont="1" applyBorder="1" applyAlignment="1" applyProtection="1">
      <alignment horizontal="center"/>
    </xf>
    <xf numFmtId="43" fontId="3" fillId="0" borderId="34" xfId="1" applyBorder="1" applyProtection="1"/>
    <xf numFmtId="43" fontId="0" fillId="0" borderId="83" xfId="1" applyFont="1" applyFill="1" applyBorder="1" applyProtection="1"/>
    <xf numFmtId="0" fontId="0" fillId="0" borderId="0" xfId="0" applyBorder="1" applyProtection="1"/>
    <xf numFmtId="49" fontId="0" fillId="0" borderId="0" xfId="0" applyNumberFormat="1" applyAlignment="1" applyProtection="1">
      <alignment horizontal="left"/>
    </xf>
    <xf numFmtId="0" fontId="0" fillId="0" borderId="0" xfId="0" applyNumberFormat="1" applyAlignment="1" applyProtection="1">
      <alignment horizontal="left"/>
    </xf>
    <xf numFmtId="0" fontId="16" fillId="0" borderId="0" xfId="0" applyFont="1" applyAlignment="1" applyProtection="1">
      <alignment horizontal="center"/>
    </xf>
    <xf numFmtId="43" fontId="0" fillId="0" borderId="0" xfId="1" applyFont="1" applyBorder="1" applyProtection="1"/>
    <xf numFmtId="14" fontId="22" fillId="0" borderId="0" xfId="0" applyNumberFormat="1" applyFont="1" applyBorder="1" applyAlignment="1" applyProtection="1">
      <alignment horizontal="center"/>
    </xf>
    <xf numFmtId="43" fontId="0" fillId="0" borderId="0" xfId="1" applyFont="1" applyProtection="1"/>
    <xf numFmtId="0" fontId="3" fillId="0" borderId="26" xfId="0" applyFont="1" applyBorder="1" applyProtection="1"/>
    <xf numFmtId="0" fontId="0" fillId="0" borderId="26" xfId="0" applyBorder="1" applyProtection="1"/>
    <xf numFmtId="0" fontId="11" fillId="0" borderId="0" xfId="0" applyFont="1" applyProtection="1"/>
    <xf numFmtId="0" fontId="0" fillId="0" borderId="46" xfId="0" applyBorder="1" applyProtection="1"/>
    <xf numFmtId="0" fontId="0" fillId="0" borderId="9" xfId="0" applyBorder="1" applyAlignment="1" applyProtection="1">
      <alignment horizontal="center"/>
    </xf>
    <xf numFmtId="0" fontId="0" fillId="0" borderId="15" xfId="0" applyBorder="1" applyProtection="1"/>
    <xf numFmtId="0" fontId="0" fillId="0" borderId="8" xfId="0" applyBorder="1" applyAlignment="1" applyProtection="1">
      <alignment horizontal="center"/>
    </xf>
    <xf numFmtId="0" fontId="0" fillId="0" borderId="0" xfId="0" applyBorder="1" applyAlignment="1" applyProtection="1">
      <alignment horizontal="center"/>
    </xf>
    <xf numFmtId="43" fontId="3" fillId="3" borderId="17" xfId="1" applyFill="1" applyBorder="1" applyProtection="1"/>
    <xf numFmtId="43" fontId="3" fillId="0" borderId="48" xfId="1" applyBorder="1" applyProtection="1"/>
    <xf numFmtId="43" fontId="3" fillId="0" borderId="11" xfId="1" applyBorder="1" applyProtection="1"/>
    <xf numFmtId="43" fontId="0" fillId="2" borderId="31" xfId="1" applyFont="1" applyFill="1" applyBorder="1" applyProtection="1">
      <protection locked="0"/>
    </xf>
    <xf numFmtId="0" fontId="0" fillId="2" borderId="8" xfId="0" applyFill="1" applyBorder="1" applyProtection="1"/>
    <xf numFmtId="0" fontId="0" fillId="2" borderId="23" xfId="0" applyFill="1" applyBorder="1" applyAlignment="1" applyProtection="1">
      <protection locked="0"/>
    </xf>
    <xf numFmtId="0" fontId="0" fillId="2" borderId="23" xfId="0" applyFill="1" applyBorder="1" applyAlignment="1" applyProtection="1"/>
    <xf numFmtId="43" fontId="17" fillId="0" borderId="33" xfId="1" applyFont="1" applyBorder="1" applyAlignment="1" applyProtection="1">
      <alignment horizontal="center"/>
    </xf>
    <xf numFmtId="43" fontId="3" fillId="0" borderId="36" xfId="1" applyBorder="1" applyProtection="1"/>
    <xf numFmtId="0" fontId="0" fillId="0" borderId="41" xfId="0" applyBorder="1" applyAlignment="1" applyProtection="1">
      <alignment horizontal="right"/>
    </xf>
    <xf numFmtId="0" fontId="0" fillId="0" borderId="52" xfId="0" applyBorder="1" applyAlignment="1" applyProtection="1">
      <alignment horizontal="right"/>
    </xf>
    <xf numFmtId="0" fontId="0" fillId="0" borderId="30" xfId="0" applyBorder="1" applyProtection="1"/>
    <xf numFmtId="14" fontId="0" fillId="0" borderId="11" xfId="0" applyNumberFormat="1" applyBorder="1" applyAlignment="1" applyProtection="1">
      <alignment horizontal="center"/>
    </xf>
    <xf numFmtId="0" fontId="17" fillId="0" borderId="11" xfId="0" applyFont="1" applyBorder="1" applyAlignment="1" applyProtection="1">
      <alignment horizontal="center"/>
    </xf>
    <xf numFmtId="14" fontId="0" fillId="0" borderId="7" xfId="0" applyNumberFormat="1" applyFill="1" applyBorder="1" applyAlignment="1" applyProtection="1">
      <alignment horizontal="center"/>
    </xf>
    <xf numFmtId="166" fontId="0" fillId="0" borderId="7" xfId="1" applyNumberFormat="1" applyFont="1" applyFill="1" applyBorder="1" applyAlignment="1" applyProtection="1">
      <alignment horizontal="center"/>
    </xf>
    <xf numFmtId="169" fontId="0" fillId="0" borderId="7" xfId="13" applyNumberFormat="1" applyFont="1" applyFill="1" applyBorder="1" applyProtection="1"/>
    <xf numFmtId="43" fontId="44" fillId="0" borderId="7" xfId="1" applyFont="1" applyFill="1" applyBorder="1" applyProtection="1"/>
    <xf numFmtId="166" fontId="0" fillId="0" borderId="17" xfId="0" applyNumberFormat="1" applyFill="1" applyBorder="1" applyAlignment="1" applyProtection="1">
      <alignment horizontal="center"/>
    </xf>
    <xf numFmtId="0" fontId="16" fillId="2" borderId="26" xfId="0" applyFont="1" applyFill="1" applyBorder="1" applyProtection="1">
      <protection locked="0"/>
    </xf>
    <xf numFmtId="43" fontId="20" fillId="2" borderId="7" xfId="1" applyFont="1" applyFill="1" applyBorder="1" applyAlignment="1" applyProtection="1">
      <alignment horizontal="center"/>
      <protection locked="0"/>
    </xf>
    <xf numFmtId="0" fontId="0" fillId="0" borderId="18" xfId="0" applyBorder="1" applyAlignment="1" applyProtection="1">
      <alignment horizontal="right"/>
    </xf>
    <xf numFmtId="0" fontId="0" fillId="0" borderId="3" xfId="0" applyBorder="1" applyAlignment="1" applyProtection="1">
      <alignment horizontal="right"/>
    </xf>
    <xf numFmtId="43" fontId="17" fillId="0" borderId="24" xfId="1" applyFont="1" applyBorder="1" applyAlignment="1" applyProtection="1">
      <alignment horizontal="center"/>
    </xf>
    <xf numFmtId="43" fontId="3" fillId="0" borderId="7" xfId="1" applyBorder="1" applyProtection="1"/>
    <xf numFmtId="43" fontId="3" fillId="0" borderId="25" xfId="1" applyBorder="1" applyProtection="1"/>
    <xf numFmtId="43" fontId="3" fillId="0" borderId="35" xfId="1" applyBorder="1" applyProtection="1"/>
    <xf numFmtId="43" fontId="0" fillId="0" borderId="25" xfId="1" applyFont="1" applyFill="1" applyBorder="1" applyProtection="1"/>
    <xf numFmtId="43" fontId="0" fillId="0" borderId="11" xfId="1" applyFont="1" applyFill="1" applyBorder="1" applyProtection="1"/>
    <xf numFmtId="43" fontId="0" fillId="0" borderId="8" xfId="1" applyFont="1" applyBorder="1" applyProtection="1"/>
    <xf numFmtId="43" fontId="3" fillId="2" borderId="29" xfId="19" applyNumberFormat="1" applyFill="1" applyBorder="1" applyProtection="1">
      <protection locked="0"/>
    </xf>
    <xf numFmtId="43" fontId="3" fillId="2" borderId="7" xfId="19" applyNumberFormat="1" applyFill="1" applyBorder="1" applyProtection="1">
      <protection locked="0"/>
    </xf>
    <xf numFmtId="43" fontId="3" fillId="2" borderId="29" xfId="1" applyFont="1" applyFill="1" applyBorder="1" applyProtection="1">
      <protection locked="0"/>
    </xf>
    <xf numFmtId="0" fontId="3" fillId="0" borderId="0" xfId="19" applyFill="1" applyProtection="1"/>
    <xf numFmtId="0" fontId="3" fillId="0" borderId="2" xfId="19" applyFill="1" applyBorder="1" applyAlignment="1" applyProtection="1">
      <alignment horizontal="center" vertical="center"/>
    </xf>
    <xf numFmtId="0" fontId="3" fillId="0" borderId="1" xfId="19" applyFill="1" applyBorder="1" applyAlignment="1" applyProtection="1">
      <alignment horizontal="center" vertical="center"/>
    </xf>
    <xf numFmtId="43" fontId="3" fillId="0" borderId="4" xfId="1" applyFill="1" applyBorder="1" applyProtection="1"/>
    <xf numFmtId="43" fontId="3" fillId="0" borderId="0" xfId="1" applyFill="1" applyProtection="1"/>
    <xf numFmtId="0" fontId="17" fillId="0" borderId="0" xfId="19" applyFont="1" applyFill="1" applyProtection="1"/>
    <xf numFmtId="0" fontId="3" fillId="0" borderId="15" xfId="19" applyFill="1" applyBorder="1" applyProtection="1"/>
    <xf numFmtId="0" fontId="3" fillId="0" borderId="29" xfId="19" applyFill="1" applyBorder="1" applyProtection="1"/>
    <xf numFmtId="43" fontId="3" fillId="0" borderId="29" xfId="19" applyNumberFormat="1" applyFill="1" applyBorder="1" applyProtection="1"/>
    <xf numFmtId="0" fontId="3" fillId="0" borderId="64" xfId="19" applyFill="1" applyBorder="1" applyProtection="1"/>
    <xf numFmtId="43" fontId="3" fillId="0" borderId="3" xfId="1" applyFill="1" applyBorder="1" applyProtection="1"/>
    <xf numFmtId="0" fontId="17" fillId="0" borderId="3" xfId="19" applyFont="1" applyFill="1" applyBorder="1" applyProtection="1"/>
    <xf numFmtId="43" fontId="3" fillId="3" borderId="3" xfId="1" applyFill="1" applyBorder="1" applyProtection="1"/>
    <xf numFmtId="43" fontId="3" fillId="0" borderId="64" xfId="19" applyNumberFormat="1" applyFill="1" applyBorder="1" applyProtection="1"/>
    <xf numFmtId="0" fontId="3" fillId="0" borderId="26" xfId="19" applyFill="1" applyBorder="1" applyProtection="1"/>
    <xf numFmtId="43" fontId="3" fillId="0" borderId="36" xfId="1" applyFill="1" applyBorder="1" applyProtection="1"/>
    <xf numFmtId="43" fontId="3" fillId="0" borderId="83" xfId="1" applyFill="1" applyBorder="1" applyProtection="1"/>
    <xf numFmtId="43" fontId="3" fillId="0" borderId="11" xfId="1" applyFill="1" applyBorder="1" applyProtection="1"/>
    <xf numFmtId="43" fontId="3" fillId="0" borderId="12" xfId="1" applyFill="1" applyBorder="1" applyProtection="1"/>
    <xf numFmtId="0" fontId="36" fillId="0" borderId="0" xfId="19" applyFont="1" applyAlignment="1" applyProtection="1">
      <alignment horizontal="center"/>
    </xf>
    <xf numFmtId="0" fontId="3" fillId="0" borderId="2" xfId="19" applyBorder="1" applyAlignment="1" applyProtection="1">
      <alignment horizontal="center" vertical="center"/>
    </xf>
    <xf numFmtId="0" fontId="3" fillId="0" borderId="1" xfId="19" applyBorder="1" applyAlignment="1" applyProtection="1">
      <alignment horizontal="center" vertical="center"/>
    </xf>
    <xf numFmtId="0" fontId="3" fillId="3" borderId="0" xfId="19" applyFill="1" applyProtection="1"/>
    <xf numFmtId="0" fontId="3" fillId="3" borderId="3" xfId="19" applyFill="1" applyBorder="1" applyProtection="1"/>
    <xf numFmtId="43" fontId="3" fillId="3" borderId="7" xfId="1" applyFill="1" applyBorder="1" applyProtection="1"/>
    <xf numFmtId="0" fontId="3" fillId="0" borderId="3" xfId="19" applyBorder="1" applyProtection="1"/>
    <xf numFmtId="43" fontId="3" fillId="0" borderId="3" xfId="1" applyBorder="1" applyProtection="1"/>
    <xf numFmtId="0" fontId="3" fillId="0" borderId="0" xfId="19" applyAlignment="1" applyProtection="1">
      <alignment horizontal="center"/>
    </xf>
    <xf numFmtId="0" fontId="3" fillId="0" borderId="9" xfId="19" applyBorder="1" applyProtection="1"/>
    <xf numFmtId="0" fontId="3" fillId="0" borderId="4" xfId="19" applyBorder="1" applyAlignment="1" applyProtection="1">
      <alignment horizontal="center"/>
    </xf>
    <xf numFmtId="0" fontId="3" fillId="0" borderId="4" xfId="19" applyBorder="1" applyProtection="1"/>
    <xf numFmtId="0" fontId="3" fillId="0" borderId="13" xfId="19" applyBorder="1" applyProtection="1"/>
    <xf numFmtId="0" fontId="3" fillId="0" borderId="0" xfId="19" applyProtection="1"/>
    <xf numFmtId="0" fontId="3" fillId="0" borderId="10" xfId="19" applyBorder="1" applyAlignment="1" applyProtection="1">
      <alignment horizontal="center"/>
    </xf>
    <xf numFmtId="0" fontId="3" fillId="0" borderId="10" xfId="19" applyBorder="1" applyProtection="1"/>
    <xf numFmtId="0" fontId="3" fillId="0" borderId="16" xfId="19" applyBorder="1" applyAlignment="1" applyProtection="1">
      <alignment horizontal="center"/>
    </xf>
    <xf numFmtId="14" fontId="3" fillId="0" borderId="10" xfId="19" applyNumberFormat="1" applyBorder="1" applyAlignment="1" applyProtection="1">
      <alignment horizontal="center"/>
    </xf>
    <xf numFmtId="0" fontId="3" fillId="0" borderId="15" xfId="19" applyBorder="1" applyAlignment="1" applyProtection="1">
      <alignment horizontal="center"/>
    </xf>
    <xf numFmtId="14" fontId="3" fillId="0" borderId="16" xfId="19" applyNumberFormat="1" applyBorder="1" applyAlignment="1" applyProtection="1">
      <alignment horizontal="center"/>
    </xf>
    <xf numFmtId="0" fontId="3" fillId="0" borderId="8" xfId="19" applyBorder="1" applyProtection="1"/>
    <xf numFmtId="0" fontId="3" fillId="0" borderId="11" xfId="19" applyBorder="1" applyProtection="1"/>
    <xf numFmtId="0" fontId="3" fillId="0" borderId="11" xfId="19" applyBorder="1" applyAlignment="1" applyProtection="1">
      <alignment horizontal="center"/>
    </xf>
    <xf numFmtId="0" fontId="3" fillId="0" borderId="12" xfId="19" applyBorder="1" applyProtection="1"/>
    <xf numFmtId="0" fontId="3" fillId="0" borderId="14" xfId="19" applyBorder="1" applyProtection="1"/>
    <xf numFmtId="0" fontId="3" fillId="0" borderId="18" xfId="19" applyBorder="1" applyProtection="1"/>
    <xf numFmtId="0" fontId="3" fillId="0" borderId="19" xfId="19" applyBorder="1" applyProtection="1"/>
    <xf numFmtId="43" fontId="3" fillId="3" borderId="50" xfId="1" applyFill="1" applyBorder="1" applyProtection="1"/>
    <xf numFmtId="43" fontId="3" fillId="0" borderId="14" xfId="1" applyBorder="1" applyProtection="1"/>
    <xf numFmtId="0" fontId="3" fillId="0" borderId="23" xfId="19" applyBorder="1" applyProtection="1"/>
    <xf numFmtId="0" fontId="3" fillId="0" borderId="31" xfId="19" applyBorder="1" applyProtection="1"/>
    <xf numFmtId="0" fontId="10" fillId="0" borderId="0" xfId="19" applyFont="1" applyProtection="1"/>
    <xf numFmtId="0" fontId="3" fillId="0" borderId="20" xfId="19" applyBorder="1" applyProtection="1"/>
    <xf numFmtId="0" fontId="16" fillId="2" borderId="26" xfId="19" applyFont="1" applyFill="1" applyBorder="1" applyAlignment="1" applyProtection="1">
      <alignment horizontal="center"/>
      <protection locked="0"/>
    </xf>
    <xf numFmtId="0" fontId="22" fillId="0" borderId="0" xfId="19" applyFont="1" applyFill="1" applyProtection="1"/>
    <xf numFmtId="0" fontId="11" fillId="0" borderId="0" xfId="19" applyFont="1" applyFill="1" applyProtection="1"/>
    <xf numFmtId="0" fontId="3" fillId="0" borderId="8" xfId="19" applyFill="1" applyBorder="1" applyProtection="1"/>
    <xf numFmtId="0" fontId="3" fillId="0" borderId="18" xfId="19" applyFill="1" applyBorder="1" applyProtection="1"/>
    <xf numFmtId="43" fontId="17" fillId="0" borderId="33" xfId="1" applyFont="1" applyFill="1" applyBorder="1" applyAlignment="1" applyProtection="1">
      <alignment horizontal="center"/>
    </xf>
    <xf numFmtId="0" fontId="3" fillId="0" borderId="3" xfId="19" applyFill="1" applyBorder="1" applyAlignment="1" applyProtection="1">
      <alignment horizontal="left"/>
    </xf>
    <xf numFmtId="43" fontId="3" fillId="3" borderId="7" xfId="1" applyFont="1" applyFill="1" applyBorder="1" applyProtection="1"/>
    <xf numFmtId="43" fontId="17" fillId="0" borderId="7" xfId="1" applyFont="1" applyFill="1" applyBorder="1" applyAlignment="1" applyProtection="1">
      <alignment horizontal="center"/>
    </xf>
    <xf numFmtId="43" fontId="0" fillId="0" borderId="64" xfId="1" applyFont="1" applyFill="1" applyBorder="1" applyProtection="1"/>
    <xf numFmtId="43" fontId="0" fillId="0" borderId="73" xfId="1" applyFont="1" applyFill="1" applyBorder="1" applyProtection="1"/>
    <xf numFmtId="43" fontId="0" fillId="0" borderId="6" xfId="1" applyFont="1" applyFill="1" applyBorder="1" applyProtection="1"/>
    <xf numFmtId="0" fontId="3" fillId="0" borderId="41" xfId="19" applyFill="1" applyBorder="1" applyProtection="1"/>
    <xf numFmtId="43" fontId="3" fillId="3" borderId="27" xfId="1" applyFont="1" applyFill="1" applyBorder="1" applyProtection="1"/>
    <xf numFmtId="0" fontId="3" fillId="0" borderId="39" xfId="19" applyFill="1" applyBorder="1" applyProtection="1"/>
    <xf numFmtId="43" fontId="0" fillId="0" borderId="39" xfId="1" applyFont="1" applyFill="1" applyBorder="1" applyProtection="1"/>
    <xf numFmtId="0" fontId="3" fillId="0" borderId="40" xfId="19" applyFill="1" applyBorder="1" applyProtection="1"/>
    <xf numFmtId="43" fontId="0" fillId="0" borderId="74" xfId="1" applyFont="1" applyFill="1" applyBorder="1" applyProtection="1"/>
    <xf numFmtId="43" fontId="0" fillId="3" borderId="75" xfId="1" applyFont="1" applyFill="1" applyBorder="1" applyProtection="1"/>
    <xf numFmtId="43" fontId="0" fillId="0" borderId="60" xfId="1" applyFont="1" applyFill="1" applyBorder="1" applyProtection="1"/>
    <xf numFmtId="43" fontId="0" fillId="0" borderId="78" xfId="1" applyFont="1" applyFill="1" applyBorder="1" applyProtection="1"/>
    <xf numFmtId="43" fontId="0" fillId="0" borderId="0" xfId="1" applyFont="1" applyFill="1" applyBorder="1" applyProtection="1"/>
    <xf numFmtId="43" fontId="0" fillId="0" borderId="8" xfId="1" applyFont="1" applyFill="1" applyBorder="1" applyProtection="1"/>
    <xf numFmtId="0" fontId="3" fillId="0" borderId="0" xfId="19" applyFont="1" applyFill="1" applyProtection="1"/>
    <xf numFmtId="0" fontId="3" fillId="0" borderId="60" xfId="19" applyFill="1" applyBorder="1" applyProtection="1"/>
    <xf numFmtId="0" fontId="3" fillId="0" borderId="63" xfId="19" applyFill="1" applyBorder="1" applyProtection="1"/>
    <xf numFmtId="0" fontId="3" fillId="0" borderId="0" xfId="19" applyFill="1" applyBorder="1" applyProtection="1"/>
    <xf numFmtId="43" fontId="0" fillId="3" borderId="76" xfId="1" applyFont="1" applyFill="1" applyBorder="1" applyProtection="1"/>
    <xf numFmtId="43" fontId="0" fillId="0" borderId="77" xfId="1" applyFont="1" applyFill="1" applyBorder="1" applyProtection="1"/>
    <xf numFmtId="43" fontId="3" fillId="0" borderId="27" xfId="1" applyFont="1" applyFill="1" applyBorder="1" applyProtection="1"/>
    <xf numFmtId="0" fontId="3" fillId="0" borderId="3" xfId="19" applyFill="1" applyBorder="1" applyAlignment="1" applyProtection="1">
      <alignment vertical="top"/>
    </xf>
    <xf numFmtId="0" fontId="3" fillId="2" borderId="7" xfId="19" applyFont="1" applyFill="1" applyBorder="1" applyAlignment="1" applyProtection="1">
      <protection locked="0"/>
    </xf>
    <xf numFmtId="43" fontId="3" fillId="2" borderId="7" xfId="19" applyNumberFormat="1" applyFont="1" applyFill="1" applyBorder="1" applyAlignment="1" applyProtection="1">
      <protection locked="0"/>
    </xf>
    <xf numFmtId="0" fontId="3" fillId="2" borderId="3" xfId="19" applyFill="1" applyBorder="1" applyAlignment="1" applyProtection="1">
      <alignment horizontal="left"/>
      <protection locked="0"/>
    </xf>
    <xf numFmtId="49" fontId="3" fillId="2" borderId="3" xfId="19" applyNumberFormat="1" applyFill="1" applyBorder="1" applyAlignment="1" applyProtection="1">
      <protection locked="0"/>
    </xf>
    <xf numFmtId="43" fontId="3" fillId="2" borderId="3" xfId="19" applyNumberFormat="1" applyFont="1" applyFill="1" applyBorder="1" applyAlignment="1" applyProtection="1">
      <protection locked="0"/>
    </xf>
    <xf numFmtId="0" fontId="17" fillId="0" borderId="33" xfId="19" applyFont="1" applyFill="1" applyBorder="1" applyAlignment="1" applyProtection="1">
      <alignment horizontal="center"/>
    </xf>
    <xf numFmtId="43" fontId="3" fillId="0" borderId="18" xfId="1" applyFill="1" applyBorder="1" applyProtection="1"/>
    <xf numFmtId="0" fontId="17" fillId="0" borderId="7" xfId="19" applyFont="1" applyFill="1" applyBorder="1" applyAlignment="1" applyProtection="1">
      <alignment horizontal="center"/>
    </xf>
    <xf numFmtId="43" fontId="3" fillId="0" borderId="5" xfId="19" applyNumberFormat="1" applyFont="1" applyFill="1" applyBorder="1" applyAlignment="1" applyProtection="1">
      <alignment horizontal="center"/>
    </xf>
    <xf numFmtId="0" fontId="17" fillId="0" borderId="3" xfId="19" applyFont="1" applyFill="1" applyBorder="1" applyAlignment="1" applyProtection="1">
      <alignment horizontal="center"/>
    </xf>
    <xf numFmtId="0" fontId="17" fillId="0" borderId="32" xfId="19" applyFont="1" applyFill="1" applyBorder="1" applyAlignment="1" applyProtection="1">
      <alignment horizontal="center"/>
    </xf>
    <xf numFmtId="43" fontId="3" fillId="0" borderId="0" xfId="19" applyNumberFormat="1" applyFill="1" applyProtection="1"/>
    <xf numFmtId="0" fontId="10" fillId="0" borderId="0" xfId="19" applyFont="1" applyFill="1" applyProtection="1"/>
    <xf numFmtId="49" fontId="3" fillId="0" borderId="18" xfId="19" applyNumberFormat="1" applyFill="1" applyBorder="1" applyAlignment="1" applyProtection="1">
      <alignment horizontal="left"/>
    </xf>
    <xf numFmtId="14" fontId="3" fillId="0" borderId="18" xfId="19" applyNumberFormat="1" applyFill="1" applyBorder="1" applyProtection="1"/>
    <xf numFmtId="43" fontId="3" fillId="3" borderId="26" xfId="1" applyFill="1" applyBorder="1" applyProtection="1"/>
    <xf numFmtId="43" fontId="3" fillId="0" borderId="28" xfId="1" applyFill="1" applyBorder="1" applyProtection="1"/>
    <xf numFmtId="0" fontId="3" fillId="0" borderId="18" xfId="19" applyFill="1" applyBorder="1" applyAlignment="1" applyProtection="1">
      <alignment horizontal="right"/>
    </xf>
    <xf numFmtId="0" fontId="3" fillId="0" borderId="3" xfId="19" applyFill="1" applyBorder="1" applyAlignment="1" applyProtection="1">
      <alignment horizontal="right"/>
    </xf>
    <xf numFmtId="43" fontId="3" fillId="0" borderId="64" xfId="1" applyFill="1" applyBorder="1" applyProtection="1"/>
    <xf numFmtId="43" fontId="3" fillId="0" borderId="81" xfId="1" applyFill="1" applyBorder="1" applyProtection="1"/>
    <xf numFmtId="43" fontId="3" fillId="0" borderId="84" xfId="1" applyFill="1" applyBorder="1" applyProtection="1"/>
    <xf numFmtId="0" fontId="3" fillId="0" borderId="20" xfId="19" applyFill="1" applyBorder="1" applyAlignment="1" applyProtection="1">
      <alignment horizontal="right"/>
    </xf>
    <xf numFmtId="0" fontId="15" fillId="0" borderId="0" xfId="19" applyFont="1" applyFill="1" applyProtection="1"/>
    <xf numFmtId="0" fontId="3" fillId="0" borderId="0" xfId="19" applyFill="1" applyAlignment="1" applyProtection="1">
      <alignment horizontal="right"/>
    </xf>
    <xf numFmtId="0" fontId="16" fillId="0" borderId="0" xfId="19" applyFont="1" applyFill="1" applyProtection="1"/>
    <xf numFmtId="0" fontId="16" fillId="0" borderId="3" xfId="19" applyFont="1" applyFill="1" applyBorder="1" applyAlignment="1" applyProtection="1">
      <alignment wrapText="1"/>
    </xf>
    <xf numFmtId="43" fontId="3" fillId="0" borderId="26" xfId="19" applyNumberFormat="1" applyBorder="1" applyProtection="1"/>
    <xf numFmtId="43" fontId="0" fillId="3" borderId="26" xfId="1" applyFont="1" applyFill="1" applyBorder="1" applyProtection="1"/>
    <xf numFmtId="0" fontId="3" fillId="3" borderId="26" xfId="19" applyFill="1" applyBorder="1" applyProtection="1"/>
    <xf numFmtId="0" fontId="17" fillId="0" borderId="26" xfId="19" applyFont="1" applyFill="1" applyBorder="1" applyProtection="1"/>
    <xf numFmtId="43" fontId="3" fillId="0" borderId="20" xfId="1" applyFill="1" applyBorder="1" applyAlignment="1" applyProtection="1">
      <alignment horizontal="right"/>
    </xf>
    <xf numFmtId="43" fontId="3" fillId="0" borderId="20" xfId="1" applyFill="1" applyBorder="1" applyAlignment="1" applyProtection="1">
      <alignment horizontal="right"/>
    </xf>
    <xf numFmtId="43" fontId="3" fillId="0" borderId="19" xfId="19" applyNumberFormat="1" applyFill="1" applyBorder="1" applyProtection="1"/>
    <xf numFmtId="43" fontId="3" fillId="0" borderId="20" xfId="19" applyNumberFormat="1" applyFill="1" applyBorder="1" applyProtection="1"/>
    <xf numFmtId="0" fontId="3" fillId="0" borderId="23" xfId="19" applyFill="1" applyBorder="1" applyProtection="1"/>
    <xf numFmtId="0" fontId="3" fillId="0" borderId="12" xfId="19" applyFill="1" applyBorder="1" applyProtection="1"/>
    <xf numFmtId="43" fontId="0" fillId="0" borderId="79" xfId="1" applyFont="1" applyFill="1" applyBorder="1" applyProtection="1"/>
    <xf numFmtId="43" fontId="0" fillId="0" borderId="20" xfId="1" applyFont="1" applyFill="1" applyBorder="1" applyProtection="1"/>
    <xf numFmtId="43" fontId="0" fillId="0" borderId="52" xfId="1" applyFont="1" applyFill="1" applyBorder="1" applyProtection="1"/>
    <xf numFmtId="0" fontId="3" fillId="0" borderId="9" xfId="19" applyFill="1" applyBorder="1" applyProtection="1"/>
    <xf numFmtId="0" fontId="3" fillId="0" borderId="4" xfId="19" applyFill="1" applyBorder="1" applyAlignment="1" applyProtection="1">
      <alignment horizontal="center"/>
    </xf>
    <xf numFmtId="0" fontId="3" fillId="0" borderId="51" xfId="19" applyFill="1" applyBorder="1" applyProtection="1"/>
    <xf numFmtId="0" fontId="3" fillId="0" borderId="65" xfId="19" applyFill="1" applyBorder="1" applyProtection="1"/>
    <xf numFmtId="0" fontId="3" fillId="0" borderId="10" xfId="19" applyFill="1" applyBorder="1" applyAlignment="1" applyProtection="1">
      <alignment horizontal="center"/>
    </xf>
    <xf numFmtId="0" fontId="3" fillId="0" borderId="15" xfId="19" applyFill="1" applyBorder="1" applyAlignment="1" applyProtection="1">
      <alignment horizontal="center"/>
    </xf>
    <xf numFmtId="0" fontId="6" fillId="0" borderId="0" xfId="19" applyFont="1" applyFill="1" applyBorder="1" applyAlignment="1" applyProtection="1">
      <alignment horizontal="center" vertical="center" wrapText="1"/>
    </xf>
    <xf numFmtId="0" fontId="3" fillId="0" borderId="66" xfId="19" applyFill="1" applyBorder="1" applyAlignment="1" applyProtection="1">
      <alignment horizontal="center"/>
    </xf>
    <xf numFmtId="0" fontId="3" fillId="0" borderId="0" xfId="19" applyFill="1" applyBorder="1" applyAlignment="1" applyProtection="1">
      <alignment horizontal="center" vertical="center" wrapText="1"/>
    </xf>
    <xf numFmtId="0" fontId="3" fillId="0" borderId="11" xfId="19" applyFill="1" applyBorder="1" applyProtection="1"/>
    <xf numFmtId="14" fontId="3" fillId="0" borderId="11" xfId="19" applyNumberFormat="1" applyFill="1" applyBorder="1" applyAlignment="1" applyProtection="1">
      <alignment horizontal="center"/>
    </xf>
    <xf numFmtId="0" fontId="3" fillId="0" borderId="11" xfId="19" applyFill="1" applyBorder="1" applyAlignment="1" applyProtection="1">
      <alignment horizontal="center"/>
    </xf>
    <xf numFmtId="0" fontId="17" fillId="0" borderId="11" xfId="19" applyFont="1" applyFill="1" applyBorder="1" applyAlignment="1" applyProtection="1">
      <alignment horizontal="center"/>
    </xf>
    <xf numFmtId="0" fontId="17" fillId="0" borderId="12" xfId="19" applyFont="1" applyFill="1" applyBorder="1" applyAlignment="1" applyProtection="1">
      <alignment horizontal="center"/>
    </xf>
    <xf numFmtId="0" fontId="3" fillId="0" borderId="67" xfId="19" applyFill="1" applyBorder="1" applyProtection="1"/>
    <xf numFmtId="0" fontId="3" fillId="0" borderId="3" xfId="0" applyFont="1" applyFill="1" applyBorder="1" applyAlignment="1" applyProtection="1">
      <alignment horizontal="center"/>
    </xf>
    <xf numFmtId="0" fontId="0" fillId="0" borderId="3" xfId="0" applyFill="1" applyBorder="1" applyAlignment="1" applyProtection="1">
      <alignment horizontal="center"/>
    </xf>
    <xf numFmtId="0" fontId="0" fillId="0" borderId="20" xfId="0" applyFill="1" applyBorder="1" applyAlignment="1" applyProtection="1">
      <alignment horizontal="center"/>
    </xf>
    <xf numFmtId="0" fontId="17" fillId="0" borderId="11" xfId="19" applyFont="1" applyBorder="1" applyAlignment="1" applyProtection="1">
      <alignment horizontal="center"/>
    </xf>
    <xf numFmtId="49" fontId="3" fillId="0" borderId="23" xfId="19" applyNumberFormat="1" applyBorder="1" applyAlignment="1" applyProtection="1">
      <alignment horizontal="center"/>
    </xf>
    <xf numFmtId="0" fontId="3" fillId="0" borderId="31" xfId="19" applyFill="1" applyBorder="1" applyAlignment="1" applyProtection="1">
      <alignment horizontal="right"/>
    </xf>
    <xf numFmtId="0" fontId="3" fillId="0" borderId="14" xfId="19" applyFill="1" applyBorder="1" applyProtection="1"/>
    <xf numFmtId="49" fontId="38" fillId="0" borderId="0" xfId="19" applyNumberFormat="1" applyFont="1" applyBorder="1" applyAlignment="1" applyProtection="1">
      <alignment horizontal="left"/>
    </xf>
    <xf numFmtId="0" fontId="38" fillId="0" borderId="0" xfId="19" applyFont="1" applyBorder="1" applyProtection="1"/>
    <xf numFmtId="0" fontId="38" fillId="0" borderId="0" xfId="19" applyFont="1" applyBorder="1" applyAlignment="1" applyProtection="1">
      <alignment horizontal="right"/>
    </xf>
    <xf numFmtId="0" fontId="3" fillId="0" borderId="0" xfId="19" applyBorder="1" applyProtection="1"/>
    <xf numFmtId="0" fontId="16" fillId="0" borderId="0" xfId="19" applyFont="1" applyBorder="1" applyAlignment="1" applyProtection="1">
      <alignment horizontal="center"/>
    </xf>
    <xf numFmtId="0" fontId="38" fillId="0" borderId="0" xfId="19" applyFont="1" applyBorder="1" applyAlignment="1" applyProtection="1">
      <alignment horizontal="left"/>
    </xf>
    <xf numFmtId="0" fontId="17" fillId="0" borderId="0" xfId="19" applyFont="1" applyBorder="1" applyProtection="1"/>
    <xf numFmtId="0" fontId="3" fillId="0" borderId="51" xfId="19" applyBorder="1" applyAlignment="1" applyProtection="1">
      <alignment horizontal="center"/>
    </xf>
    <xf numFmtId="0" fontId="3" fillId="0" borderId="65" xfId="19" applyBorder="1" applyProtection="1"/>
    <xf numFmtId="0" fontId="3" fillId="0" borderId="0" xfId="19" applyBorder="1" applyAlignment="1" applyProtection="1">
      <alignment horizontal="center"/>
    </xf>
    <xf numFmtId="0" fontId="6" fillId="0" borderId="0" xfId="19" applyFont="1" applyFill="1" applyBorder="1" applyAlignment="1" applyProtection="1">
      <alignment horizontal="center" vertical="center" wrapText="1"/>
    </xf>
    <xf numFmtId="0" fontId="3" fillId="0" borderId="0" xfId="19" applyBorder="1" applyAlignment="1" applyProtection="1">
      <alignment horizontal="center"/>
    </xf>
    <xf numFmtId="0" fontId="3" fillId="0" borderId="21" xfId="19" applyBorder="1" applyAlignment="1" applyProtection="1">
      <alignment horizontal="center"/>
    </xf>
    <xf numFmtId="14" fontId="3" fillId="0" borderId="15" xfId="19" applyNumberFormat="1" applyBorder="1" applyAlignment="1" applyProtection="1">
      <alignment horizontal="center"/>
    </xf>
    <xf numFmtId="0" fontId="3" fillId="0" borderId="52" xfId="19" applyBorder="1" applyProtection="1"/>
    <xf numFmtId="0" fontId="3" fillId="0" borderId="12" xfId="19" applyBorder="1" applyAlignment="1" applyProtection="1">
      <alignment horizontal="center"/>
    </xf>
    <xf numFmtId="0" fontId="17" fillId="0" borderId="14" xfId="19" applyFont="1" applyBorder="1" applyAlignment="1" applyProtection="1">
      <alignment horizontal="center"/>
    </xf>
    <xf numFmtId="0" fontId="3" fillId="0" borderId="15" xfId="19" applyFont="1" applyBorder="1" applyAlignment="1" applyProtection="1">
      <alignment horizontal="center"/>
    </xf>
    <xf numFmtId="43" fontId="3" fillId="3" borderId="33" xfId="1" applyFill="1" applyBorder="1" applyAlignment="1" applyProtection="1"/>
    <xf numFmtId="49" fontId="3" fillId="3" borderId="18" xfId="19" applyNumberFormat="1" applyFill="1" applyBorder="1" applyAlignment="1" applyProtection="1">
      <alignment horizontal="left"/>
    </xf>
    <xf numFmtId="0" fontId="3" fillId="3" borderId="18" xfId="19" applyFill="1" applyBorder="1" applyProtection="1"/>
    <xf numFmtId="0" fontId="3" fillId="3" borderId="19" xfId="19" applyFill="1" applyBorder="1" applyProtection="1"/>
    <xf numFmtId="43" fontId="3" fillId="3" borderId="47" xfId="1" applyFill="1" applyBorder="1" applyAlignment="1" applyProtection="1"/>
    <xf numFmtId="0" fontId="16" fillId="2" borderId="26" xfId="19" applyFont="1" applyFill="1" applyBorder="1" applyProtection="1">
      <protection locked="0"/>
    </xf>
    <xf numFmtId="43" fontId="3" fillId="0" borderId="25" xfId="1" applyFill="1" applyBorder="1" applyProtection="1"/>
    <xf numFmtId="43" fontId="3" fillId="0" borderId="20" xfId="1" applyFont="1" applyFill="1" applyBorder="1" applyProtection="1"/>
    <xf numFmtId="43" fontId="3" fillId="0" borderId="29" xfId="1" applyFont="1" applyFill="1" applyBorder="1" applyProtection="1"/>
    <xf numFmtId="0" fontId="3" fillId="0" borderId="2" xfId="19" applyFill="1" applyBorder="1" applyAlignment="1" applyProtection="1">
      <alignment horizontal="center" vertical="center"/>
      <protection locked="0"/>
    </xf>
    <xf numFmtId="0" fontId="3" fillId="0" borderId="1" xfId="19" applyFill="1" applyBorder="1" applyAlignment="1" applyProtection="1">
      <alignment horizontal="center" vertical="center"/>
      <protection locked="0"/>
    </xf>
    <xf numFmtId="43" fontId="3" fillId="0" borderId="4" xfId="1" applyFill="1" applyBorder="1" applyProtection="1">
      <protection locked="0"/>
    </xf>
    <xf numFmtId="43" fontId="3" fillId="0" borderId="0" xfId="1" applyFill="1" applyProtection="1">
      <protection locked="0"/>
    </xf>
    <xf numFmtId="0" fontId="17" fillId="0" borderId="3" xfId="19" applyFont="1" applyFill="1" applyBorder="1" applyProtection="1">
      <protection locked="0"/>
    </xf>
    <xf numFmtId="0" fontId="3" fillId="0" borderId="3" xfId="19" applyFill="1" applyBorder="1" applyProtection="1">
      <protection locked="0"/>
    </xf>
    <xf numFmtId="43" fontId="3" fillId="0" borderId="7" xfId="1" applyFill="1" applyBorder="1" applyProtection="1">
      <protection locked="0"/>
    </xf>
    <xf numFmtId="43" fontId="3" fillId="0" borderId="3" xfId="1" applyFill="1" applyBorder="1" applyProtection="1">
      <protection locked="0"/>
    </xf>
    <xf numFmtId="43" fontId="13" fillId="0" borderId="36" xfId="1" applyFont="1" applyFill="1" applyBorder="1" applyProtection="1"/>
    <xf numFmtId="43" fontId="13" fillId="0" borderId="83" xfId="1" applyFont="1" applyFill="1" applyBorder="1" applyProtection="1"/>
    <xf numFmtId="43" fontId="13" fillId="0" borderId="11" xfId="1" applyFont="1" applyFill="1" applyBorder="1" applyProtection="1"/>
    <xf numFmtId="43" fontId="13" fillId="0" borderId="12" xfId="1" applyFont="1" applyFill="1" applyBorder="1" applyProtection="1"/>
    <xf numFmtId="0" fontId="3" fillId="0" borderId="0" xfId="19" applyFill="1" applyBorder="1" applyAlignment="1" applyProtection="1">
      <alignment horizontal="center"/>
    </xf>
    <xf numFmtId="0" fontId="3" fillId="0" borderId="0" xfId="19" applyFill="1" applyAlignment="1" applyProtection="1">
      <alignment horizontal="center"/>
    </xf>
    <xf numFmtId="43" fontId="17" fillId="0" borderId="3" xfId="1" applyFont="1" applyFill="1" applyBorder="1" applyAlignment="1" applyProtection="1">
      <alignment horizontal="center"/>
    </xf>
    <xf numFmtId="0" fontId="5" fillId="0" borderId="0" xfId="19" applyFont="1" applyFill="1" applyAlignment="1" applyProtection="1">
      <alignment horizontal="center"/>
    </xf>
    <xf numFmtId="0" fontId="3" fillId="0" borderId="9" xfId="19" applyFill="1" applyBorder="1" applyAlignment="1" applyProtection="1">
      <alignment horizontal="center"/>
    </xf>
    <xf numFmtId="49" fontId="3" fillId="0" borderId="11" xfId="19" applyNumberFormat="1" applyFill="1" applyBorder="1" applyAlignment="1" applyProtection="1">
      <alignment horizontal="center"/>
    </xf>
    <xf numFmtId="49" fontId="3" fillId="0" borderId="8" xfId="19" applyNumberFormat="1" applyFill="1" applyBorder="1" applyAlignment="1" applyProtection="1">
      <alignment horizontal="center"/>
    </xf>
    <xf numFmtId="0" fontId="16" fillId="0" borderId="18" xfId="19" applyFont="1" applyFill="1" applyBorder="1" applyAlignment="1" applyProtection="1">
      <alignment horizontal="center"/>
    </xf>
    <xf numFmtId="0" fontId="16" fillId="0" borderId="0" xfId="19" applyFont="1" applyFill="1" applyAlignment="1" applyProtection="1">
      <alignment horizontal="center"/>
    </xf>
    <xf numFmtId="0" fontId="16" fillId="0" borderId="26" xfId="19" applyFont="1" applyFill="1" applyBorder="1" applyAlignment="1" applyProtection="1">
      <alignment horizontal="center"/>
    </xf>
    <xf numFmtId="43" fontId="3" fillId="0" borderId="10" xfId="1" applyFill="1" applyBorder="1" applyProtection="1"/>
    <xf numFmtId="43" fontId="3" fillId="0" borderId="33" xfId="1" applyFill="1" applyBorder="1" applyProtection="1"/>
    <xf numFmtId="43" fontId="3" fillId="0" borderId="3" xfId="1" applyFont="1" applyFill="1" applyBorder="1" applyAlignment="1" applyProtection="1"/>
    <xf numFmtId="43" fontId="3" fillId="0" borderId="35" xfId="1" applyFill="1" applyBorder="1" applyProtection="1"/>
    <xf numFmtId="0" fontId="16" fillId="0" borderId="3" xfId="19" applyFont="1" applyFill="1" applyBorder="1" applyAlignment="1" applyProtection="1">
      <alignment horizontal="center"/>
    </xf>
    <xf numFmtId="0" fontId="16" fillId="0" borderId="3" xfId="19" applyFont="1" applyFill="1" applyBorder="1" applyProtection="1"/>
    <xf numFmtId="0" fontId="16" fillId="0" borderId="38" xfId="19" applyFont="1" applyFill="1" applyBorder="1" applyAlignment="1" applyProtection="1">
      <alignment horizontal="center"/>
    </xf>
    <xf numFmtId="43" fontId="3" fillId="0" borderId="27" xfId="1" applyFill="1" applyBorder="1" applyProtection="1"/>
    <xf numFmtId="43" fontId="3" fillId="0" borderId="34" xfId="1" applyFill="1" applyBorder="1" applyProtection="1"/>
    <xf numFmtId="0" fontId="13" fillId="0" borderId="18" xfId="19" applyFont="1" applyFill="1" applyBorder="1" applyAlignment="1" applyProtection="1"/>
    <xf numFmtId="0" fontId="3" fillId="0" borderId="18" xfId="19" applyFont="1" applyFill="1" applyBorder="1" applyAlignment="1" applyProtection="1"/>
    <xf numFmtId="43" fontId="3" fillId="0" borderId="19" xfId="1" applyFont="1" applyFill="1" applyBorder="1" applyAlignment="1" applyProtection="1">
      <alignment horizontal="right"/>
    </xf>
    <xf numFmtId="43" fontId="17" fillId="0" borderId="18" xfId="1" applyFont="1" applyFill="1" applyBorder="1" applyAlignment="1" applyProtection="1">
      <alignment horizontal="center"/>
    </xf>
    <xf numFmtId="0" fontId="13" fillId="0" borderId="26" xfId="19" applyFont="1" applyFill="1" applyBorder="1" applyAlignment="1" applyProtection="1"/>
    <xf numFmtId="0" fontId="3" fillId="0" borderId="26" xfId="19" applyFont="1" applyFill="1" applyBorder="1" applyAlignment="1" applyProtection="1"/>
    <xf numFmtId="43" fontId="3" fillId="0" borderId="41" xfId="1" applyFont="1" applyFill="1" applyBorder="1" applyAlignment="1" applyProtection="1">
      <alignment horizontal="right"/>
    </xf>
    <xf numFmtId="43" fontId="3" fillId="0" borderId="41" xfId="1" applyFont="1" applyFill="1" applyBorder="1" applyAlignment="1" applyProtection="1"/>
    <xf numFmtId="43" fontId="3" fillId="0" borderId="26" xfId="1" applyFont="1" applyFill="1" applyBorder="1" applyAlignment="1" applyProtection="1"/>
    <xf numFmtId="43" fontId="3" fillId="0" borderId="53" xfId="1" applyFont="1" applyFill="1" applyBorder="1" applyAlignment="1" applyProtection="1"/>
    <xf numFmtId="43" fontId="3" fillId="0" borderId="15" xfId="1" applyFont="1" applyFill="1" applyBorder="1" applyAlignment="1" applyProtection="1"/>
    <xf numFmtId="0" fontId="3" fillId="0" borderId="3" xfId="19" applyFont="1" applyFill="1" applyBorder="1" applyAlignment="1" applyProtection="1"/>
    <xf numFmtId="43" fontId="3" fillId="0" borderId="74" xfId="1" applyFont="1" applyFill="1" applyBorder="1" applyAlignment="1" applyProtection="1"/>
    <xf numFmtId="43" fontId="3" fillId="0" borderId="20" xfId="1" applyFont="1" applyFill="1" applyBorder="1" applyAlignment="1" applyProtection="1"/>
    <xf numFmtId="43" fontId="3" fillId="0" borderId="5" xfId="1" applyFont="1" applyFill="1" applyBorder="1" applyAlignment="1" applyProtection="1"/>
    <xf numFmtId="43" fontId="3" fillId="0" borderId="35" xfId="1" applyFont="1" applyFill="1" applyBorder="1" applyAlignment="1" applyProtection="1"/>
    <xf numFmtId="0" fontId="3" fillId="0" borderId="1" xfId="19" applyFill="1" applyBorder="1" applyProtection="1"/>
    <xf numFmtId="0" fontId="3" fillId="2" borderId="3" xfId="19" applyFont="1" applyFill="1" applyBorder="1" applyAlignment="1" applyProtection="1">
      <protection locked="0"/>
    </xf>
    <xf numFmtId="43" fontId="17" fillId="0" borderId="33" xfId="19" applyNumberFormat="1" applyFont="1" applyFill="1" applyBorder="1" applyAlignment="1" applyProtection="1">
      <alignment horizontal="center"/>
    </xf>
    <xf numFmtId="43" fontId="17" fillId="0" borderId="7" xfId="19" applyNumberFormat="1" applyFont="1" applyFill="1" applyBorder="1" applyAlignment="1" applyProtection="1">
      <alignment horizontal="center"/>
    </xf>
    <xf numFmtId="43" fontId="3" fillId="0" borderId="3" xfId="1" applyNumberFormat="1" applyFill="1" applyBorder="1" applyProtection="1"/>
    <xf numFmtId="43" fontId="3" fillId="0" borderId="7" xfId="1" applyNumberFormat="1" applyFill="1" applyBorder="1" applyProtection="1"/>
    <xf numFmtId="43" fontId="17" fillId="0" borderId="3" xfId="19" applyNumberFormat="1" applyFont="1" applyFill="1" applyBorder="1" applyAlignment="1" applyProtection="1">
      <alignment horizontal="center"/>
    </xf>
    <xf numFmtId="43" fontId="3" fillId="0" borderId="36" xfId="1" applyNumberFormat="1" applyFill="1" applyBorder="1" applyProtection="1"/>
    <xf numFmtId="43" fontId="17" fillId="0" borderId="32" xfId="19" applyNumberFormat="1" applyFont="1" applyFill="1" applyBorder="1" applyAlignment="1" applyProtection="1">
      <alignment horizontal="center"/>
    </xf>
    <xf numFmtId="43" fontId="3" fillId="0" borderId="11" xfId="1" applyNumberFormat="1" applyFill="1" applyBorder="1" applyProtection="1"/>
    <xf numFmtId="43" fontId="3" fillId="0" borderId="12" xfId="1" applyNumberFormat="1" applyFill="1" applyBorder="1" applyProtection="1"/>
    <xf numFmtId="14" fontId="3" fillId="0" borderId="0" xfId="19" applyNumberFormat="1" applyAlignment="1" applyProtection="1">
      <alignment horizontal="center"/>
    </xf>
    <xf numFmtId="0" fontId="22" fillId="0" borderId="0" xfId="19" applyFont="1" applyAlignment="1" applyProtection="1">
      <alignment horizontal="center"/>
    </xf>
    <xf numFmtId="14" fontId="22" fillId="0" borderId="0" xfId="19" applyNumberFormat="1" applyFont="1" applyBorder="1" applyAlignment="1" applyProtection="1">
      <alignment horizontal="center"/>
    </xf>
    <xf numFmtId="49" fontId="3" fillId="0" borderId="0" xfId="19" applyNumberFormat="1" applyAlignment="1" applyProtection="1">
      <alignment horizontal="center"/>
    </xf>
    <xf numFmtId="0" fontId="17" fillId="3" borderId="26" xfId="19" applyFont="1" applyFill="1" applyBorder="1" applyProtection="1"/>
    <xf numFmtId="49" fontId="6" fillId="0" borderId="0" xfId="19" applyNumberFormat="1" applyFont="1" applyAlignment="1" applyProtection="1">
      <alignment horizontal="center"/>
    </xf>
    <xf numFmtId="0" fontId="3" fillId="0" borderId="0" xfId="19" applyAlignment="1" applyProtection="1">
      <alignment vertical="center"/>
    </xf>
    <xf numFmtId="0" fontId="22" fillId="0" borderId="0" xfId="19" applyFont="1" applyAlignment="1" applyProtection="1">
      <alignment horizontal="center" vertical="center"/>
    </xf>
    <xf numFmtId="49" fontId="3" fillId="0" borderId="0" xfId="19" applyNumberFormat="1" applyFill="1" applyBorder="1" applyAlignment="1" applyProtection="1">
      <alignment horizontal="center"/>
    </xf>
    <xf numFmtId="43" fontId="3" fillId="0" borderId="0" xfId="1" applyFill="1" applyBorder="1" applyProtection="1"/>
    <xf numFmtId="10" fontId="3" fillId="0" borderId="0" xfId="13" applyNumberFormat="1" applyFill="1" applyBorder="1" applyProtection="1"/>
    <xf numFmtId="49" fontId="10" fillId="0" borderId="0" xfId="19" applyNumberFormat="1" applyFont="1" applyFill="1" applyBorder="1" applyAlignment="1" applyProtection="1">
      <alignment horizontal="center"/>
    </xf>
    <xf numFmtId="0" fontId="10" fillId="0" borderId="0" xfId="19" applyFont="1" applyFill="1" applyBorder="1" applyProtection="1"/>
    <xf numFmtId="0" fontId="10" fillId="0" borderId="0" xfId="19" applyFont="1" applyFill="1" applyBorder="1" applyAlignment="1" applyProtection="1">
      <alignment horizontal="right"/>
    </xf>
    <xf numFmtId="0" fontId="17" fillId="0" borderId="0" xfId="19" applyFont="1" applyFill="1" applyBorder="1" applyProtection="1"/>
    <xf numFmtId="0" fontId="38" fillId="0" borderId="0" xfId="19" applyFont="1" applyFill="1" applyProtection="1"/>
    <xf numFmtId="0" fontId="15" fillId="0" borderId="0" xfId="19" applyFont="1" applyFill="1" applyAlignment="1" applyProtection="1">
      <alignment horizontal="left"/>
    </xf>
    <xf numFmtId="0" fontId="3" fillId="0" borderId="69" xfId="19" applyFont="1" applyFill="1" applyBorder="1" applyProtection="1"/>
    <xf numFmtId="0" fontId="3" fillId="0" borderId="70" xfId="19" applyFill="1" applyBorder="1" applyProtection="1"/>
    <xf numFmtId="0" fontId="3" fillId="0" borderId="51" xfId="19" applyBorder="1" applyAlignment="1" applyProtection="1">
      <alignment horizontal="center"/>
    </xf>
    <xf numFmtId="14" fontId="3" fillId="0" borderId="11" xfId="19" applyNumberFormat="1" applyBorder="1" applyAlignment="1" applyProtection="1">
      <alignment horizontal="center"/>
    </xf>
    <xf numFmtId="43" fontId="3" fillId="3" borderId="11" xfId="1" applyFill="1" applyBorder="1" applyProtection="1"/>
    <xf numFmtId="49" fontId="38" fillId="0" borderId="0" xfId="19" applyNumberFormat="1" applyFont="1" applyAlignment="1" applyProtection="1">
      <alignment horizontal="left"/>
    </xf>
    <xf numFmtId="0" fontId="38" fillId="0" borderId="0" xfId="19" applyFont="1" applyProtection="1"/>
    <xf numFmtId="0" fontId="38" fillId="0" borderId="0" xfId="19" applyFont="1" applyAlignment="1" applyProtection="1">
      <alignment horizontal="right"/>
    </xf>
    <xf numFmtId="0" fontId="16" fillId="0" borderId="0" xfId="19" applyFont="1" applyAlignment="1" applyProtection="1">
      <alignment horizontal="center"/>
    </xf>
    <xf numFmtId="0" fontId="38" fillId="0" borderId="0" xfId="19" applyFont="1" applyAlignment="1" applyProtection="1">
      <alignment horizontal="left"/>
    </xf>
    <xf numFmtId="0" fontId="17" fillId="0" borderId="0" xfId="19" applyFont="1" applyProtection="1"/>
    <xf numFmtId="49" fontId="3" fillId="0" borderId="23" xfId="19" applyNumberFormat="1" applyFill="1" applyBorder="1" applyAlignment="1" applyProtection="1">
      <alignment horizontal="center"/>
    </xf>
    <xf numFmtId="0" fontId="3" fillId="0" borderId="23" xfId="19" applyBorder="1" applyAlignment="1" applyProtection="1">
      <alignment horizontal="right"/>
    </xf>
    <xf numFmtId="43" fontId="3" fillId="0" borderId="12" xfId="1" applyBorder="1" applyProtection="1"/>
    <xf numFmtId="0" fontId="3" fillId="0" borderId="31" xfId="19" applyBorder="1" applyAlignment="1" applyProtection="1">
      <alignment horizontal="right"/>
    </xf>
    <xf numFmtId="49" fontId="10" fillId="0" borderId="0" xfId="19" applyNumberFormat="1" applyFont="1" applyBorder="1" applyAlignment="1" applyProtection="1">
      <alignment horizontal="left"/>
    </xf>
    <xf numFmtId="0" fontId="10" fillId="0" borderId="0" xfId="19" applyFont="1" applyBorder="1" applyProtection="1"/>
    <xf numFmtId="0" fontId="10" fillId="0" borderId="0" xfId="19" applyFont="1" applyBorder="1" applyAlignment="1" applyProtection="1">
      <alignment horizontal="right"/>
    </xf>
    <xf numFmtId="0" fontId="6" fillId="0" borderId="0" xfId="19" applyFont="1" applyFill="1" applyAlignment="1" applyProtection="1">
      <alignment horizontal="center"/>
    </xf>
    <xf numFmtId="43" fontId="3" fillId="0" borderId="29" xfId="1" applyFill="1" applyBorder="1" applyAlignment="1" applyProtection="1">
      <alignment horizontal="right"/>
    </xf>
    <xf numFmtId="0" fontId="3" fillId="0" borderId="19" xfId="19" applyFill="1" applyBorder="1" applyAlignment="1" applyProtection="1">
      <alignment horizontal="right"/>
    </xf>
    <xf numFmtId="0" fontId="3" fillId="0" borderId="26" xfId="19" applyFont="1" applyFill="1" applyBorder="1" applyProtection="1"/>
    <xf numFmtId="0" fontId="3" fillId="0" borderId="23" xfId="19" applyFont="1" applyFill="1" applyBorder="1" applyProtection="1"/>
    <xf numFmtId="43" fontId="3" fillId="0" borderId="19" xfId="1" applyFill="1" applyBorder="1" applyAlignment="1" applyProtection="1">
      <alignment horizontal="right"/>
    </xf>
    <xf numFmtId="0" fontId="3" fillId="0" borderId="31" xfId="19" applyFill="1" applyBorder="1" applyProtection="1"/>
    <xf numFmtId="0" fontId="3" fillId="0" borderId="30" xfId="19" applyFill="1" applyBorder="1" applyProtection="1"/>
    <xf numFmtId="0" fontId="6" fillId="0" borderId="0" xfId="19" applyFont="1" applyAlignment="1" applyProtection="1">
      <alignment horizontal="center"/>
    </xf>
    <xf numFmtId="0" fontId="3" fillId="0" borderId="1" xfId="19" applyBorder="1" applyProtection="1"/>
    <xf numFmtId="43" fontId="3" fillId="0" borderId="29" xfId="1" applyBorder="1" applyAlignment="1" applyProtection="1">
      <alignment horizontal="right"/>
    </xf>
    <xf numFmtId="43" fontId="3" fillId="0" borderId="20" xfId="1" applyBorder="1" applyAlignment="1" applyProtection="1">
      <alignment horizontal="right"/>
    </xf>
    <xf numFmtId="0" fontId="3" fillId="0" borderId="26" xfId="19" applyBorder="1" applyProtection="1"/>
    <xf numFmtId="0" fontId="3" fillId="0" borderId="19" xfId="19" applyBorder="1" applyAlignment="1" applyProtection="1">
      <alignment horizontal="right"/>
    </xf>
    <xf numFmtId="43" fontId="3" fillId="0" borderId="19" xfId="19" applyNumberFormat="1" applyBorder="1" applyProtection="1"/>
    <xf numFmtId="0" fontId="3" fillId="0" borderId="18" xfId="19" applyFont="1" applyFill="1" applyBorder="1" applyProtection="1"/>
    <xf numFmtId="43" fontId="3" fillId="0" borderId="20" xfId="19" applyNumberFormat="1" applyBorder="1" applyProtection="1"/>
    <xf numFmtId="0" fontId="3" fillId="0" borderId="30" xfId="19" applyBorder="1" applyProtection="1"/>
    <xf numFmtId="0" fontId="3" fillId="0" borderId="2" xfId="19" applyFont="1" applyFill="1" applyBorder="1" applyAlignment="1" applyProtection="1">
      <alignment horizontal="center" vertical="center"/>
    </xf>
    <xf numFmtId="0" fontId="3" fillId="0" borderId="37" xfId="19" applyBorder="1" applyAlignment="1" applyProtection="1">
      <alignment horizontal="center" vertical="center" wrapText="1"/>
    </xf>
    <xf numFmtId="0" fontId="3" fillId="0" borderId="23" xfId="19" applyBorder="1" applyProtection="1">
      <protection locked="0"/>
    </xf>
    <xf numFmtId="0" fontId="3" fillId="0" borderId="18" xfId="19" applyBorder="1" applyAlignment="1" applyProtection="1">
      <alignment horizontal="right"/>
    </xf>
    <xf numFmtId="0" fontId="3" fillId="0" borderId="3" xfId="19" applyBorder="1" applyAlignment="1" applyProtection="1">
      <alignment horizontal="right"/>
    </xf>
    <xf numFmtId="0" fontId="16" fillId="0" borderId="5" xfId="19" applyFont="1" applyBorder="1" applyProtection="1"/>
    <xf numFmtId="0" fontId="3" fillId="0" borderId="5" xfId="19" applyBorder="1" applyProtection="1"/>
    <xf numFmtId="0" fontId="3" fillId="0" borderId="38" xfId="19" applyBorder="1" applyProtection="1"/>
    <xf numFmtId="0" fontId="16" fillId="0" borderId="26" xfId="19" applyFont="1" applyBorder="1" applyProtection="1"/>
    <xf numFmtId="0" fontId="3" fillId="0" borderId="26" xfId="19" applyBorder="1" applyAlignment="1" applyProtection="1">
      <alignment horizontal="right"/>
    </xf>
    <xf numFmtId="0" fontId="3" fillId="0" borderId="0" xfId="19" applyFont="1" applyFill="1" applyAlignment="1" applyProtection="1">
      <alignment horizontal="center"/>
    </xf>
    <xf numFmtId="0" fontId="3" fillId="0" borderId="8" xfId="19" applyFill="1" applyBorder="1" applyAlignment="1" applyProtection="1">
      <alignment horizontal="center"/>
    </xf>
    <xf numFmtId="43" fontId="3" fillId="0" borderId="8" xfId="1" applyFill="1" applyBorder="1" applyProtection="1"/>
    <xf numFmtId="14" fontId="3" fillId="0" borderId="18" xfId="19" quotePrefix="1" applyNumberFormat="1" applyFill="1" applyBorder="1" applyProtection="1"/>
    <xf numFmtId="0" fontId="3" fillId="0" borderId="3" xfId="19" quotePrefix="1" applyFont="1" applyFill="1" applyBorder="1" applyProtection="1"/>
    <xf numFmtId="43" fontId="0" fillId="0" borderId="30" xfId="1" applyFont="1" applyFill="1" applyBorder="1" applyProtection="1"/>
    <xf numFmtId="0" fontId="3" fillId="0" borderId="37" xfId="19" applyFill="1" applyBorder="1" applyAlignment="1" applyProtection="1">
      <alignment horizontal="center" vertical="center" wrapText="1"/>
    </xf>
    <xf numFmtId="43" fontId="3" fillId="0" borderId="20" xfId="1" applyFill="1" applyBorder="1" applyProtection="1"/>
    <xf numFmtId="0" fontId="3" fillId="0" borderId="29" xfId="19" applyFont="1" applyFill="1" applyBorder="1" applyProtection="1"/>
    <xf numFmtId="0" fontId="3" fillId="0" borderId="12" xfId="19" applyFont="1" applyFill="1" applyBorder="1" applyProtection="1"/>
    <xf numFmtId="0" fontId="3" fillId="3" borderId="23" xfId="19" applyFill="1" applyBorder="1" applyProtection="1"/>
    <xf numFmtId="0" fontId="3" fillId="3" borderId="31" xfId="19" applyFill="1" applyBorder="1" applyAlignment="1" applyProtection="1">
      <alignment horizontal="right"/>
    </xf>
    <xf numFmtId="0" fontId="3" fillId="3" borderId="11" xfId="19" applyFill="1" applyBorder="1" applyProtection="1"/>
    <xf numFmtId="0" fontId="3" fillId="3" borderId="14" xfId="19" applyFill="1" applyBorder="1" applyProtection="1"/>
    <xf numFmtId="43" fontId="3" fillId="0" borderId="35" xfId="1" applyBorder="1" applyProtection="1">
      <protection locked="0"/>
    </xf>
    <xf numFmtId="0" fontId="16" fillId="0" borderId="0" xfId="19" applyFont="1" applyProtection="1"/>
    <xf numFmtId="0" fontId="3" fillId="0" borderId="9" xfId="19" applyBorder="1" applyAlignment="1" applyProtection="1">
      <alignment horizontal="center"/>
    </xf>
    <xf numFmtId="0" fontId="3" fillId="0" borderId="8" xfId="19" applyBorder="1" applyAlignment="1" applyProtection="1">
      <alignment horizontal="center"/>
    </xf>
    <xf numFmtId="14" fontId="3" fillId="0" borderId="18" xfId="19" quotePrefix="1" applyNumberFormat="1" applyBorder="1" applyProtection="1"/>
    <xf numFmtId="0" fontId="3" fillId="0" borderId="3" xfId="19" quotePrefix="1" applyBorder="1" applyProtection="1"/>
    <xf numFmtId="43" fontId="3" fillId="0" borderId="0" xfId="19" applyNumberFormat="1" applyFill="1" applyBorder="1" applyAlignment="1" applyProtection="1">
      <alignment horizontal="center"/>
    </xf>
    <xf numFmtId="43" fontId="3" fillId="0" borderId="20" xfId="1" applyBorder="1" applyProtection="1"/>
    <xf numFmtId="43" fontId="3" fillId="0" borderId="0" xfId="19" applyNumberFormat="1" applyBorder="1" applyAlignment="1" applyProtection="1">
      <alignment horizontal="center"/>
    </xf>
    <xf numFmtId="0" fontId="3" fillId="0" borderId="29" xfId="19" applyBorder="1" applyProtection="1"/>
    <xf numFmtId="0" fontId="3" fillId="0" borderId="4" xfId="19" applyFill="1" applyBorder="1" applyAlignment="1" applyProtection="1">
      <alignment horizontal="center"/>
      <protection locked="0"/>
    </xf>
    <xf numFmtId="0" fontId="3" fillId="0" borderId="19" xfId="19" applyFill="1" applyBorder="1" applyProtection="1"/>
    <xf numFmtId="43" fontId="3" fillId="0" borderId="33" xfId="1" applyFill="1" applyBorder="1" applyAlignment="1" applyProtection="1"/>
    <xf numFmtId="43" fontId="3" fillId="0" borderId="47" xfId="1" applyFill="1" applyBorder="1" applyAlignment="1" applyProtection="1"/>
    <xf numFmtId="49" fontId="38" fillId="0" borderId="0" xfId="19" applyNumberFormat="1" applyFont="1" applyFill="1" applyAlignment="1" applyProtection="1">
      <alignment horizontal="left"/>
    </xf>
    <xf numFmtId="0" fontId="38" fillId="0" borderId="0" xfId="19" applyFont="1" applyFill="1" applyAlignment="1" applyProtection="1">
      <alignment horizontal="right"/>
    </xf>
    <xf numFmtId="0" fontId="38" fillId="0" borderId="0" xfId="19" applyFont="1" applyFill="1" applyAlignment="1" applyProtection="1">
      <alignment horizontal="left"/>
    </xf>
    <xf numFmtId="49" fontId="10" fillId="0" borderId="0" xfId="19" applyNumberFormat="1" applyFont="1" applyAlignment="1" applyProtection="1">
      <alignment horizontal="left"/>
    </xf>
    <xf numFmtId="0" fontId="10" fillId="0" borderId="0" xfId="19" applyFont="1" applyAlignment="1" applyProtection="1">
      <alignment horizontal="right"/>
    </xf>
    <xf numFmtId="43" fontId="3" fillId="0" borderId="47" xfId="1" applyFill="1" applyBorder="1" applyProtection="1"/>
    <xf numFmtId="49" fontId="3" fillId="2" borderId="3" xfId="19" applyNumberFormat="1" applyFill="1" applyBorder="1" applyAlignment="1" applyProtection="1">
      <alignment horizontal="left"/>
    </xf>
    <xf numFmtId="0" fontId="3" fillId="2" borderId="3" xfId="19" applyFill="1" applyBorder="1" applyProtection="1"/>
    <xf numFmtId="0" fontId="3" fillId="2" borderId="20" xfId="19" applyFill="1" applyBorder="1" applyProtection="1"/>
    <xf numFmtId="43" fontId="3" fillId="2" borderId="7" xfId="1" applyFill="1" applyBorder="1" applyProtection="1"/>
    <xf numFmtId="43" fontId="3" fillId="2" borderId="17" xfId="1" applyFill="1" applyBorder="1" applyProtection="1"/>
    <xf numFmtId="49" fontId="3" fillId="2" borderId="3" xfId="19" quotePrefix="1" applyNumberFormat="1" applyFill="1" applyBorder="1" applyAlignment="1" applyProtection="1">
      <alignment horizontal="left"/>
    </xf>
    <xf numFmtId="43" fontId="0" fillId="2" borderId="7" xfId="1" applyFont="1" applyFill="1" applyBorder="1" applyProtection="1"/>
    <xf numFmtId="43" fontId="3" fillId="2" borderId="6" xfId="1" applyFill="1" applyBorder="1" applyProtection="1"/>
    <xf numFmtId="0" fontId="3" fillId="2" borderId="20" xfId="19" applyFill="1" applyBorder="1" applyAlignment="1" applyProtection="1">
      <alignment horizontal="right"/>
    </xf>
    <xf numFmtId="43" fontId="3" fillId="2" borderId="25" xfId="1" applyFill="1" applyBorder="1" applyProtection="1"/>
    <xf numFmtId="43" fontId="3" fillId="2" borderId="50" xfId="1" applyFill="1" applyBorder="1" applyProtection="1"/>
    <xf numFmtId="43" fontId="3" fillId="0" borderId="0" xfId="1" applyProtection="1"/>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43" fontId="0" fillId="0" borderId="2" xfId="1" applyFont="1" applyBorder="1" applyAlignment="1">
      <alignment horizontal="center" vertical="center"/>
    </xf>
    <xf numFmtId="0" fontId="70" fillId="0" borderId="0" xfId="0" applyFont="1"/>
    <xf numFmtId="43" fontId="3" fillId="2" borderId="3" xfId="1" applyFont="1" applyFill="1" applyBorder="1" applyAlignment="1" applyProtection="1">
      <alignment horizontal="center"/>
      <protection locked="0"/>
    </xf>
    <xf numFmtId="0" fontId="0" fillId="0" borderId="8" xfId="0" applyFill="1" applyBorder="1" applyProtection="1"/>
    <xf numFmtId="0" fontId="0" fillId="0" borderId="8" xfId="0" applyFill="1" applyBorder="1" applyProtection="1">
      <protection locked="0"/>
    </xf>
    <xf numFmtId="0" fontId="3" fillId="0" borderId="8" xfId="0" applyFont="1" applyBorder="1"/>
    <xf numFmtId="0" fontId="3" fillId="2" borderId="8" xfId="0" applyFont="1" applyFill="1" applyBorder="1" applyProtection="1">
      <protection locked="0"/>
    </xf>
    <xf numFmtId="0" fontId="0" fillId="0" borderId="23" xfId="0" applyFill="1" applyBorder="1" applyAlignment="1" applyProtection="1"/>
    <xf numFmtId="0" fontId="0" fillId="0" borderId="23" xfId="0" applyFill="1" applyBorder="1" applyAlignment="1" applyProtection="1">
      <protection locked="0"/>
    </xf>
    <xf numFmtId="0" fontId="3" fillId="0" borderId="23" xfId="0" applyFont="1" applyFill="1" applyBorder="1" applyAlignment="1" applyProtection="1">
      <alignment horizontal="right"/>
    </xf>
    <xf numFmtId="0" fontId="0" fillId="2" borderId="25" xfId="0" applyFill="1" applyBorder="1" applyAlignment="1" applyProtection="1">
      <alignment horizontal="center"/>
      <protection locked="0"/>
    </xf>
    <xf numFmtId="43" fontId="0" fillId="2" borderId="25" xfId="1" applyFont="1" applyFill="1" applyBorder="1" applyAlignment="1" applyProtection="1">
      <alignment horizontal="center"/>
      <protection locked="0"/>
    </xf>
    <xf numFmtId="166" fontId="0" fillId="2" borderId="50" xfId="0" applyNumberFormat="1" applyFill="1" applyBorder="1" applyAlignment="1" applyProtection="1">
      <alignment horizontal="center"/>
      <protection locked="0"/>
    </xf>
    <xf numFmtId="14" fontId="3" fillId="2" borderId="33" xfId="19" applyNumberFormat="1" applyFill="1" applyBorder="1" applyAlignment="1" applyProtection="1">
      <protection locked="0"/>
    </xf>
    <xf numFmtId="14" fontId="3" fillId="2" borderId="7" xfId="19" applyNumberFormat="1" applyFill="1" applyBorder="1" applyAlignment="1" applyProtection="1">
      <protection locked="0"/>
    </xf>
    <xf numFmtId="0" fontId="3" fillId="2" borderId="7" xfId="19" applyFill="1" applyBorder="1" applyAlignment="1" applyProtection="1">
      <protection locked="0"/>
    </xf>
    <xf numFmtId="0" fontId="3" fillId="2" borderId="6" xfId="19" applyFill="1" applyBorder="1" applyAlignment="1" applyProtection="1">
      <protection locked="0"/>
    </xf>
    <xf numFmtId="49" fontId="3" fillId="0" borderId="23" xfId="19" applyNumberFormat="1" applyBorder="1" applyAlignment="1" applyProtection="1">
      <alignment horizontal="center"/>
      <protection locked="0"/>
    </xf>
    <xf numFmtId="0" fontId="3" fillId="3" borderId="23" xfId="19" applyFill="1" applyBorder="1" applyProtection="1">
      <protection locked="0"/>
    </xf>
    <xf numFmtId="0" fontId="3" fillId="3" borderId="31" xfId="19" applyFill="1" applyBorder="1" applyAlignment="1" applyProtection="1">
      <alignment horizontal="right"/>
      <protection locked="0"/>
    </xf>
    <xf numFmtId="49" fontId="3" fillId="2" borderId="20" xfId="19" applyNumberFormat="1" applyFill="1" applyBorder="1" applyAlignment="1" applyProtection="1">
      <alignment horizontal="left"/>
      <protection locked="0"/>
    </xf>
    <xf numFmtId="43" fontId="3" fillId="0" borderId="20" xfId="1" applyFill="1" applyBorder="1" applyAlignment="1" applyProtection="1">
      <alignment horizontal="center"/>
    </xf>
    <xf numFmtId="0" fontId="22" fillId="0" borderId="0" xfId="19" applyFont="1" applyFill="1" applyBorder="1" applyProtection="1"/>
    <xf numFmtId="0" fontId="3" fillId="0" borderId="0" xfId="19" applyFont="1" applyFill="1" applyBorder="1" applyProtection="1"/>
    <xf numFmtId="0" fontId="3" fillId="2" borderId="3" xfId="0" applyFont="1"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2" borderId="20" xfId="0" applyFill="1" applyBorder="1" applyAlignment="1" applyProtection="1">
      <alignment horizontal="center"/>
      <protection locked="0"/>
    </xf>
    <xf numFmtId="0" fontId="0" fillId="0" borderId="21" xfId="0" applyBorder="1" applyAlignment="1">
      <alignment horizontal="center" vertical="center"/>
    </xf>
    <xf numFmtId="0" fontId="71" fillId="0" borderId="0" xfId="0" applyFont="1"/>
    <xf numFmtId="0" fontId="3" fillId="2" borderId="93" xfId="0" applyNumberFormat="1" applyFont="1" applyFill="1" applyBorder="1" applyAlignment="1" applyProtection="1">
      <alignment horizontal="left"/>
      <protection locked="0"/>
    </xf>
    <xf numFmtId="43" fontId="13" fillId="0" borderId="26" xfId="1" applyFont="1" applyFill="1" applyBorder="1" applyProtection="1"/>
    <xf numFmtId="43" fontId="13" fillId="2" borderId="26" xfId="1" applyFont="1" applyFill="1" applyBorder="1" applyProtection="1">
      <protection locked="0"/>
    </xf>
    <xf numFmtId="43" fontId="13" fillId="2" borderId="32" xfId="1" applyFont="1" applyFill="1" applyBorder="1" applyProtection="1">
      <protection locked="0"/>
    </xf>
    <xf numFmtId="43" fontId="13" fillId="0" borderId="27" xfId="1" applyFont="1" applyFill="1" applyBorder="1" applyProtection="1"/>
    <xf numFmtId="43" fontId="3" fillId="2" borderId="27" xfId="1" applyFont="1" applyFill="1" applyBorder="1" applyProtection="1">
      <protection locked="0"/>
    </xf>
    <xf numFmtId="0" fontId="73" fillId="0" borderId="0" xfId="85" applyFont="1" applyAlignment="1">
      <alignment horizontal="left"/>
    </xf>
    <xf numFmtId="0" fontId="3" fillId="0" borderId="51" xfId="19" applyBorder="1"/>
    <xf numFmtId="0" fontId="3" fillId="0" borderId="65" xfId="19" applyBorder="1"/>
    <xf numFmtId="0" fontId="6" fillId="0" borderId="0" xfId="19" applyFont="1" applyAlignment="1">
      <alignment horizontal="center" vertical="center" wrapText="1"/>
    </xf>
    <xf numFmtId="0" fontId="3" fillId="0" borderId="66" xfId="19" applyBorder="1" applyAlignment="1">
      <alignment horizontal="center"/>
    </xf>
    <xf numFmtId="0" fontId="3" fillId="0" borderId="0" xfId="19" applyAlignment="1">
      <alignment horizontal="center" vertical="center" wrapText="1"/>
    </xf>
    <xf numFmtId="0" fontId="17" fillId="0" borderId="12" xfId="19" applyFont="1" applyBorder="1" applyAlignment="1">
      <alignment horizontal="center"/>
    </xf>
    <xf numFmtId="0" fontId="3" fillId="0" borderId="67" xfId="19" applyBorder="1"/>
    <xf numFmtId="49" fontId="3" fillId="0" borderId="18" xfId="19" applyNumberFormat="1" applyBorder="1" applyAlignment="1">
      <alignment horizontal="center"/>
    </xf>
    <xf numFmtId="14" fontId="3" fillId="2" borderId="33" xfId="19" applyNumberFormat="1" applyFill="1" applyBorder="1" applyProtection="1">
      <protection locked="0"/>
    </xf>
    <xf numFmtId="14" fontId="3" fillId="2" borderId="33" xfId="1" applyNumberFormat="1" applyFill="1" applyBorder="1" applyProtection="1">
      <protection locked="0"/>
    </xf>
    <xf numFmtId="14" fontId="3" fillId="2" borderId="28" xfId="1" applyNumberFormat="1" applyFill="1" applyBorder="1" applyProtection="1">
      <protection locked="0"/>
    </xf>
    <xf numFmtId="14" fontId="3" fillId="2" borderId="95" xfId="19" applyNumberFormat="1" applyFill="1" applyBorder="1" applyProtection="1">
      <protection locked="0"/>
    </xf>
    <xf numFmtId="49" fontId="3" fillId="0" borderId="3" xfId="19" applyNumberFormat="1" applyBorder="1" applyAlignment="1">
      <alignment horizontal="center"/>
    </xf>
    <xf numFmtId="49" fontId="3" fillId="2" borderId="3" xfId="19" applyNumberFormat="1" applyFill="1" applyBorder="1" applyProtection="1">
      <protection locked="0"/>
    </xf>
    <xf numFmtId="14" fontId="3" fillId="2" borderId="7" xfId="19" applyNumberFormat="1" applyFill="1" applyBorder="1" applyProtection="1">
      <protection locked="0"/>
    </xf>
    <xf numFmtId="14" fontId="3" fillId="2" borderId="7" xfId="1" applyNumberFormat="1" applyFill="1" applyBorder="1" applyProtection="1">
      <protection locked="0"/>
    </xf>
    <xf numFmtId="43" fontId="3" fillId="2" borderId="7" xfId="1" applyFill="1" applyBorder="1" applyAlignment="1" applyProtection="1">
      <alignment horizontal="center"/>
      <protection locked="0"/>
    </xf>
    <xf numFmtId="14" fontId="3" fillId="2" borderId="68" xfId="19" applyNumberFormat="1" applyFill="1" applyBorder="1" applyProtection="1">
      <protection locked="0"/>
    </xf>
    <xf numFmtId="49" fontId="3" fillId="0" borderId="3" xfId="19" applyNumberFormat="1" applyBorder="1" applyAlignment="1">
      <alignment horizontal="left"/>
    </xf>
    <xf numFmtId="0" fontId="3" fillId="0" borderId="7" xfId="19" applyBorder="1"/>
    <xf numFmtId="10" fontId="3" fillId="0" borderId="7" xfId="13" applyNumberFormat="1" applyBorder="1"/>
    <xf numFmtId="43" fontId="3" fillId="0" borderId="29" xfId="1" applyBorder="1"/>
    <xf numFmtId="0" fontId="3" fillId="0" borderId="68" xfId="19" applyBorder="1"/>
    <xf numFmtId="10" fontId="3" fillId="0" borderId="0" xfId="13" applyNumberFormat="1"/>
    <xf numFmtId="49" fontId="10" fillId="0" borderId="0" xfId="19" applyNumberFormat="1" applyFont="1" applyAlignment="1">
      <alignment horizontal="center"/>
    </xf>
    <xf numFmtId="0" fontId="15" fillId="0" borderId="0" xfId="19" applyFont="1"/>
    <xf numFmtId="0" fontId="38" fillId="0" borderId="0" xfId="19" applyFont="1"/>
    <xf numFmtId="0" fontId="15" fillId="0" borderId="0" xfId="19" applyFont="1" applyAlignment="1">
      <alignment horizontal="left"/>
    </xf>
    <xf numFmtId="43" fontId="3" fillId="0" borderId="0" xfId="1" applyProtection="1">
      <protection locked="0"/>
    </xf>
    <xf numFmtId="43" fontId="3" fillId="0" borderId="0" xfId="0" quotePrefix="1" applyNumberFormat="1" applyFont="1"/>
    <xf numFmtId="0" fontId="3" fillId="0" borderId="8" xfId="0" applyFont="1" applyBorder="1" applyProtection="1"/>
    <xf numFmtId="0" fontId="0" fillId="2" borderId="3" xfId="0" applyFill="1" applyBorder="1" applyAlignment="1" applyProtection="1">
      <alignment horizontal="center"/>
      <protection locked="0"/>
    </xf>
    <xf numFmtId="0" fontId="23" fillId="0" borderId="0" xfId="0" applyFont="1" applyAlignment="1">
      <alignment horizontal="center" vertical="center" textRotation="180" wrapText="1"/>
    </xf>
    <xf numFmtId="0" fontId="0" fillId="0" borderId="0" xfId="0" applyAlignment="1" applyProtection="1">
      <alignment horizontal="center"/>
    </xf>
    <xf numFmtId="0" fontId="0" fillId="2" borderId="20" xfId="0" applyFill="1" applyBorder="1" applyAlignment="1" applyProtection="1">
      <alignment horizontal="center"/>
      <protection locked="0"/>
    </xf>
    <xf numFmtId="43" fontId="3" fillId="2" borderId="33" xfId="1" applyFont="1" applyFill="1" applyBorder="1" applyAlignment="1" applyProtection="1">
      <protection locked="0"/>
    </xf>
    <xf numFmtId="43" fontId="3" fillId="2" borderId="47" xfId="1" applyFont="1" applyFill="1" applyBorder="1" applyAlignment="1" applyProtection="1">
      <protection locked="0"/>
    </xf>
    <xf numFmtId="43" fontId="3" fillId="2" borderId="6" xfId="1" applyFont="1" applyFill="1" applyBorder="1" applyProtection="1">
      <protection locked="0"/>
    </xf>
    <xf numFmtId="43" fontId="3" fillId="2" borderId="25" xfId="1" applyFont="1" applyFill="1" applyBorder="1" applyProtection="1">
      <protection locked="0"/>
    </xf>
    <xf numFmtId="43" fontId="3" fillId="2" borderId="50" xfId="1" applyFont="1" applyFill="1" applyBorder="1" applyProtection="1">
      <protection locked="0"/>
    </xf>
    <xf numFmtId="43" fontId="3" fillId="0" borderId="33" xfId="1" applyFont="1" applyBorder="1" applyAlignment="1"/>
    <xf numFmtId="43" fontId="3" fillId="0" borderId="47" xfId="1" applyFont="1" applyBorder="1" applyAlignment="1"/>
    <xf numFmtId="43" fontId="3" fillId="0" borderId="11" xfId="1" applyFont="1" applyBorder="1"/>
    <xf numFmtId="43" fontId="3" fillId="0" borderId="14" xfId="1" applyFont="1" applyBorder="1"/>
    <xf numFmtId="43" fontId="3" fillId="0" borderId="25" xfId="1" applyFont="1" applyBorder="1"/>
    <xf numFmtId="43" fontId="3" fillId="0" borderId="50" xfId="1" applyFont="1" applyBorder="1"/>
    <xf numFmtId="10" fontId="0" fillId="0" borderId="26" xfId="13" applyNumberFormat="1" applyFont="1" applyBorder="1" applyAlignment="1">
      <alignment horizontal="center"/>
    </xf>
    <xf numFmtId="0" fontId="3" fillId="0" borderId="0" xfId="0" applyFont="1" applyBorder="1" applyProtection="1"/>
    <xf numFmtId="10" fontId="17" fillId="0" borderId="42" xfId="13" applyNumberFormat="1" applyFont="1" applyBorder="1" applyAlignment="1">
      <alignment horizontal="center"/>
    </xf>
    <xf numFmtId="43" fontId="17" fillId="0" borderId="42" xfId="1" applyFont="1" applyBorder="1" applyAlignment="1">
      <alignment horizontal="center"/>
    </xf>
    <xf numFmtId="43" fontId="3" fillId="0" borderId="24" xfId="1" applyFill="1" applyBorder="1" applyProtection="1"/>
    <xf numFmtId="43" fontId="0" fillId="2" borderId="47" xfId="1" applyFont="1" applyFill="1" applyBorder="1" applyAlignment="1" applyProtection="1">
      <alignment horizontal="center"/>
      <protection locked="0"/>
    </xf>
    <xf numFmtId="43" fontId="0" fillId="2" borderId="17" xfId="1" applyFont="1" applyFill="1" applyBorder="1" applyProtection="1">
      <protection locked="0"/>
    </xf>
    <xf numFmtId="43" fontId="3" fillId="2" borderId="47" xfId="1" applyFill="1" applyBorder="1" applyAlignment="1" applyProtection="1">
      <alignment horizontal="center"/>
      <protection locked="0"/>
    </xf>
    <xf numFmtId="0" fontId="74" fillId="0" borderId="0" xfId="85" applyFont="1"/>
    <xf numFmtId="0" fontId="75" fillId="0" borderId="0" xfId="87" applyFont="1"/>
    <xf numFmtId="0" fontId="74" fillId="0" borderId="0" xfId="85" applyFont="1" applyAlignment="1">
      <alignment wrapText="1"/>
    </xf>
    <xf numFmtId="0" fontId="74" fillId="0" borderId="0" xfId="85" applyFont="1" applyAlignment="1">
      <alignment horizontal="right" vertical="center"/>
    </xf>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43" fontId="3" fillId="0" borderId="34" xfId="1" applyFont="1" applyFill="1" applyBorder="1" applyProtection="1"/>
    <xf numFmtId="43" fontId="0" fillId="0" borderId="80" xfId="1" applyFont="1" applyFill="1" applyBorder="1" applyProtection="1"/>
    <xf numFmtId="0" fontId="77" fillId="0" borderId="0" xfId="85" applyFont="1" applyAlignment="1">
      <alignment horizontal="left" vertical="center" wrapText="1"/>
    </xf>
    <xf numFmtId="49" fontId="0" fillId="2" borderId="3" xfId="0" applyNumberFormat="1" applyFill="1" applyBorder="1" applyAlignment="1" applyProtection="1">
      <alignment horizontal="left"/>
      <protection locked="0"/>
    </xf>
    <xf numFmtId="49" fontId="0" fillId="2" borderId="20" xfId="0" applyNumberFormat="1" applyFill="1" applyBorder="1" applyAlignment="1" applyProtection="1">
      <alignment horizontal="left"/>
      <protection locked="0"/>
    </xf>
    <xf numFmtId="49" fontId="3" fillId="2" borderId="18" xfId="19" applyNumberFormat="1" applyFill="1" applyBorder="1" applyAlignment="1" applyProtection="1">
      <alignment horizontal="left"/>
      <protection locked="0"/>
    </xf>
    <xf numFmtId="49" fontId="3" fillId="2" borderId="3" xfId="19" applyNumberFormat="1" applyFill="1" applyBorder="1" applyAlignment="1" applyProtection="1">
      <alignment horizontal="left"/>
      <protection locked="0"/>
    </xf>
    <xf numFmtId="14" fontId="3" fillId="2" borderId="26" xfId="0" applyNumberFormat="1" applyFont="1" applyFill="1" applyBorder="1" applyProtection="1">
      <protection locked="0"/>
    </xf>
    <xf numFmtId="14" fontId="0" fillId="2" borderId="26" xfId="0" applyNumberFormat="1" applyFill="1" applyBorder="1" applyProtection="1">
      <protection locked="0"/>
    </xf>
    <xf numFmtId="0" fontId="3" fillId="2" borderId="28" xfId="0" applyFont="1" applyFill="1" applyBorder="1" applyProtection="1">
      <protection locked="0"/>
    </xf>
    <xf numFmtId="10" fontId="3" fillId="2" borderId="47" xfId="13" applyNumberFormat="1" applyFont="1" applyFill="1" applyBorder="1" applyProtection="1">
      <protection locked="0"/>
    </xf>
    <xf numFmtId="49" fontId="3" fillId="2" borderId="3" xfId="0" applyNumberFormat="1" applyFont="1" applyFill="1" applyBorder="1" applyAlignment="1" applyProtection="1">
      <alignment horizontal="left"/>
      <protection locked="0"/>
    </xf>
    <xf numFmtId="0" fontId="23" fillId="0" borderId="0" xfId="0" applyFont="1" applyAlignment="1">
      <alignment horizontal="center"/>
    </xf>
    <xf numFmtId="0" fontId="12" fillId="0" borderId="0" xfId="0" applyFont="1" applyAlignment="1">
      <alignment horizontal="center"/>
    </xf>
    <xf numFmtId="0" fontId="6" fillId="0" borderId="0" xfId="0" applyFont="1" applyAlignment="1">
      <alignment horizontal="center"/>
    </xf>
    <xf numFmtId="49" fontId="17" fillId="0" borderId="0" xfId="0" applyNumberFormat="1" applyFont="1" applyAlignment="1">
      <alignment horizontal="center"/>
    </xf>
    <xf numFmtId="0" fontId="17" fillId="0" borderId="0" xfId="0" applyFont="1" applyAlignment="1">
      <alignment horizontal="center"/>
    </xf>
    <xf numFmtId="0" fontId="27" fillId="0" borderId="0" xfId="0" applyFont="1" applyAlignment="1">
      <alignment horizontal="center"/>
    </xf>
    <xf numFmtId="0" fontId="10" fillId="2" borderId="26" xfId="0" applyFont="1" applyFill="1" applyBorder="1" applyAlignment="1" applyProtection="1">
      <alignment horizontal="left"/>
      <protection locked="0"/>
    </xf>
    <xf numFmtId="0" fontId="3" fillId="0" borderId="26" xfId="0" applyFont="1" applyFill="1" applyBorder="1" applyAlignment="1" applyProtection="1">
      <alignment horizontal="left"/>
    </xf>
    <xf numFmtId="0" fontId="0" fillId="0" borderId="3" xfId="0" applyBorder="1" applyAlignment="1">
      <alignment horizontal="center"/>
    </xf>
    <xf numFmtId="0" fontId="0" fillId="0" borderId="62" xfId="0" applyBorder="1" applyAlignment="1">
      <alignment horizontal="center" vertical="center"/>
    </xf>
    <xf numFmtId="0" fontId="15" fillId="0" borderId="26" xfId="0" applyFont="1" applyBorder="1" applyAlignment="1">
      <alignment horizontal="center"/>
    </xf>
    <xf numFmtId="0" fontId="17" fillId="0" borderId="26" xfId="0" applyFont="1" applyBorder="1" applyAlignment="1">
      <alignment horizontal="center"/>
    </xf>
    <xf numFmtId="0" fontId="3" fillId="2" borderId="62" xfId="0" applyFont="1"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10" fillId="2" borderId="26" xfId="0" applyFont="1" applyFill="1" applyBorder="1" applyAlignment="1" applyProtection="1">
      <alignment horizontal="center"/>
      <protection locked="0"/>
    </xf>
    <xf numFmtId="0" fontId="41" fillId="2" borderId="26" xfId="0" applyFont="1" applyFill="1" applyBorder="1" applyAlignment="1" applyProtection="1">
      <alignment horizontal="center"/>
      <protection locked="0"/>
    </xf>
    <xf numFmtId="0" fontId="3" fillId="2" borderId="3" xfId="0" applyFont="1" applyFill="1" applyBorder="1" applyAlignment="1" applyProtection="1">
      <alignment horizontal="center"/>
      <protection locked="0"/>
    </xf>
    <xf numFmtId="0" fontId="0" fillId="2" borderId="3" xfId="0" applyFill="1" applyBorder="1" applyAlignment="1" applyProtection="1">
      <alignment horizontal="center"/>
      <protection locked="0"/>
    </xf>
    <xf numFmtId="0" fontId="15" fillId="0" borderId="0" xfId="0" applyFont="1" applyAlignment="1">
      <alignment horizontal="center"/>
    </xf>
    <xf numFmtId="14" fontId="17" fillId="0" borderId="0" xfId="0" applyNumberFormat="1" applyFont="1" applyAlignment="1">
      <alignment horizontal="center"/>
    </xf>
    <xf numFmtId="37" fontId="0" fillId="0" borderId="26" xfId="0" applyNumberFormat="1" applyBorder="1" applyAlignment="1">
      <alignment horizontal="center"/>
    </xf>
    <xf numFmtId="0" fontId="0" fillId="0" borderId="26" xfId="0" applyBorder="1" applyAlignment="1">
      <alignment horizontal="center"/>
    </xf>
    <xf numFmtId="49" fontId="3" fillId="0" borderId="3" xfId="0" applyNumberFormat="1" applyFont="1" applyBorder="1" applyAlignment="1">
      <alignment horizontal="center"/>
    </xf>
    <xf numFmtId="0" fontId="0" fillId="0" borderId="3" xfId="0" applyNumberFormat="1" applyBorder="1" applyAlignment="1">
      <alignment horizontal="center"/>
    </xf>
    <xf numFmtId="165" fontId="0" fillId="0" borderId="3" xfId="1" applyNumberFormat="1" applyFont="1" applyFill="1" applyBorder="1" applyAlignment="1">
      <alignment horizontal="center"/>
    </xf>
    <xf numFmtId="0" fontId="0" fillId="2" borderId="26" xfId="0" applyFill="1" applyBorder="1" applyAlignment="1" applyProtection="1">
      <alignment horizontal="center"/>
      <protection locked="0"/>
    </xf>
    <xf numFmtId="0" fontId="16" fillId="0" borderId="5" xfId="0" applyFont="1" applyBorder="1" applyAlignment="1">
      <alignment horizontal="center"/>
    </xf>
    <xf numFmtId="0" fontId="23" fillId="0" borderId="26" xfId="0" applyFont="1" applyBorder="1" applyAlignment="1">
      <alignment horizontal="center"/>
    </xf>
    <xf numFmtId="0" fontId="3" fillId="2" borderId="26" xfId="0" applyFont="1" applyFill="1" applyBorder="1" applyAlignment="1" applyProtection="1">
      <alignment horizontal="center"/>
      <protection locked="0"/>
    </xf>
    <xf numFmtId="14" fontId="23" fillId="0" borderId="26" xfId="0" applyNumberFormat="1" applyFont="1" applyBorder="1" applyAlignment="1">
      <alignment horizontal="center"/>
    </xf>
    <xf numFmtId="0" fontId="16" fillId="0" borderId="0" xfId="0" applyFont="1" applyBorder="1" applyAlignment="1">
      <alignment horizontal="center"/>
    </xf>
    <xf numFmtId="0" fontId="24" fillId="0" borderId="0" xfId="0" applyFont="1" applyAlignment="1">
      <alignment horizontal="center"/>
    </xf>
    <xf numFmtId="0" fontId="17" fillId="0" borderId="0" xfId="0" applyFont="1" applyBorder="1" applyAlignment="1">
      <alignment horizontal="center"/>
    </xf>
    <xf numFmtId="14" fontId="3" fillId="2" borderId="3" xfId="0" applyNumberFormat="1" applyFont="1" applyFill="1" applyBorder="1" applyAlignment="1" applyProtection="1">
      <alignment horizontal="center"/>
      <protection locked="0"/>
    </xf>
    <xf numFmtId="0" fontId="0" fillId="0" borderId="26" xfId="0" applyFill="1" applyBorder="1" applyAlignment="1" applyProtection="1">
      <alignment horizontal="center"/>
      <protection locked="0"/>
    </xf>
    <xf numFmtId="0" fontId="0" fillId="0" borderId="26" xfId="0" applyFill="1" applyBorder="1" applyAlignment="1">
      <alignment horizontal="center"/>
    </xf>
    <xf numFmtId="0" fontId="0" fillId="0" borderId="5" xfId="0" applyBorder="1" applyAlignment="1">
      <alignment horizontal="center"/>
    </xf>
    <xf numFmtId="164" fontId="17" fillId="0" borderId="26" xfId="0" applyNumberFormat="1" applyFont="1" applyBorder="1" applyAlignment="1">
      <alignment horizontal="center"/>
    </xf>
    <xf numFmtId="49" fontId="0" fillId="0" borderId="0" xfId="0" applyNumberFormat="1" applyAlignment="1">
      <alignment horizontal="center"/>
    </xf>
    <xf numFmtId="0" fontId="0" fillId="0" borderId="0" xfId="0" applyAlignment="1">
      <alignment horizontal="center"/>
    </xf>
    <xf numFmtId="43" fontId="3" fillId="2" borderId="26" xfId="1" applyFill="1" applyBorder="1" applyAlignment="1" applyProtection="1">
      <alignment horizontal="center"/>
      <protection locked="0"/>
    </xf>
    <xf numFmtId="0" fontId="5" fillId="0" borderId="0" xfId="0" applyFont="1" applyAlignment="1">
      <alignment horizontal="center"/>
    </xf>
    <xf numFmtId="0" fontId="18" fillId="0" borderId="0" xfId="0" applyFont="1" applyAlignment="1">
      <alignment horizontal="center"/>
    </xf>
    <xf numFmtId="43" fontId="0" fillId="2" borderId="26" xfId="1" applyFont="1" applyFill="1" applyBorder="1" applyAlignment="1" applyProtection="1">
      <alignment horizontal="center"/>
      <protection locked="0"/>
    </xf>
    <xf numFmtId="0" fontId="0" fillId="0" borderId="1" xfId="0" applyBorder="1" applyAlignment="1">
      <alignment horizontal="center" vertical="center"/>
    </xf>
    <xf numFmtId="0" fontId="0" fillId="0" borderId="49" xfId="0" applyBorder="1" applyAlignment="1">
      <alignment horizontal="center" vertical="center"/>
    </xf>
    <xf numFmtId="0" fontId="7" fillId="0" borderId="0" xfId="0" applyFont="1" applyAlignment="1">
      <alignment horizontal="center"/>
    </xf>
    <xf numFmtId="14" fontId="6" fillId="0" borderId="0" xfId="0" applyNumberFormat="1" applyFont="1" applyAlignment="1">
      <alignment horizontal="center"/>
    </xf>
    <xf numFmtId="0" fontId="8" fillId="0" borderId="8" xfId="0" applyFont="1" applyBorder="1" applyAlignment="1">
      <alignment horizontal="center" vertical="top"/>
    </xf>
    <xf numFmtId="0" fontId="3" fillId="2" borderId="3" xfId="0" applyFont="1" applyFill="1" applyBorder="1" applyAlignment="1" applyProtection="1">
      <alignment horizontal="left"/>
      <protection locked="0"/>
    </xf>
    <xf numFmtId="0" fontId="3" fillId="2" borderId="20" xfId="0" applyFont="1" applyFill="1" applyBorder="1" applyAlignment="1" applyProtection="1">
      <alignment horizontal="left"/>
      <protection locked="0"/>
    </xf>
    <xf numFmtId="0" fontId="11" fillId="0" borderId="0" xfId="0" applyFont="1" applyAlignment="1">
      <alignment horizontal="center"/>
    </xf>
    <xf numFmtId="0" fontId="17" fillId="0" borderId="0" xfId="0" applyFont="1" applyAlignment="1" applyProtection="1">
      <alignment horizontal="center"/>
    </xf>
    <xf numFmtId="0" fontId="23" fillId="0" borderId="0" xfId="0" applyFont="1" applyAlignment="1" applyProtection="1">
      <alignment horizontal="center"/>
    </xf>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0" fontId="5" fillId="0" borderId="0" xfId="0" applyFont="1" applyAlignment="1" applyProtection="1">
      <alignment horizontal="center"/>
    </xf>
    <xf numFmtId="0" fontId="11" fillId="0" borderId="0" xfId="0" applyFont="1" applyAlignment="1" applyProtection="1">
      <alignment horizontal="center"/>
    </xf>
    <xf numFmtId="14" fontId="6" fillId="0" borderId="0" xfId="0" applyNumberFormat="1" applyFont="1" applyAlignment="1" applyProtection="1">
      <alignment horizontal="center"/>
    </xf>
    <xf numFmtId="0" fontId="6" fillId="0" borderId="0" xfId="0" applyFont="1" applyAlignment="1" applyProtection="1">
      <alignment horizontal="center"/>
    </xf>
    <xf numFmtId="0" fontId="3" fillId="0" borderId="1" xfId="0" applyFont="1" applyBorder="1" applyAlignment="1" applyProtection="1">
      <alignment horizontal="center" vertical="center"/>
    </xf>
    <xf numFmtId="0" fontId="0" fillId="0" borderId="1" xfId="0" applyBorder="1" applyAlignment="1" applyProtection="1">
      <alignment horizontal="center" vertical="center"/>
    </xf>
    <xf numFmtId="0" fontId="0" fillId="0" borderId="49" xfId="0" applyBorder="1" applyAlignment="1" applyProtection="1">
      <alignment horizontal="center" vertical="center"/>
    </xf>
    <xf numFmtId="0" fontId="22" fillId="0" borderId="0" xfId="0" applyFont="1" applyAlignment="1">
      <alignment horizontal="center"/>
    </xf>
    <xf numFmtId="49" fontId="23" fillId="0" borderId="0" xfId="0" applyNumberFormat="1" applyFont="1" applyAlignment="1">
      <alignment horizontal="center"/>
    </xf>
    <xf numFmtId="0" fontId="6" fillId="0" borderId="64" xfId="0" applyFont="1" applyBorder="1" applyAlignment="1">
      <alignment horizontal="center" vertical="top"/>
    </xf>
    <xf numFmtId="0" fontId="6" fillId="0" borderId="26" xfId="0" applyFont="1" applyBorder="1" applyAlignment="1">
      <alignment horizontal="center" vertical="top"/>
    </xf>
    <xf numFmtId="0" fontId="6" fillId="0" borderId="41" xfId="0" applyFont="1" applyBorder="1" applyAlignment="1">
      <alignment horizontal="center" vertical="top"/>
    </xf>
    <xf numFmtId="0" fontId="23" fillId="0" borderId="0" xfId="0" applyFont="1" applyAlignment="1">
      <alignment horizontal="center" vertical="center" textRotation="180" wrapText="1"/>
    </xf>
    <xf numFmtId="0" fontId="14" fillId="0" borderId="0" xfId="0" applyFont="1" applyAlignment="1">
      <alignment horizontal="left"/>
    </xf>
    <xf numFmtId="0" fontId="3" fillId="0" borderId="3" xfId="0" applyFont="1" applyFill="1" applyBorder="1" applyAlignment="1" applyProtection="1">
      <alignment horizontal="left" vertical="center"/>
    </xf>
    <xf numFmtId="0" fontId="0" fillId="0" borderId="3" xfId="0" applyFill="1" applyBorder="1" applyAlignment="1" applyProtection="1">
      <alignment horizontal="left" vertical="center"/>
    </xf>
    <xf numFmtId="0" fontId="0" fillId="0" borderId="20" xfId="0" applyFill="1" applyBorder="1" applyAlignment="1" applyProtection="1">
      <alignment horizontal="left" vertical="center"/>
    </xf>
    <xf numFmtId="0" fontId="0" fillId="2" borderId="3" xfId="0" applyFill="1" applyBorder="1" applyAlignment="1" applyProtection="1">
      <alignment horizontal="left" vertical="center"/>
      <protection locked="0"/>
    </xf>
    <xf numFmtId="0" fontId="0" fillId="2" borderId="20" xfId="0" applyFill="1" applyBorder="1" applyAlignment="1" applyProtection="1">
      <alignment horizontal="left" vertical="center"/>
      <protection locked="0"/>
    </xf>
    <xf numFmtId="0" fontId="0" fillId="2" borderId="26" xfId="0" applyFill="1" applyBorder="1" applyAlignment="1" applyProtection="1">
      <alignment horizontal="left" vertical="center"/>
      <protection locked="0"/>
    </xf>
    <xf numFmtId="0" fontId="0" fillId="2" borderId="41" xfId="0" applyFill="1" applyBorder="1" applyAlignment="1" applyProtection="1">
      <alignment horizontal="left" vertical="center"/>
      <protection locked="0"/>
    </xf>
    <xf numFmtId="0" fontId="3" fillId="2" borderId="3" xfId="0" applyFont="1" applyFill="1" applyBorder="1" applyAlignment="1" applyProtection="1">
      <alignment horizontal="left" vertical="center"/>
      <protection locked="0"/>
    </xf>
    <xf numFmtId="14" fontId="0" fillId="2" borderId="26" xfId="0" applyNumberFormat="1" applyFill="1" applyBorder="1" applyAlignment="1" applyProtection="1">
      <alignment horizontal="center"/>
      <protection locked="0"/>
    </xf>
    <xf numFmtId="0" fontId="4" fillId="0" borderId="8" xfId="0" applyFont="1" applyBorder="1" applyAlignment="1">
      <alignment horizontal="center"/>
    </xf>
    <xf numFmtId="0" fontId="0" fillId="0" borderId="28" xfId="0" applyBorder="1" applyAlignment="1">
      <alignment horizontal="center" vertical="center"/>
    </xf>
    <xf numFmtId="0" fontId="0" fillId="0" borderId="19" xfId="0" applyBorder="1" applyAlignment="1">
      <alignment horizontal="center" vertical="center"/>
    </xf>
    <xf numFmtId="0" fontId="0" fillId="0" borderId="3" xfId="0" applyFill="1" applyBorder="1" applyAlignment="1" applyProtection="1">
      <alignment horizontal="left" vertical="center"/>
      <protection locked="0"/>
    </xf>
    <xf numFmtId="0" fontId="0" fillId="0" borderId="20" xfId="0" applyFill="1" applyBorder="1" applyAlignment="1" applyProtection="1">
      <alignment horizontal="left" vertical="center"/>
      <protection locked="0"/>
    </xf>
    <xf numFmtId="0" fontId="23" fillId="0" borderId="0" xfId="0" applyFont="1" applyFill="1" applyAlignment="1">
      <alignment horizontal="center"/>
    </xf>
    <xf numFmtId="0" fontId="6" fillId="0" borderId="0" xfId="0" applyFont="1" applyFill="1" applyAlignment="1">
      <alignment horizontal="center"/>
    </xf>
    <xf numFmtId="0" fontId="4" fillId="0" borderId="0" xfId="0" applyFont="1" applyFill="1" applyBorder="1" applyAlignment="1">
      <alignment horizontal="center"/>
    </xf>
    <xf numFmtId="0" fontId="0" fillId="0" borderId="0" xfId="0" applyFill="1" applyAlignment="1">
      <alignment horizontal="center"/>
    </xf>
    <xf numFmtId="0" fontId="4" fillId="0" borderId="0" xfId="0" applyFont="1" applyBorder="1" applyAlignment="1" applyProtection="1">
      <alignment horizontal="center"/>
    </xf>
    <xf numFmtId="0" fontId="0" fillId="0" borderId="21" xfId="0" applyBorder="1" applyAlignment="1">
      <alignment horizontal="center"/>
    </xf>
    <xf numFmtId="0" fontId="12" fillId="0" borderId="0" xfId="0" applyFont="1" applyAlignment="1" applyProtection="1">
      <alignment horizontal="center"/>
    </xf>
    <xf numFmtId="0" fontId="0" fillId="0" borderId="0" xfId="0" applyAlignment="1" applyProtection="1">
      <alignment horizontal="center"/>
    </xf>
    <xf numFmtId="0" fontId="0" fillId="0" borderId="21" xfId="0" applyBorder="1" applyAlignment="1" applyProtection="1">
      <alignment horizontal="center"/>
    </xf>
    <xf numFmtId="0" fontId="23" fillId="0" borderId="0" xfId="0" applyFont="1" applyAlignment="1">
      <alignment vertical="center" textRotation="180" wrapText="1"/>
    </xf>
    <xf numFmtId="0" fontId="13" fillId="2" borderId="3" xfId="0" applyFont="1" applyFill="1" applyBorder="1" applyAlignment="1" applyProtection="1">
      <alignment horizontal="left"/>
      <protection locked="0"/>
    </xf>
    <xf numFmtId="0" fontId="13" fillId="2" borderId="20" xfId="0" applyFont="1" applyFill="1" applyBorder="1" applyAlignment="1" applyProtection="1">
      <alignment horizontal="left"/>
      <protection locked="0"/>
    </xf>
    <xf numFmtId="0" fontId="0" fillId="0" borderId="46" xfId="0" applyBorder="1" applyAlignment="1">
      <alignment horizontal="center"/>
    </xf>
    <xf numFmtId="0" fontId="0" fillId="0" borderId="51" xfId="0" applyBorder="1" applyAlignment="1">
      <alignment horizontal="center"/>
    </xf>
    <xf numFmtId="0" fontId="0" fillId="0" borderId="64" xfId="0" applyBorder="1" applyAlignment="1">
      <alignment horizontal="center"/>
    </xf>
    <xf numFmtId="0" fontId="0" fillId="0" borderId="41" xfId="0" applyBorder="1" applyAlignment="1">
      <alignment horizontal="center"/>
    </xf>
    <xf numFmtId="0" fontId="13" fillId="2" borderId="3" xfId="0" applyFont="1" applyFill="1" applyBorder="1" applyAlignment="1" applyProtection="1">
      <alignment horizontal="center"/>
      <protection locked="0"/>
    </xf>
    <xf numFmtId="0" fontId="13" fillId="2" borderId="20" xfId="0" applyFont="1" applyFill="1" applyBorder="1" applyAlignment="1" applyProtection="1">
      <alignment horizontal="center"/>
      <protection locked="0"/>
    </xf>
    <xf numFmtId="0" fontId="0" fillId="0" borderId="46" xfId="0" applyBorder="1" applyAlignment="1" applyProtection="1">
      <alignment horizontal="center"/>
    </xf>
    <xf numFmtId="0" fontId="0" fillId="0" borderId="51" xfId="0" applyBorder="1" applyAlignment="1" applyProtection="1">
      <alignment horizontal="center"/>
    </xf>
    <xf numFmtId="0" fontId="0" fillId="0" borderId="64" xfId="0" applyBorder="1" applyAlignment="1" applyProtection="1">
      <alignment horizontal="center"/>
    </xf>
    <xf numFmtId="0" fontId="0" fillId="0" borderId="41" xfId="0" applyBorder="1" applyAlignment="1" applyProtection="1">
      <alignment horizontal="center"/>
    </xf>
    <xf numFmtId="0" fontId="0" fillId="0" borderId="0" xfId="0" applyAlignment="1"/>
    <xf numFmtId="0" fontId="14" fillId="0" borderId="0" xfId="0" applyFont="1" applyAlignment="1">
      <alignment horizontal="center"/>
    </xf>
    <xf numFmtId="0" fontId="63" fillId="0" borderId="54" xfId="0" applyFont="1" applyBorder="1" applyAlignment="1">
      <alignment horizontal="center"/>
    </xf>
    <xf numFmtId="0" fontId="63" fillId="0" borderId="55" xfId="0" applyFont="1" applyBorder="1" applyAlignment="1">
      <alignment horizontal="center"/>
    </xf>
    <xf numFmtId="0" fontId="63" fillId="0" borderId="59" xfId="0" applyFont="1" applyBorder="1" applyAlignment="1">
      <alignment horizontal="center"/>
    </xf>
    <xf numFmtId="0" fontId="63" fillId="0" borderId="60" xfId="0" applyFont="1" applyBorder="1" applyAlignment="1">
      <alignment horizontal="center"/>
    </xf>
    <xf numFmtId="0" fontId="0" fillId="0" borderId="9" xfId="0" applyBorder="1" applyAlignment="1">
      <alignment horizontal="center" vertical="center"/>
    </xf>
    <xf numFmtId="0" fontId="0" fillId="0" borderId="51" xfId="0" applyBorder="1" applyAlignment="1">
      <alignment horizontal="center" vertical="center"/>
    </xf>
    <xf numFmtId="0" fontId="0" fillId="0" borderId="8" xfId="0" applyBorder="1" applyAlignment="1">
      <alignment horizontal="center" vertical="center"/>
    </xf>
    <xf numFmtId="0" fontId="0" fillId="0" borderId="52" xfId="0" applyBorder="1" applyAlignment="1">
      <alignment horizontal="center" vertical="center"/>
    </xf>
    <xf numFmtId="0" fontId="10" fillId="0" borderId="5" xfId="0" applyFont="1" applyBorder="1" applyAlignment="1">
      <alignment horizontal="left" wrapText="1"/>
    </xf>
    <xf numFmtId="0" fontId="10" fillId="0" borderId="0" xfId="0" applyFont="1" applyAlignment="1">
      <alignment horizontal="left" wrapText="1"/>
    </xf>
    <xf numFmtId="43" fontId="13" fillId="0" borderId="53" xfId="1" applyFont="1" applyFill="1" applyBorder="1" applyAlignment="1" applyProtection="1">
      <alignment horizontal="center"/>
    </xf>
    <xf numFmtId="43" fontId="13" fillId="0" borderId="64" xfId="1" applyFont="1" applyFill="1" applyBorder="1" applyAlignment="1" applyProtection="1">
      <alignment horizontal="center"/>
    </xf>
    <xf numFmtId="43" fontId="17" fillId="0" borderId="6" xfId="1" applyFont="1" applyFill="1" applyBorder="1" applyAlignment="1">
      <alignment horizontal="center"/>
    </xf>
    <xf numFmtId="43" fontId="17" fillId="0" borderId="27" xfId="1" applyFont="1" applyFill="1" applyBorder="1" applyAlignment="1">
      <alignment horizontal="center"/>
    </xf>
    <xf numFmtId="0" fontId="17" fillId="0" borderId="1" xfId="0" applyFont="1" applyBorder="1" applyAlignment="1">
      <alignment horizontal="center" vertical="center"/>
    </xf>
    <xf numFmtId="0" fontId="17" fillId="0" borderId="1" xfId="0" applyFont="1" applyBorder="1" applyAlignment="1" applyProtection="1">
      <alignment horizontal="center" vertical="center"/>
    </xf>
    <xf numFmtId="0" fontId="16" fillId="0" borderId="3" xfId="0" applyFont="1" applyBorder="1" applyAlignment="1">
      <alignment wrapText="1"/>
    </xf>
    <xf numFmtId="1" fontId="5" fillId="0" borderId="0" xfId="0" applyNumberFormat="1" applyFont="1" applyAlignment="1">
      <alignment horizontal="center"/>
    </xf>
    <xf numFmtId="0" fontId="16" fillId="0" borderId="3" xfId="0" applyFont="1" applyBorder="1" applyAlignment="1" applyProtection="1">
      <alignment wrapText="1"/>
    </xf>
    <xf numFmtId="0" fontId="0" fillId="0" borderId="37" xfId="0" applyBorder="1" applyAlignment="1">
      <alignment horizontal="center" vertical="center"/>
    </xf>
    <xf numFmtId="0" fontId="16" fillId="0" borderId="20" xfId="0" applyFont="1" applyBorder="1" applyAlignment="1">
      <alignment wrapText="1"/>
    </xf>
    <xf numFmtId="49" fontId="23" fillId="0" borderId="0" xfId="0" applyNumberFormat="1" applyFont="1" applyAlignment="1" applyProtection="1">
      <alignment horizontal="center"/>
    </xf>
    <xf numFmtId="49" fontId="6" fillId="0" borderId="0" xfId="0" applyNumberFormat="1" applyFont="1" applyAlignment="1">
      <alignment horizontal="center"/>
    </xf>
    <xf numFmtId="0" fontId="3" fillId="2" borderId="26" xfId="0" applyFont="1" applyFill="1" applyBorder="1" applyAlignment="1" applyProtection="1">
      <alignment horizontal="left"/>
      <protection locked="0"/>
    </xf>
    <xf numFmtId="43" fontId="3" fillId="2" borderId="26" xfId="1" applyFont="1" applyFill="1" applyBorder="1" applyAlignment="1" applyProtection="1">
      <alignment horizontal="left"/>
      <protection locked="0"/>
    </xf>
    <xf numFmtId="43" fontId="0" fillId="2" borderId="26" xfId="1" applyFont="1" applyFill="1" applyBorder="1" applyAlignment="1" applyProtection="1">
      <alignment horizontal="left"/>
      <protection locked="0"/>
    </xf>
    <xf numFmtId="0" fontId="22" fillId="0" borderId="0" xfId="0" applyFont="1" applyAlignment="1">
      <alignment horizontal="center" vertical="center"/>
    </xf>
    <xf numFmtId="49" fontId="24" fillId="0" borderId="0" xfId="0" applyNumberFormat="1" applyFont="1" applyAlignment="1">
      <alignment horizontal="center"/>
    </xf>
    <xf numFmtId="0" fontId="0" fillId="0" borderId="15" xfId="0" applyBorder="1" applyAlignment="1" applyProtection="1">
      <alignment horizontal="center"/>
    </xf>
    <xf numFmtId="0" fontId="0" fillId="2" borderId="18" xfId="0" applyFill="1" applyBorder="1" applyAlignment="1" applyProtection="1">
      <alignment horizontal="center"/>
      <protection locked="0"/>
    </xf>
    <xf numFmtId="0" fontId="0" fillId="2" borderId="19" xfId="0" applyFill="1" applyBorder="1" applyAlignment="1" applyProtection="1">
      <alignment horizontal="center"/>
      <protection locked="0"/>
    </xf>
    <xf numFmtId="0" fontId="0" fillId="2" borderId="3" xfId="0" quotePrefix="1" applyFill="1" applyBorder="1" applyAlignment="1" applyProtection="1">
      <alignment horizontal="center"/>
      <protection locked="0"/>
    </xf>
    <xf numFmtId="0" fontId="0" fillId="2" borderId="20" xfId="0" applyFill="1" applyBorder="1" applyAlignment="1" applyProtection="1">
      <alignment horizontal="center"/>
      <protection locked="0"/>
    </xf>
    <xf numFmtId="0" fontId="10" fillId="0" borderId="5" xfId="0" applyFont="1" applyBorder="1" applyAlignment="1" applyProtection="1">
      <alignment horizontal="center"/>
    </xf>
    <xf numFmtId="0" fontId="6" fillId="0" borderId="64" xfId="0" applyFont="1" applyBorder="1" applyAlignment="1" applyProtection="1">
      <alignment horizontal="center" vertical="top"/>
    </xf>
    <xf numFmtId="0" fontId="6" fillId="0" borderId="41" xfId="0" applyFont="1" applyBorder="1" applyAlignment="1" applyProtection="1">
      <alignment horizontal="center" vertical="top"/>
    </xf>
    <xf numFmtId="43" fontId="0" fillId="2" borderId="29" xfId="1" applyFont="1" applyFill="1" applyBorder="1" applyAlignment="1" applyProtection="1">
      <alignment horizontal="right"/>
      <protection locked="0"/>
    </xf>
    <xf numFmtId="43" fontId="0" fillId="2" borderId="20" xfId="1" applyFont="1" applyFill="1" applyBorder="1" applyAlignment="1" applyProtection="1">
      <alignment horizontal="right"/>
      <protection locked="0"/>
    </xf>
    <xf numFmtId="0" fontId="0" fillId="0" borderId="37" xfId="0" applyBorder="1" applyAlignment="1">
      <alignment horizontal="center" vertical="center" wrapText="1"/>
    </xf>
    <xf numFmtId="0" fontId="0" fillId="0" borderId="1" xfId="0" applyBorder="1" applyAlignment="1">
      <alignment horizontal="center" vertical="center" wrapText="1"/>
    </xf>
    <xf numFmtId="0" fontId="0" fillId="0" borderId="102" xfId="0" applyBorder="1" applyAlignment="1">
      <alignment horizontal="center" vertical="center" wrapText="1"/>
    </xf>
    <xf numFmtId="43" fontId="0" fillId="2" borderId="26" xfId="1" applyFont="1" applyFill="1" applyBorder="1" applyAlignment="1" applyProtection="1">
      <alignment horizontal="right"/>
      <protection locked="0"/>
    </xf>
    <xf numFmtId="43" fontId="0" fillId="2" borderId="88" xfId="1" applyFont="1" applyFill="1" applyBorder="1" applyAlignment="1" applyProtection="1">
      <alignment horizontal="right"/>
      <protection locked="0"/>
    </xf>
    <xf numFmtId="0" fontId="0" fillId="2" borderId="29" xfId="0" applyFill="1" applyBorder="1" applyAlignment="1" applyProtection="1">
      <alignment horizontal="center"/>
      <protection locked="0"/>
    </xf>
    <xf numFmtId="43" fontId="17" fillId="0" borderId="29" xfId="1" applyFont="1" applyBorder="1" applyAlignment="1">
      <alignment horizontal="center"/>
    </xf>
    <xf numFmtId="43" fontId="17" fillId="0" borderId="20" xfId="1" applyFont="1" applyBorder="1" applyAlignment="1">
      <alignment horizontal="center"/>
    </xf>
    <xf numFmtId="43" fontId="0" fillId="0" borderId="8" xfId="1" applyFont="1" applyBorder="1" applyAlignment="1">
      <alignment horizontal="right"/>
    </xf>
    <xf numFmtId="43" fontId="0" fillId="0" borderId="67" xfId="1" applyFont="1" applyBorder="1" applyAlignment="1">
      <alignment horizontal="right"/>
    </xf>
    <xf numFmtId="43" fontId="17" fillId="0" borderId="83" xfId="1" applyFont="1" applyBorder="1" applyAlignment="1">
      <alignment horizontal="center"/>
    </xf>
    <xf numFmtId="43" fontId="17" fillId="0" borderId="85" xfId="1" applyFont="1" applyBorder="1" applyAlignment="1">
      <alignment horizontal="center"/>
    </xf>
    <xf numFmtId="43" fontId="0" fillId="0" borderId="12" xfId="1" applyFont="1" applyBorder="1" applyAlignment="1">
      <alignment horizontal="right"/>
    </xf>
    <xf numFmtId="43" fontId="0" fillId="0" borderId="52" xfId="1" applyFont="1" applyBorder="1" applyAlignment="1">
      <alignment horizontal="right"/>
    </xf>
    <xf numFmtId="0" fontId="6" fillId="0" borderId="9" xfId="0" applyFont="1" applyBorder="1" applyAlignment="1">
      <alignment horizontal="center" vertical="center"/>
    </xf>
    <xf numFmtId="0" fontId="6" fillId="0" borderId="51" xfId="0" applyFont="1" applyBorder="1" applyAlignment="1">
      <alignment horizontal="center" vertical="center"/>
    </xf>
    <xf numFmtId="0" fontId="6" fillId="0" borderId="8" xfId="0" applyFont="1" applyBorder="1" applyAlignment="1">
      <alignment horizontal="center" vertical="center"/>
    </xf>
    <xf numFmtId="0" fontId="6" fillId="0" borderId="52" xfId="0" applyFont="1" applyBorder="1" applyAlignment="1">
      <alignment horizontal="center" vertical="center"/>
    </xf>
    <xf numFmtId="0" fontId="6" fillId="0" borderId="8" xfId="0" applyFont="1" applyBorder="1" applyAlignment="1">
      <alignment horizontal="center"/>
    </xf>
    <xf numFmtId="43" fontId="0" fillId="0" borderId="30" xfId="1" applyFont="1" applyBorder="1" applyAlignment="1">
      <alignment horizontal="right"/>
    </xf>
    <xf numFmtId="43" fontId="0" fillId="0" borderId="31" xfId="1" applyFont="1" applyBorder="1" applyAlignment="1">
      <alignment horizontal="right"/>
    </xf>
    <xf numFmtId="14" fontId="0" fillId="2" borderId="28" xfId="0" applyNumberFormat="1" applyFill="1" applyBorder="1" applyAlignment="1" applyProtection="1">
      <alignment horizontal="center"/>
      <protection locked="0"/>
    </xf>
    <xf numFmtId="43" fontId="0" fillId="2" borderId="28" xfId="1" applyFont="1" applyFill="1" applyBorder="1" applyAlignment="1" applyProtection="1">
      <alignment horizontal="right"/>
      <protection locked="0"/>
    </xf>
    <xf numFmtId="43" fontId="0" fillId="2" borderId="19" xfId="1" applyFont="1" applyFill="1" applyBorder="1" applyAlignment="1" applyProtection="1">
      <alignment horizontal="right"/>
      <protection locked="0"/>
    </xf>
    <xf numFmtId="0" fontId="0" fillId="0" borderId="49" xfId="0" applyBorder="1" applyAlignment="1">
      <alignment horizontal="center" vertical="center" wrapText="1"/>
    </xf>
    <xf numFmtId="0" fontId="0" fillId="2" borderId="3" xfId="0" applyFill="1" applyBorder="1" applyAlignment="1" applyProtection="1">
      <protection locked="0"/>
    </xf>
    <xf numFmtId="0" fontId="0" fillId="2" borderId="20" xfId="0" applyFill="1" applyBorder="1" applyAlignment="1" applyProtection="1">
      <protection locked="0"/>
    </xf>
    <xf numFmtId="43" fontId="3" fillId="0" borderId="8" xfId="1" applyFont="1" applyFill="1" applyBorder="1" applyAlignment="1" applyProtection="1">
      <alignment horizontal="right"/>
    </xf>
    <xf numFmtId="43" fontId="3" fillId="0" borderId="67" xfId="1" applyFill="1" applyBorder="1" applyAlignment="1" applyProtection="1">
      <alignment horizontal="right"/>
    </xf>
    <xf numFmtId="43" fontId="3" fillId="0" borderId="30" xfId="1" applyBorder="1" applyAlignment="1" applyProtection="1">
      <alignment horizontal="right"/>
    </xf>
    <xf numFmtId="43" fontId="3" fillId="0" borderId="31" xfId="1" applyBorder="1" applyAlignment="1" applyProtection="1">
      <alignment horizontal="right"/>
    </xf>
    <xf numFmtId="43" fontId="3" fillId="2" borderId="29" xfId="1" applyFill="1" applyBorder="1" applyAlignment="1" applyProtection="1">
      <alignment horizontal="right"/>
      <protection locked="0"/>
    </xf>
    <xf numFmtId="43" fontId="3" fillId="2" borderId="20" xfId="1" applyFill="1" applyBorder="1" applyAlignment="1" applyProtection="1">
      <alignment horizontal="right"/>
      <protection locked="0"/>
    </xf>
    <xf numFmtId="43" fontId="3" fillId="2" borderId="28" xfId="1" applyFill="1" applyBorder="1" applyAlignment="1" applyProtection="1">
      <alignment horizontal="right"/>
      <protection locked="0"/>
    </xf>
    <xf numFmtId="43" fontId="3" fillId="2" borderId="19" xfId="1" applyFill="1" applyBorder="1" applyAlignment="1" applyProtection="1">
      <alignment horizontal="right"/>
      <protection locked="0"/>
    </xf>
    <xf numFmtId="0" fontId="6" fillId="2" borderId="8" xfId="0" applyFont="1" applyFill="1" applyBorder="1" applyAlignment="1" applyProtection="1">
      <alignment horizontal="center" vertical="center"/>
      <protection locked="0"/>
    </xf>
    <xf numFmtId="0" fontId="6" fillId="2" borderId="52" xfId="0" applyFont="1" applyFill="1" applyBorder="1" applyAlignment="1" applyProtection="1">
      <alignment horizontal="center" vertical="center"/>
      <protection locked="0"/>
    </xf>
    <xf numFmtId="0" fontId="6" fillId="2" borderId="0" xfId="0" applyFont="1" applyFill="1" applyAlignment="1" applyProtection="1">
      <alignment horizontal="center"/>
      <protection locked="0"/>
    </xf>
    <xf numFmtId="0" fontId="0" fillId="0" borderId="37"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102" xfId="0" applyBorder="1" applyAlignment="1" applyProtection="1">
      <alignment horizontal="center" vertical="center" wrapText="1"/>
    </xf>
    <xf numFmtId="0" fontId="0" fillId="0" borderId="37" xfId="0" applyBorder="1" applyAlignment="1" applyProtection="1">
      <alignment horizontal="center" vertical="center"/>
    </xf>
    <xf numFmtId="43" fontId="0" fillId="2" borderId="46" xfId="1" applyFont="1" applyFill="1" applyBorder="1" applyAlignment="1" applyProtection="1">
      <alignment horizontal="right"/>
      <protection locked="0"/>
    </xf>
    <xf numFmtId="43" fontId="0" fillId="2" borderId="51" xfId="1" applyFont="1" applyFill="1" applyBorder="1" applyAlignment="1" applyProtection="1">
      <alignment horizontal="right"/>
      <protection locked="0"/>
    </xf>
    <xf numFmtId="43" fontId="17" fillId="0" borderId="53" xfId="1" applyFont="1" applyBorder="1" applyAlignment="1" applyProtection="1">
      <alignment horizontal="center"/>
    </xf>
    <xf numFmtId="43" fontId="17" fillId="0" borderId="38" xfId="1" applyFont="1" applyBorder="1" applyAlignment="1" applyProtection="1">
      <alignment horizontal="center"/>
    </xf>
    <xf numFmtId="43" fontId="17" fillId="0" borderId="83" xfId="1" applyFont="1" applyBorder="1" applyAlignment="1" applyProtection="1">
      <alignment horizontal="center"/>
    </xf>
    <xf numFmtId="43" fontId="17" fillId="0" borderId="85" xfId="1" applyFont="1" applyBorder="1" applyAlignment="1" applyProtection="1">
      <alignment horizontal="center"/>
    </xf>
    <xf numFmtId="43" fontId="0" fillId="0" borderId="23" xfId="0" applyNumberFormat="1" applyFill="1" applyBorder="1" applyAlignment="1" applyProtection="1">
      <alignment horizontal="center"/>
    </xf>
    <xf numFmtId="0" fontId="0" fillId="0" borderId="103" xfId="0" applyFill="1" applyBorder="1" applyAlignment="1" applyProtection="1">
      <alignment horizontal="center"/>
    </xf>
    <xf numFmtId="43" fontId="3" fillId="0" borderId="12" xfId="1" applyBorder="1" applyAlignment="1" applyProtection="1">
      <alignment horizontal="right"/>
    </xf>
    <xf numFmtId="43" fontId="3" fillId="0" borderId="52" xfId="1" applyBorder="1" applyAlignment="1" applyProtection="1">
      <alignment horizontal="right"/>
    </xf>
    <xf numFmtId="43" fontId="17" fillId="0" borderId="29" xfId="1" applyFont="1" applyBorder="1" applyAlignment="1" applyProtection="1">
      <alignment horizontal="center"/>
    </xf>
    <xf numFmtId="43" fontId="17" fillId="0" borderId="20" xfId="1" applyFont="1" applyBorder="1" applyAlignment="1" applyProtection="1">
      <alignment horizontal="center"/>
    </xf>
    <xf numFmtId="43" fontId="3" fillId="0" borderId="29" xfId="1" applyBorder="1" applyAlignment="1" applyProtection="1">
      <alignment horizontal="right"/>
    </xf>
    <xf numFmtId="43" fontId="3" fillId="0" borderId="20" xfId="1" applyBorder="1" applyAlignment="1" applyProtection="1">
      <alignment horizontal="right"/>
    </xf>
    <xf numFmtId="0" fontId="10" fillId="0" borderId="0" xfId="0" applyFont="1" applyAlignment="1">
      <alignment horizontal="center"/>
    </xf>
    <xf numFmtId="43" fontId="3" fillId="2" borderId="26" xfId="1" applyFill="1" applyBorder="1" applyAlignment="1" applyProtection="1">
      <alignment horizontal="right"/>
      <protection locked="0"/>
    </xf>
    <xf numFmtId="0" fontId="0" fillId="2" borderId="28" xfId="0" applyFill="1" applyBorder="1" applyAlignment="1" applyProtection="1">
      <alignment horizontal="center"/>
      <protection locked="0"/>
    </xf>
    <xf numFmtId="43" fontId="3" fillId="0" borderId="30" xfId="1" applyBorder="1" applyAlignment="1">
      <alignment horizontal="right"/>
    </xf>
    <xf numFmtId="43" fontId="3" fillId="0" borderId="31" xfId="1" applyBorder="1" applyAlignment="1">
      <alignment horizontal="right"/>
    </xf>
    <xf numFmtId="0" fontId="11" fillId="0" borderId="8" xfId="0" applyFont="1" applyBorder="1" applyAlignment="1">
      <alignment horizontal="center"/>
    </xf>
    <xf numFmtId="43" fontId="3" fillId="0" borderId="12" xfId="1" applyBorder="1" applyAlignment="1">
      <alignment horizontal="right"/>
    </xf>
    <xf numFmtId="43" fontId="3" fillId="0" borderId="52" xfId="1" applyBorder="1" applyAlignment="1">
      <alignment horizontal="right"/>
    </xf>
    <xf numFmtId="43" fontId="3" fillId="0" borderId="23" xfId="1" applyBorder="1" applyAlignment="1">
      <alignment horizontal="right"/>
    </xf>
    <xf numFmtId="43" fontId="3" fillId="0" borderId="0" xfId="1" applyBorder="1" applyAlignment="1">
      <alignment horizontal="right"/>
    </xf>
    <xf numFmtId="0" fontId="23" fillId="0" borderId="15" xfId="0" applyFont="1" applyBorder="1" applyAlignment="1">
      <alignment horizontal="center" vertical="center" wrapText="1"/>
    </xf>
    <xf numFmtId="0" fontId="23" fillId="0" borderId="21"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41" xfId="0" applyFont="1" applyBorder="1" applyAlignment="1">
      <alignment horizontal="center" vertical="center" wrapText="1"/>
    </xf>
    <xf numFmtId="49" fontId="3" fillId="2" borderId="18" xfId="0" applyNumberFormat="1" applyFont="1" applyFill="1" applyBorder="1" applyAlignment="1" applyProtection="1">
      <alignment horizontal="left"/>
      <protection locked="0"/>
    </xf>
    <xf numFmtId="49" fontId="0" fillId="2" borderId="18" xfId="0" applyNumberFormat="1" applyFill="1" applyBorder="1" applyAlignment="1" applyProtection="1">
      <alignment horizontal="left"/>
      <protection locked="0"/>
    </xf>
    <xf numFmtId="49" fontId="0" fillId="2" borderId="19" xfId="0" applyNumberFormat="1" applyFill="1" applyBorder="1" applyAlignment="1" applyProtection="1">
      <alignment horizontal="left"/>
      <protection locked="0"/>
    </xf>
    <xf numFmtId="49" fontId="0" fillId="2" borderId="3" xfId="0" applyNumberFormat="1" applyFill="1" applyBorder="1" applyAlignment="1" applyProtection="1">
      <alignment horizontal="left"/>
      <protection locked="0"/>
    </xf>
    <xf numFmtId="49" fontId="0" fillId="2" borderId="20" xfId="0" applyNumberFormat="1" applyFill="1" applyBorder="1" applyAlignment="1" applyProtection="1">
      <alignment horizontal="left"/>
      <protection locked="0"/>
    </xf>
    <xf numFmtId="0" fontId="23" fillId="0" borderId="15" xfId="0" applyFont="1" applyBorder="1" applyAlignment="1" applyProtection="1">
      <alignment horizontal="center" vertical="center" wrapText="1"/>
    </xf>
    <xf numFmtId="0" fontId="23" fillId="0" borderId="21" xfId="0" applyFont="1" applyBorder="1" applyAlignment="1" applyProtection="1">
      <alignment horizontal="center" vertical="center" wrapText="1"/>
    </xf>
    <xf numFmtId="0" fontId="13" fillId="0" borderId="64" xfId="0" applyFont="1" applyBorder="1" applyAlignment="1" applyProtection="1">
      <alignment horizontal="center" vertical="center" wrapText="1"/>
    </xf>
    <xf numFmtId="0" fontId="13" fillId="0" borderId="41" xfId="0" applyFont="1" applyBorder="1" applyAlignment="1" applyProtection="1">
      <alignment horizontal="center" vertical="center" wrapText="1"/>
    </xf>
    <xf numFmtId="0" fontId="3" fillId="2" borderId="18" xfId="0" applyFont="1" applyFill="1" applyBorder="1" applyAlignment="1" applyProtection="1">
      <alignment horizontal="left"/>
      <protection locked="0"/>
    </xf>
    <xf numFmtId="0" fontId="0" fillId="2" borderId="19" xfId="0" applyFill="1" applyBorder="1" applyAlignment="1" applyProtection="1">
      <alignment horizontal="left"/>
      <protection locked="0"/>
    </xf>
    <xf numFmtId="0" fontId="0" fillId="0" borderId="0" xfId="0" applyBorder="1" applyAlignment="1">
      <alignment horizontal="center"/>
    </xf>
    <xf numFmtId="0" fontId="23" fillId="0" borderId="66" xfId="0" applyFont="1" applyBorder="1" applyAlignment="1">
      <alignment horizontal="center" vertical="center" wrapText="1"/>
    </xf>
    <xf numFmtId="0" fontId="13" fillId="0" borderId="88" xfId="0" applyFont="1" applyBorder="1" applyAlignment="1">
      <alignment horizontal="center" vertical="center" wrapText="1"/>
    </xf>
    <xf numFmtId="0" fontId="0" fillId="2" borderId="18" xfId="0" applyFill="1" applyBorder="1" applyAlignment="1" applyProtection="1">
      <alignment horizontal="left"/>
      <protection locked="0"/>
    </xf>
    <xf numFmtId="0" fontId="0" fillId="0" borderId="46" xfId="0" applyBorder="1" applyAlignment="1">
      <alignment horizontal="center" vertical="center"/>
    </xf>
    <xf numFmtId="0" fontId="0" fillId="0" borderId="15" xfId="0" applyBorder="1" applyAlignment="1">
      <alignment horizontal="center" vertical="center"/>
    </xf>
    <xf numFmtId="0" fontId="0" fillId="0" borderId="21" xfId="0" applyBorder="1" applyAlignment="1">
      <alignment horizontal="center" vertical="center"/>
    </xf>
    <xf numFmtId="0" fontId="0" fillId="0" borderId="64" xfId="0"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88" xfId="0" applyBorder="1" applyAlignment="1">
      <alignment horizontal="center" vertical="center"/>
    </xf>
    <xf numFmtId="49" fontId="3" fillId="2" borderId="3" xfId="0" applyNumberFormat="1" applyFont="1" applyFill="1" applyBorder="1" applyAlignment="1" applyProtection="1">
      <alignment horizontal="left"/>
      <protection locked="0"/>
    </xf>
    <xf numFmtId="43" fontId="0" fillId="2" borderId="53" xfId="1" applyFont="1" applyFill="1" applyBorder="1" applyAlignment="1" applyProtection="1">
      <alignment horizontal="center"/>
      <protection locked="0"/>
    </xf>
    <xf numFmtId="43" fontId="0" fillId="2" borderId="64" xfId="1" applyFont="1" applyFill="1" applyBorder="1" applyAlignment="1" applyProtection="1">
      <alignment horizontal="center"/>
      <protection locked="0"/>
    </xf>
    <xf numFmtId="43" fontId="17" fillId="0" borderId="6" xfId="1" applyFont="1" applyBorder="1" applyAlignment="1">
      <alignment horizontal="center"/>
    </xf>
    <xf numFmtId="43" fontId="17" fillId="0" borderId="27" xfId="1" applyFont="1" applyBorder="1" applyAlignment="1">
      <alignment horizontal="center"/>
    </xf>
    <xf numFmtId="1" fontId="6" fillId="0" borderId="0" xfId="0" applyNumberFormat="1" applyFont="1" applyAlignment="1">
      <alignment horizontal="center"/>
    </xf>
    <xf numFmtId="0" fontId="30" fillId="0" borderId="0" xfId="0" applyFont="1" applyAlignment="1">
      <alignment horizontal="center"/>
    </xf>
    <xf numFmtId="0" fontId="31" fillId="0" borderId="0" xfId="0" applyFont="1" applyAlignment="1">
      <alignment horizontal="center"/>
    </xf>
    <xf numFmtId="43" fontId="0" fillId="0" borderId="26" xfId="1" applyFont="1" applyBorder="1" applyAlignment="1" applyProtection="1">
      <alignment horizontal="center"/>
    </xf>
    <xf numFmtId="43" fontId="0" fillId="0" borderId="3" xfId="1" applyFont="1" applyBorder="1" applyAlignment="1" applyProtection="1">
      <alignment horizontal="center"/>
    </xf>
    <xf numFmtId="43" fontId="0" fillId="3" borderId="26" xfId="1" applyFont="1" applyFill="1" applyBorder="1" applyAlignment="1" applyProtection="1">
      <alignment horizontal="center"/>
    </xf>
    <xf numFmtId="0" fontId="34" fillId="0" borderId="0" xfId="0" applyFont="1" applyAlignment="1">
      <alignment horizontal="center"/>
    </xf>
    <xf numFmtId="0" fontId="3" fillId="0" borderId="1" xfId="19" applyFill="1" applyBorder="1" applyAlignment="1" applyProtection="1">
      <alignment horizontal="center" vertical="center"/>
    </xf>
    <xf numFmtId="0" fontId="3" fillId="0" borderId="49" xfId="19" applyFill="1" applyBorder="1" applyAlignment="1" applyProtection="1">
      <alignment horizontal="center" vertical="center"/>
    </xf>
    <xf numFmtId="0" fontId="3" fillId="0" borderId="0" xfId="19" applyFill="1" applyAlignment="1">
      <alignment horizontal="center"/>
    </xf>
    <xf numFmtId="0" fontId="23" fillId="0" borderId="0" xfId="19" applyFont="1" applyFill="1" applyAlignment="1">
      <alignment horizontal="center"/>
    </xf>
    <xf numFmtId="0" fontId="24" fillId="0" borderId="0" xfId="19" applyFont="1" applyFill="1" applyAlignment="1" applyProtection="1">
      <alignment horizontal="center"/>
    </xf>
    <xf numFmtId="0" fontId="16" fillId="0" borderId="0" xfId="19" applyFont="1" applyFill="1" applyAlignment="1" applyProtection="1">
      <alignment horizontal="center"/>
    </xf>
    <xf numFmtId="0" fontId="35" fillId="0" borderId="8" xfId="19" applyFont="1" applyFill="1" applyBorder="1" applyAlignment="1" applyProtection="1">
      <alignment horizontal="center" vertical="top"/>
    </xf>
    <xf numFmtId="0" fontId="7" fillId="0" borderId="0" xfId="19" applyFont="1" applyFill="1" applyAlignment="1" applyProtection="1">
      <alignment horizontal="center"/>
    </xf>
    <xf numFmtId="0" fontId="5" fillId="0" borderId="0" xfId="19" applyFont="1" applyFill="1" applyAlignment="1" applyProtection="1">
      <alignment horizontal="center"/>
    </xf>
    <xf numFmtId="14" fontId="6" fillId="0" borderId="0" xfId="19" applyNumberFormat="1" applyFont="1" applyFill="1" applyAlignment="1" applyProtection="1">
      <alignment horizontal="center"/>
    </xf>
    <xf numFmtId="0" fontId="6" fillId="0" borderId="0" xfId="19" applyFont="1" applyFill="1" applyAlignment="1" applyProtection="1">
      <alignment horizontal="center"/>
    </xf>
    <xf numFmtId="0" fontId="24" fillId="0" borderId="0" xfId="19" applyFont="1" applyFill="1" applyAlignment="1">
      <alignment horizontal="center"/>
    </xf>
    <xf numFmtId="0" fontId="16" fillId="0" borderId="0" xfId="19" applyFont="1" applyFill="1" applyAlignment="1">
      <alignment horizontal="center"/>
    </xf>
    <xf numFmtId="0" fontId="35" fillId="0" borderId="8" xfId="19" applyFont="1" applyFill="1" applyBorder="1" applyAlignment="1">
      <alignment horizontal="center" vertical="top"/>
    </xf>
    <xf numFmtId="0" fontId="3" fillId="0" borderId="1" xfId="19" applyFill="1" applyBorder="1" applyAlignment="1">
      <alignment horizontal="center" vertical="center"/>
    </xf>
    <xf numFmtId="0" fontId="3" fillId="0" borderId="49" xfId="19" applyFill="1" applyBorder="1" applyAlignment="1">
      <alignment horizontal="center" vertical="center"/>
    </xf>
    <xf numFmtId="0" fontId="3" fillId="0" borderId="5" xfId="19" applyFill="1" applyBorder="1" applyAlignment="1">
      <alignment horizontal="center"/>
    </xf>
    <xf numFmtId="0" fontId="3" fillId="0" borderId="0" xfId="19" applyFill="1" applyBorder="1" applyAlignment="1">
      <alignment horizontal="center"/>
    </xf>
    <xf numFmtId="0" fontId="7" fillId="0" borderId="0" xfId="19" applyFont="1" applyFill="1" applyAlignment="1">
      <alignment horizontal="center"/>
    </xf>
    <xf numFmtId="0" fontId="5" fillId="0" borderId="0" xfId="19" applyFont="1" applyFill="1" applyAlignment="1">
      <alignment horizontal="center"/>
    </xf>
    <xf numFmtId="14" fontId="6" fillId="0" borderId="0" xfId="19" applyNumberFormat="1" applyFont="1" applyFill="1" applyAlignment="1">
      <alignment horizontal="center"/>
    </xf>
    <xf numFmtId="0" fontId="6" fillId="0" borderId="0" xfId="19" applyFont="1" applyFill="1" applyAlignment="1">
      <alignment horizontal="center"/>
    </xf>
    <xf numFmtId="0" fontId="23" fillId="0" borderId="0" xfId="19" applyFont="1" applyAlignment="1" applyProtection="1">
      <alignment horizontal="center"/>
    </xf>
    <xf numFmtId="0" fontId="36" fillId="0" borderId="0" xfId="19" applyFont="1" applyAlignment="1" applyProtection="1">
      <alignment horizontal="center"/>
    </xf>
    <xf numFmtId="0" fontId="5" fillId="0" borderId="0" xfId="19" applyFont="1" applyAlignment="1" applyProtection="1">
      <alignment horizontal="center"/>
    </xf>
    <xf numFmtId="0" fontId="6" fillId="0" borderId="0" xfId="19" applyFont="1" applyAlignment="1" applyProtection="1">
      <alignment horizontal="center"/>
    </xf>
    <xf numFmtId="14" fontId="6" fillId="0" borderId="0" xfId="19" applyNumberFormat="1" applyFont="1" applyAlignment="1" applyProtection="1">
      <alignment horizontal="center"/>
    </xf>
    <xf numFmtId="0" fontId="3" fillId="0" borderId="1" xfId="19" applyBorder="1" applyAlignment="1" applyProtection="1">
      <alignment horizontal="center" vertical="center"/>
    </xf>
    <xf numFmtId="0" fontId="3" fillId="0" borderId="49" xfId="19" applyBorder="1" applyAlignment="1" applyProtection="1">
      <alignment horizontal="center" vertical="center"/>
    </xf>
    <xf numFmtId="0" fontId="3" fillId="0" borderId="0" xfId="19" applyAlignment="1" applyProtection="1">
      <alignment horizontal="center"/>
    </xf>
    <xf numFmtId="0" fontId="12" fillId="0" borderId="0" xfId="19" applyFont="1" applyFill="1" applyAlignment="1" applyProtection="1">
      <alignment horizontal="center"/>
    </xf>
    <xf numFmtId="0" fontId="6" fillId="0" borderId="64" xfId="19" applyFont="1" applyBorder="1" applyAlignment="1" applyProtection="1">
      <alignment horizontal="center" vertical="top"/>
    </xf>
    <xf numFmtId="0" fontId="6" fillId="0" borderId="26" xfId="19" applyFont="1" applyBorder="1" applyAlignment="1" applyProtection="1">
      <alignment horizontal="center" vertical="top"/>
    </xf>
    <xf numFmtId="0" fontId="6" fillId="0" borderId="41" xfId="19" applyFont="1" applyBorder="1" applyAlignment="1" applyProtection="1">
      <alignment horizontal="center" vertical="top"/>
    </xf>
    <xf numFmtId="0" fontId="23" fillId="0" borderId="0" xfId="19" applyFont="1" applyAlignment="1">
      <alignment horizontal="center" vertical="center" textRotation="180" wrapText="1"/>
    </xf>
    <xf numFmtId="0" fontId="3" fillId="0" borderId="9" xfId="19" applyFill="1" applyBorder="1" applyAlignment="1">
      <alignment horizontal="center" vertical="center"/>
    </xf>
    <xf numFmtId="0" fontId="3" fillId="0" borderId="51" xfId="19" applyFill="1" applyBorder="1" applyAlignment="1">
      <alignment horizontal="center" vertical="center"/>
    </xf>
    <xf numFmtId="0" fontId="3" fillId="0" borderId="8" xfId="19" applyFill="1" applyBorder="1" applyAlignment="1">
      <alignment horizontal="center" vertical="center"/>
    </xf>
    <xf numFmtId="0" fontId="3" fillId="0" borderId="52" xfId="19" applyFill="1" applyBorder="1" applyAlignment="1">
      <alignment horizontal="center" vertical="center"/>
    </xf>
    <xf numFmtId="0" fontId="24" fillId="0" borderId="8" xfId="19" applyFont="1" applyFill="1" applyBorder="1" applyAlignment="1">
      <alignment horizontal="center"/>
    </xf>
    <xf numFmtId="0" fontId="16" fillId="0" borderId="3" xfId="19" applyFont="1" applyFill="1" applyBorder="1" applyAlignment="1" applyProtection="1">
      <alignment wrapText="1"/>
    </xf>
    <xf numFmtId="0" fontId="3" fillId="0" borderId="20" xfId="19" applyFill="1" applyBorder="1" applyAlignment="1" applyProtection="1">
      <alignment wrapText="1"/>
    </xf>
    <xf numFmtId="0" fontId="3" fillId="0" borderId="5" xfId="19" applyFill="1" applyBorder="1" applyAlignment="1" applyProtection="1">
      <alignment vertical="center"/>
    </xf>
    <xf numFmtId="0" fontId="3" fillId="0" borderId="26" xfId="19" applyFill="1" applyBorder="1" applyAlignment="1" applyProtection="1">
      <alignment vertical="center"/>
    </xf>
    <xf numFmtId="0" fontId="3" fillId="0" borderId="0" xfId="19" applyFill="1" applyBorder="1" applyAlignment="1" applyProtection="1">
      <alignment vertical="center"/>
    </xf>
    <xf numFmtId="0" fontId="3" fillId="0" borderId="8" xfId="19" applyFill="1" applyBorder="1" applyAlignment="1" applyProtection="1">
      <alignment vertical="center"/>
    </xf>
    <xf numFmtId="0" fontId="3" fillId="0" borderId="3" xfId="19" applyFont="1" applyFill="1" applyBorder="1" applyAlignment="1" applyProtection="1">
      <alignment wrapText="1"/>
    </xf>
    <xf numFmtId="0" fontId="11" fillId="0" borderId="0" xfId="19" applyFont="1" applyFill="1" applyAlignment="1" applyProtection="1">
      <alignment horizontal="center"/>
    </xf>
    <xf numFmtId="0" fontId="11" fillId="0" borderId="0" xfId="19" applyFont="1" applyFill="1" applyAlignment="1" applyProtection="1">
      <alignment horizontal="center"/>
      <protection locked="0"/>
    </xf>
    <xf numFmtId="43" fontId="3" fillId="2" borderId="6" xfId="1" applyFill="1" applyBorder="1" applyAlignment="1" applyProtection="1">
      <alignment horizontal="center"/>
      <protection locked="0"/>
    </xf>
    <xf numFmtId="43" fontId="3" fillId="2" borderId="27" xfId="1" applyFill="1" applyBorder="1" applyAlignment="1" applyProtection="1">
      <alignment horizontal="center"/>
      <protection locked="0"/>
    </xf>
    <xf numFmtId="0" fontId="17" fillId="0" borderId="53" xfId="19" applyFont="1" applyFill="1" applyBorder="1" applyAlignment="1" applyProtection="1">
      <alignment horizontal="center"/>
    </xf>
    <xf numFmtId="0" fontId="17" fillId="0" borderId="64" xfId="19" applyFont="1" applyFill="1" applyBorder="1" applyAlignment="1" applyProtection="1">
      <alignment horizontal="center"/>
    </xf>
    <xf numFmtId="0" fontId="58" fillId="0" borderId="0" xfId="19" applyFont="1" applyFill="1" applyAlignment="1" applyProtection="1">
      <alignment horizontal="center"/>
    </xf>
    <xf numFmtId="0" fontId="23" fillId="0" borderId="0" xfId="19" applyFont="1" applyAlignment="1">
      <alignment horizontal="center"/>
    </xf>
    <xf numFmtId="49" fontId="23" fillId="0" borderId="0" xfId="19" applyNumberFormat="1" applyFont="1" applyAlignment="1">
      <alignment horizontal="center"/>
    </xf>
    <xf numFmtId="49" fontId="6" fillId="0" borderId="0" xfId="19" applyNumberFormat="1" applyFont="1" applyAlignment="1">
      <alignment horizontal="center"/>
    </xf>
    <xf numFmtId="0" fontId="22" fillId="0" borderId="0" xfId="19" applyFont="1" applyAlignment="1">
      <alignment horizontal="center"/>
    </xf>
    <xf numFmtId="0" fontId="12" fillId="0" borderId="0" xfId="19" applyFont="1" applyAlignment="1">
      <alignment horizontal="center"/>
    </xf>
    <xf numFmtId="0" fontId="22" fillId="0" borderId="0" xfId="19" applyFont="1" applyAlignment="1">
      <alignment horizontal="center" vertical="center"/>
    </xf>
    <xf numFmtId="49" fontId="24" fillId="0" borderId="0" xfId="19" applyNumberFormat="1" applyFont="1" applyAlignment="1">
      <alignment horizontal="center"/>
    </xf>
    <xf numFmtId="0" fontId="17" fillId="0" borderId="0" xfId="19" applyFont="1" applyAlignment="1">
      <alignment horizontal="center"/>
    </xf>
    <xf numFmtId="43" fontId="3" fillId="0" borderId="12" xfId="1" applyFill="1" applyBorder="1" applyAlignment="1" applyProtection="1">
      <alignment horizontal="right"/>
    </xf>
    <xf numFmtId="43" fontId="3" fillId="0" borderId="52" xfId="1" applyFill="1" applyBorder="1" applyAlignment="1" applyProtection="1">
      <alignment horizontal="right"/>
    </xf>
    <xf numFmtId="43" fontId="3" fillId="0" borderId="29" xfId="1" applyFill="1" applyBorder="1" applyAlignment="1" applyProtection="1">
      <alignment horizontal="right"/>
    </xf>
    <xf numFmtId="43" fontId="3" fillId="0" borderId="20" xfId="1" applyFill="1" applyBorder="1" applyAlignment="1" applyProtection="1">
      <alignment horizontal="right"/>
    </xf>
    <xf numFmtId="0" fontId="3" fillId="2" borderId="29" xfId="19" applyFill="1" applyBorder="1" applyAlignment="1" applyProtection="1">
      <alignment horizontal="center"/>
      <protection locked="0"/>
    </xf>
    <xf numFmtId="0" fontId="3" fillId="2" borderId="20" xfId="19" applyFill="1" applyBorder="1" applyAlignment="1" applyProtection="1">
      <alignment horizontal="center"/>
      <protection locked="0"/>
    </xf>
    <xf numFmtId="0" fontId="3" fillId="0" borderId="37" xfId="19" applyFill="1" applyBorder="1" applyAlignment="1">
      <alignment horizontal="center" vertical="center" wrapText="1"/>
    </xf>
    <xf numFmtId="0" fontId="3" fillId="0" borderId="49" xfId="19" applyFill="1" applyBorder="1" applyAlignment="1">
      <alignment horizontal="center" vertical="center" wrapText="1"/>
    </xf>
    <xf numFmtId="0" fontId="3" fillId="0" borderId="37" xfId="19" applyFill="1" applyBorder="1" applyAlignment="1">
      <alignment horizontal="center" vertical="center"/>
    </xf>
    <xf numFmtId="0" fontId="6" fillId="0" borderId="9" xfId="19" applyFont="1" applyFill="1" applyBorder="1" applyAlignment="1">
      <alignment horizontal="center" vertical="center"/>
    </xf>
    <xf numFmtId="0" fontId="6" fillId="0" borderId="51" xfId="19" applyFont="1" applyFill="1" applyBorder="1" applyAlignment="1">
      <alignment horizontal="center" vertical="center"/>
    </xf>
    <xf numFmtId="0" fontId="6" fillId="0" borderId="8" xfId="19" applyFont="1" applyFill="1" applyBorder="1" applyAlignment="1">
      <alignment horizontal="center"/>
    </xf>
    <xf numFmtId="43" fontId="17" fillId="0" borderId="83" xfId="1" applyFont="1" applyFill="1" applyBorder="1" applyAlignment="1" applyProtection="1">
      <alignment horizontal="center"/>
    </xf>
    <xf numFmtId="43" fontId="17" fillId="0" borderId="85" xfId="1" applyFont="1" applyFill="1" applyBorder="1" applyAlignment="1" applyProtection="1">
      <alignment horizontal="center"/>
    </xf>
    <xf numFmtId="0" fontId="3" fillId="0" borderId="1" xfId="19" applyFont="1" applyFill="1" applyBorder="1" applyAlignment="1">
      <alignment horizontal="center" vertical="center" wrapText="1"/>
    </xf>
    <xf numFmtId="0" fontId="3" fillId="0" borderId="1" xfId="19" applyFill="1" applyBorder="1" applyAlignment="1">
      <alignment horizontal="center" vertical="center" wrapText="1"/>
    </xf>
    <xf numFmtId="43" fontId="17" fillId="0" borderId="29" xfId="1" applyFont="1" applyFill="1" applyBorder="1" applyAlignment="1" applyProtection="1">
      <alignment horizontal="center"/>
    </xf>
    <xf numFmtId="43" fontId="17" fillId="0" borderId="20" xfId="1" applyFont="1" applyFill="1" applyBorder="1" applyAlignment="1" applyProtection="1">
      <alignment horizontal="center"/>
    </xf>
    <xf numFmtId="43" fontId="3" fillId="0" borderId="30" xfId="1" applyFill="1" applyBorder="1" applyAlignment="1" applyProtection="1">
      <alignment horizontal="right"/>
    </xf>
    <xf numFmtId="43" fontId="3" fillId="0" borderId="31" xfId="1" applyFill="1" applyBorder="1" applyAlignment="1" applyProtection="1">
      <alignment horizontal="right"/>
    </xf>
    <xf numFmtId="0" fontId="6" fillId="0" borderId="8" xfId="19" applyFont="1" applyFill="1" applyBorder="1" applyAlignment="1" applyProtection="1">
      <alignment horizontal="center" vertical="center"/>
      <protection locked="0"/>
    </xf>
    <xf numFmtId="0" fontId="6" fillId="0" borderId="52" xfId="19" applyFont="1" applyFill="1" applyBorder="1" applyAlignment="1" applyProtection="1">
      <alignment horizontal="center" vertical="center"/>
      <protection locked="0"/>
    </xf>
    <xf numFmtId="43" fontId="3" fillId="0" borderId="3" xfId="19" applyNumberFormat="1" applyFill="1" applyBorder="1" applyAlignment="1" applyProtection="1">
      <alignment horizontal="center"/>
    </xf>
    <xf numFmtId="0" fontId="3" fillId="0" borderId="3" xfId="19" applyFill="1" applyBorder="1" applyAlignment="1" applyProtection="1">
      <alignment horizontal="center"/>
    </xf>
    <xf numFmtId="14" fontId="3" fillId="2" borderId="28" xfId="19" applyNumberFormat="1" applyFill="1" applyBorder="1" applyAlignment="1" applyProtection="1">
      <alignment horizontal="center"/>
      <protection locked="0"/>
    </xf>
    <xf numFmtId="0" fontId="3" fillId="2" borderId="19" xfId="19" applyFill="1" applyBorder="1" applyAlignment="1" applyProtection="1">
      <alignment horizontal="center"/>
      <protection locked="0"/>
    </xf>
    <xf numFmtId="0" fontId="3" fillId="0" borderId="1" xfId="19" applyBorder="1" applyAlignment="1">
      <alignment horizontal="center" vertical="center"/>
    </xf>
    <xf numFmtId="43" fontId="3" fillId="0" borderId="29" xfId="1" applyBorder="1" applyAlignment="1">
      <alignment horizontal="right"/>
    </xf>
    <xf numFmtId="43" fontId="3" fillId="0" borderId="20" xfId="1" applyBorder="1" applyAlignment="1">
      <alignment horizontal="right"/>
    </xf>
    <xf numFmtId="0" fontId="3" fillId="0" borderId="37" xfId="19" applyBorder="1" applyAlignment="1">
      <alignment horizontal="center" vertical="center" wrapText="1"/>
    </xf>
    <xf numFmtId="0" fontId="3" fillId="0" borderId="49" xfId="19" applyBorder="1" applyAlignment="1">
      <alignment horizontal="center" vertical="center" wrapText="1"/>
    </xf>
    <xf numFmtId="0" fontId="3" fillId="0" borderId="37" xfId="19" applyBorder="1" applyAlignment="1">
      <alignment horizontal="center" vertical="center"/>
    </xf>
    <xf numFmtId="0" fontId="3" fillId="0" borderId="49" xfId="19" applyBorder="1" applyAlignment="1">
      <alignment horizontal="center" vertical="center"/>
    </xf>
    <xf numFmtId="0" fontId="6" fillId="0" borderId="9" xfId="19" applyFont="1" applyBorder="1" applyAlignment="1">
      <alignment horizontal="center" vertical="center"/>
    </xf>
    <xf numFmtId="0" fontId="6" fillId="0" borderId="51" xfId="19" applyFont="1" applyBorder="1" applyAlignment="1">
      <alignment horizontal="center" vertical="center"/>
    </xf>
    <xf numFmtId="0" fontId="12" fillId="0" borderId="0" xfId="19" applyFont="1" applyFill="1" applyAlignment="1">
      <alignment horizontal="center"/>
    </xf>
    <xf numFmtId="0" fontId="6" fillId="0" borderId="0" xfId="19" applyFont="1" applyFill="1" applyAlignment="1" applyProtection="1">
      <alignment horizontal="center"/>
      <protection locked="0"/>
    </xf>
    <xf numFmtId="43" fontId="3" fillId="0" borderId="3" xfId="19" applyNumberFormat="1" applyBorder="1" applyAlignment="1">
      <alignment horizontal="center"/>
    </xf>
    <xf numFmtId="0" fontId="3" fillId="0" borderId="3" xfId="19" applyBorder="1" applyAlignment="1">
      <alignment horizontal="center"/>
    </xf>
    <xf numFmtId="0" fontId="3" fillId="2" borderId="28" xfId="19" applyFill="1" applyBorder="1" applyAlignment="1" applyProtection="1">
      <alignment horizontal="center"/>
      <protection locked="0"/>
    </xf>
    <xf numFmtId="0" fontId="6" fillId="0" borderId="15" xfId="19" applyFont="1" applyBorder="1" applyAlignment="1">
      <alignment horizontal="center" vertical="center" wrapText="1"/>
    </xf>
    <xf numFmtId="0" fontId="6" fillId="0" borderId="21" xfId="19" applyFont="1" applyBorder="1" applyAlignment="1">
      <alignment horizontal="center" vertical="center" wrapText="1"/>
    </xf>
    <xf numFmtId="0" fontId="3" fillId="0" borderId="64" xfId="19" applyBorder="1" applyAlignment="1">
      <alignment horizontal="center" vertical="center" wrapText="1"/>
    </xf>
    <xf numFmtId="0" fontId="3" fillId="0" borderId="41" xfId="19" applyBorder="1" applyAlignment="1">
      <alignment horizontal="center" vertical="center" wrapText="1"/>
    </xf>
    <xf numFmtId="0" fontId="3" fillId="0" borderId="0" xfId="19" applyAlignment="1">
      <alignment horizontal="center"/>
    </xf>
    <xf numFmtId="0" fontId="3" fillId="0" borderId="21" xfId="19" applyBorder="1" applyAlignment="1">
      <alignment horizontal="center"/>
    </xf>
    <xf numFmtId="0" fontId="17" fillId="0" borderId="89" xfId="19" applyFont="1" applyFill="1" applyBorder="1" applyAlignment="1" applyProtection="1">
      <alignment horizontal="center"/>
    </xf>
    <xf numFmtId="0" fontId="17" fillId="0" borderId="90" xfId="19" applyFont="1" applyFill="1" applyBorder="1" applyAlignment="1" applyProtection="1">
      <alignment horizontal="center"/>
    </xf>
    <xf numFmtId="0" fontId="17" fillId="0" borderId="91" xfId="19" applyFont="1" applyFill="1" applyBorder="1" applyAlignment="1" applyProtection="1">
      <alignment horizontal="center"/>
    </xf>
    <xf numFmtId="0" fontId="23" fillId="0" borderId="0" xfId="19" applyFont="1" applyFill="1" applyAlignment="1">
      <alignment horizontal="center" vertical="center" textRotation="180" wrapText="1"/>
    </xf>
    <xf numFmtId="0" fontId="3" fillId="0" borderId="0" xfId="19" applyFill="1" applyAlignment="1" applyProtection="1">
      <alignment horizontal="center"/>
    </xf>
    <xf numFmtId="0" fontId="3" fillId="0" borderId="21" xfId="19" applyFill="1" applyBorder="1" applyAlignment="1" applyProtection="1">
      <alignment horizontal="center"/>
    </xf>
    <xf numFmtId="0" fontId="6" fillId="0" borderId="15" xfId="19" applyFont="1" applyFill="1" applyBorder="1" applyAlignment="1" applyProtection="1">
      <alignment horizontal="center" vertical="center" wrapText="1"/>
    </xf>
    <xf numFmtId="0" fontId="6" fillId="0" borderId="21" xfId="19" applyFont="1" applyFill="1" applyBorder="1" applyAlignment="1" applyProtection="1">
      <alignment horizontal="center" vertical="center" wrapText="1"/>
    </xf>
    <xf numFmtId="0" fontId="3" fillId="0" borderId="64" xfId="19" applyFill="1" applyBorder="1" applyAlignment="1" applyProtection="1">
      <alignment horizontal="center" vertical="center" wrapText="1"/>
    </xf>
    <xf numFmtId="0" fontId="3" fillId="0" borderId="41" xfId="19" applyFill="1" applyBorder="1" applyAlignment="1" applyProtection="1">
      <alignment horizontal="center" vertical="center" wrapText="1"/>
    </xf>
    <xf numFmtId="49" fontId="3" fillId="2" borderId="3" xfId="19" applyNumberFormat="1" applyFill="1" applyBorder="1" applyAlignment="1" applyProtection="1">
      <alignment horizontal="left"/>
      <protection locked="0"/>
    </xf>
    <xf numFmtId="49" fontId="3" fillId="2" borderId="20" xfId="19" applyNumberFormat="1" applyFill="1" applyBorder="1" applyAlignment="1" applyProtection="1">
      <alignment horizontal="left"/>
      <protection locked="0"/>
    </xf>
    <xf numFmtId="0" fontId="12" fillId="0" borderId="0" xfId="19" applyFont="1" applyAlignment="1" applyProtection="1">
      <alignment horizontal="center"/>
    </xf>
    <xf numFmtId="0" fontId="3" fillId="0" borderId="21" xfId="19" applyBorder="1" applyAlignment="1" applyProtection="1">
      <alignment horizontal="center"/>
    </xf>
    <xf numFmtId="0" fontId="3" fillId="0" borderId="9" xfId="19" applyFill="1" applyBorder="1" applyAlignment="1" applyProtection="1">
      <alignment horizontal="center"/>
    </xf>
    <xf numFmtId="0" fontId="3" fillId="0" borderId="51" xfId="19" applyFill="1" applyBorder="1" applyAlignment="1" applyProtection="1">
      <alignment horizontal="center"/>
    </xf>
    <xf numFmtId="49" fontId="3" fillId="2" borderId="18" xfId="19" applyNumberFormat="1" applyFill="1" applyBorder="1" applyAlignment="1" applyProtection="1">
      <alignment horizontal="left"/>
      <protection locked="0"/>
    </xf>
    <xf numFmtId="49" fontId="3" fillId="2" borderId="19" xfId="19" applyNumberFormat="1" applyFill="1" applyBorder="1" applyAlignment="1" applyProtection="1">
      <alignment horizontal="left"/>
      <protection locked="0"/>
    </xf>
    <xf numFmtId="0" fontId="3" fillId="0" borderId="0" xfId="19" applyBorder="1" applyAlignment="1" applyProtection="1">
      <alignment horizontal="center"/>
    </xf>
    <xf numFmtId="0" fontId="6" fillId="0" borderId="0" xfId="19" applyFont="1" applyFill="1" applyBorder="1" applyAlignment="1" applyProtection="1">
      <alignment horizontal="center" vertical="center" wrapText="1"/>
    </xf>
    <xf numFmtId="0" fontId="6" fillId="0" borderId="64" xfId="19" applyFont="1" applyFill="1" applyBorder="1" applyAlignment="1" applyProtection="1">
      <alignment horizontal="center" vertical="center" wrapText="1"/>
    </xf>
    <xf numFmtId="0" fontId="6" fillId="0" borderId="26" xfId="19" applyFont="1" applyFill="1" applyBorder="1" applyAlignment="1" applyProtection="1">
      <alignment horizontal="center" vertical="center" wrapText="1"/>
    </xf>
    <xf numFmtId="49" fontId="3" fillId="2" borderId="18" xfId="19" applyNumberFormat="1" applyFill="1" applyBorder="1" applyAlignment="1" applyProtection="1">
      <alignment horizontal="center"/>
      <protection locked="0"/>
    </xf>
    <xf numFmtId="49" fontId="3" fillId="2" borderId="19" xfId="19" applyNumberFormat="1" applyFill="1" applyBorder="1" applyAlignment="1" applyProtection="1">
      <alignment horizontal="center"/>
      <protection locked="0"/>
    </xf>
    <xf numFmtId="0" fontId="3" fillId="0" borderId="46" xfId="19" applyFill="1" applyBorder="1" applyAlignment="1" applyProtection="1">
      <alignment horizontal="center" vertical="center"/>
    </xf>
    <xf numFmtId="0" fontId="3" fillId="0" borderId="51" xfId="19" applyFill="1" applyBorder="1" applyAlignment="1" applyProtection="1">
      <alignment horizontal="center" vertical="center"/>
    </xf>
    <xf numFmtId="0" fontId="3" fillId="0" borderId="15" xfId="19" applyFill="1" applyBorder="1" applyAlignment="1" applyProtection="1">
      <alignment horizontal="center" vertical="center"/>
    </xf>
    <xf numFmtId="0" fontId="3" fillId="0" borderId="21" xfId="19" applyFill="1" applyBorder="1" applyAlignment="1" applyProtection="1">
      <alignment horizontal="center" vertical="center"/>
    </xf>
    <xf numFmtId="0" fontId="3" fillId="0" borderId="64" xfId="19" applyFill="1" applyBorder="1" applyAlignment="1" applyProtection="1">
      <alignment horizontal="center" vertical="center"/>
    </xf>
    <xf numFmtId="0" fontId="3" fillId="0" borderId="41" xfId="19" applyFill="1" applyBorder="1" applyAlignment="1" applyProtection="1">
      <alignment horizontal="center" vertical="center"/>
    </xf>
    <xf numFmtId="0" fontId="3" fillId="0" borderId="46" xfId="19" applyBorder="1" applyAlignment="1" applyProtection="1">
      <alignment horizontal="center" vertical="center"/>
    </xf>
    <xf numFmtId="0" fontId="3" fillId="0" borderId="65" xfId="19" applyBorder="1" applyAlignment="1" applyProtection="1">
      <alignment horizontal="center" vertical="center"/>
    </xf>
    <xf numFmtId="0" fontId="3" fillId="0" borderId="15" xfId="19" applyBorder="1" applyAlignment="1" applyProtection="1">
      <alignment horizontal="center" vertical="center"/>
    </xf>
    <xf numFmtId="0" fontId="3" fillId="0" borderId="66" xfId="19" applyBorder="1" applyAlignment="1" applyProtection="1">
      <alignment horizontal="center" vertical="center"/>
    </xf>
    <xf numFmtId="0" fontId="3" fillId="0" borderId="64" xfId="19" applyBorder="1" applyAlignment="1" applyProtection="1">
      <alignment horizontal="center" vertical="center"/>
    </xf>
    <xf numFmtId="0" fontId="3" fillId="0" borderId="88" xfId="19" applyBorder="1" applyAlignment="1" applyProtection="1">
      <alignment horizontal="center" vertical="center"/>
    </xf>
    <xf numFmtId="0" fontId="3" fillId="3" borderId="46" xfId="19" applyFill="1" applyBorder="1" applyAlignment="1" applyProtection="1">
      <alignment horizontal="center" vertical="center"/>
    </xf>
    <xf numFmtId="0" fontId="3" fillId="3" borderId="51" xfId="19" applyFill="1" applyBorder="1" applyAlignment="1" applyProtection="1">
      <alignment horizontal="center" vertical="center"/>
    </xf>
    <xf numFmtId="0" fontId="3" fillId="3" borderId="15" xfId="19" applyFill="1" applyBorder="1" applyAlignment="1" applyProtection="1">
      <alignment horizontal="center" vertical="center"/>
    </xf>
    <xf numFmtId="0" fontId="3" fillId="3" borderId="21" xfId="19" applyFill="1" applyBorder="1" applyAlignment="1" applyProtection="1">
      <alignment horizontal="center" vertical="center"/>
    </xf>
    <xf numFmtId="0" fontId="3" fillId="3" borderId="64" xfId="19" applyFill="1" applyBorder="1" applyAlignment="1" applyProtection="1">
      <alignment horizontal="center" vertical="center"/>
    </xf>
    <xf numFmtId="0" fontId="3" fillId="3" borderId="41" xfId="19" applyFill="1" applyBorder="1" applyAlignment="1" applyProtection="1">
      <alignment horizontal="center" vertical="center"/>
    </xf>
    <xf numFmtId="0" fontId="5" fillId="0" borderId="0" xfId="19" applyFont="1" applyFill="1" applyAlignment="1" applyProtection="1">
      <alignment horizontal="center"/>
      <protection locked="0"/>
    </xf>
    <xf numFmtId="0" fontId="6" fillId="0" borderId="0" xfId="19" applyFont="1" applyAlignment="1">
      <alignment horizontal="center"/>
    </xf>
    <xf numFmtId="43" fontId="3" fillId="2" borderId="53" xfId="1" applyFill="1" applyBorder="1" applyAlignment="1" applyProtection="1">
      <alignment horizontal="center"/>
      <protection locked="0"/>
    </xf>
    <xf numFmtId="43" fontId="3" fillId="2" borderId="64" xfId="1" applyFill="1" applyBorder="1" applyAlignment="1" applyProtection="1">
      <alignment horizontal="center"/>
      <protection locked="0"/>
    </xf>
    <xf numFmtId="43" fontId="17" fillId="0" borderId="6" xfId="1" applyFont="1" applyBorder="1" applyAlignment="1" applyProtection="1">
      <alignment horizontal="center"/>
    </xf>
    <xf numFmtId="43" fontId="17" fillId="0" borderId="27" xfId="1" applyFont="1" applyBorder="1" applyAlignment="1" applyProtection="1">
      <alignment horizontal="center"/>
    </xf>
    <xf numFmtId="0" fontId="37" fillId="0" borderId="0" xfId="19" applyFont="1" applyFill="1" applyAlignment="1" applyProtection="1">
      <alignment horizontal="center"/>
      <protection locked="0"/>
    </xf>
    <xf numFmtId="0" fontId="11" fillId="0" borderId="0" xfId="19" applyFont="1" applyFill="1" applyAlignment="1">
      <alignment horizontal="center"/>
    </xf>
    <xf numFmtId="0" fontId="16" fillId="0" borderId="0" xfId="19" applyFont="1" applyFill="1" applyAlignment="1" applyProtection="1">
      <alignment horizontal="center"/>
      <protection locked="0"/>
    </xf>
    <xf numFmtId="0" fontId="35" fillId="0" borderId="8" xfId="19" applyFont="1" applyFill="1" applyBorder="1" applyAlignment="1" applyProtection="1">
      <alignment horizontal="center" vertical="top"/>
      <protection locked="0"/>
    </xf>
    <xf numFmtId="0" fontId="3" fillId="0" borderId="1" xfId="19" applyFill="1" applyBorder="1" applyAlignment="1" applyProtection="1">
      <alignment horizontal="center" vertical="center"/>
      <protection locked="0"/>
    </xf>
    <xf numFmtId="0" fontId="3" fillId="0" borderId="49" xfId="19" applyFill="1" applyBorder="1" applyAlignment="1" applyProtection="1">
      <alignment horizontal="center" vertical="center"/>
      <protection locked="0"/>
    </xf>
    <xf numFmtId="0" fontId="24" fillId="0" borderId="0" xfId="19" applyFont="1" applyFill="1" applyAlignment="1" applyProtection="1">
      <alignment horizontal="center"/>
      <protection locked="0"/>
    </xf>
    <xf numFmtId="0" fontId="7" fillId="0" borderId="0" xfId="19" applyFont="1" applyFill="1" applyAlignment="1" applyProtection="1">
      <alignment horizontal="center"/>
      <protection locked="0"/>
    </xf>
    <xf numFmtId="14" fontId="6" fillId="0" borderId="0" xfId="19" applyNumberFormat="1" applyFont="1" applyFill="1" applyAlignment="1" applyProtection="1">
      <alignment horizontal="center"/>
      <protection locked="0"/>
    </xf>
    <xf numFmtId="0" fontId="3" fillId="0" borderId="5" xfId="19" applyFill="1" applyBorder="1" applyAlignment="1" applyProtection="1">
      <alignment horizontal="center"/>
    </xf>
    <xf numFmtId="0" fontId="3" fillId="0" borderId="0" xfId="19" applyFill="1" applyBorder="1" applyAlignment="1" applyProtection="1">
      <alignment horizontal="center"/>
    </xf>
    <xf numFmtId="0" fontId="24" fillId="0" borderId="8" xfId="19" applyFont="1" applyFill="1" applyBorder="1" applyAlignment="1" applyProtection="1">
      <alignment horizontal="center"/>
    </xf>
    <xf numFmtId="0" fontId="3" fillId="0" borderId="9" xfId="19" applyFill="1" applyBorder="1" applyAlignment="1" applyProtection="1">
      <alignment horizontal="center" vertical="center"/>
    </xf>
    <xf numFmtId="0" fontId="3" fillId="0" borderId="8" xfId="19" applyFill="1" applyBorder="1" applyAlignment="1" applyProtection="1">
      <alignment horizontal="center" vertical="center"/>
    </xf>
    <xf numFmtId="0" fontId="3" fillId="0" borderId="52" xfId="19" applyFill="1" applyBorder="1" applyAlignment="1" applyProtection="1">
      <alignment horizontal="center" vertical="center"/>
    </xf>
    <xf numFmtId="43" fontId="17" fillId="0" borderId="53" xfId="19" applyNumberFormat="1" applyFont="1" applyFill="1" applyBorder="1" applyAlignment="1" applyProtection="1">
      <alignment horizontal="center"/>
    </xf>
    <xf numFmtId="43" fontId="17" fillId="0" borderId="64" xfId="19" applyNumberFormat="1" applyFont="1" applyFill="1" applyBorder="1" applyAlignment="1" applyProtection="1">
      <alignment horizontal="center"/>
    </xf>
    <xf numFmtId="43" fontId="3" fillId="2" borderId="6" xfId="1" applyNumberFormat="1" applyFill="1" applyBorder="1" applyAlignment="1" applyProtection="1">
      <alignment horizontal="center"/>
      <protection locked="0"/>
    </xf>
    <xf numFmtId="43" fontId="3" fillId="2" borderId="27" xfId="1" applyNumberFormat="1" applyFill="1" applyBorder="1" applyAlignment="1" applyProtection="1">
      <alignment horizontal="center"/>
      <protection locked="0"/>
    </xf>
    <xf numFmtId="49" fontId="6" fillId="0" borderId="0" xfId="19" applyNumberFormat="1" applyFont="1" applyAlignment="1" applyProtection="1">
      <alignment horizontal="center"/>
    </xf>
    <xf numFmtId="0" fontId="22" fillId="0" borderId="0" xfId="19" applyFont="1" applyAlignment="1" applyProtection="1">
      <alignment horizontal="center" vertical="center"/>
    </xf>
    <xf numFmtId="0" fontId="22" fillId="0" borderId="0" xfId="19" applyFont="1" applyAlignment="1" applyProtection="1">
      <alignment horizontal="center"/>
    </xf>
    <xf numFmtId="49" fontId="24" fillId="0" borderId="0" xfId="19" applyNumberFormat="1" applyFont="1" applyAlignment="1" applyProtection="1">
      <alignment horizontal="center"/>
    </xf>
    <xf numFmtId="0" fontId="17" fillId="0" borderId="0" xfId="19" applyFont="1" applyAlignment="1" applyProtection="1">
      <alignment horizontal="center"/>
    </xf>
    <xf numFmtId="0" fontId="6" fillId="0" borderId="8" xfId="19" applyFont="1" applyFill="1" applyBorder="1" applyAlignment="1" applyProtection="1">
      <alignment horizontal="center" vertical="center"/>
    </xf>
    <xf numFmtId="0" fontId="6" fillId="0" borderId="52" xfId="19" applyFont="1" applyFill="1" applyBorder="1" applyAlignment="1" applyProtection="1">
      <alignment horizontal="center" vertical="center"/>
    </xf>
    <xf numFmtId="0" fontId="3" fillId="0" borderId="37" xfId="19" applyFill="1" applyBorder="1" applyAlignment="1" applyProtection="1">
      <alignment horizontal="center" vertical="center"/>
    </xf>
    <xf numFmtId="0" fontId="3" fillId="0" borderId="1" xfId="19" applyFont="1" applyFill="1" applyBorder="1" applyAlignment="1" applyProtection="1">
      <alignment horizontal="center" vertical="center" wrapText="1"/>
    </xf>
    <xf numFmtId="0" fontId="3" fillId="0" borderId="1" xfId="19" applyFill="1" applyBorder="1" applyAlignment="1" applyProtection="1">
      <alignment horizontal="center" vertical="center" wrapText="1"/>
    </xf>
    <xf numFmtId="0" fontId="3" fillId="0" borderId="37" xfId="19" applyBorder="1" applyAlignment="1" applyProtection="1">
      <alignment horizontal="center" vertical="center"/>
    </xf>
    <xf numFmtId="0" fontId="3" fillId="0" borderId="37" xfId="19" applyBorder="1" applyAlignment="1" applyProtection="1">
      <alignment horizontal="center" vertical="center" wrapText="1"/>
    </xf>
    <xf numFmtId="0" fontId="3" fillId="0" borderId="49" xfId="19" applyBorder="1" applyAlignment="1" applyProtection="1">
      <alignment horizontal="center" vertical="center" wrapText="1"/>
    </xf>
    <xf numFmtId="0" fontId="6" fillId="0" borderId="8" xfId="19" applyFont="1" applyFill="1" applyBorder="1" applyAlignment="1" applyProtection="1">
      <alignment horizontal="center"/>
    </xf>
    <xf numFmtId="43" fontId="3" fillId="0" borderId="3" xfId="19" applyNumberFormat="1" applyBorder="1" applyAlignment="1" applyProtection="1">
      <alignment horizontal="center"/>
    </xf>
    <xf numFmtId="0" fontId="3" fillId="0" borderId="3" xfId="19" applyBorder="1" applyAlignment="1" applyProtection="1">
      <alignment horizontal="center"/>
    </xf>
    <xf numFmtId="0" fontId="3" fillId="0" borderId="9" xfId="19" applyBorder="1" applyAlignment="1" applyProtection="1">
      <alignment horizontal="center"/>
    </xf>
    <xf numFmtId="0" fontId="3" fillId="0" borderId="51" xfId="19" applyBorder="1" applyAlignment="1" applyProtection="1">
      <alignment horizontal="center"/>
    </xf>
    <xf numFmtId="0" fontId="6" fillId="0" borderId="15" xfId="19" applyFont="1" applyBorder="1" applyAlignment="1" applyProtection="1">
      <alignment horizontal="center" vertical="center" wrapText="1"/>
    </xf>
    <xf numFmtId="0" fontId="6" fillId="0" borderId="0" xfId="19" applyFont="1" applyAlignment="1" applyProtection="1">
      <alignment horizontal="center" vertical="center" wrapText="1"/>
    </xf>
    <xf numFmtId="0" fontId="6" fillId="0" borderId="64" xfId="19" applyFont="1" applyBorder="1" applyAlignment="1" applyProtection="1">
      <alignment horizontal="center" vertical="center" wrapText="1"/>
    </xf>
    <xf numFmtId="0" fontId="6" fillId="0" borderId="26" xfId="19" applyFont="1" applyBorder="1" applyAlignment="1" applyProtection="1">
      <alignment horizontal="center" vertical="center" wrapText="1"/>
    </xf>
    <xf numFmtId="0" fontId="37" fillId="0" borderId="0" xfId="19" applyFont="1" applyFill="1" applyAlignment="1" applyProtection="1">
      <alignment horizontal="center"/>
    </xf>
    <xf numFmtId="0" fontId="23" fillId="0" borderId="0" xfId="19" applyFont="1" applyFill="1" applyAlignment="1" applyProtection="1">
      <alignment horizontal="center"/>
    </xf>
    <xf numFmtId="0" fontId="3" fillId="0" borderId="37" xfId="19" applyFill="1" applyBorder="1" applyAlignment="1" applyProtection="1">
      <alignment horizontal="center" vertical="center" wrapText="1"/>
    </xf>
    <xf numFmtId="0" fontId="3" fillId="0" borderId="49" xfId="19" applyFill="1" applyBorder="1" applyAlignment="1" applyProtection="1">
      <alignment horizontal="center" vertical="center" wrapText="1"/>
    </xf>
    <xf numFmtId="0" fontId="6" fillId="0" borderId="9" xfId="19" applyFont="1" applyFill="1" applyBorder="1" applyAlignment="1" applyProtection="1">
      <alignment horizontal="center" vertical="center"/>
    </xf>
    <xf numFmtId="0" fontId="6" fillId="0" borderId="51" xfId="19" applyFont="1" applyFill="1" applyBorder="1" applyAlignment="1" applyProtection="1">
      <alignment horizontal="center" vertical="center"/>
    </xf>
    <xf numFmtId="0" fontId="12" fillId="0" borderId="8" xfId="19" applyFont="1" applyBorder="1" applyAlignment="1" applyProtection="1">
      <alignment horizontal="center"/>
    </xf>
    <xf numFmtId="0" fontId="6" fillId="0" borderId="9" xfId="19" applyFont="1" applyBorder="1" applyAlignment="1" applyProtection="1">
      <alignment horizontal="center" vertical="center"/>
    </xf>
    <xf numFmtId="0" fontId="6" fillId="0" borderId="51" xfId="19" applyFont="1" applyBorder="1" applyAlignment="1" applyProtection="1">
      <alignment horizontal="center" vertical="center"/>
    </xf>
    <xf numFmtId="0" fontId="3" fillId="0" borderId="9" xfId="19" applyBorder="1" applyAlignment="1" applyProtection="1">
      <alignment horizontal="center"/>
      <protection locked="0"/>
    </xf>
    <xf numFmtId="0" fontId="3" fillId="0" borderId="51" xfId="19" applyBorder="1" applyAlignment="1" applyProtection="1">
      <alignment horizontal="center"/>
      <protection locked="0"/>
    </xf>
    <xf numFmtId="0" fontId="6" fillId="0" borderId="15" xfId="19" applyFont="1" applyFill="1" applyBorder="1" applyAlignment="1">
      <alignment horizontal="center" vertical="center" wrapText="1"/>
    </xf>
    <xf numFmtId="0" fontId="6" fillId="0" borderId="21" xfId="19" applyFont="1" applyFill="1" applyBorder="1" applyAlignment="1">
      <alignment horizontal="center" vertical="center" wrapText="1"/>
    </xf>
    <xf numFmtId="0" fontId="3" fillId="0" borderId="64" xfId="19" applyFill="1" applyBorder="1" applyAlignment="1">
      <alignment horizontal="center" vertical="center" wrapText="1"/>
    </xf>
    <xf numFmtId="0" fontId="3" fillId="0" borderId="41" xfId="19" applyFill="1" applyBorder="1" applyAlignment="1">
      <alignment horizontal="center" vertical="center" wrapText="1"/>
    </xf>
    <xf numFmtId="49" fontId="3" fillId="2" borderId="3" xfId="19" applyNumberFormat="1" applyFill="1" applyBorder="1" applyAlignment="1" applyProtection="1">
      <protection locked="0"/>
    </xf>
    <xf numFmtId="49" fontId="3" fillId="2" borderId="20" xfId="19" applyNumberFormat="1" applyFill="1" applyBorder="1" applyAlignment="1" applyProtection="1">
      <protection locked="0"/>
    </xf>
    <xf numFmtId="49" fontId="3" fillId="2" borderId="18" xfId="19" applyNumberFormat="1" applyFill="1" applyBorder="1" applyAlignment="1" applyProtection="1">
      <protection locked="0"/>
    </xf>
    <xf numFmtId="49" fontId="3" fillId="2" borderId="19" xfId="19" applyNumberFormat="1" applyFill="1" applyBorder="1" applyAlignment="1" applyProtection="1">
      <protection locked="0"/>
    </xf>
    <xf numFmtId="0" fontId="24" fillId="0" borderId="0" xfId="19" applyFont="1" applyAlignment="1" applyProtection="1">
      <alignment horizontal="center"/>
    </xf>
    <xf numFmtId="0" fontId="11" fillId="0" borderId="0" xfId="19" applyFont="1" applyAlignment="1" applyProtection="1">
      <alignment horizontal="center"/>
    </xf>
  </cellXfs>
  <cellStyles count="88">
    <cellStyle name="Comma" xfId="1" builtinId="3"/>
    <cellStyle name="Comma 10" xfId="86"/>
    <cellStyle name="Comma 2" xfId="2"/>
    <cellStyle name="Comma 2 2" xfId="3"/>
    <cellStyle name="Comma 2 2 2" xfId="84"/>
    <cellStyle name="Comma 3" xfId="4"/>
    <cellStyle name="Comma 3 2" xfId="21"/>
    <cellStyle name="Comma 3 3" xfId="53"/>
    <cellStyle name="Comma 4" xfId="5"/>
    <cellStyle name="Comma 4 2" xfId="22"/>
    <cellStyle name="Comma 4 3" xfId="49"/>
    <cellStyle name="Comma 5" xfId="6"/>
    <cellStyle name="Comma 5 2" xfId="23"/>
    <cellStyle name="Comma 5 2 2" xfId="80"/>
    <cellStyle name="Comma 5 3" xfId="45"/>
    <cellStyle name="Comma 5 4" xfId="46"/>
    <cellStyle name="Comma 5 4 2" xfId="79"/>
    <cellStyle name="Comma 5 5" xfId="52"/>
    <cellStyle name="Comma 6" xfId="20"/>
    <cellStyle name="Comma 7" xfId="48"/>
    <cellStyle name="Comma 7 2" xfId="78"/>
    <cellStyle name="Comma 7 3" xfId="43"/>
    <cellStyle name="Comma 8" xfId="44"/>
    <cellStyle name="Comma 9" xfId="24"/>
    <cellStyle name="Currency 2" xfId="7"/>
    <cellStyle name="Currency 2 2" xfId="8"/>
    <cellStyle name="Currency 3" xfId="9"/>
    <cellStyle name="Currency 3 2" xfId="26"/>
    <cellStyle name="Currency 4" xfId="27"/>
    <cellStyle name="Currency 4 2" xfId="54"/>
    <cellStyle name="Currency 4 3" xfId="55"/>
    <cellStyle name="Currency 4 3 2" xfId="47"/>
    <cellStyle name="Currency 4 4" xfId="58"/>
    <cellStyle name="Currency 5" xfId="25"/>
    <cellStyle name="Currency 5 2" xfId="59"/>
    <cellStyle name="Currency 6" xfId="56"/>
    <cellStyle name="Currency 6 2" xfId="51"/>
    <cellStyle name="Currency 7" xfId="50"/>
    <cellStyle name="Currency 8" xfId="28"/>
    <cellStyle name="Hyperlink" xfId="87" builtinId="8"/>
    <cellStyle name="Hyperlink 2" xfId="29"/>
    <cellStyle name="Hyperlink 2 2" xfId="63"/>
    <cellStyle name="Hyperlink 2 3" xfId="62"/>
    <cellStyle name="Hyperlink 3" xfId="67"/>
    <cellStyle name="Normal" xfId="0" builtinId="0"/>
    <cellStyle name="Normal 2" xfId="10"/>
    <cellStyle name="Normal 2 2" xfId="31"/>
    <cellStyle name="Normal 2 2 2" xfId="32"/>
    <cellStyle name="Normal 2 2 3" xfId="60"/>
    <cellStyle name="Normal 2 2 4" xfId="61"/>
    <cellStyle name="Normal 2 2 4 2" xfId="57"/>
    <cellStyle name="Normal 2 2 5" xfId="64"/>
    <cellStyle name="Normal 2 3" xfId="33"/>
    <cellStyle name="Normal 2 4" xfId="30"/>
    <cellStyle name="Normal 2 5" xfId="19"/>
    <cellStyle name="Normal 2 6" xfId="73"/>
    <cellStyle name="Normal 3" xfId="11"/>
    <cellStyle name="Normal 3 2" xfId="34"/>
    <cellStyle name="Normal 3 2 2" xfId="65"/>
    <cellStyle name="Normal 3 3" xfId="35"/>
    <cellStyle name="Normal 4" xfId="12"/>
    <cellStyle name="Normal 4 2" xfId="36"/>
    <cellStyle name="Normal 4 3" xfId="66"/>
    <cellStyle name="Normal 5" xfId="82"/>
    <cellStyle name="Normal 6" xfId="85"/>
    <cellStyle name="Normal 9" xfId="37"/>
    <cellStyle name="Normal_AFS NEW SHEETS 1997" xfId="68"/>
    <cellStyle name="Normal_Woodbine  AFS New Sheets 1997" xfId="69"/>
    <cellStyle name="Normal_Woodbine Budget 02 Introduction" xfId="38"/>
    <cellStyle name="Percent" xfId="13" builtinId="5"/>
    <cellStyle name="Percent 2" xfId="14"/>
    <cellStyle name="Percent 2 2" xfId="15"/>
    <cellStyle name="Percent 2 3" xfId="71"/>
    <cellStyle name="Percent 3" xfId="16"/>
    <cellStyle name="Percent 3 2" xfId="40"/>
    <cellStyle name="Percent 3 2 2" xfId="72"/>
    <cellStyle name="Percent 3 3" xfId="83"/>
    <cellStyle name="Percent 4" xfId="17"/>
    <cellStyle name="Percent 4 2" xfId="41"/>
    <cellStyle name="Percent 5" xfId="18"/>
    <cellStyle name="Percent 5 2" xfId="42"/>
    <cellStyle name="Percent 5 3" xfId="75"/>
    <cellStyle name="Percent 5 4" xfId="76"/>
    <cellStyle name="Percent 5 4 2" xfId="74"/>
    <cellStyle name="Percent 6" xfId="39"/>
    <cellStyle name="Percent 7" xfId="77"/>
    <cellStyle name="Percent 7 2" xfId="81"/>
    <cellStyle name="Percent 8" xfId="70"/>
  </cellStyles>
  <dxfs count="19">
    <dxf>
      <numFmt numFmtId="33" formatCode="_(* #,##0_);_(* \(#,##0\);_(* &quot;-&quot;_);_(@_)"/>
    </dxf>
    <dxf>
      <numFmt numFmtId="33" formatCode="_(* #,##0_);_(* \(#,##0\);_(* &quot;-&quot;_);_(@_)"/>
    </dxf>
    <dxf>
      <numFmt numFmtId="33" formatCode="_(* #,##0_);_(* \(#,##0\);_(* &quot;-&quot;_);_(@_)"/>
    </dxf>
    <dxf>
      <numFmt numFmtId="33" formatCode="_(* #,##0_);_(* \(#,##0\);_(* &quot;-&quot;_);_(@_)"/>
    </dxf>
    <dxf>
      <numFmt numFmtId="33" formatCode="_(* #,##0_);_(* \(#,##0\);_(* &quot;-&quot;_);_(@_)"/>
    </dxf>
    <dxf>
      <numFmt numFmtId="33" formatCode="_(* #,##0_);_(* \(#,##0\);_(* &quot;-&quot;_);_(@_)"/>
    </dxf>
    <dxf>
      <font>
        <b val="0"/>
        <i val="0"/>
        <strike/>
      </font>
    </dxf>
    <dxf>
      <font>
        <b val="0"/>
        <i val="0"/>
        <strike/>
      </font>
    </dxf>
    <dxf>
      <font>
        <strike/>
      </font>
    </dxf>
    <dxf>
      <font>
        <strike/>
      </font>
    </dxf>
    <dxf>
      <font>
        <strike/>
      </font>
    </dxf>
    <dxf>
      <font>
        <strike/>
      </font>
    </dxf>
    <dxf>
      <font>
        <strike/>
      </font>
    </dxf>
    <dxf>
      <font>
        <strike/>
      </font>
    </dxf>
    <dxf>
      <font>
        <b val="0"/>
        <i val="0"/>
        <strike/>
      </font>
    </dxf>
    <dxf>
      <font>
        <b val="0"/>
        <i val="0"/>
        <strike/>
      </font>
    </dxf>
    <dxf>
      <font>
        <strike/>
      </font>
    </dxf>
    <dxf>
      <font>
        <strike/>
      </font>
    </dxf>
    <dxf>
      <font>
        <strike/>
      </font>
    </dxf>
  </dxfs>
  <tableStyles count="0" defaultTableStyle="TableStyleMedium9"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228" Type="http://schemas.openxmlformats.org/officeDocument/2006/relationships/worksheet" Target="worksheets/sheet228.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281" Type="http://schemas.openxmlformats.org/officeDocument/2006/relationships/worksheet" Target="worksheets/sheet281.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50" Type="http://schemas.openxmlformats.org/officeDocument/2006/relationships/worksheet" Target="worksheets/sheet250.xml"/><Relationship Id="rId271" Type="http://schemas.openxmlformats.org/officeDocument/2006/relationships/worksheet" Target="worksheets/sheet271.xml"/><Relationship Id="rId292" Type="http://schemas.openxmlformats.org/officeDocument/2006/relationships/worksheet" Target="worksheets/sheet292.xml"/><Relationship Id="rId306" Type="http://schemas.openxmlformats.org/officeDocument/2006/relationships/theme" Target="theme/theme1.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208" Type="http://schemas.openxmlformats.org/officeDocument/2006/relationships/worksheet" Target="worksheets/sheet208.xml"/><Relationship Id="rId229" Type="http://schemas.openxmlformats.org/officeDocument/2006/relationships/worksheet" Target="worksheets/sheet229.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styles" Target="styles.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sharedStrings" Target="sharedStrings.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calcChain" Target="calcChain.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microsoft.com/office/2006/relationships/vbaProject" Target="vbaProject.bin"/><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s>
</file>

<file path=xl/ctrlProps/ctrlProp1.xml><?xml version="1.0" encoding="utf-8"?>
<formControlPr xmlns="http://schemas.microsoft.com/office/spreadsheetml/2009/9/main" objectType="Drop" dropLines="20" dropStyle="combo" dx="22" fmlaLink="$D$8" fmlaRange="$U$7:$U$592" noThreeD="1" sel="530" val="52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22860</xdr:colOff>
          <xdr:row>7</xdr:row>
          <xdr:rowOff>7620</xdr:rowOff>
        </xdr:from>
        <xdr:to>
          <xdr:col>4</xdr:col>
          <xdr:colOff>0</xdr:colOff>
          <xdr:row>7</xdr:row>
          <xdr:rowOff>251460</xdr:rowOff>
        </xdr:to>
        <xdr:sp macro="" textlink="">
          <xdr:nvSpPr>
            <xdr:cNvPr id="39937" name="Drop Down 1" hidden="1">
              <a:extLst>
                <a:ext uri="{63B3BB69-23CF-44E3-9099-C40C66FF867C}">
                  <a14:compatExt spid="_x0000_s39937"/>
                </a:ext>
                <a:ext uri="{FF2B5EF4-FFF2-40B4-BE49-F238E27FC236}">
                  <a16:creationId xmlns:a16="http://schemas.microsoft.com/office/drawing/2014/main" id="{00000000-0008-0000-0200-0000019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6</xdr:row>
          <xdr:rowOff>213360</xdr:rowOff>
        </xdr:from>
        <xdr:to>
          <xdr:col>10</xdr:col>
          <xdr:colOff>594360</xdr:colOff>
          <xdr:row>7</xdr:row>
          <xdr:rowOff>251460</xdr:rowOff>
        </xdr:to>
        <xdr:sp macro="" textlink="">
          <xdr:nvSpPr>
            <xdr:cNvPr id="39939" name="Button 3" hidden="1">
              <a:extLst>
                <a:ext uri="{63B3BB69-23CF-44E3-9099-C40C66FF867C}">
                  <a14:compatExt spid="_x0000_s39939"/>
                </a:ext>
                <a:ext uri="{FF2B5EF4-FFF2-40B4-BE49-F238E27FC236}">
                  <a16:creationId xmlns:a16="http://schemas.microsoft.com/office/drawing/2014/main" id="{00000000-0008-0000-0200-0000039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Convert to Standard Template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754380</xdr:colOff>
          <xdr:row>8</xdr:row>
          <xdr:rowOff>198120</xdr:rowOff>
        </xdr:from>
        <xdr:to>
          <xdr:col>10</xdr:col>
          <xdr:colOff>594360</xdr:colOff>
          <xdr:row>10</xdr:row>
          <xdr:rowOff>38100</xdr:rowOff>
        </xdr:to>
        <xdr:sp macro="" textlink="">
          <xdr:nvSpPr>
            <xdr:cNvPr id="39940" name="Button 4" hidden="1">
              <a:extLst>
                <a:ext uri="{63B3BB69-23CF-44E3-9099-C40C66FF867C}">
                  <a14:compatExt spid="_x0000_s39940"/>
                </a:ext>
                <a:ext uri="{FF2B5EF4-FFF2-40B4-BE49-F238E27FC236}">
                  <a16:creationId xmlns:a16="http://schemas.microsoft.com/office/drawing/2014/main" id="{00000000-0008-0000-0200-0000049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Revert to Expanded Template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800100</xdr:colOff>
          <xdr:row>39</xdr:row>
          <xdr:rowOff>106680</xdr:rowOff>
        </xdr:from>
        <xdr:to>
          <xdr:col>11</xdr:col>
          <xdr:colOff>1104900</xdr:colOff>
          <xdr:row>41</xdr:row>
          <xdr:rowOff>0</xdr:rowOff>
        </xdr:to>
        <xdr:sp macro="" textlink="">
          <xdr:nvSpPr>
            <xdr:cNvPr id="161794" name="Check Box 2" hidden="1">
              <a:extLst>
                <a:ext uri="{63B3BB69-23CF-44E3-9099-C40C66FF867C}">
                  <a14:compatExt spid="_x0000_s161794"/>
                </a:ext>
                <a:ext uri="{FF2B5EF4-FFF2-40B4-BE49-F238E27FC236}">
                  <a16:creationId xmlns:a16="http://schemas.microsoft.com/office/drawing/2014/main" id="{00000000-0008-0000-7800-00000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j.gov/dca/divisions/dlgs/pdf/FAST%20AFS%20Quick%20User%20Guide.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21.bin"/><Relationship Id="rId4" Type="http://schemas.openxmlformats.org/officeDocument/2006/relationships/ctrlProp" Target="../ctrlProps/ctrlProp4.xml"/></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150.xml.rels><?xml version="1.0" encoding="UTF-8" standalone="yes"?>
<Relationships xmlns="http://schemas.openxmlformats.org/package/2006/relationships"><Relationship Id="rId1" Type="http://schemas.openxmlformats.org/officeDocument/2006/relationships/printerSettings" Target="../printerSettings/printerSettings150.bin"/></Relationships>
</file>

<file path=xl/worksheets/_rels/sheet151.xml.rels><?xml version="1.0" encoding="UTF-8" standalone="yes"?>
<Relationships xmlns="http://schemas.openxmlformats.org/package/2006/relationships"><Relationship Id="rId1" Type="http://schemas.openxmlformats.org/officeDocument/2006/relationships/printerSettings" Target="../printerSettings/printerSettings151.bin"/></Relationships>
</file>

<file path=xl/worksheets/_rels/sheet152.xml.rels><?xml version="1.0" encoding="UTF-8" standalone="yes"?>
<Relationships xmlns="http://schemas.openxmlformats.org/package/2006/relationships"><Relationship Id="rId1" Type="http://schemas.openxmlformats.org/officeDocument/2006/relationships/printerSettings" Target="../printerSettings/printerSettings152.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53.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154.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55.bin"/></Relationships>
</file>

<file path=xl/worksheets/_rels/sheet156.xml.rels><?xml version="1.0" encoding="UTF-8" standalone="yes"?>
<Relationships xmlns="http://schemas.openxmlformats.org/package/2006/relationships"><Relationship Id="rId1" Type="http://schemas.openxmlformats.org/officeDocument/2006/relationships/printerSettings" Target="../printerSettings/printerSettings156.bin"/></Relationships>
</file>

<file path=xl/worksheets/_rels/sheet157.xml.rels><?xml version="1.0" encoding="UTF-8" standalone="yes"?>
<Relationships xmlns="http://schemas.openxmlformats.org/package/2006/relationships"><Relationship Id="rId1" Type="http://schemas.openxmlformats.org/officeDocument/2006/relationships/printerSettings" Target="../printerSettings/printerSettings157.bin"/></Relationships>
</file>

<file path=xl/worksheets/_rels/sheet158.xml.rels><?xml version="1.0" encoding="UTF-8" standalone="yes"?>
<Relationships xmlns="http://schemas.openxmlformats.org/package/2006/relationships"><Relationship Id="rId1" Type="http://schemas.openxmlformats.org/officeDocument/2006/relationships/printerSettings" Target="../printerSettings/printerSettings158.bin"/></Relationships>
</file>

<file path=xl/worksheets/_rels/sheet159.xml.rels><?xml version="1.0" encoding="UTF-8" standalone="yes"?>
<Relationships xmlns="http://schemas.openxmlformats.org/package/2006/relationships"><Relationship Id="rId1" Type="http://schemas.openxmlformats.org/officeDocument/2006/relationships/printerSettings" Target="../printerSettings/printerSettings159.bin"/></Relationships>
</file>

<file path=xl/worksheets/_rels/sheet160.xml.rels><?xml version="1.0" encoding="UTF-8" standalone="yes"?>
<Relationships xmlns="http://schemas.openxmlformats.org/package/2006/relationships"><Relationship Id="rId1" Type="http://schemas.openxmlformats.org/officeDocument/2006/relationships/printerSettings" Target="../printerSettings/printerSettings160.bin"/></Relationships>
</file>

<file path=xl/worksheets/_rels/sheet161.xml.rels><?xml version="1.0" encoding="UTF-8" standalone="yes"?>
<Relationships xmlns="http://schemas.openxmlformats.org/package/2006/relationships"><Relationship Id="rId1" Type="http://schemas.openxmlformats.org/officeDocument/2006/relationships/printerSettings" Target="../printerSettings/printerSettings161.bin"/></Relationships>
</file>

<file path=xl/worksheets/_rels/sheet162.xml.rels><?xml version="1.0" encoding="UTF-8" standalone="yes"?>
<Relationships xmlns="http://schemas.openxmlformats.org/package/2006/relationships"><Relationship Id="rId1" Type="http://schemas.openxmlformats.org/officeDocument/2006/relationships/printerSettings" Target="../printerSettings/printerSettings162.bin"/></Relationships>
</file>

<file path=xl/worksheets/_rels/sheet163.xml.rels><?xml version="1.0" encoding="UTF-8" standalone="yes"?>
<Relationships xmlns="http://schemas.openxmlformats.org/package/2006/relationships"><Relationship Id="rId1" Type="http://schemas.openxmlformats.org/officeDocument/2006/relationships/printerSettings" Target="../printerSettings/printerSettings163.bin"/></Relationships>
</file>

<file path=xl/worksheets/_rels/sheet164.xml.rels><?xml version="1.0" encoding="UTF-8" standalone="yes"?>
<Relationships xmlns="http://schemas.openxmlformats.org/package/2006/relationships"><Relationship Id="rId1" Type="http://schemas.openxmlformats.org/officeDocument/2006/relationships/printerSettings" Target="../printerSettings/printerSettings164.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65.bin"/></Relationships>
</file>

<file path=xl/worksheets/_rels/sheet166.xml.rels><?xml version="1.0" encoding="UTF-8" standalone="yes"?>
<Relationships xmlns="http://schemas.openxmlformats.org/package/2006/relationships"><Relationship Id="rId1" Type="http://schemas.openxmlformats.org/officeDocument/2006/relationships/printerSettings" Target="../printerSettings/printerSettings166.bin"/></Relationships>
</file>

<file path=xl/worksheets/_rels/sheet167.xml.rels><?xml version="1.0" encoding="UTF-8" standalone="yes"?>
<Relationships xmlns="http://schemas.openxmlformats.org/package/2006/relationships"><Relationship Id="rId1" Type="http://schemas.openxmlformats.org/officeDocument/2006/relationships/printerSettings" Target="../printerSettings/printerSettings167.bin"/></Relationships>
</file>

<file path=xl/worksheets/_rels/sheet168.xml.rels><?xml version="1.0" encoding="UTF-8" standalone="yes"?>
<Relationships xmlns="http://schemas.openxmlformats.org/package/2006/relationships"><Relationship Id="rId1" Type="http://schemas.openxmlformats.org/officeDocument/2006/relationships/printerSettings" Target="../printerSettings/printerSettings168.bin"/></Relationships>
</file>

<file path=xl/worksheets/_rels/sheet169.xml.rels><?xml version="1.0" encoding="UTF-8" standalone="yes"?>
<Relationships xmlns="http://schemas.openxmlformats.org/package/2006/relationships"><Relationship Id="rId1" Type="http://schemas.openxmlformats.org/officeDocument/2006/relationships/printerSettings" Target="../printerSettings/printerSettings169.bin"/></Relationships>
</file>

<file path=xl/worksheets/_rels/sheet170.xml.rels><?xml version="1.0" encoding="UTF-8" standalone="yes"?>
<Relationships xmlns="http://schemas.openxmlformats.org/package/2006/relationships"><Relationship Id="rId1" Type="http://schemas.openxmlformats.org/officeDocument/2006/relationships/printerSettings" Target="../printerSettings/printerSettings170.bin"/></Relationships>
</file>

<file path=xl/worksheets/_rels/sheet171.xml.rels><?xml version="1.0" encoding="UTF-8" standalone="yes"?>
<Relationships xmlns="http://schemas.openxmlformats.org/package/2006/relationships"><Relationship Id="rId1" Type="http://schemas.openxmlformats.org/officeDocument/2006/relationships/printerSettings" Target="../printerSettings/printerSettings171.bin"/></Relationships>
</file>

<file path=xl/worksheets/_rels/sheet172.xml.rels><?xml version="1.0" encoding="UTF-8" standalone="yes"?>
<Relationships xmlns="http://schemas.openxmlformats.org/package/2006/relationships"><Relationship Id="rId1" Type="http://schemas.openxmlformats.org/officeDocument/2006/relationships/printerSettings" Target="../printerSettings/printerSettings172.bin"/></Relationships>
</file>

<file path=xl/worksheets/_rels/sheet173.xml.rels><?xml version="1.0" encoding="UTF-8" standalone="yes"?>
<Relationships xmlns="http://schemas.openxmlformats.org/package/2006/relationships"><Relationship Id="rId1" Type="http://schemas.openxmlformats.org/officeDocument/2006/relationships/printerSettings" Target="../printerSettings/printerSettings173.bin"/></Relationships>
</file>

<file path=xl/worksheets/_rels/sheet174.xml.rels><?xml version="1.0" encoding="UTF-8" standalone="yes"?>
<Relationships xmlns="http://schemas.openxmlformats.org/package/2006/relationships"><Relationship Id="rId1" Type="http://schemas.openxmlformats.org/officeDocument/2006/relationships/printerSettings" Target="../printerSettings/printerSettings174.bin"/></Relationships>
</file>

<file path=xl/worksheets/_rels/sheet175.xml.rels><?xml version="1.0" encoding="UTF-8" standalone="yes"?>
<Relationships xmlns="http://schemas.openxmlformats.org/package/2006/relationships"><Relationship Id="rId1" Type="http://schemas.openxmlformats.org/officeDocument/2006/relationships/printerSettings" Target="../printerSettings/printerSettings175.bin"/></Relationships>
</file>

<file path=xl/worksheets/_rels/sheet176.xml.rels><?xml version="1.0" encoding="UTF-8" standalone="yes"?>
<Relationships xmlns="http://schemas.openxmlformats.org/package/2006/relationships"><Relationship Id="rId1" Type="http://schemas.openxmlformats.org/officeDocument/2006/relationships/printerSettings" Target="../printerSettings/printerSettings176.bin"/></Relationships>
</file>

<file path=xl/worksheets/_rels/sheet177.xml.rels><?xml version="1.0" encoding="UTF-8" standalone="yes"?>
<Relationships xmlns="http://schemas.openxmlformats.org/package/2006/relationships"><Relationship Id="rId1" Type="http://schemas.openxmlformats.org/officeDocument/2006/relationships/printerSettings" Target="../printerSettings/printerSettings177.bin"/></Relationships>
</file>

<file path=xl/worksheets/_rels/sheet178.xml.rels><?xml version="1.0" encoding="UTF-8" standalone="yes"?>
<Relationships xmlns="http://schemas.openxmlformats.org/package/2006/relationships"><Relationship Id="rId1" Type="http://schemas.openxmlformats.org/officeDocument/2006/relationships/printerSettings" Target="../printerSettings/printerSettings178.bin"/></Relationships>
</file>

<file path=xl/worksheets/_rels/sheet179.xml.rels><?xml version="1.0" encoding="UTF-8" standalone="yes"?>
<Relationships xmlns="http://schemas.openxmlformats.org/package/2006/relationships"><Relationship Id="rId1" Type="http://schemas.openxmlformats.org/officeDocument/2006/relationships/printerSettings" Target="../printerSettings/printerSettings179.bin"/></Relationships>
</file>

<file path=xl/worksheets/_rels/sheet180.xml.rels><?xml version="1.0" encoding="UTF-8" standalone="yes"?>
<Relationships xmlns="http://schemas.openxmlformats.org/package/2006/relationships"><Relationship Id="rId1" Type="http://schemas.openxmlformats.org/officeDocument/2006/relationships/printerSettings" Target="../printerSettings/printerSettings180.bin"/></Relationships>
</file>

<file path=xl/worksheets/_rels/sheet181.xml.rels><?xml version="1.0" encoding="UTF-8" standalone="yes"?>
<Relationships xmlns="http://schemas.openxmlformats.org/package/2006/relationships"><Relationship Id="rId1" Type="http://schemas.openxmlformats.org/officeDocument/2006/relationships/printerSettings" Target="../printerSettings/printerSettings181.bin"/></Relationships>
</file>

<file path=xl/worksheets/_rels/sheet182.xml.rels><?xml version="1.0" encoding="UTF-8" standalone="yes"?>
<Relationships xmlns="http://schemas.openxmlformats.org/package/2006/relationships"><Relationship Id="rId1" Type="http://schemas.openxmlformats.org/officeDocument/2006/relationships/printerSettings" Target="../printerSettings/printerSettings182.bin"/></Relationships>
</file>

<file path=xl/worksheets/_rels/sheet183.xml.rels><?xml version="1.0" encoding="UTF-8" standalone="yes"?>
<Relationships xmlns="http://schemas.openxmlformats.org/package/2006/relationships"><Relationship Id="rId1" Type="http://schemas.openxmlformats.org/officeDocument/2006/relationships/printerSettings" Target="../printerSettings/printerSettings183.bin"/></Relationships>
</file>

<file path=xl/worksheets/_rels/sheet184.xml.rels><?xml version="1.0" encoding="UTF-8" standalone="yes"?>
<Relationships xmlns="http://schemas.openxmlformats.org/package/2006/relationships"><Relationship Id="rId1" Type="http://schemas.openxmlformats.org/officeDocument/2006/relationships/printerSettings" Target="../printerSettings/printerSettings184.bin"/></Relationships>
</file>

<file path=xl/worksheets/_rels/sheet185.xml.rels><?xml version="1.0" encoding="UTF-8" standalone="yes"?>
<Relationships xmlns="http://schemas.openxmlformats.org/package/2006/relationships"><Relationship Id="rId1" Type="http://schemas.openxmlformats.org/officeDocument/2006/relationships/printerSettings" Target="../printerSettings/printerSettings185.bin"/></Relationships>
</file>

<file path=xl/worksheets/_rels/sheet186.xml.rels><?xml version="1.0" encoding="UTF-8" standalone="yes"?>
<Relationships xmlns="http://schemas.openxmlformats.org/package/2006/relationships"><Relationship Id="rId1" Type="http://schemas.openxmlformats.org/officeDocument/2006/relationships/printerSettings" Target="../printerSettings/printerSettings186.bin"/></Relationships>
</file>

<file path=xl/worksheets/_rels/sheet187.xml.rels><?xml version="1.0" encoding="UTF-8" standalone="yes"?>
<Relationships xmlns="http://schemas.openxmlformats.org/package/2006/relationships"><Relationship Id="rId1" Type="http://schemas.openxmlformats.org/officeDocument/2006/relationships/printerSettings" Target="../printerSettings/printerSettings187.bin"/></Relationships>
</file>

<file path=xl/worksheets/_rels/sheet188.xml.rels><?xml version="1.0" encoding="UTF-8" standalone="yes"?>
<Relationships xmlns="http://schemas.openxmlformats.org/package/2006/relationships"><Relationship Id="rId1" Type="http://schemas.openxmlformats.org/officeDocument/2006/relationships/printerSettings" Target="../printerSettings/printerSettings188.bin"/></Relationships>
</file>

<file path=xl/worksheets/_rels/sheet189.xml.rels><?xml version="1.0" encoding="UTF-8" standalone="yes"?>
<Relationships xmlns="http://schemas.openxmlformats.org/package/2006/relationships"><Relationship Id="rId1" Type="http://schemas.openxmlformats.org/officeDocument/2006/relationships/printerSettings" Target="../printerSettings/printerSettings189.bin"/></Relationships>
</file>

<file path=xl/worksheets/_rels/sheet190.xml.rels><?xml version="1.0" encoding="UTF-8" standalone="yes"?>
<Relationships xmlns="http://schemas.openxmlformats.org/package/2006/relationships"><Relationship Id="rId1" Type="http://schemas.openxmlformats.org/officeDocument/2006/relationships/printerSettings" Target="../printerSettings/printerSettings190.bin"/></Relationships>
</file>

<file path=xl/worksheets/_rels/sheet191.xml.rels><?xml version="1.0" encoding="UTF-8" standalone="yes"?>
<Relationships xmlns="http://schemas.openxmlformats.org/package/2006/relationships"><Relationship Id="rId1" Type="http://schemas.openxmlformats.org/officeDocument/2006/relationships/printerSettings" Target="../printerSettings/printerSettings191.bin"/></Relationships>
</file>

<file path=xl/worksheets/_rels/sheet192.xml.rels><?xml version="1.0" encoding="UTF-8" standalone="yes"?>
<Relationships xmlns="http://schemas.openxmlformats.org/package/2006/relationships"><Relationship Id="rId1" Type="http://schemas.openxmlformats.org/officeDocument/2006/relationships/printerSettings" Target="../printerSettings/printerSettings192.bin"/></Relationships>
</file>

<file path=xl/worksheets/_rels/sheet193.xml.rels><?xml version="1.0" encoding="UTF-8" standalone="yes"?>
<Relationships xmlns="http://schemas.openxmlformats.org/package/2006/relationships"><Relationship Id="rId1" Type="http://schemas.openxmlformats.org/officeDocument/2006/relationships/printerSettings" Target="../printerSettings/printerSettings193.bin"/></Relationships>
</file>

<file path=xl/worksheets/_rels/sheet194.xml.rels><?xml version="1.0" encoding="UTF-8" standalone="yes"?>
<Relationships xmlns="http://schemas.openxmlformats.org/package/2006/relationships"><Relationship Id="rId1" Type="http://schemas.openxmlformats.org/officeDocument/2006/relationships/printerSettings" Target="../printerSettings/printerSettings194.bin"/></Relationships>
</file>

<file path=xl/worksheets/_rels/sheet195.xml.rels><?xml version="1.0" encoding="UTF-8" standalone="yes"?>
<Relationships xmlns="http://schemas.openxmlformats.org/package/2006/relationships"><Relationship Id="rId1" Type="http://schemas.openxmlformats.org/officeDocument/2006/relationships/printerSettings" Target="../printerSettings/printerSettings195.bin"/></Relationships>
</file>

<file path=xl/worksheets/_rels/sheet196.xml.rels><?xml version="1.0" encoding="UTF-8" standalone="yes"?>
<Relationships xmlns="http://schemas.openxmlformats.org/package/2006/relationships"><Relationship Id="rId1" Type="http://schemas.openxmlformats.org/officeDocument/2006/relationships/printerSettings" Target="../printerSettings/printerSettings196.bin"/></Relationships>
</file>

<file path=xl/worksheets/_rels/sheet197.xml.rels><?xml version="1.0" encoding="UTF-8" standalone="yes"?>
<Relationships xmlns="http://schemas.openxmlformats.org/package/2006/relationships"><Relationship Id="rId1" Type="http://schemas.openxmlformats.org/officeDocument/2006/relationships/printerSettings" Target="../printerSettings/printerSettings197.bin"/></Relationships>
</file>

<file path=xl/worksheets/_rels/sheet198.xml.rels><?xml version="1.0" encoding="UTF-8" standalone="yes"?>
<Relationships xmlns="http://schemas.openxmlformats.org/package/2006/relationships"><Relationship Id="rId1" Type="http://schemas.openxmlformats.org/officeDocument/2006/relationships/printerSettings" Target="../printerSettings/printerSettings198.bin"/></Relationships>
</file>

<file path=xl/worksheets/_rels/sheet199.xml.rels><?xml version="1.0" encoding="UTF-8" standalone="yes"?>
<Relationships xmlns="http://schemas.openxmlformats.org/package/2006/relationships"><Relationship Id="rId1" Type="http://schemas.openxmlformats.org/officeDocument/2006/relationships/printerSettings" Target="../printerSettings/printerSettings199.bin"/></Relationships>
</file>

<file path=xl/worksheets/_rels/sheet200.xml.rels><?xml version="1.0" encoding="UTF-8" standalone="yes"?>
<Relationships xmlns="http://schemas.openxmlformats.org/package/2006/relationships"><Relationship Id="rId1" Type="http://schemas.openxmlformats.org/officeDocument/2006/relationships/printerSettings" Target="../printerSettings/printerSettings200.bin"/></Relationships>
</file>

<file path=xl/worksheets/_rels/sheet201.xml.rels><?xml version="1.0" encoding="UTF-8" standalone="yes"?>
<Relationships xmlns="http://schemas.openxmlformats.org/package/2006/relationships"><Relationship Id="rId1" Type="http://schemas.openxmlformats.org/officeDocument/2006/relationships/printerSettings" Target="../printerSettings/printerSettings201.bin"/></Relationships>
</file>

<file path=xl/worksheets/_rels/sheet202.xml.rels><?xml version="1.0" encoding="UTF-8" standalone="yes"?>
<Relationships xmlns="http://schemas.openxmlformats.org/package/2006/relationships"><Relationship Id="rId1" Type="http://schemas.openxmlformats.org/officeDocument/2006/relationships/printerSettings" Target="../printerSettings/printerSettings202.bin"/></Relationships>
</file>

<file path=xl/worksheets/_rels/sheet203.xml.rels><?xml version="1.0" encoding="UTF-8" standalone="yes"?>
<Relationships xmlns="http://schemas.openxmlformats.org/package/2006/relationships"><Relationship Id="rId1" Type="http://schemas.openxmlformats.org/officeDocument/2006/relationships/printerSettings" Target="../printerSettings/printerSettings203.bin"/></Relationships>
</file>

<file path=xl/worksheets/_rels/sheet204.xml.rels><?xml version="1.0" encoding="UTF-8" standalone="yes"?>
<Relationships xmlns="http://schemas.openxmlformats.org/package/2006/relationships"><Relationship Id="rId1" Type="http://schemas.openxmlformats.org/officeDocument/2006/relationships/printerSettings" Target="../printerSettings/printerSettings204.bin"/></Relationships>
</file>

<file path=xl/worksheets/_rels/sheet205.xml.rels><?xml version="1.0" encoding="UTF-8" standalone="yes"?>
<Relationships xmlns="http://schemas.openxmlformats.org/package/2006/relationships"><Relationship Id="rId1" Type="http://schemas.openxmlformats.org/officeDocument/2006/relationships/printerSettings" Target="../printerSettings/printerSettings205.bin"/></Relationships>
</file>

<file path=xl/worksheets/_rels/sheet206.xml.rels><?xml version="1.0" encoding="UTF-8" standalone="yes"?>
<Relationships xmlns="http://schemas.openxmlformats.org/package/2006/relationships"><Relationship Id="rId1" Type="http://schemas.openxmlformats.org/officeDocument/2006/relationships/printerSettings" Target="../printerSettings/printerSettings206.bin"/></Relationships>
</file>

<file path=xl/worksheets/_rels/sheet207.xml.rels><?xml version="1.0" encoding="UTF-8" standalone="yes"?>
<Relationships xmlns="http://schemas.openxmlformats.org/package/2006/relationships"><Relationship Id="rId1" Type="http://schemas.openxmlformats.org/officeDocument/2006/relationships/printerSettings" Target="../printerSettings/printerSettings207.bin"/></Relationships>
</file>

<file path=xl/worksheets/_rels/sheet208.xml.rels><?xml version="1.0" encoding="UTF-8" standalone="yes"?>
<Relationships xmlns="http://schemas.openxmlformats.org/package/2006/relationships"><Relationship Id="rId1" Type="http://schemas.openxmlformats.org/officeDocument/2006/relationships/printerSettings" Target="../printerSettings/printerSettings208.bin"/></Relationships>
</file>

<file path=xl/worksheets/_rels/sheet209.xml.rels><?xml version="1.0" encoding="UTF-8" standalone="yes"?>
<Relationships xmlns="http://schemas.openxmlformats.org/package/2006/relationships"><Relationship Id="rId1" Type="http://schemas.openxmlformats.org/officeDocument/2006/relationships/printerSettings" Target="../printerSettings/printerSettings209.bin"/></Relationships>
</file>

<file path=xl/worksheets/_rels/sheet210.xml.rels><?xml version="1.0" encoding="UTF-8" standalone="yes"?>
<Relationships xmlns="http://schemas.openxmlformats.org/package/2006/relationships"><Relationship Id="rId1" Type="http://schemas.openxmlformats.org/officeDocument/2006/relationships/printerSettings" Target="../printerSettings/printerSettings210.bin"/></Relationships>
</file>

<file path=xl/worksheets/_rels/sheet211.xml.rels><?xml version="1.0" encoding="UTF-8" standalone="yes"?>
<Relationships xmlns="http://schemas.openxmlformats.org/package/2006/relationships"><Relationship Id="rId1" Type="http://schemas.openxmlformats.org/officeDocument/2006/relationships/printerSettings" Target="../printerSettings/printerSettings211.bin"/></Relationships>
</file>

<file path=xl/worksheets/_rels/sheet212.xml.rels><?xml version="1.0" encoding="UTF-8" standalone="yes"?>
<Relationships xmlns="http://schemas.openxmlformats.org/package/2006/relationships"><Relationship Id="rId1" Type="http://schemas.openxmlformats.org/officeDocument/2006/relationships/printerSettings" Target="../printerSettings/printerSettings212.bin"/></Relationships>
</file>

<file path=xl/worksheets/_rels/sheet213.xml.rels><?xml version="1.0" encoding="UTF-8" standalone="yes"?>
<Relationships xmlns="http://schemas.openxmlformats.org/package/2006/relationships"><Relationship Id="rId1" Type="http://schemas.openxmlformats.org/officeDocument/2006/relationships/printerSettings" Target="../printerSettings/printerSettings213.bin"/></Relationships>
</file>

<file path=xl/worksheets/_rels/sheet214.xml.rels><?xml version="1.0" encoding="UTF-8" standalone="yes"?>
<Relationships xmlns="http://schemas.openxmlformats.org/package/2006/relationships"><Relationship Id="rId1" Type="http://schemas.openxmlformats.org/officeDocument/2006/relationships/printerSettings" Target="../printerSettings/printerSettings214.bin"/></Relationships>
</file>

<file path=xl/worksheets/_rels/sheet215.xml.rels><?xml version="1.0" encoding="UTF-8" standalone="yes"?>
<Relationships xmlns="http://schemas.openxmlformats.org/package/2006/relationships"><Relationship Id="rId1" Type="http://schemas.openxmlformats.org/officeDocument/2006/relationships/printerSettings" Target="../printerSettings/printerSettings215.bin"/></Relationships>
</file>

<file path=xl/worksheets/_rels/sheet216.xml.rels><?xml version="1.0" encoding="UTF-8" standalone="yes"?>
<Relationships xmlns="http://schemas.openxmlformats.org/package/2006/relationships"><Relationship Id="rId1" Type="http://schemas.openxmlformats.org/officeDocument/2006/relationships/printerSettings" Target="../printerSettings/printerSettings216.bin"/></Relationships>
</file>

<file path=xl/worksheets/_rels/sheet217.xml.rels><?xml version="1.0" encoding="UTF-8" standalone="yes"?>
<Relationships xmlns="http://schemas.openxmlformats.org/package/2006/relationships"><Relationship Id="rId1" Type="http://schemas.openxmlformats.org/officeDocument/2006/relationships/printerSettings" Target="../printerSettings/printerSettings217.bin"/></Relationships>
</file>

<file path=xl/worksheets/_rels/sheet218.xml.rels><?xml version="1.0" encoding="UTF-8" standalone="yes"?>
<Relationships xmlns="http://schemas.openxmlformats.org/package/2006/relationships"><Relationship Id="rId1" Type="http://schemas.openxmlformats.org/officeDocument/2006/relationships/printerSettings" Target="../printerSettings/printerSettings218.bin"/></Relationships>
</file>

<file path=xl/worksheets/_rels/sheet219.xml.rels><?xml version="1.0" encoding="UTF-8" standalone="yes"?>
<Relationships xmlns="http://schemas.openxmlformats.org/package/2006/relationships"><Relationship Id="rId1" Type="http://schemas.openxmlformats.org/officeDocument/2006/relationships/printerSettings" Target="../printerSettings/printerSettings219.bin"/></Relationships>
</file>

<file path=xl/worksheets/_rels/sheet220.xml.rels><?xml version="1.0" encoding="UTF-8" standalone="yes"?>
<Relationships xmlns="http://schemas.openxmlformats.org/package/2006/relationships"><Relationship Id="rId1" Type="http://schemas.openxmlformats.org/officeDocument/2006/relationships/printerSettings" Target="../printerSettings/printerSettings220.bin"/></Relationships>
</file>

<file path=xl/worksheets/_rels/sheet221.xml.rels><?xml version="1.0" encoding="UTF-8" standalone="yes"?>
<Relationships xmlns="http://schemas.openxmlformats.org/package/2006/relationships"><Relationship Id="rId1" Type="http://schemas.openxmlformats.org/officeDocument/2006/relationships/printerSettings" Target="../printerSettings/printerSettings221.bin"/></Relationships>
</file>

<file path=xl/worksheets/_rels/sheet222.xml.rels><?xml version="1.0" encoding="UTF-8" standalone="yes"?>
<Relationships xmlns="http://schemas.openxmlformats.org/package/2006/relationships"><Relationship Id="rId1" Type="http://schemas.openxmlformats.org/officeDocument/2006/relationships/printerSettings" Target="../printerSettings/printerSettings222.bin"/></Relationships>
</file>

<file path=xl/worksheets/_rels/sheet223.xml.rels><?xml version="1.0" encoding="UTF-8" standalone="yes"?>
<Relationships xmlns="http://schemas.openxmlformats.org/package/2006/relationships"><Relationship Id="rId1" Type="http://schemas.openxmlformats.org/officeDocument/2006/relationships/printerSettings" Target="../printerSettings/printerSettings223.bin"/></Relationships>
</file>

<file path=xl/worksheets/_rels/sheet224.xml.rels><?xml version="1.0" encoding="UTF-8" standalone="yes"?>
<Relationships xmlns="http://schemas.openxmlformats.org/package/2006/relationships"><Relationship Id="rId1" Type="http://schemas.openxmlformats.org/officeDocument/2006/relationships/printerSettings" Target="../printerSettings/printerSettings224.bin"/></Relationships>
</file>

<file path=xl/worksheets/_rels/sheet225.xml.rels><?xml version="1.0" encoding="UTF-8" standalone="yes"?>
<Relationships xmlns="http://schemas.openxmlformats.org/package/2006/relationships"><Relationship Id="rId1" Type="http://schemas.openxmlformats.org/officeDocument/2006/relationships/printerSettings" Target="../printerSettings/printerSettings225.bin"/></Relationships>
</file>

<file path=xl/worksheets/_rels/sheet226.xml.rels><?xml version="1.0" encoding="UTF-8" standalone="yes"?>
<Relationships xmlns="http://schemas.openxmlformats.org/package/2006/relationships"><Relationship Id="rId1" Type="http://schemas.openxmlformats.org/officeDocument/2006/relationships/printerSettings" Target="../printerSettings/printerSettings226.bin"/></Relationships>
</file>

<file path=xl/worksheets/_rels/sheet227.xml.rels><?xml version="1.0" encoding="UTF-8" standalone="yes"?>
<Relationships xmlns="http://schemas.openxmlformats.org/package/2006/relationships"><Relationship Id="rId1" Type="http://schemas.openxmlformats.org/officeDocument/2006/relationships/printerSettings" Target="../printerSettings/printerSettings227.bin"/></Relationships>
</file>

<file path=xl/worksheets/_rels/sheet228.xml.rels><?xml version="1.0" encoding="UTF-8" standalone="yes"?>
<Relationships xmlns="http://schemas.openxmlformats.org/package/2006/relationships"><Relationship Id="rId1" Type="http://schemas.openxmlformats.org/officeDocument/2006/relationships/printerSettings" Target="../printerSettings/printerSettings228.bin"/></Relationships>
</file>

<file path=xl/worksheets/_rels/sheet229.xml.rels><?xml version="1.0" encoding="UTF-8" standalone="yes"?>
<Relationships xmlns="http://schemas.openxmlformats.org/package/2006/relationships"><Relationship Id="rId1" Type="http://schemas.openxmlformats.org/officeDocument/2006/relationships/printerSettings" Target="../printerSettings/printerSettings229.bin"/></Relationships>
</file>

<file path=xl/worksheets/_rels/sheet230.xml.rels><?xml version="1.0" encoding="UTF-8" standalone="yes"?>
<Relationships xmlns="http://schemas.openxmlformats.org/package/2006/relationships"><Relationship Id="rId1" Type="http://schemas.openxmlformats.org/officeDocument/2006/relationships/printerSettings" Target="../printerSettings/printerSettings230.bin"/></Relationships>
</file>

<file path=xl/worksheets/_rels/sheet231.xml.rels><?xml version="1.0" encoding="UTF-8" standalone="yes"?>
<Relationships xmlns="http://schemas.openxmlformats.org/package/2006/relationships"><Relationship Id="rId1" Type="http://schemas.openxmlformats.org/officeDocument/2006/relationships/printerSettings" Target="../printerSettings/printerSettings231.bin"/></Relationships>
</file>

<file path=xl/worksheets/_rels/sheet232.xml.rels><?xml version="1.0" encoding="UTF-8" standalone="yes"?>
<Relationships xmlns="http://schemas.openxmlformats.org/package/2006/relationships"><Relationship Id="rId1" Type="http://schemas.openxmlformats.org/officeDocument/2006/relationships/printerSettings" Target="../printerSettings/printerSettings232.bin"/></Relationships>
</file>

<file path=xl/worksheets/_rels/sheet233.xml.rels><?xml version="1.0" encoding="UTF-8" standalone="yes"?>
<Relationships xmlns="http://schemas.openxmlformats.org/package/2006/relationships"><Relationship Id="rId1" Type="http://schemas.openxmlformats.org/officeDocument/2006/relationships/printerSettings" Target="../printerSettings/printerSettings233.bin"/></Relationships>
</file>

<file path=xl/worksheets/_rels/sheet234.xml.rels><?xml version="1.0" encoding="UTF-8" standalone="yes"?>
<Relationships xmlns="http://schemas.openxmlformats.org/package/2006/relationships"><Relationship Id="rId1" Type="http://schemas.openxmlformats.org/officeDocument/2006/relationships/printerSettings" Target="../printerSettings/printerSettings234.bin"/></Relationships>
</file>

<file path=xl/worksheets/_rels/sheet235.xml.rels><?xml version="1.0" encoding="UTF-8" standalone="yes"?>
<Relationships xmlns="http://schemas.openxmlformats.org/package/2006/relationships"><Relationship Id="rId1" Type="http://schemas.openxmlformats.org/officeDocument/2006/relationships/printerSettings" Target="../printerSettings/printerSettings235.bin"/></Relationships>
</file>

<file path=xl/worksheets/_rels/sheet236.xml.rels><?xml version="1.0" encoding="UTF-8" standalone="yes"?>
<Relationships xmlns="http://schemas.openxmlformats.org/package/2006/relationships"><Relationship Id="rId1" Type="http://schemas.openxmlformats.org/officeDocument/2006/relationships/printerSettings" Target="../printerSettings/printerSettings236.bin"/></Relationships>
</file>

<file path=xl/worksheets/_rels/sheet237.xml.rels><?xml version="1.0" encoding="UTF-8" standalone="yes"?>
<Relationships xmlns="http://schemas.openxmlformats.org/package/2006/relationships"><Relationship Id="rId1" Type="http://schemas.openxmlformats.org/officeDocument/2006/relationships/printerSettings" Target="../printerSettings/printerSettings237.bin"/></Relationships>
</file>

<file path=xl/worksheets/_rels/sheet238.xml.rels><?xml version="1.0" encoding="UTF-8" standalone="yes"?>
<Relationships xmlns="http://schemas.openxmlformats.org/package/2006/relationships"><Relationship Id="rId1" Type="http://schemas.openxmlformats.org/officeDocument/2006/relationships/printerSettings" Target="../printerSettings/printerSettings238.bin"/></Relationships>
</file>

<file path=xl/worksheets/_rels/sheet239.xml.rels><?xml version="1.0" encoding="UTF-8" standalone="yes"?>
<Relationships xmlns="http://schemas.openxmlformats.org/package/2006/relationships"><Relationship Id="rId1" Type="http://schemas.openxmlformats.org/officeDocument/2006/relationships/printerSettings" Target="../printerSettings/printerSettings239.bin"/></Relationships>
</file>

<file path=xl/worksheets/_rels/sheet240.xml.rels><?xml version="1.0" encoding="UTF-8" standalone="yes"?>
<Relationships xmlns="http://schemas.openxmlformats.org/package/2006/relationships"><Relationship Id="rId1" Type="http://schemas.openxmlformats.org/officeDocument/2006/relationships/printerSettings" Target="../printerSettings/printerSettings240.bin"/></Relationships>
</file>

<file path=xl/worksheets/_rels/sheet241.xml.rels><?xml version="1.0" encoding="UTF-8" standalone="yes"?>
<Relationships xmlns="http://schemas.openxmlformats.org/package/2006/relationships"><Relationship Id="rId1" Type="http://schemas.openxmlformats.org/officeDocument/2006/relationships/printerSettings" Target="../printerSettings/printerSettings241.bin"/></Relationships>
</file>

<file path=xl/worksheets/_rels/sheet242.xml.rels><?xml version="1.0" encoding="UTF-8" standalone="yes"?>
<Relationships xmlns="http://schemas.openxmlformats.org/package/2006/relationships"><Relationship Id="rId1" Type="http://schemas.openxmlformats.org/officeDocument/2006/relationships/printerSettings" Target="../printerSettings/printerSettings242.bin"/></Relationships>
</file>

<file path=xl/worksheets/_rels/sheet243.xml.rels><?xml version="1.0" encoding="UTF-8" standalone="yes"?>
<Relationships xmlns="http://schemas.openxmlformats.org/package/2006/relationships"><Relationship Id="rId1" Type="http://schemas.openxmlformats.org/officeDocument/2006/relationships/printerSettings" Target="../printerSettings/printerSettings243.bin"/></Relationships>
</file>

<file path=xl/worksheets/_rels/sheet244.xml.rels><?xml version="1.0" encoding="UTF-8" standalone="yes"?>
<Relationships xmlns="http://schemas.openxmlformats.org/package/2006/relationships"><Relationship Id="rId1" Type="http://schemas.openxmlformats.org/officeDocument/2006/relationships/printerSettings" Target="../printerSettings/printerSettings244.bin"/></Relationships>
</file>

<file path=xl/worksheets/_rels/sheet245.xml.rels><?xml version="1.0" encoding="UTF-8" standalone="yes"?>
<Relationships xmlns="http://schemas.openxmlformats.org/package/2006/relationships"><Relationship Id="rId1" Type="http://schemas.openxmlformats.org/officeDocument/2006/relationships/printerSettings" Target="../printerSettings/printerSettings245.bin"/></Relationships>
</file>

<file path=xl/worksheets/_rels/sheet246.xml.rels><?xml version="1.0" encoding="UTF-8" standalone="yes"?>
<Relationships xmlns="http://schemas.openxmlformats.org/package/2006/relationships"><Relationship Id="rId1" Type="http://schemas.openxmlformats.org/officeDocument/2006/relationships/printerSettings" Target="../printerSettings/printerSettings246.bin"/></Relationships>
</file>

<file path=xl/worksheets/_rels/sheet247.xml.rels><?xml version="1.0" encoding="UTF-8" standalone="yes"?>
<Relationships xmlns="http://schemas.openxmlformats.org/package/2006/relationships"><Relationship Id="rId1" Type="http://schemas.openxmlformats.org/officeDocument/2006/relationships/printerSettings" Target="../printerSettings/printerSettings247.bin"/></Relationships>
</file>

<file path=xl/worksheets/_rels/sheet248.xml.rels><?xml version="1.0" encoding="UTF-8" standalone="yes"?>
<Relationships xmlns="http://schemas.openxmlformats.org/package/2006/relationships"><Relationship Id="rId1" Type="http://schemas.openxmlformats.org/officeDocument/2006/relationships/printerSettings" Target="../printerSettings/printerSettings248.bin"/></Relationships>
</file>

<file path=xl/worksheets/_rels/sheet249.xml.rels><?xml version="1.0" encoding="UTF-8" standalone="yes"?>
<Relationships xmlns="http://schemas.openxmlformats.org/package/2006/relationships"><Relationship Id="rId1" Type="http://schemas.openxmlformats.org/officeDocument/2006/relationships/printerSettings" Target="../printerSettings/printerSettings249.bin"/></Relationships>
</file>

<file path=xl/worksheets/_rels/sheet250.xml.rels><?xml version="1.0" encoding="UTF-8" standalone="yes"?>
<Relationships xmlns="http://schemas.openxmlformats.org/package/2006/relationships"><Relationship Id="rId1" Type="http://schemas.openxmlformats.org/officeDocument/2006/relationships/printerSettings" Target="../printerSettings/printerSettings250.bin"/></Relationships>
</file>

<file path=xl/worksheets/_rels/sheet251.xml.rels><?xml version="1.0" encoding="UTF-8" standalone="yes"?>
<Relationships xmlns="http://schemas.openxmlformats.org/package/2006/relationships"><Relationship Id="rId1" Type="http://schemas.openxmlformats.org/officeDocument/2006/relationships/printerSettings" Target="../printerSettings/printerSettings251.bin"/></Relationships>
</file>

<file path=xl/worksheets/_rels/sheet252.xml.rels><?xml version="1.0" encoding="UTF-8" standalone="yes"?>
<Relationships xmlns="http://schemas.openxmlformats.org/package/2006/relationships"><Relationship Id="rId1" Type="http://schemas.openxmlformats.org/officeDocument/2006/relationships/printerSettings" Target="../printerSettings/printerSettings252.bin"/></Relationships>
</file>

<file path=xl/worksheets/_rels/sheet253.xml.rels><?xml version="1.0" encoding="UTF-8" standalone="yes"?>
<Relationships xmlns="http://schemas.openxmlformats.org/package/2006/relationships"><Relationship Id="rId1" Type="http://schemas.openxmlformats.org/officeDocument/2006/relationships/printerSettings" Target="../printerSettings/printerSettings253.bin"/></Relationships>
</file>

<file path=xl/worksheets/_rels/sheet254.xml.rels><?xml version="1.0" encoding="UTF-8" standalone="yes"?>
<Relationships xmlns="http://schemas.openxmlformats.org/package/2006/relationships"><Relationship Id="rId1" Type="http://schemas.openxmlformats.org/officeDocument/2006/relationships/printerSettings" Target="../printerSettings/printerSettings254.bin"/></Relationships>
</file>

<file path=xl/worksheets/_rels/sheet255.xml.rels><?xml version="1.0" encoding="UTF-8" standalone="yes"?>
<Relationships xmlns="http://schemas.openxmlformats.org/package/2006/relationships"><Relationship Id="rId1" Type="http://schemas.openxmlformats.org/officeDocument/2006/relationships/printerSettings" Target="../printerSettings/printerSettings255.bin"/></Relationships>
</file>

<file path=xl/worksheets/_rels/sheet256.xml.rels><?xml version="1.0" encoding="UTF-8" standalone="yes"?>
<Relationships xmlns="http://schemas.openxmlformats.org/package/2006/relationships"><Relationship Id="rId1" Type="http://schemas.openxmlformats.org/officeDocument/2006/relationships/printerSettings" Target="../printerSettings/printerSettings256.bin"/></Relationships>
</file>

<file path=xl/worksheets/_rels/sheet257.xml.rels><?xml version="1.0" encoding="UTF-8" standalone="yes"?>
<Relationships xmlns="http://schemas.openxmlformats.org/package/2006/relationships"><Relationship Id="rId1" Type="http://schemas.openxmlformats.org/officeDocument/2006/relationships/printerSettings" Target="../printerSettings/printerSettings257.bin"/></Relationships>
</file>

<file path=xl/worksheets/_rels/sheet258.xml.rels><?xml version="1.0" encoding="UTF-8" standalone="yes"?>
<Relationships xmlns="http://schemas.openxmlformats.org/package/2006/relationships"><Relationship Id="rId1" Type="http://schemas.openxmlformats.org/officeDocument/2006/relationships/printerSettings" Target="../printerSettings/printerSettings258.bin"/></Relationships>
</file>

<file path=xl/worksheets/_rels/sheet259.xml.rels><?xml version="1.0" encoding="UTF-8" standalone="yes"?>
<Relationships xmlns="http://schemas.openxmlformats.org/package/2006/relationships"><Relationship Id="rId1" Type="http://schemas.openxmlformats.org/officeDocument/2006/relationships/printerSettings" Target="../printerSettings/printerSettings259.bin"/></Relationships>
</file>

<file path=xl/worksheets/_rels/sheet260.xml.rels><?xml version="1.0" encoding="UTF-8" standalone="yes"?>
<Relationships xmlns="http://schemas.openxmlformats.org/package/2006/relationships"><Relationship Id="rId1" Type="http://schemas.openxmlformats.org/officeDocument/2006/relationships/printerSettings" Target="../printerSettings/printerSettings260.bin"/></Relationships>
</file>

<file path=xl/worksheets/_rels/sheet261.xml.rels><?xml version="1.0" encoding="UTF-8" standalone="yes"?>
<Relationships xmlns="http://schemas.openxmlformats.org/package/2006/relationships"><Relationship Id="rId1" Type="http://schemas.openxmlformats.org/officeDocument/2006/relationships/printerSettings" Target="../printerSettings/printerSettings261.bin"/></Relationships>
</file>

<file path=xl/worksheets/_rels/sheet262.xml.rels><?xml version="1.0" encoding="UTF-8" standalone="yes"?>
<Relationships xmlns="http://schemas.openxmlformats.org/package/2006/relationships"><Relationship Id="rId1" Type="http://schemas.openxmlformats.org/officeDocument/2006/relationships/printerSettings" Target="../printerSettings/printerSettings262.bin"/></Relationships>
</file>

<file path=xl/worksheets/_rels/sheet263.xml.rels><?xml version="1.0" encoding="UTF-8" standalone="yes"?>
<Relationships xmlns="http://schemas.openxmlformats.org/package/2006/relationships"><Relationship Id="rId1" Type="http://schemas.openxmlformats.org/officeDocument/2006/relationships/printerSettings" Target="../printerSettings/printerSettings263.bin"/></Relationships>
</file>

<file path=xl/worksheets/_rels/sheet264.xml.rels><?xml version="1.0" encoding="UTF-8" standalone="yes"?>
<Relationships xmlns="http://schemas.openxmlformats.org/package/2006/relationships"><Relationship Id="rId1" Type="http://schemas.openxmlformats.org/officeDocument/2006/relationships/printerSettings" Target="../printerSettings/printerSettings264.bin"/></Relationships>
</file>

<file path=xl/worksheets/_rels/sheet265.xml.rels><?xml version="1.0" encoding="UTF-8" standalone="yes"?>
<Relationships xmlns="http://schemas.openxmlformats.org/package/2006/relationships"><Relationship Id="rId1" Type="http://schemas.openxmlformats.org/officeDocument/2006/relationships/printerSettings" Target="../printerSettings/printerSettings265.bin"/></Relationships>
</file>

<file path=xl/worksheets/_rels/sheet266.xml.rels><?xml version="1.0" encoding="UTF-8" standalone="yes"?>
<Relationships xmlns="http://schemas.openxmlformats.org/package/2006/relationships"><Relationship Id="rId1" Type="http://schemas.openxmlformats.org/officeDocument/2006/relationships/printerSettings" Target="../printerSettings/printerSettings266.bin"/></Relationships>
</file>

<file path=xl/worksheets/_rels/sheet267.xml.rels><?xml version="1.0" encoding="UTF-8" standalone="yes"?>
<Relationships xmlns="http://schemas.openxmlformats.org/package/2006/relationships"><Relationship Id="rId1" Type="http://schemas.openxmlformats.org/officeDocument/2006/relationships/printerSettings" Target="../printerSettings/printerSettings267.bin"/></Relationships>
</file>

<file path=xl/worksheets/_rels/sheet268.xml.rels><?xml version="1.0" encoding="UTF-8" standalone="yes"?>
<Relationships xmlns="http://schemas.openxmlformats.org/package/2006/relationships"><Relationship Id="rId1" Type="http://schemas.openxmlformats.org/officeDocument/2006/relationships/printerSettings" Target="../printerSettings/printerSettings268.bin"/></Relationships>
</file>

<file path=xl/worksheets/_rels/sheet269.xml.rels><?xml version="1.0" encoding="UTF-8" standalone="yes"?>
<Relationships xmlns="http://schemas.openxmlformats.org/package/2006/relationships"><Relationship Id="rId1" Type="http://schemas.openxmlformats.org/officeDocument/2006/relationships/printerSettings" Target="../printerSettings/printerSettings269.bin"/></Relationships>
</file>

<file path=xl/worksheets/_rels/sheet270.xml.rels><?xml version="1.0" encoding="UTF-8" standalone="yes"?>
<Relationships xmlns="http://schemas.openxmlformats.org/package/2006/relationships"><Relationship Id="rId1" Type="http://schemas.openxmlformats.org/officeDocument/2006/relationships/printerSettings" Target="../printerSettings/printerSettings270.bin"/></Relationships>
</file>

<file path=xl/worksheets/_rels/sheet271.xml.rels><?xml version="1.0" encoding="UTF-8" standalone="yes"?>
<Relationships xmlns="http://schemas.openxmlformats.org/package/2006/relationships"><Relationship Id="rId1" Type="http://schemas.openxmlformats.org/officeDocument/2006/relationships/printerSettings" Target="../printerSettings/printerSettings271.bin"/></Relationships>
</file>

<file path=xl/worksheets/_rels/sheet272.xml.rels><?xml version="1.0" encoding="UTF-8" standalone="yes"?>
<Relationships xmlns="http://schemas.openxmlformats.org/package/2006/relationships"><Relationship Id="rId1" Type="http://schemas.openxmlformats.org/officeDocument/2006/relationships/printerSettings" Target="../printerSettings/printerSettings272.bin"/></Relationships>
</file>

<file path=xl/worksheets/_rels/sheet273.xml.rels><?xml version="1.0" encoding="UTF-8" standalone="yes"?>
<Relationships xmlns="http://schemas.openxmlformats.org/package/2006/relationships"><Relationship Id="rId1" Type="http://schemas.openxmlformats.org/officeDocument/2006/relationships/printerSettings" Target="../printerSettings/printerSettings273.bin"/></Relationships>
</file>

<file path=xl/worksheets/_rels/sheet274.xml.rels><?xml version="1.0" encoding="UTF-8" standalone="yes"?>
<Relationships xmlns="http://schemas.openxmlformats.org/package/2006/relationships"><Relationship Id="rId1" Type="http://schemas.openxmlformats.org/officeDocument/2006/relationships/printerSettings" Target="../printerSettings/printerSettings274.bin"/></Relationships>
</file>

<file path=xl/worksheets/_rels/sheet275.xml.rels><?xml version="1.0" encoding="UTF-8" standalone="yes"?>
<Relationships xmlns="http://schemas.openxmlformats.org/package/2006/relationships"><Relationship Id="rId1" Type="http://schemas.openxmlformats.org/officeDocument/2006/relationships/printerSettings" Target="../printerSettings/printerSettings275.bin"/></Relationships>
</file>

<file path=xl/worksheets/_rels/sheet276.xml.rels><?xml version="1.0" encoding="UTF-8" standalone="yes"?>
<Relationships xmlns="http://schemas.openxmlformats.org/package/2006/relationships"><Relationship Id="rId1" Type="http://schemas.openxmlformats.org/officeDocument/2006/relationships/printerSettings" Target="../printerSettings/printerSettings276.bin"/></Relationships>
</file>

<file path=xl/worksheets/_rels/sheet277.xml.rels><?xml version="1.0" encoding="UTF-8" standalone="yes"?>
<Relationships xmlns="http://schemas.openxmlformats.org/package/2006/relationships"><Relationship Id="rId1" Type="http://schemas.openxmlformats.org/officeDocument/2006/relationships/printerSettings" Target="../printerSettings/printerSettings277.bin"/></Relationships>
</file>

<file path=xl/worksheets/_rels/sheet278.xml.rels><?xml version="1.0" encoding="UTF-8" standalone="yes"?>
<Relationships xmlns="http://schemas.openxmlformats.org/package/2006/relationships"><Relationship Id="rId1" Type="http://schemas.openxmlformats.org/officeDocument/2006/relationships/printerSettings" Target="../printerSettings/printerSettings278.bin"/></Relationships>
</file>

<file path=xl/worksheets/_rels/sheet279.xml.rels><?xml version="1.0" encoding="UTF-8" standalone="yes"?>
<Relationships xmlns="http://schemas.openxmlformats.org/package/2006/relationships"><Relationship Id="rId1" Type="http://schemas.openxmlformats.org/officeDocument/2006/relationships/printerSettings" Target="../printerSettings/printerSettings279.bin"/></Relationships>
</file>

<file path=xl/worksheets/_rels/sheet280.xml.rels><?xml version="1.0" encoding="UTF-8" standalone="yes"?>
<Relationships xmlns="http://schemas.openxmlformats.org/package/2006/relationships"><Relationship Id="rId1" Type="http://schemas.openxmlformats.org/officeDocument/2006/relationships/printerSettings" Target="../printerSettings/printerSettings280.bin"/></Relationships>
</file>

<file path=xl/worksheets/_rels/sheet281.xml.rels><?xml version="1.0" encoding="UTF-8" standalone="yes"?>
<Relationships xmlns="http://schemas.openxmlformats.org/package/2006/relationships"><Relationship Id="rId1" Type="http://schemas.openxmlformats.org/officeDocument/2006/relationships/printerSettings" Target="../printerSettings/printerSettings281.bin"/></Relationships>
</file>

<file path=xl/worksheets/_rels/sheet282.xml.rels><?xml version="1.0" encoding="UTF-8" standalone="yes"?>
<Relationships xmlns="http://schemas.openxmlformats.org/package/2006/relationships"><Relationship Id="rId1" Type="http://schemas.openxmlformats.org/officeDocument/2006/relationships/printerSettings" Target="../printerSettings/printerSettings282.bin"/></Relationships>
</file>

<file path=xl/worksheets/_rels/sheet283.xml.rels><?xml version="1.0" encoding="UTF-8" standalone="yes"?>
<Relationships xmlns="http://schemas.openxmlformats.org/package/2006/relationships"><Relationship Id="rId1" Type="http://schemas.openxmlformats.org/officeDocument/2006/relationships/printerSettings" Target="../printerSettings/printerSettings283.bin"/></Relationships>
</file>

<file path=xl/worksheets/_rels/sheet284.xml.rels><?xml version="1.0" encoding="UTF-8" standalone="yes"?>
<Relationships xmlns="http://schemas.openxmlformats.org/package/2006/relationships"><Relationship Id="rId1" Type="http://schemas.openxmlformats.org/officeDocument/2006/relationships/printerSettings" Target="../printerSettings/printerSettings284.bin"/></Relationships>
</file>

<file path=xl/worksheets/_rels/sheet285.xml.rels><?xml version="1.0" encoding="UTF-8" standalone="yes"?>
<Relationships xmlns="http://schemas.openxmlformats.org/package/2006/relationships"><Relationship Id="rId1" Type="http://schemas.openxmlformats.org/officeDocument/2006/relationships/printerSettings" Target="../printerSettings/printerSettings285.bin"/></Relationships>
</file>

<file path=xl/worksheets/_rels/sheet286.xml.rels><?xml version="1.0" encoding="UTF-8" standalone="yes"?>
<Relationships xmlns="http://schemas.openxmlformats.org/package/2006/relationships"><Relationship Id="rId1" Type="http://schemas.openxmlformats.org/officeDocument/2006/relationships/printerSettings" Target="../printerSettings/printerSettings286.bin"/></Relationships>
</file>

<file path=xl/worksheets/_rels/sheet287.xml.rels><?xml version="1.0" encoding="UTF-8" standalone="yes"?>
<Relationships xmlns="http://schemas.openxmlformats.org/package/2006/relationships"><Relationship Id="rId1" Type="http://schemas.openxmlformats.org/officeDocument/2006/relationships/printerSettings" Target="../printerSettings/printerSettings287.bin"/></Relationships>
</file>

<file path=xl/worksheets/_rels/sheet288.xml.rels><?xml version="1.0" encoding="UTF-8" standalone="yes"?>
<Relationships xmlns="http://schemas.openxmlformats.org/package/2006/relationships"><Relationship Id="rId1" Type="http://schemas.openxmlformats.org/officeDocument/2006/relationships/printerSettings" Target="../printerSettings/printerSettings288.bin"/></Relationships>
</file>

<file path=xl/worksheets/_rels/sheet289.xml.rels><?xml version="1.0" encoding="UTF-8" standalone="yes"?>
<Relationships xmlns="http://schemas.openxmlformats.org/package/2006/relationships"><Relationship Id="rId1" Type="http://schemas.openxmlformats.org/officeDocument/2006/relationships/printerSettings" Target="../printerSettings/printerSettings289.bin"/></Relationships>
</file>

<file path=xl/worksheets/_rels/sheet290.xml.rels><?xml version="1.0" encoding="UTF-8" standalone="yes"?>
<Relationships xmlns="http://schemas.openxmlformats.org/package/2006/relationships"><Relationship Id="rId1" Type="http://schemas.openxmlformats.org/officeDocument/2006/relationships/printerSettings" Target="../printerSettings/printerSettings290.bin"/></Relationships>
</file>

<file path=xl/worksheets/_rels/sheet291.xml.rels><?xml version="1.0" encoding="UTF-8" standalone="yes"?>
<Relationships xmlns="http://schemas.openxmlformats.org/package/2006/relationships"><Relationship Id="rId1" Type="http://schemas.openxmlformats.org/officeDocument/2006/relationships/printerSettings" Target="../printerSettings/printerSettings291.bin"/></Relationships>
</file>

<file path=xl/worksheets/_rels/sheet292.xml.rels><?xml version="1.0" encoding="UTF-8" standalone="yes"?>
<Relationships xmlns="http://schemas.openxmlformats.org/package/2006/relationships"><Relationship Id="rId1" Type="http://schemas.openxmlformats.org/officeDocument/2006/relationships/printerSettings" Target="../printerSettings/printerSettings292.bin"/></Relationships>
</file>

<file path=xl/worksheets/_rels/sheet293.xml.rels><?xml version="1.0" encoding="UTF-8" standalone="yes"?>
<Relationships xmlns="http://schemas.openxmlformats.org/package/2006/relationships"><Relationship Id="rId1" Type="http://schemas.openxmlformats.org/officeDocument/2006/relationships/printerSettings" Target="../printerSettings/printerSettings293.bin"/></Relationships>
</file>

<file path=xl/worksheets/_rels/sheet294.xml.rels><?xml version="1.0" encoding="UTF-8" standalone="yes"?>
<Relationships xmlns="http://schemas.openxmlformats.org/package/2006/relationships"><Relationship Id="rId1" Type="http://schemas.openxmlformats.org/officeDocument/2006/relationships/printerSettings" Target="../printerSettings/printerSettings294.bin"/></Relationships>
</file>

<file path=xl/worksheets/_rels/sheet295.xml.rels><?xml version="1.0" encoding="UTF-8" standalone="yes"?>
<Relationships xmlns="http://schemas.openxmlformats.org/package/2006/relationships"><Relationship Id="rId1" Type="http://schemas.openxmlformats.org/officeDocument/2006/relationships/printerSettings" Target="../printerSettings/printerSettings295.bin"/></Relationships>
</file>

<file path=xl/worksheets/_rels/sheet296.xml.rels><?xml version="1.0" encoding="UTF-8" standalone="yes"?>
<Relationships xmlns="http://schemas.openxmlformats.org/package/2006/relationships"><Relationship Id="rId1" Type="http://schemas.openxmlformats.org/officeDocument/2006/relationships/printerSettings" Target="../printerSettings/printerSettings296.bin"/></Relationships>
</file>

<file path=xl/worksheets/_rels/sheet297.xml.rels><?xml version="1.0" encoding="UTF-8" standalone="yes"?>
<Relationships xmlns="http://schemas.openxmlformats.org/package/2006/relationships"><Relationship Id="rId1" Type="http://schemas.openxmlformats.org/officeDocument/2006/relationships/printerSettings" Target="../printerSettings/printerSettings297.bin"/></Relationships>
</file>

<file path=xl/worksheets/_rels/sheet298.xml.rels><?xml version="1.0" encoding="UTF-8" standalone="yes"?>
<Relationships xmlns="http://schemas.openxmlformats.org/package/2006/relationships"><Relationship Id="rId1" Type="http://schemas.openxmlformats.org/officeDocument/2006/relationships/printerSettings" Target="../printerSettings/printerSettings298.bin"/></Relationships>
</file>

<file path=xl/worksheets/_rels/sheet299.xml.rels><?xml version="1.0" encoding="UTF-8" standalone="yes"?>
<Relationships xmlns="http://schemas.openxmlformats.org/package/2006/relationships"><Relationship Id="rId1" Type="http://schemas.openxmlformats.org/officeDocument/2006/relationships/printerSettings" Target="../printerSettings/printerSettings299.bin"/></Relationships>
</file>

<file path=xl/worksheets/_rels/sheet300.xml.rels><?xml version="1.0" encoding="UTF-8" standalone="yes"?>
<Relationships xmlns="http://schemas.openxmlformats.org/package/2006/relationships"><Relationship Id="rId1" Type="http://schemas.openxmlformats.org/officeDocument/2006/relationships/printerSettings" Target="../printerSettings/printerSettings300.bin"/></Relationships>
</file>

<file path=xl/worksheets/_rels/sheet301.xml.rels><?xml version="1.0" encoding="UTF-8" standalone="yes"?>
<Relationships xmlns="http://schemas.openxmlformats.org/package/2006/relationships"><Relationship Id="rId1" Type="http://schemas.openxmlformats.org/officeDocument/2006/relationships/printerSettings" Target="../printerSettings/printerSettings301.bin"/></Relationships>
</file>

<file path=xl/worksheets/_rels/sheet302.xml.rels><?xml version="1.0" encoding="UTF-8" standalone="yes"?>
<Relationships xmlns="http://schemas.openxmlformats.org/package/2006/relationships"><Relationship Id="rId1" Type="http://schemas.openxmlformats.org/officeDocument/2006/relationships/printerSettings" Target="../printerSettings/printerSettings302.bin"/></Relationships>
</file>

<file path=xl/worksheets/_rels/sheet303.xml.rels><?xml version="1.0" encoding="UTF-8" standalone="yes"?>
<Relationships xmlns="http://schemas.openxmlformats.org/package/2006/relationships"><Relationship Id="rId1" Type="http://schemas.openxmlformats.org/officeDocument/2006/relationships/printerSettings" Target="../printerSettings/printerSettings303.bin"/></Relationships>
</file>

<file path=xl/worksheets/_rels/sheet304.xml.rels><?xml version="1.0" encoding="UTF-8" standalone="yes"?>
<Relationships xmlns="http://schemas.openxmlformats.org/package/2006/relationships"><Relationship Id="rId1" Type="http://schemas.openxmlformats.org/officeDocument/2006/relationships/printerSettings" Target="../printerSettings/printerSettings304.bin"/></Relationships>
</file>

<file path=xl/worksheets/_rels/sheet305.xml.rels><?xml version="1.0" encoding="UTF-8" standalone="yes"?>
<Relationships xmlns="http://schemas.openxmlformats.org/package/2006/relationships"><Relationship Id="rId1" Type="http://schemas.openxmlformats.org/officeDocument/2006/relationships/printerSettings" Target="../printerSettings/printerSettings30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5"/>
  <sheetViews>
    <sheetView zoomScaleNormal="100" workbookViewId="0">
      <selection activeCell="E3" sqref="E3"/>
    </sheetView>
  </sheetViews>
  <sheetFormatPr defaultColWidth="9.109375" defaultRowHeight="14.4"/>
  <cols>
    <col min="1" max="1" width="4" style="920" bestFit="1" customWidth="1"/>
    <col min="2" max="2" width="97" style="920" customWidth="1"/>
    <col min="3" max="3" width="5.6640625" style="920" customWidth="1"/>
    <col min="4" max="4" width="25.44140625" style="920" bestFit="1" customWidth="1"/>
    <col min="5" max="16384" width="9.109375" style="920"/>
  </cols>
  <sheetData>
    <row r="1" spans="1:4" s="917" customFormat="1" ht="21">
      <c r="A1" s="927"/>
      <c r="B1" s="918" t="s">
        <v>3461</v>
      </c>
      <c r="D1" s="1472"/>
    </row>
    <row r="2" spans="1:4">
      <c r="A2" s="928"/>
      <c r="B2" s="919"/>
    </row>
    <row r="3" spans="1:4" s="924" customFormat="1" ht="34.5" customHeight="1">
      <c r="A3" s="921" t="s">
        <v>3462</v>
      </c>
      <c r="B3" s="922" t="s">
        <v>3558</v>
      </c>
      <c r="C3" s="923"/>
    </row>
    <row r="4" spans="1:4" ht="16.5" customHeight="1">
      <c r="A4" s="921" t="s">
        <v>3463</v>
      </c>
      <c r="B4" s="925" t="s">
        <v>3562</v>
      </c>
      <c r="C4" s="925"/>
    </row>
    <row r="5" spans="1:4" ht="16.8">
      <c r="A5" s="921" t="s">
        <v>3464</v>
      </c>
      <c r="B5" s="926" t="s">
        <v>3465</v>
      </c>
      <c r="C5" s="923"/>
    </row>
    <row r="6" spans="1:4" ht="16.8">
      <c r="A6" s="921" t="s">
        <v>3466</v>
      </c>
      <c r="B6" s="926" t="s">
        <v>3467</v>
      </c>
      <c r="C6" s="922"/>
    </row>
    <row r="7" spans="1:4" ht="16.8">
      <c r="A7" s="921" t="s">
        <v>3468</v>
      </c>
      <c r="B7" s="926" t="s">
        <v>3559</v>
      </c>
      <c r="C7" s="922"/>
    </row>
    <row r="8" spans="1:4" ht="67.2">
      <c r="A8" s="921" t="s">
        <v>3469</v>
      </c>
      <c r="B8" s="922" t="s">
        <v>3557</v>
      </c>
      <c r="C8" s="922"/>
    </row>
    <row r="9" spans="1:4" ht="16.8">
      <c r="A9" s="921" t="s">
        <v>3470</v>
      </c>
      <c r="B9" s="922" t="s">
        <v>3560</v>
      </c>
      <c r="C9" s="922"/>
    </row>
    <row r="10" spans="1:4" ht="33.6">
      <c r="A10" s="921" t="s">
        <v>3471</v>
      </c>
      <c r="B10" s="922" t="s">
        <v>3602</v>
      </c>
      <c r="C10" s="922"/>
    </row>
    <row r="11" spans="1:4" ht="16.8">
      <c r="A11" s="921" t="s">
        <v>3472</v>
      </c>
      <c r="B11" s="926" t="s">
        <v>3561</v>
      </c>
    </row>
    <row r="12" spans="1:4" ht="33.6">
      <c r="A12" s="1530" t="s">
        <v>3601</v>
      </c>
      <c r="B12" s="1529" t="s">
        <v>3603</v>
      </c>
    </row>
    <row r="13" spans="1:4" ht="45">
      <c r="A13" s="1530" t="s">
        <v>3612</v>
      </c>
      <c r="B13" s="1535" t="s">
        <v>3611</v>
      </c>
    </row>
    <row r="14" spans="1:4" ht="16.8">
      <c r="B14" s="1527" t="s">
        <v>3573</v>
      </c>
    </row>
    <row r="15" spans="1:4">
      <c r="B15" s="1528" t="s">
        <v>3574</v>
      </c>
    </row>
  </sheetData>
  <sheetProtection algorithmName="SHA-512" hashValue="gyOQIID2x2X8C6xEmXkEjr2tLXXhrvLwdOS/AnsBHKnVA+jpA7nvfrWhgmlHcO7NNnvCBvfhV5pDQlQajg4X4g==" saltValue="HxFcgNRhm3cRrvea/r7vIg==" spinCount="100000" sheet="1" objects="1" scenarios="1"/>
  <hyperlinks>
    <hyperlink ref="B15" r:id="rId1" display="https://www.nj.gov/dca/divisions/dlgs/pdf/FAST AFS Quick User Guide.pdf"/>
  </hyperlinks>
  <pageMargins left="0.25" right="0.25" top="0.75" bottom="0.75" header="0.3" footer="0.3"/>
  <pageSetup fitToWidth="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B1:P87"/>
  <sheetViews>
    <sheetView workbookViewId="0">
      <selection activeCell="B14" sqref="B14"/>
    </sheetView>
  </sheetViews>
  <sheetFormatPr defaultRowHeight="13.2"/>
  <cols>
    <col min="1" max="2" width="4.6640625" customWidth="1"/>
    <col min="3" max="3" width="4.5546875" customWidth="1"/>
    <col min="4" max="4" width="4.6640625" customWidth="1"/>
  </cols>
  <sheetData>
    <row r="1" spans="2:13" ht="6" customHeight="1"/>
    <row r="2" spans="2:13" ht="18" customHeight="1">
      <c r="B2" s="1546" t="s">
        <v>885</v>
      </c>
      <c r="C2" s="1546"/>
      <c r="D2" s="1546"/>
      <c r="E2" s="1546"/>
      <c r="F2" s="1546"/>
      <c r="G2" s="1546"/>
      <c r="H2" s="1546"/>
      <c r="I2" s="1546"/>
      <c r="J2" s="1546"/>
      <c r="K2" s="1546"/>
      <c r="L2" s="1546"/>
      <c r="M2" s="1546"/>
    </row>
    <row r="3" spans="2:13" ht="18" customHeight="1">
      <c r="B3" s="1546" t="str">
        <f>"ANNUAL  FINANCIAL  STATEMENT  OF   "&amp;TEXT('KEY INPUTS'!D34,"0")</f>
        <v>ANNUAL  FINANCIAL  STATEMENT  OF   2020</v>
      </c>
      <c r="C3" s="1546"/>
      <c r="D3" s="1546"/>
      <c r="E3" s="1546"/>
      <c r="F3" s="1546"/>
      <c r="G3" s="1546"/>
      <c r="H3" s="1546"/>
      <c r="I3" s="1546"/>
      <c r="J3" s="1546"/>
      <c r="K3" s="1546"/>
      <c r="L3" s="1546"/>
      <c r="M3" s="1546"/>
    </row>
    <row r="5" spans="2:13" ht="11.25" customHeight="1">
      <c r="B5" s="100"/>
      <c r="C5" s="100" t="s">
        <v>533</v>
      </c>
    </row>
    <row r="6" spans="2:13" ht="11.25" customHeight="1">
      <c r="B6" s="100" t="s">
        <v>886</v>
      </c>
      <c r="C6" s="100"/>
    </row>
    <row r="7" spans="2:13" ht="11.25" customHeight="1">
      <c r="B7" s="100" t="s">
        <v>887</v>
      </c>
      <c r="C7" s="100"/>
    </row>
    <row r="8" spans="2:13" ht="6" customHeight="1"/>
    <row r="9" spans="2:13" ht="11.25" customHeight="1">
      <c r="B9" s="100"/>
      <c r="C9" s="100" t="s">
        <v>888</v>
      </c>
    </row>
    <row r="10" spans="2:13" ht="11.25" customHeight="1">
      <c r="B10" s="100" t="s">
        <v>889</v>
      </c>
      <c r="C10" s="100"/>
    </row>
    <row r="11" spans="2:13" ht="11.25" customHeight="1">
      <c r="B11" s="100" t="s">
        <v>890</v>
      </c>
      <c r="C11" s="100"/>
    </row>
    <row r="12" spans="2:13" ht="6" customHeight="1"/>
    <row r="13" spans="2:13" ht="11.25" customHeight="1">
      <c r="B13" s="100"/>
      <c r="C13" s="100" t="s">
        <v>747</v>
      </c>
    </row>
    <row r="14" spans="2:13" ht="11.25" customHeight="1">
      <c r="B14" s="100" t="s">
        <v>748</v>
      </c>
      <c r="C14" s="100"/>
    </row>
    <row r="15" spans="2:13" ht="8.25" customHeight="1"/>
    <row r="16" spans="2:13" ht="8.25" customHeight="1"/>
    <row r="17" spans="2:16" ht="13.5" customHeight="1">
      <c r="B17" s="1547" t="s">
        <v>749</v>
      </c>
      <c r="C17" s="1547"/>
      <c r="D17" s="1547"/>
      <c r="E17" s="1547"/>
      <c r="F17" s="1547"/>
      <c r="G17" s="1547"/>
      <c r="H17" s="1547"/>
      <c r="I17" s="1547"/>
      <c r="J17" s="1547"/>
      <c r="K17" s="1547"/>
      <c r="L17" s="1547"/>
      <c r="M17" s="1547"/>
    </row>
    <row r="18" spans="2:16" ht="4.5" customHeight="1"/>
    <row r="19" spans="2:16" ht="10.5" customHeight="1">
      <c r="B19" s="192" t="s">
        <v>750</v>
      </c>
      <c r="C19" s="192"/>
      <c r="D19" s="100" t="s">
        <v>751</v>
      </c>
    </row>
    <row r="20" spans="2:16" ht="10.5" customHeight="1">
      <c r="B20" s="192" t="s">
        <v>753</v>
      </c>
      <c r="C20" s="192"/>
      <c r="D20" s="100" t="s">
        <v>534</v>
      </c>
    </row>
    <row r="21" spans="2:16" ht="10.5" customHeight="1">
      <c r="B21" s="192" t="s">
        <v>752</v>
      </c>
      <c r="C21" s="192"/>
      <c r="D21" s="100" t="s">
        <v>535</v>
      </c>
    </row>
    <row r="22" spans="2:16" ht="10.5" customHeight="1">
      <c r="B22" s="192" t="s">
        <v>309</v>
      </c>
      <c r="C22" s="192"/>
      <c r="D22" s="100" t="s">
        <v>536</v>
      </c>
    </row>
    <row r="23" spans="2:16" ht="10.5" customHeight="1">
      <c r="B23" s="192" t="s">
        <v>3247</v>
      </c>
      <c r="C23" s="192"/>
      <c r="D23" s="100" t="s">
        <v>537</v>
      </c>
    </row>
    <row r="24" spans="2:16" ht="10.5" customHeight="1">
      <c r="B24" s="192" t="s">
        <v>311</v>
      </c>
      <c r="C24" s="192"/>
      <c r="D24" s="100" t="s">
        <v>538</v>
      </c>
      <c r="P24" s="278"/>
    </row>
    <row r="25" spans="2:16" ht="10.5" customHeight="1">
      <c r="B25" s="192" t="s">
        <v>312</v>
      </c>
      <c r="C25" s="192"/>
      <c r="D25" s="100" t="s">
        <v>539</v>
      </c>
    </row>
    <row r="26" spans="2:16" ht="10.5" customHeight="1">
      <c r="B26" s="192" t="s">
        <v>68</v>
      </c>
      <c r="C26" s="192"/>
      <c r="D26" s="100" t="s">
        <v>70</v>
      </c>
    </row>
    <row r="27" spans="2:16" ht="10.5" customHeight="1">
      <c r="B27" s="192" t="s">
        <v>754</v>
      </c>
      <c r="C27" s="192"/>
      <c r="D27" s="100" t="s">
        <v>514</v>
      </c>
    </row>
    <row r="28" spans="2:16" ht="10.5" customHeight="1">
      <c r="B28" s="192" t="s">
        <v>314</v>
      </c>
      <c r="C28" s="192"/>
      <c r="D28" s="100" t="s">
        <v>197</v>
      </c>
    </row>
    <row r="29" spans="2:16" ht="10.5" customHeight="1">
      <c r="B29" s="192" t="s">
        <v>409</v>
      </c>
      <c r="C29" s="192"/>
      <c r="D29" s="100" t="s">
        <v>112</v>
      </c>
    </row>
    <row r="30" spans="2:16" ht="10.5" customHeight="1">
      <c r="B30" s="192" t="s">
        <v>755</v>
      </c>
      <c r="C30" s="192"/>
      <c r="D30" s="100" t="s">
        <v>113</v>
      </c>
    </row>
    <row r="31" spans="2:16" ht="10.5" customHeight="1">
      <c r="B31" s="192" t="s">
        <v>411</v>
      </c>
      <c r="C31" s="192"/>
      <c r="D31" s="100" t="s">
        <v>496</v>
      </c>
    </row>
    <row r="32" spans="2:16" ht="10.5" customHeight="1">
      <c r="B32" s="192" t="s">
        <v>756</v>
      </c>
      <c r="C32" s="192"/>
      <c r="D32" s="100" t="s">
        <v>497</v>
      </c>
    </row>
    <row r="33" spans="2:4" ht="10.5" customHeight="1">
      <c r="B33" s="192" t="s">
        <v>236</v>
      </c>
      <c r="C33" s="192"/>
      <c r="D33" s="100" t="s">
        <v>498</v>
      </c>
    </row>
    <row r="34" spans="2:4" ht="10.5" customHeight="1">
      <c r="B34" s="192" t="s">
        <v>237</v>
      </c>
      <c r="C34" s="192"/>
      <c r="D34" s="100" t="s">
        <v>474</v>
      </c>
    </row>
    <row r="35" spans="2:4" ht="10.5" customHeight="1">
      <c r="B35" s="192" t="s">
        <v>597</v>
      </c>
      <c r="C35" s="192"/>
      <c r="D35" s="100" t="s">
        <v>499</v>
      </c>
    </row>
    <row r="36" spans="2:4" ht="10.5" customHeight="1">
      <c r="B36" s="192" t="s">
        <v>523</v>
      </c>
      <c r="C36" s="192"/>
      <c r="D36" s="100" t="s">
        <v>500</v>
      </c>
    </row>
    <row r="37" spans="2:4" ht="10.5" customHeight="1">
      <c r="B37" s="192" t="s">
        <v>412</v>
      </c>
      <c r="C37" s="192"/>
      <c r="D37" s="100" t="s">
        <v>501</v>
      </c>
    </row>
    <row r="38" spans="2:4" ht="10.5" customHeight="1">
      <c r="B38" s="192" t="s">
        <v>527</v>
      </c>
      <c r="C38" s="192"/>
      <c r="D38" s="100" t="s">
        <v>502</v>
      </c>
    </row>
    <row r="39" spans="2:4" ht="10.5" customHeight="1">
      <c r="B39" s="192" t="s">
        <v>907</v>
      </c>
      <c r="C39" s="192"/>
      <c r="D39" s="100" t="s">
        <v>503</v>
      </c>
    </row>
    <row r="40" spans="2:4" ht="10.5" customHeight="1">
      <c r="B40" s="192" t="s">
        <v>907</v>
      </c>
      <c r="C40" s="192"/>
      <c r="D40" s="100" t="s">
        <v>504</v>
      </c>
    </row>
    <row r="41" spans="2:4" ht="10.5" customHeight="1">
      <c r="B41" s="192" t="s">
        <v>908</v>
      </c>
      <c r="C41" s="192"/>
      <c r="D41" s="100" t="str">
        <f>"Results of "&amp;TEXT('KEY INPUTS'!D34,"0")&amp;" Operation-Current Fund"</f>
        <v>Results of 2020 Operation-Current Fund</v>
      </c>
    </row>
    <row r="42" spans="2:4" ht="10.5" customHeight="1">
      <c r="B42" s="192" t="s">
        <v>911</v>
      </c>
      <c r="C42" s="192"/>
      <c r="D42" s="100" t="s">
        <v>505</v>
      </c>
    </row>
    <row r="43" spans="2:4" ht="10.5" customHeight="1">
      <c r="B43" s="192" t="s">
        <v>912</v>
      </c>
      <c r="C43" s="192"/>
      <c r="D43" s="100" t="s">
        <v>506</v>
      </c>
    </row>
    <row r="44" spans="2:4" ht="10.5" customHeight="1">
      <c r="B44" s="192" t="s">
        <v>913</v>
      </c>
      <c r="C44" s="192"/>
      <c r="D44" s="100" t="s">
        <v>594</v>
      </c>
    </row>
    <row r="45" spans="2:4" ht="10.5" customHeight="1">
      <c r="B45" s="192" t="s">
        <v>413</v>
      </c>
      <c r="C45" s="192"/>
      <c r="D45" s="100" t="str">
        <f>"Accelerated Tax Sale/Tax Levy Sale Chapter 99 To Calculate Underlying Tax Collection Rate for "&amp;TEXT('KEY INPUTS'!D34,"0")</f>
        <v>Accelerated Tax Sale/Tax Levy Sale Chapter 99 To Calculate Underlying Tax Collection Rate for 2020</v>
      </c>
    </row>
    <row r="46" spans="2:4" ht="10.5" customHeight="1">
      <c r="B46" s="192" t="s">
        <v>914</v>
      </c>
      <c r="C46" s="192"/>
      <c r="D46" s="100" t="s">
        <v>595</v>
      </c>
    </row>
    <row r="47" spans="2:4" ht="10.5" customHeight="1">
      <c r="B47" s="192" t="s">
        <v>915</v>
      </c>
      <c r="C47" s="192"/>
      <c r="D47" s="100" t="s">
        <v>171</v>
      </c>
    </row>
    <row r="48" spans="2:4" ht="10.5" customHeight="1">
      <c r="B48" s="192" t="s">
        <v>414</v>
      </c>
      <c r="C48" s="192"/>
      <c r="D48" s="100" t="s">
        <v>190</v>
      </c>
    </row>
    <row r="49" spans="2:10" ht="10.5" customHeight="1">
      <c r="B49" s="192" t="s">
        <v>415</v>
      </c>
      <c r="C49" s="192"/>
      <c r="D49" s="100" t="s">
        <v>191</v>
      </c>
    </row>
    <row r="50" spans="2:10" ht="10.5" customHeight="1">
      <c r="B50" s="192"/>
      <c r="C50" s="192"/>
      <c r="D50" s="100" t="s">
        <v>192</v>
      </c>
    </row>
    <row r="51" spans="2:10" ht="10.5" customHeight="1">
      <c r="B51" s="192" t="s">
        <v>416</v>
      </c>
      <c r="C51" s="192"/>
      <c r="D51" s="100" t="s">
        <v>193</v>
      </c>
    </row>
    <row r="52" spans="2:10" ht="10.5" customHeight="1">
      <c r="B52" s="192" t="s">
        <v>417</v>
      </c>
      <c r="C52" s="192"/>
      <c r="D52" s="100" t="s">
        <v>194</v>
      </c>
    </row>
    <row r="53" spans="2:10" ht="10.5" customHeight="1">
      <c r="B53" s="192" t="s">
        <v>418</v>
      </c>
      <c r="C53" s="192"/>
      <c r="D53" s="100" t="s">
        <v>195</v>
      </c>
      <c r="E53" s="100"/>
      <c r="F53" s="100"/>
      <c r="G53" s="100"/>
      <c r="H53" s="100"/>
      <c r="I53" s="100"/>
      <c r="J53" s="100"/>
    </row>
    <row r="54" spans="2:10" ht="10.5" customHeight="1">
      <c r="B54" s="192" t="s">
        <v>419</v>
      </c>
      <c r="C54" s="192"/>
      <c r="D54" s="100" t="s">
        <v>196</v>
      </c>
      <c r="E54" s="100"/>
      <c r="F54" s="100"/>
      <c r="G54" s="100"/>
      <c r="H54" s="100"/>
      <c r="I54" s="100"/>
      <c r="J54" s="100"/>
    </row>
    <row r="55" spans="2:10" ht="10.5" customHeight="1">
      <c r="B55" s="192"/>
      <c r="C55" s="192"/>
      <c r="D55" s="100" t="s">
        <v>612</v>
      </c>
      <c r="E55" s="100"/>
      <c r="F55" s="100"/>
      <c r="G55" s="100"/>
      <c r="H55" s="100"/>
      <c r="I55" s="100"/>
      <c r="J55" s="100"/>
    </row>
    <row r="56" spans="2:10" ht="10.5" customHeight="1">
      <c r="B56" s="192"/>
      <c r="C56" s="192"/>
      <c r="D56" s="100" t="s">
        <v>745</v>
      </c>
      <c r="E56" s="100"/>
      <c r="F56" s="100"/>
      <c r="G56" s="100"/>
      <c r="H56" s="100"/>
      <c r="I56" s="100"/>
      <c r="J56" s="100"/>
    </row>
    <row r="57" spans="2:10" ht="10.5" customHeight="1">
      <c r="B57" s="192" t="s">
        <v>420</v>
      </c>
      <c r="C57" s="192"/>
      <c r="D57" s="100" t="s">
        <v>428</v>
      </c>
      <c r="E57" s="100"/>
      <c r="F57" s="100"/>
      <c r="G57" s="100"/>
      <c r="H57" s="100"/>
      <c r="I57" s="100"/>
      <c r="J57" s="100"/>
    </row>
    <row r="58" spans="2:10" ht="10.5" customHeight="1">
      <c r="B58" s="192" t="s">
        <v>701</v>
      </c>
      <c r="C58" s="192"/>
      <c r="D58" s="100" t="s">
        <v>607</v>
      </c>
      <c r="E58" s="100"/>
      <c r="F58" s="100"/>
      <c r="G58" s="100"/>
      <c r="H58" s="100"/>
      <c r="I58" s="100"/>
      <c r="J58" s="100"/>
    </row>
    <row r="59" spans="2:10" ht="10.5" customHeight="1">
      <c r="B59" s="192" t="s">
        <v>421</v>
      </c>
      <c r="C59" s="192"/>
      <c r="D59" s="100" t="s">
        <v>608</v>
      </c>
      <c r="E59" s="100"/>
      <c r="F59" s="100"/>
      <c r="G59" s="100"/>
      <c r="H59" s="100"/>
      <c r="I59" s="100"/>
      <c r="J59" s="100"/>
    </row>
    <row r="60" spans="2:10" ht="10.5" customHeight="1">
      <c r="B60" s="192" t="s">
        <v>422</v>
      </c>
      <c r="C60" s="192"/>
      <c r="D60" s="100" t="s">
        <v>609</v>
      </c>
      <c r="E60" s="100"/>
      <c r="F60" s="100"/>
      <c r="G60" s="100"/>
      <c r="H60" s="100"/>
      <c r="I60" s="100"/>
      <c r="J60" s="100"/>
    </row>
    <row r="61" spans="2:10" ht="10.5" customHeight="1">
      <c r="B61" s="192" t="s">
        <v>71</v>
      </c>
      <c r="C61" s="192"/>
      <c r="D61" s="100" t="s">
        <v>72</v>
      </c>
      <c r="E61" s="100"/>
      <c r="F61" s="100"/>
      <c r="G61" s="100"/>
      <c r="H61" s="100"/>
      <c r="I61" s="100"/>
      <c r="J61" s="100"/>
    </row>
    <row r="62" spans="2:10" ht="10.5" customHeight="1">
      <c r="B62" s="192" t="s">
        <v>423</v>
      </c>
      <c r="C62" s="192"/>
      <c r="D62" s="100" t="s">
        <v>610</v>
      </c>
      <c r="E62" s="100"/>
      <c r="F62" s="100"/>
      <c r="G62" s="100"/>
      <c r="H62" s="100"/>
      <c r="I62" s="100"/>
      <c r="J62" s="100"/>
    </row>
    <row r="63" spans="2:10" ht="10.5" customHeight="1">
      <c r="B63" s="192" t="s">
        <v>424</v>
      </c>
      <c r="C63" s="192"/>
      <c r="D63" s="100" t="s">
        <v>611</v>
      </c>
      <c r="E63" s="100"/>
      <c r="F63" s="100"/>
      <c r="G63" s="100"/>
      <c r="H63" s="100"/>
      <c r="I63" s="100"/>
      <c r="J63" s="100"/>
    </row>
    <row r="64" spans="2:10" ht="10.5" customHeight="1">
      <c r="B64" s="192" t="s">
        <v>425</v>
      </c>
      <c r="C64" s="192"/>
      <c r="D64" s="100" t="s">
        <v>213</v>
      </c>
      <c r="E64" s="100"/>
      <c r="F64" s="100"/>
      <c r="G64" s="100"/>
      <c r="H64" s="100"/>
      <c r="I64" s="100"/>
      <c r="J64" s="100"/>
    </row>
    <row r="65" spans="2:13" ht="10.5" customHeight="1">
      <c r="B65" s="192" t="s">
        <v>425</v>
      </c>
      <c r="C65" s="192"/>
      <c r="D65" s="100" t="str">
        <f>"Capital Improvements Authorized in  "&amp;TEXT('KEY INPUTS'!D34,"0")</f>
        <v>Capital Improvements Authorized in  2020</v>
      </c>
      <c r="E65" s="100"/>
      <c r="F65" s="100"/>
      <c r="G65" s="100"/>
      <c r="H65" s="100"/>
      <c r="I65" s="100"/>
      <c r="J65" s="100"/>
    </row>
    <row r="66" spans="2:13" ht="10.5" customHeight="1">
      <c r="B66" s="192" t="s">
        <v>426</v>
      </c>
      <c r="C66" s="192"/>
      <c r="D66" s="100" t="s">
        <v>613</v>
      </c>
      <c r="E66" s="100"/>
      <c r="F66" s="100"/>
      <c r="G66" s="100"/>
      <c r="H66" s="100"/>
      <c r="I66" s="100"/>
      <c r="J66" s="100"/>
    </row>
    <row r="67" spans="2:13" ht="10.5" customHeight="1">
      <c r="B67" s="192" t="s">
        <v>427</v>
      </c>
      <c r="C67" s="192"/>
      <c r="D67" s="100" t="s">
        <v>614</v>
      </c>
      <c r="E67" s="100"/>
      <c r="F67" s="100"/>
      <c r="G67" s="100"/>
      <c r="H67" s="100"/>
      <c r="I67" s="100"/>
      <c r="J67" s="100"/>
    </row>
    <row r="68" spans="2:13">
      <c r="B68" s="192"/>
      <c r="C68" s="192"/>
    </row>
    <row r="69" spans="2:13">
      <c r="B69" s="1548" t="s">
        <v>33</v>
      </c>
      <c r="C69" s="1548"/>
      <c r="D69" s="1548"/>
      <c r="E69" s="1548"/>
      <c r="F69" s="1548"/>
      <c r="G69" s="1548"/>
      <c r="H69" s="1548"/>
      <c r="I69" s="1548"/>
      <c r="J69" s="1548"/>
      <c r="K69" s="1548"/>
      <c r="L69" s="1548"/>
      <c r="M69" s="1548"/>
    </row>
    <row r="70" spans="2:13" ht="10.5" customHeight="1">
      <c r="B70" s="160" t="s">
        <v>429</v>
      </c>
      <c r="C70" s="160"/>
      <c r="D70" s="160" t="s">
        <v>32</v>
      </c>
      <c r="E70" s="208"/>
      <c r="F70" s="194"/>
      <c r="G70" s="194"/>
      <c r="H70" s="194"/>
      <c r="I70" s="194"/>
      <c r="J70" s="194"/>
      <c r="K70" s="194"/>
      <c r="L70" s="194"/>
      <c r="M70" s="194"/>
    </row>
    <row r="71" spans="2:13" ht="10.5" customHeight="1">
      <c r="B71" s="160" t="s">
        <v>431</v>
      </c>
      <c r="C71" s="160"/>
      <c r="D71" s="160" t="s">
        <v>615</v>
      </c>
      <c r="E71" s="208"/>
      <c r="F71" s="194"/>
      <c r="G71" s="194"/>
      <c r="H71" s="194"/>
      <c r="I71" s="194"/>
      <c r="J71" s="194"/>
      <c r="K71" s="194"/>
      <c r="L71" s="194"/>
      <c r="M71" s="194"/>
    </row>
    <row r="72" spans="2:13" ht="10.5" customHeight="1">
      <c r="B72" s="160" t="s">
        <v>432</v>
      </c>
      <c r="C72" s="160"/>
      <c r="D72" s="160" t="s">
        <v>616</v>
      </c>
      <c r="E72" s="208"/>
      <c r="F72" s="194"/>
      <c r="G72" s="194"/>
      <c r="H72" s="194"/>
      <c r="I72" s="194"/>
      <c r="J72" s="194"/>
      <c r="K72" s="194"/>
      <c r="L72" s="194"/>
      <c r="M72" s="194"/>
    </row>
    <row r="73" spans="2:13" ht="10.5" customHeight="1">
      <c r="B73" s="160" t="s">
        <v>433</v>
      </c>
      <c r="C73" s="160"/>
      <c r="D73" s="160" t="s">
        <v>617</v>
      </c>
      <c r="E73" s="208"/>
      <c r="F73" s="194"/>
      <c r="G73" s="194"/>
      <c r="H73" s="194"/>
      <c r="I73" s="194"/>
      <c r="J73" s="194"/>
      <c r="K73" s="194"/>
      <c r="L73" s="194"/>
      <c r="M73" s="194"/>
    </row>
    <row r="74" spans="2:13" ht="10.5" customHeight="1">
      <c r="B74" s="160" t="s">
        <v>435</v>
      </c>
      <c r="C74" s="160"/>
      <c r="D74" s="160" t="s">
        <v>618</v>
      </c>
      <c r="E74" s="208"/>
      <c r="F74" s="194"/>
      <c r="G74" s="194"/>
      <c r="H74" s="194"/>
      <c r="I74" s="194"/>
      <c r="J74" s="194"/>
      <c r="K74" s="194"/>
      <c r="L74" s="194"/>
      <c r="M74" s="194"/>
    </row>
    <row r="75" spans="2:13" ht="10.5" customHeight="1">
      <c r="B75" s="160" t="s">
        <v>434</v>
      </c>
      <c r="C75" s="160"/>
      <c r="D75" s="300" t="str">
        <f>TEXT('KEY INPUTS'!D34,"0")&amp;" Utility Operations"</f>
        <v>2020 Utility Operations</v>
      </c>
      <c r="E75" s="208"/>
      <c r="F75" s="194"/>
      <c r="G75" s="194"/>
      <c r="H75" s="194"/>
      <c r="I75" s="194"/>
      <c r="J75" s="194"/>
      <c r="K75" s="194"/>
      <c r="L75" s="194"/>
      <c r="M75" s="194"/>
    </row>
    <row r="76" spans="2:13" ht="10.5" customHeight="1">
      <c r="B76" s="160" t="s">
        <v>436</v>
      </c>
      <c r="C76" s="160"/>
      <c r="D76" s="160" t="s">
        <v>54</v>
      </c>
      <c r="E76" s="208"/>
      <c r="F76" s="194"/>
      <c r="G76" s="194"/>
      <c r="H76" s="194"/>
      <c r="I76" s="194"/>
      <c r="J76" s="194"/>
      <c r="K76" s="194"/>
      <c r="L76" s="194"/>
      <c r="M76" s="194"/>
    </row>
    <row r="77" spans="2:13" ht="10.5" customHeight="1">
      <c r="B77" s="160" t="s">
        <v>437</v>
      </c>
      <c r="C77" s="160"/>
      <c r="D77" s="160" t="s">
        <v>55</v>
      </c>
      <c r="E77" s="208"/>
      <c r="F77" s="194"/>
      <c r="G77" s="194"/>
      <c r="H77" s="194"/>
      <c r="I77" s="194"/>
      <c r="J77" s="194"/>
      <c r="K77" s="194"/>
      <c r="L77" s="194"/>
      <c r="M77" s="194"/>
    </row>
    <row r="78" spans="2:13" ht="10.5" customHeight="1">
      <c r="B78" s="160" t="s">
        <v>25</v>
      </c>
      <c r="C78" s="160"/>
      <c r="D78" s="160" t="s">
        <v>56</v>
      </c>
      <c r="E78" s="208"/>
      <c r="F78" s="194"/>
      <c r="G78" s="194"/>
      <c r="H78" s="194"/>
      <c r="I78" s="194"/>
      <c r="J78" s="194"/>
      <c r="K78" s="194"/>
      <c r="L78" s="194"/>
      <c r="M78" s="194"/>
    </row>
    <row r="79" spans="2:13" ht="10.5" customHeight="1">
      <c r="B79" s="160" t="s">
        <v>26</v>
      </c>
      <c r="C79" s="160"/>
      <c r="D79" s="160" t="s">
        <v>57</v>
      </c>
      <c r="E79" s="208"/>
      <c r="F79" s="194"/>
      <c r="G79" s="194"/>
      <c r="H79" s="194"/>
      <c r="I79" s="194"/>
      <c r="J79" s="194"/>
      <c r="K79" s="194"/>
      <c r="L79" s="194"/>
      <c r="M79" s="194"/>
    </row>
    <row r="80" spans="2:13" ht="10.5" customHeight="1">
      <c r="B80" s="160" t="s">
        <v>702</v>
      </c>
      <c r="C80" s="160"/>
      <c r="D80" s="160" t="s">
        <v>703</v>
      </c>
      <c r="E80" s="208"/>
      <c r="F80" s="194"/>
      <c r="G80" s="194"/>
      <c r="H80" s="194"/>
      <c r="I80" s="194"/>
      <c r="J80" s="194"/>
      <c r="K80" s="194"/>
      <c r="L80" s="194"/>
      <c r="M80" s="194"/>
    </row>
    <row r="81" spans="2:13" ht="10.5" customHeight="1">
      <c r="B81" s="160" t="s">
        <v>27</v>
      </c>
      <c r="C81" s="160"/>
      <c r="D81" s="160" t="s">
        <v>619</v>
      </c>
      <c r="E81" s="208"/>
      <c r="F81" s="194"/>
      <c r="G81" s="194"/>
      <c r="H81" s="194"/>
      <c r="I81" s="194"/>
      <c r="J81" s="194"/>
      <c r="K81" s="194"/>
      <c r="L81" s="194"/>
      <c r="M81" s="194"/>
    </row>
    <row r="82" spans="2:13" ht="10.5" customHeight="1">
      <c r="B82" s="160" t="s">
        <v>28</v>
      </c>
      <c r="C82" s="160"/>
      <c r="D82" s="160" t="s">
        <v>620</v>
      </c>
      <c r="E82" s="208"/>
      <c r="F82" s="194"/>
      <c r="G82" s="194"/>
      <c r="H82" s="194"/>
      <c r="I82" s="194"/>
      <c r="J82" s="194"/>
      <c r="K82" s="194"/>
      <c r="L82" s="194"/>
      <c r="M82" s="194"/>
    </row>
    <row r="83" spans="2:13" ht="10.5" customHeight="1">
      <c r="B83" s="160" t="s">
        <v>73</v>
      </c>
      <c r="C83" s="160"/>
      <c r="D83" s="160" t="s">
        <v>74</v>
      </c>
      <c r="E83" s="208"/>
      <c r="F83" s="194"/>
      <c r="G83" s="194"/>
      <c r="H83" s="194"/>
      <c r="I83" s="194"/>
      <c r="J83" s="194"/>
      <c r="K83" s="194"/>
      <c r="L83" s="194"/>
      <c r="M83" s="194"/>
    </row>
    <row r="84" spans="2:13" ht="10.5" customHeight="1">
      <c r="B84" s="160" t="s">
        <v>29</v>
      </c>
      <c r="C84" s="160"/>
      <c r="D84" s="160" t="s">
        <v>621</v>
      </c>
      <c r="E84" s="208"/>
      <c r="F84" s="194"/>
      <c r="G84" s="194"/>
      <c r="H84" s="194"/>
      <c r="I84" s="194"/>
      <c r="J84" s="194"/>
      <c r="K84" s="194"/>
      <c r="L84" s="194"/>
      <c r="M84" s="194"/>
    </row>
    <row r="85" spans="2:13" ht="10.5" customHeight="1">
      <c r="B85" s="193" t="s">
        <v>30</v>
      </c>
      <c r="C85" s="193"/>
      <c r="D85" s="193" t="s">
        <v>622</v>
      </c>
      <c r="E85" s="209"/>
      <c r="F85" s="195"/>
      <c r="G85" s="195"/>
      <c r="H85" s="195"/>
      <c r="I85" s="195"/>
      <c r="J85" s="195"/>
      <c r="K85" s="195"/>
      <c r="L85" s="195"/>
      <c r="M85" s="195"/>
    </row>
    <row r="86" spans="2:13" ht="10.5" customHeight="1">
      <c r="B86" s="193" t="s">
        <v>31</v>
      </c>
      <c r="C86" s="193"/>
      <c r="D86" s="193" t="str">
        <f>"Utility Capital Improvements Authorized in "&amp;TEXT('KEY INPUTS'!D34,"0")&amp;"; Utility Capital Surplus"</f>
        <v>Utility Capital Improvements Authorized in 2020; Utility Capital Surplus</v>
      </c>
      <c r="E86" s="209"/>
      <c r="F86" s="195"/>
      <c r="G86" s="195"/>
      <c r="H86" s="195"/>
      <c r="I86" s="195"/>
      <c r="J86" s="195"/>
      <c r="K86" s="195"/>
      <c r="L86" s="195"/>
      <c r="M86" s="195"/>
    </row>
    <row r="87" spans="2:13" ht="13.8">
      <c r="B87" s="1545" t="s">
        <v>430</v>
      </c>
      <c r="C87" s="1545"/>
      <c r="D87" s="1545"/>
      <c r="E87" s="1545"/>
      <c r="F87" s="1545"/>
      <c r="G87" s="1545"/>
      <c r="H87" s="1545"/>
      <c r="I87" s="1545"/>
      <c r="J87" s="1545"/>
      <c r="K87" s="1545"/>
      <c r="L87" s="1545"/>
      <c r="M87" s="1545"/>
    </row>
  </sheetData>
  <mergeCells count="5">
    <mergeCell ref="B87:M87"/>
    <mergeCell ref="B2:M2"/>
    <mergeCell ref="B3:M3"/>
    <mergeCell ref="B17:M17"/>
    <mergeCell ref="B69:M69"/>
  </mergeCells>
  <phoneticPr fontId="0" type="noConversion"/>
  <pageMargins left="0.25" right="0.25" top="0.5" bottom="0.5" header="0.25" footer="0.25"/>
  <pageSetup paperSize="5" scale="9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C00000"/>
  </sheetPr>
  <dimension ref="A2:AB592"/>
  <sheetViews>
    <sheetView topLeftCell="C7" zoomScaleNormal="100" workbookViewId="0">
      <selection activeCell="D53" sqref="D53"/>
    </sheetView>
  </sheetViews>
  <sheetFormatPr defaultRowHeight="13.2"/>
  <cols>
    <col min="1" max="2" width="4.6640625" hidden="1" customWidth="1"/>
    <col min="3" max="3" width="31.5546875" customWidth="1"/>
    <col min="4" max="4" width="54.109375" customWidth="1"/>
    <col min="5" max="5" width="10.88671875" bestFit="1" customWidth="1"/>
    <col min="6" max="6" width="11.44140625" customWidth="1"/>
    <col min="17" max="18" width="9.109375" hidden="1" customWidth="1"/>
    <col min="19" max="19" width="27" hidden="1" customWidth="1"/>
    <col min="20" max="20" width="21.5546875" hidden="1" customWidth="1"/>
    <col min="21" max="21" width="34.6640625" hidden="1" customWidth="1"/>
    <col min="22" max="22" width="29.44140625" hidden="1" customWidth="1"/>
    <col min="23" max="23" width="13.109375" hidden="1" customWidth="1"/>
    <col min="24" max="24" width="19" hidden="1" customWidth="1"/>
    <col min="25" max="25" width="28.33203125" style="315" hidden="1" customWidth="1"/>
    <col min="26" max="26" width="20.5546875" hidden="1" customWidth="1"/>
    <col min="27" max="27" width="22.88671875" hidden="1" customWidth="1"/>
  </cols>
  <sheetData>
    <row r="2" spans="3:28" ht="17.399999999999999">
      <c r="C2" s="1550" t="s">
        <v>951</v>
      </c>
      <c r="D2" s="1550"/>
      <c r="E2" s="1550"/>
    </row>
    <row r="3" spans="3:28">
      <c r="D3" s="317" t="s">
        <v>3616</v>
      </c>
      <c r="AB3" s="1465" t="s">
        <v>3552</v>
      </c>
    </row>
    <row r="5" spans="3:28">
      <c r="C5" s="45" t="s">
        <v>719</v>
      </c>
    </row>
    <row r="6" spans="3:28">
      <c r="C6" s="45" t="s">
        <v>761</v>
      </c>
      <c r="D6" s="1549" t="s">
        <v>720</v>
      </c>
      <c r="E6" s="1549"/>
      <c r="R6" s="317" t="s">
        <v>3159</v>
      </c>
      <c r="S6" s="116" t="s">
        <v>2640</v>
      </c>
      <c r="T6" s="116" t="s">
        <v>371</v>
      </c>
      <c r="U6" s="116" t="s">
        <v>2639</v>
      </c>
      <c r="V6" s="116" t="s">
        <v>721</v>
      </c>
      <c r="W6" s="116" t="s">
        <v>2642</v>
      </c>
      <c r="X6" s="116" t="s">
        <v>2641</v>
      </c>
      <c r="Y6" s="116" t="s">
        <v>3187</v>
      </c>
      <c r="Z6" s="116" t="s">
        <v>723</v>
      </c>
      <c r="AA6" s="116" t="s">
        <v>3188</v>
      </c>
    </row>
    <row r="7" spans="3:28" ht="14.4" thickBot="1">
      <c r="C7" s="95"/>
      <c r="D7" s="95"/>
      <c r="E7" s="95"/>
      <c r="Q7" s="378">
        <v>1</v>
      </c>
      <c r="R7" s="379" t="s">
        <v>952</v>
      </c>
      <c r="S7" s="379" t="s">
        <v>953</v>
      </c>
      <c r="T7" s="380" t="s">
        <v>954</v>
      </c>
      <c r="U7" s="378" t="s">
        <v>955</v>
      </c>
      <c r="V7" s="378" t="s">
        <v>953</v>
      </c>
      <c r="W7" s="379" t="s">
        <v>2891</v>
      </c>
      <c r="X7" s="317" t="s">
        <v>3146</v>
      </c>
      <c r="Y7" s="317" t="s">
        <v>3182</v>
      </c>
      <c r="Z7" t="s">
        <v>3163</v>
      </c>
      <c r="AA7" s="385">
        <v>18210</v>
      </c>
    </row>
    <row r="8" spans="3:28" s="315" customFormat="1" ht="20.25" customHeight="1" thickTop="1">
      <c r="C8" s="358" t="s">
        <v>950</v>
      </c>
      <c r="D8" s="1002">
        <v>530</v>
      </c>
      <c r="E8" s="1002"/>
      <c r="Q8" s="378">
        <f>Q7+1</f>
        <v>2</v>
      </c>
      <c r="R8" s="379" t="s">
        <v>956</v>
      </c>
      <c r="S8" s="379" t="s">
        <v>957</v>
      </c>
      <c r="T8" s="380" t="s">
        <v>958</v>
      </c>
      <c r="U8" s="378" t="s">
        <v>959</v>
      </c>
      <c r="V8" s="378" t="s">
        <v>3091</v>
      </c>
      <c r="W8" s="379" t="s">
        <v>3091</v>
      </c>
      <c r="X8" s="317" t="s">
        <v>3148</v>
      </c>
      <c r="Y8" s="317" t="s">
        <v>3182</v>
      </c>
      <c r="Z8" s="315" t="s">
        <v>3164</v>
      </c>
      <c r="AA8" s="385">
        <v>8411</v>
      </c>
    </row>
    <row r="9" spans="3:28" ht="13.8">
      <c r="C9" s="317" t="s">
        <v>3494</v>
      </c>
      <c r="D9" s="383" t="str">
        <f>UPPER(VLOOKUP($D$8,$Q$7:$X$592,8,FALSE)&amp;" Of "&amp;VLOOKUP($D$8,$Q$7:$X$592,7,FALSE))</f>
        <v>BOROUGH OF WENONAH</v>
      </c>
      <c r="E9" s="270"/>
      <c r="Q9" s="378">
        <f t="shared" ref="Q9:Q72" si="0">Q8+1</f>
        <v>3</v>
      </c>
      <c r="R9" s="379" t="s">
        <v>3153</v>
      </c>
      <c r="S9" s="379" t="s">
        <v>3155</v>
      </c>
      <c r="T9" s="380" t="s">
        <v>1079</v>
      </c>
      <c r="U9" s="378" t="str">
        <f>S9&amp;", "&amp;T9&amp;" County"</f>
        <v>Alexandria Township, Hunterdon County</v>
      </c>
      <c r="V9" s="378" t="s">
        <v>3155</v>
      </c>
      <c r="W9" s="379" t="s">
        <v>3157</v>
      </c>
      <c r="X9" s="317" t="s">
        <v>3146</v>
      </c>
      <c r="Y9" s="317" t="s">
        <v>3183</v>
      </c>
      <c r="Z9" s="315" t="s">
        <v>3165</v>
      </c>
      <c r="AA9" s="385">
        <v>4938</v>
      </c>
    </row>
    <row r="10" spans="3:28" ht="13.8">
      <c r="C10" s="317" t="s">
        <v>3495</v>
      </c>
      <c r="D10" s="384" t="str">
        <f>UPPER(VLOOKUP($D$8,$Q$7:$X$592,4,FALSE))</f>
        <v>GLOUCESTER</v>
      </c>
      <c r="E10" s="270"/>
      <c r="Q10" s="378">
        <f t="shared" si="0"/>
        <v>4</v>
      </c>
      <c r="R10" s="379" t="s">
        <v>3154</v>
      </c>
      <c r="S10" s="379" t="s">
        <v>3156</v>
      </c>
      <c r="T10" s="380" t="s">
        <v>976</v>
      </c>
      <c r="U10" s="378" t="str">
        <f>S10&amp;", "&amp;T10&amp;" County"</f>
        <v>Allamuchy Township, Warren County</v>
      </c>
      <c r="V10" s="378" t="s">
        <v>3156</v>
      </c>
      <c r="W10" s="379" t="s">
        <v>3158</v>
      </c>
      <c r="X10" s="317" t="s">
        <v>3146</v>
      </c>
      <c r="Y10" s="317" t="s">
        <v>3182</v>
      </c>
      <c r="Z10" s="315" t="s">
        <v>3166</v>
      </c>
      <c r="AA10" s="385">
        <v>4323</v>
      </c>
    </row>
    <row r="11" spans="3:28" ht="13.8">
      <c r="C11" s="317" t="s">
        <v>3496</v>
      </c>
      <c r="D11" s="384" t="str">
        <f>UPPER(VLOOKUP($D$8,$Q$7:$X$592,7,FALSE))</f>
        <v>WENONAH</v>
      </c>
      <c r="E11" s="270"/>
      <c r="Q11" s="378">
        <f t="shared" si="0"/>
        <v>5</v>
      </c>
      <c r="R11" s="379" t="s">
        <v>960</v>
      </c>
      <c r="S11" s="379" t="s">
        <v>961</v>
      </c>
      <c r="T11" s="380" t="s">
        <v>962</v>
      </c>
      <c r="U11" s="378" t="s">
        <v>963</v>
      </c>
      <c r="V11" s="378" t="s">
        <v>2643</v>
      </c>
      <c r="W11" s="379" t="s">
        <v>2643</v>
      </c>
      <c r="X11" s="317" t="s">
        <v>3147</v>
      </c>
      <c r="Y11" s="317" t="s">
        <v>3182</v>
      </c>
      <c r="Z11" s="315" t="s">
        <v>3163</v>
      </c>
      <c r="AA11" s="385">
        <v>6505</v>
      </c>
    </row>
    <row r="12" spans="3:28" ht="13.8">
      <c r="C12" t="s">
        <v>722</v>
      </c>
      <c r="D12" s="384" t="str">
        <f>UPPER(VLOOKUP($D$8,$Q$7:$X$592,8,FALSE))</f>
        <v>BOROUGH</v>
      </c>
      <c r="E12" s="270"/>
      <c r="Q12" s="378">
        <f t="shared" si="0"/>
        <v>6</v>
      </c>
      <c r="R12" s="379" t="s">
        <v>964</v>
      </c>
      <c r="S12" s="379" t="s">
        <v>965</v>
      </c>
      <c r="T12" s="380" t="s">
        <v>954</v>
      </c>
      <c r="U12" s="378" t="s">
        <v>966</v>
      </c>
      <c r="V12" s="378" t="s">
        <v>2644</v>
      </c>
      <c r="W12" s="379" t="s">
        <v>2644</v>
      </c>
      <c r="X12" s="317" t="s">
        <v>3147</v>
      </c>
      <c r="Y12" s="317" t="s">
        <v>3184</v>
      </c>
      <c r="Z12" s="315" t="s">
        <v>3167</v>
      </c>
      <c r="AA12" s="385">
        <v>496</v>
      </c>
    </row>
    <row r="13" spans="3:28" ht="13.8">
      <c r="C13" t="s">
        <v>883</v>
      </c>
      <c r="D13" s="388" t="s">
        <v>3617</v>
      </c>
      <c r="E13" s="270"/>
      <c r="Q13" s="378">
        <f t="shared" si="0"/>
        <v>7</v>
      </c>
      <c r="R13" s="379" t="s">
        <v>967</v>
      </c>
      <c r="S13" s="379" t="s">
        <v>968</v>
      </c>
      <c r="T13" s="380" t="s">
        <v>954</v>
      </c>
      <c r="U13" s="378" t="s">
        <v>969</v>
      </c>
      <c r="V13" s="378" t="s">
        <v>2645</v>
      </c>
      <c r="W13" s="379" t="s">
        <v>2645</v>
      </c>
      <c r="X13" s="317" t="s">
        <v>3147</v>
      </c>
      <c r="Y13" s="317" t="s">
        <v>3182</v>
      </c>
      <c r="Z13" s="315" t="s">
        <v>3163</v>
      </c>
      <c r="AA13" s="385">
        <v>1828</v>
      </c>
    </row>
    <row r="14" spans="3:28" ht="13.8">
      <c r="C14" t="s">
        <v>723</v>
      </c>
      <c r="D14" s="384" t="str">
        <f>UPPER(VLOOKUP($D$8,$Q$7:$Z$592,9,FALSE))</f>
        <v>COUNCIL MEMBERS</v>
      </c>
      <c r="E14" s="270"/>
      <c r="Q14" s="378">
        <f t="shared" si="0"/>
        <v>8</v>
      </c>
      <c r="R14" s="379" t="s">
        <v>970</v>
      </c>
      <c r="S14" s="379" t="s">
        <v>971</v>
      </c>
      <c r="T14" s="380" t="s">
        <v>972</v>
      </c>
      <c r="U14" s="378" t="s">
        <v>973</v>
      </c>
      <c r="V14" s="378" t="s">
        <v>971</v>
      </c>
      <c r="W14" s="379" t="s">
        <v>2892</v>
      </c>
      <c r="X14" s="317" t="s">
        <v>3146</v>
      </c>
      <c r="Y14" s="317" t="s">
        <v>3183</v>
      </c>
      <c r="Z14" s="315" t="s">
        <v>3165</v>
      </c>
      <c r="AA14" s="385">
        <v>3467</v>
      </c>
    </row>
    <row r="15" spans="3:28" ht="13.8">
      <c r="Q15" s="378">
        <f t="shared" si="0"/>
        <v>9</v>
      </c>
      <c r="R15" s="379" t="s">
        <v>974</v>
      </c>
      <c r="S15" s="379" t="s">
        <v>975</v>
      </c>
      <c r="T15" s="380" t="s">
        <v>976</v>
      </c>
      <c r="U15" s="378" t="s">
        <v>977</v>
      </c>
      <c r="V15" s="378" t="s">
        <v>2646</v>
      </c>
      <c r="W15" s="379" t="s">
        <v>2646</v>
      </c>
      <c r="X15" s="317" t="s">
        <v>3147</v>
      </c>
      <c r="Y15" s="317" t="s">
        <v>3182</v>
      </c>
      <c r="Z15" s="315" t="s">
        <v>3163</v>
      </c>
      <c r="AA15" s="385">
        <v>2369</v>
      </c>
    </row>
    <row r="16" spans="3:28" ht="13.8">
      <c r="C16" t="s">
        <v>59</v>
      </c>
      <c r="D16" s="388" t="s">
        <v>3618</v>
      </c>
      <c r="E16" s="270"/>
      <c r="Q16" s="378">
        <f t="shared" si="0"/>
        <v>10</v>
      </c>
      <c r="R16" s="379" t="s">
        <v>978</v>
      </c>
      <c r="S16" s="379" t="s">
        <v>979</v>
      </c>
      <c r="T16" s="380" t="s">
        <v>962</v>
      </c>
      <c r="U16" s="378" t="s">
        <v>980</v>
      </c>
      <c r="V16" s="378" t="s">
        <v>2647</v>
      </c>
      <c r="W16" s="379" t="s">
        <v>2647</v>
      </c>
      <c r="X16" s="317" t="s">
        <v>3147</v>
      </c>
      <c r="Y16" s="317" t="s">
        <v>3182</v>
      </c>
      <c r="Z16" s="315" t="s">
        <v>3163</v>
      </c>
      <c r="AA16" s="385">
        <v>1849</v>
      </c>
    </row>
    <row r="17" spans="3:27" ht="13.8">
      <c r="C17" t="s">
        <v>59</v>
      </c>
      <c r="D17" s="388" t="s">
        <v>3619</v>
      </c>
      <c r="E17" s="270"/>
      <c r="Q17" s="378">
        <f t="shared" si="0"/>
        <v>11</v>
      </c>
      <c r="R17" s="379" t="s">
        <v>981</v>
      </c>
      <c r="S17" s="379" t="s">
        <v>982</v>
      </c>
      <c r="T17" s="380" t="s">
        <v>983</v>
      </c>
      <c r="U17" s="378" t="s">
        <v>984</v>
      </c>
      <c r="V17" s="378" t="s">
        <v>2648</v>
      </c>
      <c r="W17" s="379" t="s">
        <v>2648</v>
      </c>
      <c r="X17" s="317" t="s">
        <v>3147</v>
      </c>
      <c r="Y17" s="317" t="s">
        <v>3182</v>
      </c>
      <c r="Z17" s="315" t="s">
        <v>3163</v>
      </c>
      <c r="AA17" s="385">
        <v>606</v>
      </c>
    </row>
    <row r="18" spans="3:27" ht="13.8">
      <c r="C18" t="s">
        <v>724</v>
      </c>
      <c r="D18" s="388" t="s">
        <v>3620</v>
      </c>
      <c r="E18" s="270"/>
      <c r="Q18" s="378">
        <f t="shared" si="0"/>
        <v>12</v>
      </c>
      <c r="R18" s="379" t="s">
        <v>985</v>
      </c>
      <c r="S18" s="379" t="s">
        <v>986</v>
      </c>
      <c r="T18" s="380" t="s">
        <v>983</v>
      </c>
      <c r="U18" s="378" t="s">
        <v>987</v>
      </c>
      <c r="V18" s="378" t="s">
        <v>986</v>
      </c>
      <c r="W18" s="379" t="s">
        <v>2648</v>
      </c>
      <c r="X18" s="317" t="s">
        <v>3146</v>
      </c>
      <c r="Y18" s="317" t="s">
        <v>3183</v>
      </c>
      <c r="Z18" s="315" t="s">
        <v>3168</v>
      </c>
      <c r="AA18" s="385">
        <v>6319</v>
      </c>
    </row>
    <row r="19" spans="3:27" ht="13.8">
      <c r="C19" t="s">
        <v>725</v>
      </c>
      <c r="D19" s="388" t="s">
        <v>3621</v>
      </c>
      <c r="Q19" s="378">
        <f t="shared" si="0"/>
        <v>13</v>
      </c>
      <c r="R19" s="379" t="s">
        <v>988</v>
      </c>
      <c r="S19" s="379" t="s">
        <v>989</v>
      </c>
      <c r="T19" s="380" t="s">
        <v>954</v>
      </c>
      <c r="U19" s="378" t="s">
        <v>990</v>
      </c>
      <c r="V19" s="378" t="s">
        <v>3092</v>
      </c>
      <c r="W19" s="379" t="s">
        <v>3092</v>
      </c>
      <c r="X19" s="317" t="s">
        <v>3148</v>
      </c>
      <c r="Y19" s="317" t="s">
        <v>3182</v>
      </c>
      <c r="Z19" s="315" t="s">
        <v>3169</v>
      </c>
      <c r="AA19" s="385">
        <v>16116</v>
      </c>
    </row>
    <row r="20" spans="3:27" ht="13.8">
      <c r="E20" s="353" t="s">
        <v>949</v>
      </c>
      <c r="Q20" s="378">
        <f t="shared" si="0"/>
        <v>14</v>
      </c>
      <c r="R20" s="379" t="s">
        <v>991</v>
      </c>
      <c r="S20" s="381" t="s">
        <v>992</v>
      </c>
      <c r="T20" s="380" t="s">
        <v>958</v>
      </c>
      <c r="U20" s="378" t="s">
        <v>993</v>
      </c>
      <c r="V20" s="378" t="s">
        <v>3141</v>
      </c>
      <c r="W20" s="381" t="s">
        <v>3141</v>
      </c>
      <c r="X20" s="317" t="s">
        <v>3148</v>
      </c>
      <c r="Y20" s="317" t="s">
        <v>3182</v>
      </c>
      <c r="Z20" s="315" t="s">
        <v>3170</v>
      </c>
      <c r="AA20" s="385">
        <v>39558</v>
      </c>
    </row>
    <row r="21" spans="3:27" ht="13.8">
      <c r="C21" t="s">
        <v>129</v>
      </c>
      <c r="D21" s="388" t="s">
        <v>3622</v>
      </c>
      <c r="E21" s="388" t="s">
        <v>3623</v>
      </c>
      <c r="Q21" s="378">
        <f t="shared" si="0"/>
        <v>15</v>
      </c>
      <c r="R21" s="379" t="s">
        <v>994</v>
      </c>
      <c r="S21" s="379" t="s">
        <v>995</v>
      </c>
      <c r="T21" s="380" t="s">
        <v>954</v>
      </c>
      <c r="U21" s="378" t="s">
        <v>996</v>
      </c>
      <c r="V21" s="378" t="s">
        <v>2649</v>
      </c>
      <c r="W21" s="379" t="s">
        <v>2649</v>
      </c>
      <c r="X21" s="317" t="s">
        <v>3147</v>
      </c>
      <c r="Y21" s="317" t="s">
        <v>3182</v>
      </c>
      <c r="Z21" s="315" t="s">
        <v>3163</v>
      </c>
      <c r="AA21" s="385">
        <v>4385</v>
      </c>
    </row>
    <row r="22" spans="3:27" ht="13.8">
      <c r="C22" t="s">
        <v>882</v>
      </c>
      <c r="D22" s="388"/>
      <c r="E22" s="270"/>
      <c r="F22" s="751" t="s">
        <v>3322</v>
      </c>
      <c r="Q22" s="378">
        <f t="shared" si="0"/>
        <v>16</v>
      </c>
      <c r="R22" s="379" t="s">
        <v>997</v>
      </c>
      <c r="S22" s="379" t="s">
        <v>998</v>
      </c>
      <c r="T22" s="380" t="s">
        <v>999</v>
      </c>
      <c r="U22" s="378" t="s">
        <v>1000</v>
      </c>
      <c r="V22" s="378" t="s">
        <v>2650</v>
      </c>
      <c r="W22" s="379" t="s">
        <v>2650</v>
      </c>
      <c r="X22" s="317" t="s">
        <v>3147</v>
      </c>
      <c r="Y22" s="317" t="s">
        <v>3184</v>
      </c>
      <c r="Z22" s="315" t="s">
        <v>3167</v>
      </c>
      <c r="AA22" s="385">
        <v>8819</v>
      </c>
    </row>
    <row r="23" spans="3:27" ht="13.8">
      <c r="C23" t="s">
        <v>884</v>
      </c>
      <c r="D23" s="389">
        <v>44196</v>
      </c>
      <c r="E23" s="270"/>
      <c r="Q23" s="378">
        <f t="shared" si="0"/>
        <v>17</v>
      </c>
      <c r="R23" s="379" t="s">
        <v>1001</v>
      </c>
      <c r="S23" s="379" t="s">
        <v>1002</v>
      </c>
      <c r="T23" s="380" t="s">
        <v>999</v>
      </c>
      <c r="U23" s="378" t="s">
        <v>1003</v>
      </c>
      <c r="V23" s="378" t="s">
        <v>2651</v>
      </c>
      <c r="W23" s="379" t="s">
        <v>2651</v>
      </c>
      <c r="X23" s="317" t="s">
        <v>3147</v>
      </c>
      <c r="Y23" s="317" t="s">
        <v>3182</v>
      </c>
      <c r="Z23" s="315" t="s">
        <v>3163</v>
      </c>
      <c r="AA23" s="385">
        <v>1023</v>
      </c>
    </row>
    <row r="24" spans="3:27" ht="13.8">
      <c r="Q24" s="378">
        <f t="shared" si="0"/>
        <v>18</v>
      </c>
      <c r="R24" s="379" t="s">
        <v>1004</v>
      </c>
      <c r="S24" s="379" t="s">
        <v>1005</v>
      </c>
      <c r="T24" s="380" t="s">
        <v>1006</v>
      </c>
      <c r="U24" s="378" t="s">
        <v>1007</v>
      </c>
      <c r="V24" s="378" t="s">
        <v>2652</v>
      </c>
      <c r="W24" s="379" t="s">
        <v>2652</v>
      </c>
      <c r="X24" s="317" t="s">
        <v>3147</v>
      </c>
      <c r="Y24" s="317" t="s">
        <v>3182</v>
      </c>
      <c r="Z24" s="315" t="s">
        <v>3171</v>
      </c>
      <c r="AA24" s="385">
        <v>1334</v>
      </c>
    </row>
    <row r="25" spans="3:27" ht="13.8">
      <c r="C25" s="286" t="s">
        <v>931</v>
      </c>
      <c r="D25" s="386" t="str">
        <f>"Balance - January 1, "&amp;D34</f>
        <v>Balance - January 1, 2020</v>
      </c>
      <c r="E25" s="270"/>
      <c r="Q25" s="378">
        <f t="shared" si="0"/>
        <v>19</v>
      </c>
      <c r="R25" s="379" t="s">
        <v>1008</v>
      </c>
      <c r="S25" s="379" t="s">
        <v>1009</v>
      </c>
      <c r="T25" s="380" t="s">
        <v>954</v>
      </c>
      <c r="U25" s="378" t="s">
        <v>1010</v>
      </c>
      <c r="V25" s="378" t="s">
        <v>2653</v>
      </c>
      <c r="W25" s="379" t="s">
        <v>2653</v>
      </c>
      <c r="X25" s="317" t="s">
        <v>3147</v>
      </c>
      <c r="Y25" s="317" t="s">
        <v>3184</v>
      </c>
      <c r="Z25" s="315" t="s">
        <v>3167</v>
      </c>
      <c r="AA25" s="385">
        <v>1901</v>
      </c>
    </row>
    <row r="26" spans="3:27" ht="13.8">
      <c r="C26" s="286"/>
      <c r="D26" s="386" t="str">
        <f>"Balance - December 31, "&amp;D34</f>
        <v>Balance - December 31, 2020</v>
      </c>
      <c r="E26" s="270"/>
      <c r="Q26" s="378">
        <f t="shared" si="0"/>
        <v>20</v>
      </c>
      <c r="R26" s="379" t="s">
        <v>1011</v>
      </c>
      <c r="S26" s="379" t="s">
        <v>1012</v>
      </c>
      <c r="T26" s="380" t="s">
        <v>1013</v>
      </c>
      <c r="U26" s="378" t="s">
        <v>1014</v>
      </c>
      <c r="V26" s="378" t="s">
        <v>2654</v>
      </c>
      <c r="W26" s="379" t="s">
        <v>2654</v>
      </c>
      <c r="X26" s="317" t="s">
        <v>3147</v>
      </c>
      <c r="Y26" s="317" t="s">
        <v>3182</v>
      </c>
      <c r="Z26" s="315" t="s">
        <v>3163</v>
      </c>
      <c r="AA26" s="385">
        <v>574</v>
      </c>
    </row>
    <row r="27" spans="3:27" ht="13.8">
      <c r="C27" s="286"/>
      <c r="D27" s="386" t="str">
        <f>"Outstanding - January 1, "&amp;D34</f>
        <v>Outstanding - January 1, 2020</v>
      </c>
      <c r="E27" s="270"/>
      <c r="Q27" s="378">
        <f t="shared" si="0"/>
        <v>21</v>
      </c>
      <c r="R27" s="379" t="s">
        <v>1015</v>
      </c>
      <c r="S27" s="379" t="s">
        <v>1016</v>
      </c>
      <c r="T27" s="380" t="s">
        <v>1013</v>
      </c>
      <c r="U27" s="378" t="s">
        <v>1017</v>
      </c>
      <c r="V27" s="378" t="s">
        <v>1016</v>
      </c>
      <c r="W27" s="379" t="s">
        <v>2893</v>
      </c>
      <c r="X27" s="317" t="s">
        <v>3146</v>
      </c>
      <c r="Y27" s="317" t="s">
        <v>3183</v>
      </c>
      <c r="Z27" s="315" t="s">
        <v>3168</v>
      </c>
      <c r="AA27" s="385">
        <v>20936</v>
      </c>
    </row>
    <row r="28" spans="3:27" ht="13.8">
      <c r="C28" s="286"/>
      <c r="D28" s="386" t="str">
        <f>"Outstanding - December 31, "&amp;D34</f>
        <v>Outstanding - December 31, 2020</v>
      </c>
      <c r="Q28" s="378">
        <f t="shared" si="0"/>
        <v>22</v>
      </c>
      <c r="R28" s="379" t="s">
        <v>1018</v>
      </c>
      <c r="S28" s="379" t="s">
        <v>1019</v>
      </c>
      <c r="T28" s="380" t="s">
        <v>999</v>
      </c>
      <c r="U28" s="378" t="s">
        <v>1020</v>
      </c>
      <c r="V28" s="378" t="s">
        <v>2655</v>
      </c>
      <c r="W28" s="379" t="s">
        <v>2655</v>
      </c>
      <c r="X28" s="317" t="s">
        <v>3147</v>
      </c>
      <c r="Y28" s="317" t="s">
        <v>3182</v>
      </c>
      <c r="Z28" s="315" t="s">
        <v>3163</v>
      </c>
      <c r="AA28" s="385">
        <v>6983</v>
      </c>
    </row>
    <row r="29" spans="3:27" ht="13.8">
      <c r="C29" s="286" t="s">
        <v>932</v>
      </c>
      <c r="D29" s="387">
        <f>DATE(D34,12,31)</f>
        <v>44196</v>
      </c>
      <c r="Q29" s="378">
        <f t="shared" si="0"/>
        <v>23</v>
      </c>
      <c r="R29" s="379" t="s">
        <v>1021</v>
      </c>
      <c r="S29" s="379" t="s">
        <v>1022</v>
      </c>
      <c r="T29" s="380" t="s">
        <v>1023</v>
      </c>
      <c r="U29" s="378" t="s">
        <v>1024</v>
      </c>
      <c r="V29" s="378" t="s">
        <v>1022</v>
      </c>
      <c r="W29" s="379" t="s">
        <v>2894</v>
      </c>
      <c r="X29" s="317" t="s">
        <v>3146</v>
      </c>
      <c r="Y29" s="317" t="s">
        <v>3184</v>
      </c>
      <c r="Z29" s="315" t="s">
        <v>3167</v>
      </c>
      <c r="AA29" s="385">
        <v>1443</v>
      </c>
    </row>
    <row r="30" spans="3:27" ht="13.8">
      <c r="C30" s="286" t="s">
        <v>3234</v>
      </c>
      <c r="D30" s="387">
        <f>DATE(D33,12,31)</f>
        <v>44561</v>
      </c>
      <c r="Q30" s="378">
        <f t="shared" si="0"/>
        <v>24</v>
      </c>
      <c r="R30" s="379" t="s">
        <v>1025</v>
      </c>
      <c r="S30" s="379" t="s">
        <v>1026</v>
      </c>
      <c r="T30" s="380" t="s">
        <v>1013</v>
      </c>
      <c r="U30" s="378" t="s">
        <v>1027</v>
      </c>
      <c r="V30" s="378" t="s">
        <v>2656</v>
      </c>
      <c r="W30" s="379" t="s">
        <v>2656</v>
      </c>
      <c r="X30" s="317" t="s">
        <v>3147</v>
      </c>
      <c r="Y30" s="317" t="s">
        <v>3182</v>
      </c>
      <c r="Z30" s="315" t="s">
        <v>3163</v>
      </c>
      <c r="AA30" s="385">
        <v>968</v>
      </c>
    </row>
    <row r="31" spans="3:27" ht="13.8">
      <c r="Q31" s="378">
        <f t="shared" si="0"/>
        <v>25</v>
      </c>
      <c r="R31" s="379" t="s">
        <v>1028</v>
      </c>
      <c r="S31" s="379" t="s">
        <v>1029</v>
      </c>
      <c r="T31" s="380" t="s">
        <v>1030</v>
      </c>
      <c r="U31" s="378" t="s">
        <v>1031</v>
      </c>
      <c r="V31" s="378" t="s">
        <v>3093</v>
      </c>
      <c r="W31" s="379" t="s">
        <v>3093</v>
      </c>
      <c r="X31" s="317" t="s">
        <v>3148</v>
      </c>
      <c r="Y31" s="317" t="s">
        <v>3182</v>
      </c>
      <c r="Z31" s="315" t="s">
        <v>3171</v>
      </c>
      <c r="AA31" s="385">
        <v>63024</v>
      </c>
    </row>
    <row r="32" spans="3:27" ht="13.8">
      <c r="Q32" s="378">
        <f t="shared" si="0"/>
        <v>26</v>
      </c>
      <c r="R32" s="379" t="s">
        <v>1032</v>
      </c>
      <c r="S32" s="379" t="s">
        <v>1033</v>
      </c>
      <c r="T32" s="380" t="s">
        <v>1013</v>
      </c>
      <c r="U32" s="378" t="s">
        <v>1034</v>
      </c>
      <c r="V32" s="378" t="s">
        <v>2657</v>
      </c>
      <c r="W32" s="379" t="s">
        <v>2657</v>
      </c>
      <c r="X32" s="317" t="s">
        <v>3147</v>
      </c>
      <c r="Y32" s="317" t="s">
        <v>3182</v>
      </c>
      <c r="Z32" s="315" t="s">
        <v>3169</v>
      </c>
      <c r="AA32" s="385">
        <v>1170</v>
      </c>
    </row>
    <row r="33" spans="3:27" ht="13.8">
      <c r="C33" s="271" t="s">
        <v>927</v>
      </c>
      <c r="D33" s="362">
        <v>2021</v>
      </c>
      <c r="Q33" s="378">
        <f t="shared" si="0"/>
        <v>27</v>
      </c>
      <c r="R33" s="379" t="s">
        <v>1035</v>
      </c>
      <c r="S33" s="379" t="s">
        <v>1036</v>
      </c>
      <c r="T33" s="380" t="s">
        <v>1013</v>
      </c>
      <c r="U33" s="378" t="s">
        <v>1037</v>
      </c>
      <c r="V33" s="378" t="s">
        <v>2658</v>
      </c>
      <c r="W33" s="379" t="s">
        <v>2658</v>
      </c>
      <c r="X33" s="317" t="s">
        <v>3147</v>
      </c>
      <c r="Y33" s="317" t="s">
        <v>3182</v>
      </c>
      <c r="Z33" s="315" t="s">
        <v>3163</v>
      </c>
      <c r="AA33" s="385">
        <v>11045</v>
      </c>
    </row>
    <row r="34" spans="3:27" ht="13.8">
      <c r="C34" s="271" t="s">
        <v>928</v>
      </c>
      <c r="D34" s="363">
        <f>D33-1</f>
        <v>2020</v>
      </c>
      <c r="Q34" s="378">
        <f t="shared" si="0"/>
        <v>28</v>
      </c>
      <c r="R34" s="379" t="s">
        <v>1038</v>
      </c>
      <c r="S34" s="379" t="s">
        <v>1039</v>
      </c>
      <c r="T34" s="380" t="s">
        <v>1040</v>
      </c>
      <c r="U34" s="378" t="s">
        <v>1041</v>
      </c>
      <c r="V34" s="378" t="s">
        <v>1039</v>
      </c>
      <c r="W34" s="379" t="s">
        <v>2895</v>
      </c>
      <c r="X34" s="317" t="s">
        <v>3146</v>
      </c>
      <c r="Y34" s="317" t="s">
        <v>3183</v>
      </c>
      <c r="Z34" s="315" t="s">
        <v>3168</v>
      </c>
      <c r="AA34" s="385">
        <v>8165</v>
      </c>
    </row>
    <row r="35" spans="3:27" ht="13.8">
      <c r="C35" s="271" t="s">
        <v>929</v>
      </c>
      <c r="D35" s="363">
        <f>D34-1</f>
        <v>2019</v>
      </c>
      <c r="Q35" s="378">
        <f t="shared" si="0"/>
        <v>29</v>
      </c>
      <c r="R35" s="379" t="s">
        <v>1042</v>
      </c>
      <c r="S35" s="379" t="s">
        <v>1043</v>
      </c>
      <c r="T35" s="380" t="s">
        <v>1044</v>
      </c>
      <c r="U35" s="378" t="s">
        <v>1045</v>
      </c>
      <c r="V35" s="378" t="s">
        <v>1043</v>
      </c>
      <c r="W35" s="379" t="s">
        <v>2896</v>
      </c>
      <c r="X35" s="317" t="s">
        <v>3146</v>
      </c>
      <c r="Y35" s="317" t="s">
        <v>3182</v>
      </c>
      <c r="Z35" s="315" t="s">
        <v>3172</v>
      </c>
      <c r="AA35" s="385">
        <v>35926</v>
      </c>
    </row>
    <row r="36" spans="3:27" ht="13.8">
      <c r="Q36" s="378">
        <f t="shared" si="0"/>
        <v>30</v>
      </c>
      <c r="R36" s="379" t="s">
        <v>1046</v>
      </c>
      <c r="S36" s="379" t="s">
        <v>1047</v>
      </c>
      <c r="T36" s="380" t="s">
        <v>999</v>
      </c>
      <c r="U36" s="378" t="s">
        <v>1048</v>
      </c>
      <c r="V36" s="378" t="s">
        <v>2659</v>
      </c>
      <c r="W36" s="379" t="s">
        <v>2659</v>
      </c>
      <c r="X36" s="317" t="s">
        <v>3147</v>
      </c>
      <c r="Y36" s="317" t="s">
        <v>3182</v>
      </c>
      <c r="Z36" s="315" t="s">
        <v>3163</v>
      </c>
      <c r="AA36" s="385">
        <v>11583</v>
      </c>
    </row>
    <row r="37" spans="3:27" ht="13.8">
      <c r="C37" s="269" t="s">
        <v>781</v>
      </c>
      <c r="D37" s="364">
        <f>VLOOKUP(D8,$Q$7:$AA$592,11,FALSE)</f>
        <v>2278</v>
      </c>
      <c r="Q37" s="378">
        <f t="shared" si="0"/>
        <v>31</v>
      </c>
      <c r="R37" s="379" t="s">
        <v>1049</v>
      </c>
      <c r="S37" s="379" t="s">
        <v>1050</v>
      </c>
      <c r="T37" s="380" t="s">
        <v>954</v>
      </c>
      <c r="U37" s="378" t="s">
        <v>1051</v>
      </c>
      <c r="V37" s="378" t="s">
        <v>2660</v>
      </c>
      <c r="W37" s="379" t="s">
        <v>2660</v>
      </c>
      <c r="X37" s="317" t="s">
        <v>3147</v>
      </c>
      <c r="Y37" s="317" t="s">
        <v>3182</v>
      </c>
      <c r="Z37" s="315" t="s">
        <v>3166</v>
      </c>
      <c r="AA37" s="385">
        <v>5794</v>
      </c>
    </row>
    <row r="38" spans="3:27" ht="13.8">
      <c r="C38" s="269" t="str">
        <f>"NET  VALUATION  TAXABLE  "&amp;D34</f>
        <v>NET  VALUATION  TAXABLE  2020</v>
      </c>
      <c r="D38" s="932">
        <v>218200300</v>
      </c>
      <c r="Q38" s="378">
        <f t="shared" si="0"/>
        <v>32</v>
      </c>
      <c r="R38" s="379" t="s">
        <v>1052</v>
      </c>
      <c r="S38" s="379" t="s">
        <v>1053</v>
      </c>
      <c r="T38" s="380" t="s">
        <v>976</v>
      </c>
      <c r="U38" s="378" t="s">
        <v>1054</v>
      </c>
      <c r="V38" s="378" t="s">
        <v>3130</v>
      </c>
      <c r="W38" s="379" t="s">
        <v>3130</v>
      </c>
      <c r="X38" s="317" t="s">
        <v>2640</v>
      </c>
      <c r="Y38" s="317" t="s">
        <v>3182</v>
      </c>
      <c r="Z38" s="315" t="s">
        <v>3163</v>
      </c>
      <c r="AA38" s="385">
        <v>2681</v>
      </c>
    </row>
    <row r="39" spans="3:27" ht="13.8">
      <c r="C39" s="269" t="s">
        <v>930</v>
      </c>
      <c r="D39" s="356" t="str">
        <f>VLOOKUP($D$8,$Q$7:$R$592,2,FALSE)</f>
        <v>0819</v>
      </c>
      <c r="Q39" s="378">
        <f t="shared" si="0"/>
        <v>33</v>
      </c>
      <c r="R39" s="379" t="s">
        <v>1055</v>
      </c>
      <c r="S39" s="379" t="s">
        <v>1056</v>
      </c>
      <c r="T39" s="380" t="s">
        <v>962</v>
      </c>
      <c r="U39" s="378" t="s">
        <v>1057</v>
      </c>
      <c r="V39" s="378" t="s">
        <v>2661</v>
      </c>
      <c r="W39" s="379" t="s">
        <v>2661</v>
      </c>
      <c r="X39" s="317" t="s">
        <v>3147</v>
      </c>
      <c r="Y39" s="317" t="s">
        <v>3182</v>
      </c>
      <c r="Z39" s="315" t="s">
        <v>3163</v>
      </c>
      <c r="AA39" s="385">
        <v>26764</v>
      </c>
    </row>
    <row r="40" spans="3:27" s="315" customFormat="1" ht="13.8">
      <c r="C40" s="317"/>
      <c r="D40" s="361"/>
      <c r="Q40" s="378">
        <f t="shared" si="0"/>
        <v>34</v>
      </c>
      <c r="R40" s="379" t="s">
        <v>1058</v>
      </c>
      <c r="S40" s="379" t="s">
        <v>1059</v>
      </c>
      <c r="T40" s="380" t="s">
        <v>1060</v>
      </c>
      <c r="U40" s="378" t="s">
        <v>1061</v>
      </c>
      <c r="V40" s="378" t="s">
        <v>1059</v>
      </c>
      <c r="W40" s="379" t="s">
        <v>2897</v>
      </c>
      <c r="X40" s="317" t="s">
        <v>3146</v>
      </c>
      <c r="Y40" s="317" t="s">
        <v>3182</v>
      </c>
      <c r="Z40" s="315" t="s">
        <v>3163</v>
      </c>
      <c r="AA40" s="385">
        <v>13183</v>
      </c>
    </row>
    <row r="41" spans="3:27" ht="13.8">
      <c r="C41" s="268"/>
      <c r="D41" s="359" t="str">
        <f>"ANNUAL FINANCIAL STATEMENT FOR THE YEAR "&amp;D34</f>
        <v>ANNUAL FINANCIAL STATEMENT FOR THE YEAR 2020</v>
      </c>
      <c r="Q41" s="378">
        <f t="shared" si="0"/>
        <v>35</v>
      </c>
      <c r="R41" s="379" t="s">
        <v>1062</v>
      </c>
      <c r="S41" s="379" t="s">
        <v>1063</v>
      </c>
      <c r="T41" s="380" t="s">
        <v>1013</v>
      </c>
      <c r="U41" s="378" t="s">
        <v>1064</v>
      </c>
      <c r="V41" s="378" t="s">
        <v>1063</v>
      </c>
      <c r="W41" s="379" t="s">
        <v>2898</v>
      </c>
      <c r="X41" s="317" t="s">
        <v>3146</v>
      </c>
      <c r="Y41" s="317" t="s">
        <v>3182</v>
      </c>
      <c r="Z41" s="315" t="s">
        <v>3164</v>
      </c>
      <c r="AA41" s="385">
        <v>41255</v>
      </c>
    </row>
    <row r="42" spans="3:27" ht="13.8">
      <c r="C42" s="270"/>
      <c r="D42" s="359" t="str">
        <f>"COUNTIES  - JANUARY  26, "&amp;D33</f>
        <v>COUNTIES  - JANUARY  26, 2021</v>
      </c>
      <c r="Q42" s="378">
        <f t="shared" si="0"/>
        <v>36</v>
      </c>
      <c r="R42" s="379" t="s">
        <v>1065</v>
      </c>
      <c r="S42" s="379" t="s">
        <v>1066</v>
      </c>
      <c r="T42" s="380" t="s">
        <v>999</v>
      </c>
      <c r="U42" s="378" t="s">
        <v>1067</v>
      </c>
      <c r="V42" s="378" t="s">
        <v>2662</v>
      </c>
      <c r="W42" s="379" t="s">
        <v>2662</v>
      </c>
      <c r="X42" s="317" t="s">
        <v>3147</v>
      </c>
      <c r="Y42" s="317" t="s">
        <v>3182</v>
      </c>
      <c r="Z42" s="315" t="s">
        <v>3163</v>
      </c>
      <c r="AA42" s="385">
        <v>7588</v>
      </c>
    </row>
    <row r="43" spans="3:27" ht="13.8">
      <c r="C43" s="270"/>
      <c r="D43" s="359" t="str">
        <f>"MUNICIPALITIES  - FEBRUARY 10, "&amp;D33</f>
        <v>MUNICIPALITIES  - FEBRUARY 10, 2021</v>
      </c>
      <c r="Q43" s="378">
        <f t="shared" si="0"/>
        <v>37</v>
      </c>
      <c r="R43" s="379" t="s">
        <v>1068</v>
      </c>
      <c r="S43" s="379" t="s">
        <v>1069</v>
      </c>
      <c r="T43" s="380" t="s">
        <v>999</v>
      </c>
      <c r="U43" s="378" t="s">
        <v>1070</v>
      </c>
      <c r="V43" s="378" t="s">
        <v>1069</v>
      </c>
      <c r="W43" s="379" t="s">
        <v>2662</v>
      </c>
      <c r="X43" s="317" t="s">
        <v>3146</v>
      </c>
      <c r="Y43" s="317" t="s">
        <v>3182</v>
      </c>
      <c r="Z43" s="315" t="s">
        <v>3166</v>
      </c>
      <c r="AA43" s="385">
        <v>5357</v>
      </c>
    </row>
    <row r="44" spans="3:27" ht="13.8">
      <c r="C44" s="270"/>
      <c r="D44" s="359" t="str">
        <f>"AS  AT  DECEMBER  31, "&amp;D34</f>
        <v>AS  AT  DECEMBER  31, 2020</v>
      </c>
      <c r="Q44" s="378">
        <f t="shared" si="0"/>
        <v>38</v>
      </c>
      <c r="R44" s="379" t="s">
        <v>1071</v>
      </c>
      <c r="S44" s="379" t="s">
        <v>1072</v>
      </c>
      <c r="T44" s="380" t="s">
        <v>1040</v>
      </c>
      <c r="U44" s="378" t="s">
        <v>1073</v>
      </c>
      <c r="V44" s="378" t="s">
        <v>1072</v>
      </c>
      <c r="W44" s="379" t="s">
        <v>2899</v>
      </c>
      <c r="X44" s="317" t="s">
        <v>3146</v>
      </c>
      <c r="Y44" s="317" t="s">
        <v>3183</v>
      </c>
      <c r="Z44" s="315" t="s">
        <v>3168</v>
      </c>
      <c r="AA44" s="385">
        <v>26652</v>
      </c>
    </row>
    <row r="45" spans="3:27" ht="13.8">
      <c r="C45" s="268"/>
      <c r="D45" s="359" t="str">
        <f>"Dec. 31, "&amp;D35</f>
        <v>Dec. 31, 2019</v>
      </c>
      <c r="Q45" s="378">
        <f t="shared" si="0"/>
        <v>39</v>
      </c>
      <c r="R45" s="379" t="s">
        <v>1074</v>
      </c>
      <c r="S45" s="379" t="s">
        <v>1075</v>
      </c>
      <c r="T45" s="380" t="s">
        <v>1040</v>
      </c>
      <c r="U45" s="378" t="s">
        <v>1076</v>
      </c>
      <c r="V45" s="378" t="s">
        <v>2663</v>
      </c>
      <c r="W45" s="379" t="s">
        <v>2663</v>
      </c>
      <c r="X45" s="317" t="s">
        <v>3147</v>
      </c>
      <c r="Y45" s="317" t="s">
        <v>3182</v>
      </c>
      <c r="Z45" s="315" t="s">
        <v>3163</v>
      </c>
      <c r="AA45" s="385">
        <v>7707</v>
      </c>
    </row>
    <row r="46" spans="3:27" ht="13.8">
      <c r="C46" s="268"/>
      <c r="D46" s="359" t="str">
        <f>"Dec. 31, "&amp;D34</f>
        <v>Dec. 31, 2020</v>
      </c>
      <c r="Q46" s="378">
        <f t="shared" si="0"/>
        <v>40</v>
      </c>
      <c r="R46" s="379" t="s">
        <v>1077</v>
      </c>
      <c r="S46" s="379" t="s">
        <v>1078</v>
      </c>
      <c r="T46" s="380" t="s">
        <v>1079</v>
      </c>
      <c r="U46" s="378" t="s">
        <v>1080</v>
      </c>
      <c r="V46" s="378" t="s">
        <v>1078</v>
      </c>
      <c r="W46" s="379" t="s">
        <v>2900</v>
      </c>
      <c r="X46" s="317" t="s">
        <v>3146</v>
      </c>
      <c r="Y46" s="317" t="s">
        <v>3183</v>
      </c>
      <c r="Z46" s="315" t="s">
        <v>3168</v>
      </c>
      <c r="AA46" s="385">
        <v>3979</v>
      </c>
    </row>
    <row r="47" spans="3:27" ht="13.8">
      <c r="C47" s="268"/>
      <c r="D47" s="359" t="str">
        <f>"Jan. 1, "&amp;D34</f>
        <v>Jan. 1, 2020</v>
      </c>
      <c r="E47" s="268"/>
      <c r="F47" s="268"/>
      <c r="G47" s="268"/>
      <c r="Q47" s="378">
        <f t="shared" si="0"/>
        <v>41</v>
      </c>
      <c r="R47" s="379" t="s">
        <v>1081</v>
      </c>
      <c r="S47" s="379" t="s">
        <v>1082</v>
      </c>
      <c r="T47" s="380" t="s">
        <v>1023</v>
      </c>
      <c r="U47" s="378" t="s">
        <v>1083</v>
      </c>
      <c r="V47" s="378" t="s">
        <v>3094</v>
      </c>
      <c r="W47" s="379" t="s">
        <v>3094</v>
      </c>
      <c r="X47" s="317" t="s">
        <v>3148</v>
      </c>
      <c r="Y47" s="317" t="s">
        <v>3182</v>
      </c>
      <c r="Z47" s="315" t="s">
        <v>3170</v>
      </c>
      <c r="AA47" s="385">
        <v>2577</v>
      </c>
    </row>
    <row r="48" spans="3:27" ht="13.8">
      <c r="C48" s="268"/>
      <c r="D48" s="360" t="str">
        <f>"YEAR  - "&amp;D35</f>
        <v>YEAR  - 2019</v>
      </c>
      <c r="E48" s="268"/>
      <c r="F48" s="268"/>
      <c r="G48" s="268"/>
      <c r="Q48" s="378">
        <f t="shared" si="0"/>
        <v>42</v>
      </c>
      <c r="R48" s="379" t="s">
        <v>1084</v>
      </c>
      <c r="S48" s="379" t="s">
        <v>1085</v>
      </c>
      <c r="T48" s="380" t="s">
        <v>976</v>
      </c>
      <c r="U48" s="378" t="s">
        <v>1086</v>
      </c>
      <c r="V48" s="378" t="s">
        <v>1085</v>
      </c>
      <c r="W48" s="379" t="s">
        <v>2901</v>
      </c>
      <c r="X48" s="317" t="s">
        <v>3146</v>
      </c>
      <c r="Y48" s="317" t="s">
        <v>3183</v>
      </c>
      <c r="Z48" s="315" t="s">
        <v>3168</v>
      </c>
      <c r="AA48" s="385">
        <v>5967</v>
      </c>
    </row>
    <row r="49" spans="3:27" ht="13.8">
      <c r="D49" s="360" t="str">
        <f>"YEAR  - "&amp;D34</f>
        <v>YEAR  - 2020</v>
      </c>
      <c r="Q49" s="378">
        <f t="shared" si="0"/>
        <v>43</v>
      </c>
      <c r="R49" s="379" t="s">
        <v>1087</v>
      </c>
      <c r="S49" s="379" t="s">
        <v>1088</v>
      </c>
      <c r="T49" s="380" t="s">
        <v>1044</v>
      </c>
      <c r="U49" s="378" t="s">
        <v>1089</v>
      </c>
      <c r="V49" s="378" t="s">
        <v>1088</v>
      </c>
      <c r="W49" s="379" t="s">
        <v>2902</v>
      </c>
      <c r="X49" s="317" t="s">
        <v>3146</v>
      </c>
      <c r="Y49" s="317" t="s">
        <v>3182</v>
      </c>
      <c r="Z49" s="315" t="s">
        <v>3163</v>
      </c>
      <c r="AA49" s="385">
        <v>47315</v>
      </c>
    </row>
    <row r="50" spans="3:27" ht="13.8">
      <c r="Q50" s="378">
        <f t="shared" si="0"/>
        <v>44</v>
      </c>
      <c r="R50" s="379" t="s">
        <v>1090</v>
      </c>
      <c r="S50" s="379" t="s">
        <v>1091</v>
      </c>
      <c r="T50" s="380" t="s">
        <v>1092</v>
      </c>
      <c r="U50" s="378" t="s">
        <v>1093</v>
      </c>
      <c r="V50" s="378" t="s">
        <v>2664</v>
      </c>
      <c r="W50" s="379" t="s">
        <v>2664</v>
      </c>
      <c r="X50" s="317" t="s">
        <v>3147</v>
      </c>
      <c r="Y50" s="317" t="s">
        <v>3182</v>
      </c>
      <c r="Z50" s="315" t="s">
        <v>3163</v>
      </c>
      <c r="AA50" s="385">
        <v>7656</v>
      </c>
    </row>
    <row r="51" spans="3:27" s="315" customFormat="1" ht="13.8">
      <c r="C51" s="317"/>
      <c r="D51" s="317" t="s">
        <v>3553</v>
      </c>
      <c r="Q51" s="378">
        <f>Q50+1</f>
        <v>45</v>
      </c>
      <c r="R51" s="379" t="s">
        <v>1094</v>
      </c>
      <c r="S51" s="379" t="s">
        <v>1095</v>
      </c>
      <c r="T51" s="380" t="s">
        <v>1079</v>
      </c>
      <c r="U51" s="378" t="s">
        <v>1096</v>
      </c>
      <c r="V51" s="378" t="s">
        <v>2665</v>
      </c>
      <c r="W51" s="379" t="s">
        <v>2665</v>
      </c>
      <c r="X51" s="317" t="s">
        <v>3147</v>
      </c>
      <c r="Y51" s="317" t="s">
        <v>3182</v>
      </c>
      <c r="Z51" s="315" t="s">
        <v>3163</v>
      </c>
      <c r="AA51" s="385">
        <v>870</v>
      </c>
    </row>
    <row r="52" spans="3:27" ht="13.8">
      <c r="C52" s="317" t="s">
        <v>3451</v>
      </c>
      <c r="D52" s="901" t="s">
        <v>3624</v>
      </c>
      <c r="Q52" s="378">
        <f t="shared" si="0"/>
        <v>46</v>
      </c>
      <c r="R52" s="379" t="s">
        <v>1097</v>
      </c>
      <c r="S52" s="379" t="s">
        <v>1098</v>
      </c>
      <c r="T52" s="380" t="s">
        <v>962</v>
      </c>
      <c r="U52" s="378" t="s">
        <v>1099</v>
      </c>
      <c r="V52" s="378" t="s">
        <v>2666</v>
      </c>
      <c r="W52" s="379" t="s">
        <v>2666</v>
      </c>
      <c r="X52" s="317" t="s">
        <v>3147</v>
      </c>
      <c r="Y52" s="317" t="s">
        <v>3182</v>
      </c>
      <c r="Z52" s="315" t="s">
        <v>3163</v>
      </c>
      <c r="AA52" s="385">
        <v>8187</v>
      </c>
    </row>
    <row r="53" spans="3:27" ht="13.8">
      <c r="C53" s="317" t="s">
        <v>3452</v>
      </c>
      <c r="D53" s="901"/>
      <c r="Q53" s="378">
        <f t="shared" si="0"/>
        <v>47</v>
      </c>
      <c r="R53" s="379" t="s">
        <v>1100</v>
      </c>
      <c r="S53" s="379" t="s">
        <v>1101</v>
      </c>
      <c r="T53" s="380" t="s">
        <v>1102</v>
      </c>
      <c r="U53" s="378" t="s">
        <v>1103</v>
      </c>
      <c r="V53" s="378" t="s">
        <v>2903</v>
      </c>
      <c r="W53" s="379" t="s">
        <v>2903</v>
      </c>
      <c r="X53" s="317" t="s">
        <v>2640</v>
      </c>
      <c r="Y53" s="317" t="s">
        <v>3185</v>
      </c>
      <c r="Z53" s="315" t="s">
        <v>3173</v>
      </c>
      <c r="AA53" s="385">
        <v>8347</v>
      </c>
    </row>
    <row r="54" spans="3:27" ht="13.8">
      <c r="C54" s="317" t="s">
        <v>3453</v>
      </c>
      <c r="D54" s="901"/>
      <c r="Q54" s="378">
        <f t="shared" si="0"/>
        <v>48</v>
      </c>
      <c r="R54" s="379" t="s">
        <v>1104</v>
      </c>
      <c r="S54" s="379" t="s">
        <v>1105</v>
      </c>
      <c r="T54" s="380" t="s">
        <v>1102</v>
      </c>
      <c r="U54" s="378" t="s">
        <v>1106</v>
      </c>
      <c r="V54" s="378" t="s">
        <v>1105</v>
      </c>
      <c r="W54" s="379" t="s">
        <v>2903</v>
      </c>
      <c r="X54" s="317" t="s">
        <v>3146</v>
      </c>
      <c r="Y54" s="317" t="s">
        <v>3183</v>
      </c>
      <c r="Z54" s="315" t="s">
        <v>3168</v>
      </c>
      <c r="AA54" s="385">
        <v>4263</v>
      </c>
    </row>
    <row r="55" spans="3:27" ht="13.8">
      <c r="C55" s="317" t="s">
        <v>3454</v>
      </c>
      <c r="D55" s="901"/>
      <c r="Q55" s="378">
        <f t="shared" si="0"/>
        <v>49</v>
      </c>
      <c r="R55" s="379" t="s">
        <v>1107</v>
      </c>
      <c r="S55" s="379" t="s">
        <v>1108</v>
      </c>
      <c r="T55" s="380" t="s">
        <v>1023</v>
      </c>
      <c r="U55" s="378" t="s">
        <v>1109</v>
      </c>
      <c r="V55" s="378" t="s">
        <v>2904</v>
      </c>
      <c r="W55" s="379" t="s">
        <v>2904</v>
      </c>
      <c r="X55" s="317" t="s">
        <v>3148</v>
      </c>
      <c r="Y55" s="317" t="s">
        <v>3184</v>
      </c>
      <c r="Z55" s="315" t="s">
        <v>3167</v>
      </c>
      <c r="AA55" s="385">
        <v>3924</v>
      </c>
    </row>
    <row r="56" spans="3:27" ht="13.8">
      <c r="C56" s="317" t="s">
        <v>3455</v>
      </c>
      <c r="D56" s="901"/>
      <c r="Q56" s="378">
        <f t="shared" si="0"/>
        <v>50</v>
      </c>
      <c r="R56" s="379" t="s">
        <v>1110</v>
      </c>
      <c r="S56" s="379" t="s">
        <v>1111</v>
      </c>
      <c r="T56" s="380" t="s">
        <v>1023</v>
      </c>
      <c r="U56" s="378" t="s">
        <v>1112</v>
      </c>
      <c r="V56" s="378" t="s">
        <v>1111</v>
      </c>
      <c r="W56" s="379" t="s">
        <v>2904</v>
      </c>
      <c r="X56" s="317" t="s">
        <v>3146</v>
      </c>
      <c r="Y56" s="317" t="s">
        <v>3183</v>
      </c>
      <c r="Z56" s="315" t="s">
        <v>3168</v>
      </c>
      <c r="AA56" s="385">
        <v>11367</v>
      </c>
    </row>
    <row r="57" spans="3:27" ht="13.8">
      <c r="C57" s="317" t="s">
        <v>3456</v>
      </c>
      <c r="D57" s="1466"/>
      <c r="Q57" s="378">
        <f t="shared" si="0"/>
        <v>51</v>
      </c>
      <c r="R57" s="379" t="s">
        <v>1113</v>
      </c>
      <c r="S57" s="379" t="s">
        <v>1114</v>
      </c>
      <c r="T57" s="380" t="s">
        <v>1040</v>
      </c>
      <c r="U57" s="378" t="s">
        <v>1115</v>
      </c>
      <c r="V57" s="378" t="s">
        <v>2667</v>
      </c>
      <c r="W57" s="379" t="s">
        <v>2667</v>
      </c>
      <c r="X57" s="317" t="s">
        <v>3147</v>
      </c>
      <c r="Y57" s="317" t="s">
        <v>3182</v>
      </c>
      <c r="Z57" s="315" t="s">
        <v>3163</v>
      </c>
      <c r="AA57" s="385">
        <v>10402</v>
      </c>
    </row>
    <row r="58" spans="3:27" ht="13.8">
      <c r="Q58" s="378">
        <f t="shared" si="0"/>
        <v>52</v>
      </c>
      <c r="R58" s="379" t="s">
        <v>1116</v>
      </c>
      <c r="S58" s="379" t="s">
        <v>1117</v>
      </c>
      <c r="T58" s="380" t="s">
        <v>954</v>
      </c>
      <c r="U58" s="378" t="s">
        <v>1118</v>
      </c>
      <c r="V58" s="378" t="s">
        <v>2668</v>
      </c>
      <c r="W58" s="379" t="s">
        <v>2668</v>
      </c>
      <c r="X58" s="317" t="s">
        <v>3147</v>
      </c>
      <c r="Y58" s="317" t="s">
        <v>3182</v>
      </c>
      <c r="Z58" s="315" t="s">
        <v>3166</v>
      </c>
      <c r="AA58" s="385">
        <v>4298</v>
      </c>
    </row>
    <row r="59" spans="3:27" ht="13.8">
      <c r="Q59" s="378">
        <f t="shared" si="0"/>
        <v>53</v>
      </c>
      <c r="R59" s="379" t="s">
        <v>1119</v>
      </c>
      <c r="S59" s="379" t="s">
        <v>1120</v>
      </c>
      <c r="T59" s="380" t="s">
        <v>1040</v>
      </c>
      <c r="U59" s="378" t="s">
        <v>1121</v>
      </c>
      <c r="V59" s="378" t="s">
        <v>1120</v>
      </c>
      <c r="W59" s="379" t="s">
        <v>2905</v>
      </c>
      <c r="X59" s="317" t="s">
        <v>3146</v>
      </c>
      <c r="Y59" s="317" t="s">
        <v>3183</v>
      </c>
      <c r="Z59" s="315" t="s">
        <v>3168</v>
      </c>
      <c r="AA59" s="385">
        <v>14459</v>
      </c>
    </row>
    <row r="60" spans="3:27" ht="13.8">
      <c r="Q60" s="378">
        <f t="shared" si="0"/>
        <v>54</v>
      </c>
      <c r="R60" s="379" t="s">
        <v>1122</v>
      </c>
      <c r="S60" s="379" t="s">
        <v>1123</v>
      </c>
      <c r="T60" s="380" t="s">
        <v>983</v>
      </c>
      <c r="U60" s="378" t="s">
        <v>1124</v>
      </c>
      <c r="V60" s="378" t="s">
        <v>2669</v>
      </c>
      <c r="W60" s="379" t="s">
        <v>2669</v>
      </c>
      <c r="X60" s="317" t="s">
        <v>3147</v>
      </c>
      <c r="Y60" s="317" t="s">
        <v>3182</v>
      </c>
      <c r="Z60" s="315" t="s">
        <v>3163</v>
      </c>
      <c r="AA60" s="385">
        <v>841</v>
      </c>
    </row>
    <row r="61" spans="3:27" ht="13.8">
      <c r="Q61" s="378">
        <f t="shared" si="0"/>
        <v>55</v>
      </c>
      <c r="R61" s="379" t="s">
        <v>1125</v>
      </c>
      <c r="S61" s="379" t="s">
        <v>1126</v>
      </c>
      <c r="T61" s="380" t="s">
        <v>1013</v>
      </c>
      <c r="U61" s="378" t="s">
        <v>1127</v>
      </c>
      <c r="V61" s="378" t="s">
        <v>1126</v>
      </c>
      <c r="W61" s="379" t="s">
        <v>2906</v>
      </c>
      <c r="X61" s="317" t="s">
        <v>3146</v>
      </c>
      <c r="Y61" s="317" t="s">
        <v>3182</v>
      </c>
      <c r="Z61" s="315" t="s">
        <v>3164</v>
      </c>
      <c r="AA61" s="385">
        <v>75072</v>
      </c>
    </row>
    <row r="62" spans="3:27" ht="13.8">
      <c r="Q62" s="378">
        <f t="shared" si="0"/>
        <v>56</v>
      </c>
      <c r="R62" s="379" t="s">
        <v>1128</v>
      </c>
      <c r="S62" s="379" t="s">
        <v>1129</v>
      </c>
      <c r="T62" s="380" t="s">
        <v>1130</v>
      </c>
      <c r="U62" s="378" t="s">
        <v>1131</v>
      </c>
      <c r="V62" s="378" t="s">
        <v>3095</v>
      </c>
      <c r="W62" s="379" t="s">
        <v>3095</v>
      </c>
      <c r="X62" s="317" t="s">
        <v>3148</v>
      </c>
      <c r="Y62" s="317" t="s">
        <v>3182</v>
      </c>
      <c r="Z62" s="315" t="s">
        <v>3171</v>
      </c>
      <c r="AA62" s="385">
        <v>25349</v>
      </c>
    </row>
    <row r="63" spans="3:27" ht="13.8">
      <c r="Q63" s="378">
        <f t="shared" si="0"/>
        <v>57</v>
      </c>
      <c r="R63" s="379" t="s">
        <v>1132</v>
      </c>
      <c r="S63" s="379" t="s">
        <v>1133</v>
      </c>
      <c r="T63" s="380" t="s">
        <v>1040</v>
      </c>
      <c r="U63" s="378" t="s">
        <v>1134</v>
      </c>
      <c r="V63" s="378" t="s">
        <v>1133</v>
      </c>
      <c r="W63" s="379" t="s">
        <v>2907</v>
      </c>
      <c r="X63" s="317" t="s">
        <v>3146</v>
      </c>
      <c r="Y63" s="317" t="s">
        <v>3182</v>
      </c>
      <c r="Z63" s="315" t="s">
        <v>3171</v>
      </c>
      <c r="AA63" s="385">
        <v>44464</v>
      </c>
    </row>
    <row r="64" spans="3:27" ht="13.8">
      <c r="Q64" s="378">
        <f t="shared" si="0"/>
        <v>58</v>
      </c>
      <c r="R64" s="379" t="s">
        <v>1135</v>
      </c>
      <c r="S64" s="379" t="s">
        <v>1136</v>
      </c>
      <c r="T64" s="380" t="s">
        <v>954</v>
      </c>
      <c r="U64" s="378" t="s">
        <v>1137</v>
      </c>
      <c r="V64" s="378" t="s">
        <v>2670</v>
      </c>
      <c r="W64" s="379" t="s">
        <v>2670</v>
      </c>
      <c r="X64" s="317" t="s">
        <v>3147</v>
      </c>
      <c r="Y64" s="317" t="s">
        <v>3182</v>
      </c>
      <c r="Z64" s="315" t="s">
        <v>3163</v>
      </c>
      <c r="AA64" s="385">
        <v>4774</v>
      </c>
    </row>
    <row r="65" spans="17:27" ht="13.8">
      <c r="Q65" s="378">
        <f t="shared" si="0"/>
        <v>59</v>
      </c>
      <c r="R65" s="379" t="s">
        <v>1138</v>
      </c>
      <c r="S65" s="379" t="s">
        <v>1139</v>
      </c>
      <c r="T65" s="380" t="s">
        <v>958</v>
      </c>
      <c r="U65" s="378" t="s">
        <v>1140</v>
      </c>
      <c r="V65" s="378" t="s">
        <v>3096</v>
      </c>
      <c r="W65" s="379" t="s">
        <v>3096</v>
      </c>
      <c r="X65" s="317" t="s">
        <v>3148</v>
      </c>
      <c r="Y65" s="317" t="s">
        <v>3182</v>
      </c>
      <c r="Z65" s="315" t="s">
        <v>3172</v>
      </c>
      <c r="AA65" s="385">
        <v>9450</v>
      </c>
    </row>
    <row r="66" spans="17:27" ht="13.8">
      <c r="Q66" s="378">
        <f t="shared" si="0"/>
        <v>60</v>
      </c>
      <c r="R66" s="379" t="s">
        <v>1141</v>
      </c>
      <c r="S66" s="379" t="s">
        <v>1142</v>
      </c>
      <c r="T66" s="380" t="s">
        <v>999</v>
      </c>
      <c r="U66" s="378" t="s">
        <v>1143</v>
      </c>
      <c r="V66" s="378" t="s">
        <v>2671</v>
      </c>
      <c r="W66" s="379" t="s">
        <v>2671</v>
      </c>
      <c r="X66" s="317" t="s">
        <v>3147</v>
      </c>
      <c r="Y66" s="317" t="s">
        <v>3182</v>
      </c>
      <c r="Z66" s="315" t="s">
        <v>3163</v>
      </c>
      <c r="AA66" s="385">
        <v>1955</v>
      </c>
    </row>
    <row r="67" spans="17:27" ht="13.8">
      <c r="Q67" s="378">
        <f t="shared" si="0"/>
        <v>61</v>
      </c>
      <c r="R67" s="379" t="s">
        <v>1144</v>
      </c>
      <c r="S67" s="379" t="s">
        <v>1145</v>
      </c>
      <c r="T67" s="380" t="s">
        <v>958</v>
      </c>
      <c r="U67" s="378" t="s">
        <v>1146</v>
      </c>
      <c r="V67" s="378" t="s">
        <v>2672</v>
      </c>
      <c r="W67" s="379" t="s">
        <v>2672</v>
      </c>
      <c r="X67" s="317" t="s">
        <v>3147</v>
      </c>
      <c r="Y67" s="317" t="s">
        <v>3182</v>
      </c>
      <c r="Z67" s="315" t="s">
        <v>3163</v>
      </c>
      <c r="AA67" s="385">
        <v>4603</v>
      </c>
    </row>
    <row r="68" spans="17:27" ht="13.8">
      <c r="Q68" s="378">
        <f t="shared" si="0"/>
        <v>62</v>
      </c>
      <c r="R68" s="379" t="s">
        <v>1147</v>
      </c>
      <c r="S68" s="379" t="s">
        <v>1148</v>
      </c>
      <c r="T68" s="380" t="s">
        <v>958</v>
      </c>
      <c r="U68" s="378" t="s">
        <v>1149</v>
      </c>
      <c r="V68" s="378" t="s">
        <v>1148</v>
      </c>
      <c r="W68" s="379" t="s">
        <v>2908</v>
      </c>
      <c r="X68" s="317" t="s">
        <v>3146</v>
      </c>
      <c r="Y68" s="317" t="s">
        <v>3183</v>
      </c>
      <c r="Z68" s="315" t="s">
        <v>3168</v>
      </c>
      <c r="AA68" s="385">
        <v>7570</v>
      </c>
    </row>
    <row r="69" spans="17:27" ht="13.8">
      <c r="Q69" s="378">
        <f t="shared" si="0"/>
        <v>63</v>
      </c>
      <c r="R69" s="379" t="s">
        <v>1150</v>
      </c>
      <c r="S69" s="379" t="s">
        <v>1151</v>
      </c>
      <c r="T69" s="380" t="s">
        <v>1023</v>
      </c>
      <c r="U69" s="378" t="s">
        <v>1152</v>
      </c>
      <c r="V69" s="378" t="s">
        <v>1023</v>
      </c>
      <c r="W69" s="379" t="s">
        <v>1023</v>
      </c>
      <c r="X69" s="317" t="s">
        <v>3148</v>
      </c>
      <c r="Y69" s="317" t="s">
        <v>3182</v>
      </c>
      <c r="Z69" s="315" t="s">
        <v>3164</v>
      </c>
      <c r="AA69" s="385">
        <v>9920</v>
      </c>
    </row>
    <row r="70" spans="17:27" ht="13.8">
      <c r="Q70" s="378">
        <f t="shared" si="0"/>
        <v>64</v>
      </c>
      <c r="R70" s="379" t="s">
        <v>1153</v>
      </c>
      <c r="S70" s="379" t="s">
        <v>1154</v>
      </c>
      <c r="T70" s="380" t="s">
        <v>1023</v>
      </c>
      <c r="U70" s="378" t="s">
        <v>1155</v>
      </c>
      <c r="V70" s="378" t="s">
        <v>1154</v>
      </c>
      <c r="W70" s="379" t="s">
        <v>1023</v>
      </c>
      <c r="X70" s="317" t="s">
        <v>3146</v>
      </c>
      <c r="Y70" s="317" t="s">
        <v>3182</v>
      </c>
      <c r="Z70" s="315" t="s">
        <v>3164</v>
      </c>
      <c r="AA70" s="385">
        <v>22594</v>
      </c>
    </row>
    <row r="71" spans="17:27" ht="13.8">
      <c r="Q71" s="378">
        <f t="shared" si="0"/>
        <v>65</v>
      </c>
      <c r="R71" s="379" t="s">
        <v>1156</v>
      </c>
      <c r="S71" s="379" t="s">
        <v>1157</v>
      </c>
      <c r="T71" s="380" t="s">
        <v>1102</v>
      </c>
      <c r="U71" s="378" t="s">
        <v>1158</v>
      </c>
      <c r="V71" s="378" t="s">
        <v>2673</v>
      </c>
      <c r="W71" s="379" t="s">
        <v>2673</v>
      </c>
      <c r="X71" s="317" t="s">
        <v>3147</v>
      </c>
      <c r="Y71" s="317" t="s">
        <v>3182</v>
      </c>
      <c r="Z71" s="315" t="s">
        <v>3163</v>
      </c>
      <c r="AA71" s="385">
        <v>7539</v>
      </c>
    </row>
    <row r="72" spans="17:27" ht="13.8">
      <c r="Q72" s="378">
        <f t="shared" si="0"/>
        <v>66</v>
      </c>
      <c r="R72" s="379" t="s">
        <v>1159</v>
      </c>
      <c r="S72" s="379" t="s">
        <v>1160</v>
      </c>
      <c r="T72" s="380" t="s">
        <v>983</v>
      </c>
      <c r="U72" s="378" t="s">
        <v>1161</v>
      </c>
      <c r="V72" s="378" t="s">
        <v>1160</v>
      </c>
      <c r="W72" s="379" t="s">
        <v>2909</v>
      </c>
      <c r="X72" s="317" t="s">
        <v>3146</v>
      </c>
      <c r="Y72" s="317" t="s">
        <v>3182</v>
      </c>
      <c r="Z72" s="315" t="s">
        <v>3166</v>
      </c>
      <c r="AA72" s="385">
        <v>8350</v>
      </c>
    </row>
    <row r="73" spans="17:27" ht="13.8">
      <c r="Q73" s="378">
        <f t="shared" ref="Q73:Q136" si="1">Q72+1</f>
        <v>67</v>
      </c>
      <c r="R73" s="379" t="s">
        <v>1162</v>
      </c>
      <c r="S73" s="379" t="s">
        <v>3575</v>
      </c>
      <c r="T73" s="380" t="s">
        <v>1044</v>
      </c>
      <c r="U73" s="378" t="s">
        <v>3576</v>
      </c>
      <c r="V73" s="378" t="s">
        <v>3575</v>
      </c>
      <c r="W73" s="379" t="s">
        <v>2910</v>
      </c>
      <c r="X73" s="317" t="s">
        <v>3147</v>
      </c>
      <c r="Y73" s="317" t="s">
        <v>3182</v>
      </c>
      <c r="Z73" s="315" t="s">
        <v>3163</v>
      </c>
      <c r="AA73" s="385">
        <v>7822</v>
      </c>
    </row>
    <row r="74" spans="17:27" ht="13.8">
      <c r="Q74" s="378">
        <f t="shared" si="1"/>
        <v>68</v>
      </c>
      <c r="R74" s="379" t="s">
        <v>1163</v>
      </c>
      <c r="S74" s="379" t="s">
        <v>1164</v>
      </c>
      <c r="T74" s="380" t="s">
        <v>1079</v>
      </c>
      <c r="U74" s="378" t="s">
        <v>1165</v>
      </c>
      <c r="V74" s="378" t="s">
        <v>2674</v>
      </c>
      <c r="W74" s="379" t="s">
        <v>2674</v>
      </c>
      <c r="X74" s="317" t="s">
        <v>3147</v>
      </c>
      <c r="Y74" s="317" t="s">
        <v>3182</v>
      </c>
      <c r="Z74" s="315" t="s">
        <v>3163</v>
      </c>
      <c r="AA74" s="385">
        <v>1076</v>
      </c>
    </row>
    <row r="75" spans="17:27" ht="13.8">
      <c r="Q75" s="378">
        <f t="shared" si="1"/>
        <v>69</v>
      </c>
      <c r="R75" s="379" t="s">
        <v>1166</v>
      </c>
      <c r="S75" s="379" t="s">
        <v>1167</v>
      </c>
      <c r="T75" s="380" t="s">
        <v>999</v>
      </c>
      <c r="U75" s="378" t="s">
        <v>1168</v>
      </c>
      <c r="V75" s="378" t="s">
        <v>999</v>
      </c>
      <c r="W75" s="379" t="s">
        <v>999</v>
      </c>
      <c r="X75" s="317" t="s">
        <v>3148</v>
      </c>
      <c r="Y75" s="317" t="s">
        <v>3182</v>
      </c>
      <c r="Z75" s="315" t="s">
        <v>3164</v>
      </c>
      <c r="AA75" s="385">
        <v>77344</v>
      </c>
    </row>
    <row r="76" spans="17:27" ht="13.8">
      <c r="Q76" s="378">
        <f t="shared" si="1"/>
        <v>70</v>
      </c>
      <c r="R76" s="379" t="s">
        <v>1169</v>
      </c>
      <c r="S76" s="379" t="s">
        <v>1170</v>
      </c>
      <c r="T76" s="380" t="s">
        <v>1006</v>
      </c>
      <c r="U76" s="378" t="s">
        <v>1171</v>
      </c>
      <c r="V76" s="378" t="s">
        <v>1006</v>
      </c>
      <c r="W76" s="379" t="s">
        <v>1006</v>
      </c>
      <c r="X76" s="317" t="s">
        <v>3148</v>
      </c>
      <c r="Y76" s="317" t="s">
        <v>3182</v>
      </c>
      <c r="Z76" s="315" t="s">
        <v>3169</v>
      </c>
      <c r="AA76" s="385">
        <v>3607</v>
      </c>
    </row>
    <row r="77" spans="17:27" ht="13.8">
      <c r="Q77" s="378">
        <f t="shared" si="1"/>
        <v>71</v>
      </c>
      <c r="R77" s="379" t="s">
        <v>1172</v>
      </c>
      <c r="S77" s="379" t="s">
        <v>1173</v>
      </c>
      <c r="T77" s="380" t="s">
        <v>1006</v>
      </c>
      <c r="U77" s="378" t="s">
        <v>1174</v>
      </c>
      <c r="V77" s="378" t="s">
        <v>2675</v>
      </c>
      <c r="W77" s="379" t="s">
        <v>2675</v>
      </c>
      <c r="X77" s="317" t="s">
        <v>3147</v>
      </c>
      <c r="Y77" s="317" t="s">
        <v>3184</v>
      </c>
      <c r="Z77" s="315" t="s">
        <v>3167</v>
      </c>
      <c r="AA77" s="385">
        <v>291</v>
      </c>
    </row>
    <row r="78" spans="17:27" ht="13.8">
      <c r="Q78" s="378">
        <f t="shared" si="1"/>
        <v>72</v>
      </c>
      <c r="R78" s="379" t="s">
        <v>1175</v>
      </c>
      <c r="S78" s="379" t="s">
        <v>1176</v>
      </c>
      <c r="T78" s="380" t="s">
        <v>962</v>
      </c>
      <c r="U78" s="378" t="s">
        <v>1177</v>
      </c>
      <c r="V78" s="378" t="s">
        <v>2676</v>
      </c>
      <c r="W78" s="379" t="s">
        <v>2676</v>
      </c>
      <c r="X78" s="317" t="s">
        <v>3147</v>
      </c>
      <c r="Y78" s="317" t="s">
        <v>3182</v>
      </c>
      <c r="Z78" s="315" t="s">
        <v>3163</v>
      </c>
      <c r="AA78" s="385">
        <v>6127</v>
      </c>
    </row>
    <row r="79" spans="17:27" ht="13.8">
      <c r="Q79" s="378">
        <f t="shared" si="1"/>
        <v>73</v>
      </c>
      <c r="R79" s="379" t="s">
        <v>1178</v>
      </c>
      <c r="S79" s="379" t="s">
        <v>1179</v>
      </c>
      <c r="T79" s="380" t="s">
        <v>972</v>
      </c>
      <c r="U79" s="378" t="s">
        <v>1180</v>
      </c>
      <c r="V79" s="378" t="s">
        <v>1179</v>
      </c>
      <c r="W79" s="379" t="s">
        <v>2911</v>
      </c>
      <c r="X79" s="317" t="s">
        <v>3146</v>
      </c>
      <c r="Y79" s="317" t="s">
        <v>3183</v>
      </c>
      <c r="Z79" s="315" t="s">
        <v>3168</v>
      </c>
      <c r="AA79" s="385">
        <v>8049</v>
      </c>
    </row>
    <row r="80" spans="17:27" ht="13.8">
      <c r="Q80" s="378">
        <f t="shared" si="1"/>
        <v>74</v>
      </c>
      <c r="R80" s="379" t="s">
        <v>1181</v>
      </c>
      <c r="S80" s="379" t="s">
        <v>1182</v>
      </c>
      <c r="T80" s="380" t="s">
        <v>1183</v>
      </c>
      <c r="U80" s="378" t="s">
        <v>1184</v>
      </c>
      <c r="V80" s="378" t="s">
        <v>2677</v>
      </c>
      <c r="W80" s="379" t="s">
        <v>2677</v>
      </c>
      <c r="X80" s="317" t="s">
        <v>3147</v>
      </c>
      <c r="Y80" s="317" t="s">
        <v>3182</v>
      </c>
      <c r="Z80" s="315" t="s">
        <v>3163</v>
      </c>
      <c r="AA80" s="385">
        <v>22844</v>
      </c>
    </row>
    <row r="81" spans="17:27" ht="13.8">
      <c r="Q81" s="378">
        <f t="shared" si="1"/>
        <v>75</v>
      </c>
      <c r="R81" s="379" t="s">
        <v>1185</v>
      </c>
      <c r="S81" s="379" t="s">
        <v>1186</v>
      </c>
      <c r="T81" s="380" t="s">
        <v>1044</v>
      </c>
      <c r="U81" s="378" t="s">
        <v>1187</v>
      </c>
      <c r="V81" s="378" t="s">
        <v>1186</v>
      </c>
      <c r="W81" s="379" t="s">
        <v>2912</v>
      </c>
      <c r="X81" s="317" t="s">
        <v>3146</v>
      </c>
      <c r="Y81" s="317" t="s">
        <v>3182</v>
      </c>
      <c r="Z81" s="315" t="s">
        <v>3169</v>
      </c>
      <c r="AA81" s="385">
        <v>12411</v>
      </c>
    </row>
    <row r="82" spans="17:27" ht="13.8">
      <c r="Q82" s="378">
        <f t="shared" si="1"/>
        <v>76</v>
      </c>
      <c r="R82" s="379" t="s">
        <v>1188</v>
      </c>
      <c r="S82" s="379" t="s">
        <v>1189</v>
      </c>
      <c r="T82" s="380" t="s">
        <v>1102</v>
      </c>
      <c r="U82" s="378" t="s">
        <v>1190</v>
      </c>
      <c r="V82" s="378" t="s">
        <v>2678</v>
      </c>
      <c r="W82" s="379" t="s">
        <v>2678</v>
      </c>
      <c r="X82" s="317" t="s">
        <v>3147</v>
      </c>
      <c r="Y82" s="317" t="s">
        <v>3182</v>
      </c>
      <c r="Z82" s="315" t="s">
        <v>3163</v>
      </c>
      <c r="AA82" s="385">
        <v>8962</v>
      </c>
    </row>
    <row r="83" spans="17:27" ht="13.8">
      <c r="Q83" s="378">
        <f t="shared" si="1"/>
        <v>77</v>
      </c>
      <c r="R83" s="379" t="s">
        <v>1191</v>
      </c>
      <c r="S83" s="379" t="s">
        <v>1192</v>
      </c>
      <c r="T83" s="380" t="s">
        <v>1102</v>
      </c>
      <c r="U83" s="378" t="s">
        <v>1193</v>
      </c>
      <c r="V83" s="378" t="s">
        <v>1192</v>
      </c>
      <c r="W83" s="379" t="s">
        <v>2678</v>
      </c>
      <c r="X83" s="317" t="s">
        <v>3146</v>
      </c>
      <c r="Y83" s="317" t="s">
        <v>3183</v>
      </c>
      <c r="Z83" s="315" t="s">
        <v>3168</v>
      </c>
      <c r="AA83" s="385">
        <v>10452</v>
      </c>
    </row>
    <row r="84" spans="17:27" ht="13.8">
      <c r="Q84" s="378">
        <f t="shared" si="1"/>
        <v>78</v>
      </c>
      <c r="R84" s="379" t="s">
        <v>1194</v>
      </c>
      <c r="S84" s="379" t="s">
        <v>1195</v>
      </c>
      <c r="T84" s="380" t="s">
        <v>999</v>
      </c>
      <c r="U84" s="378" t="s">
        <v>1196</v>
      </c>
      <c r="V84" s="378" t="s">
        <v>1195</v>
      </c>
      <c r="W84" s="379" t="s">
        <v>2913</v>
      </c>
      <c r="X84" s="317" t="s">
        <v>3146</v>
      </c>
      <c r="Y84" s="317" t="s">
        <v>3182</v>
      </c>
      <c r="Z84" s="315" t="s">
        <v>3164</v>
      </c>
      <c r="AA84" s="385">
        <v>71045</v>
      </c>
    </row>
    <row r="85" spans="17:27" ht="13.8">
      <c r="Q85" s="378">
        <f t="shared" si="1"/>
        <v>79</v>
      </c>
      <c r="R85" s="379" t="s">
        <v>1197</v>
      </c>
      <c r="S85" s="379" t="s">
        <v>1198</v>
      </c>
      <c r="T85" s="380" t="s">
        <v>999</v>
      </c>
      <c r="U85" s="378" t="s">
        <v>1199</v>
      </c>
      <c r="V85" s="378" t="s">
        <v>2679</v>
      </c>
      <c r="W85" s="379" t="s">
        <v>2679</v>
      </c>
      <c r="X85" s="317" t="s">
        <v>3147</v>
      </c>
      <c r="Y85" s="317" t="s">
        <v>3182</v>
      </c>
      <c r="Z85" s="315" t="s">
        <v>3163</v>
      </c>
      <c r="AA85" s="385">
        <v>1634</v>
      </c>
    </row>
    <row r="86" spans="17:27" ht="13.8">
      <c r="Q86" s="378">
        <f t="shared" si="1"/>
        <v>80</v>
      </c>
      <c r="R86" s="379" t="s">
        <v>1200</v>
      </c>
      <c r="S86" s="379" t="s">
        <v>1201</v>
      </c>
      <c r="T86" s="380" t="s">
        <v>1102</v>
      </c>
      <c r="U86" s="378" t="s">
        <v>1202</v>
      </c>
      <c r="V86" s="378" t="s">
        <v>2680</v>
      </c>
      <c r="W86" s="379" t="s">
        <v>2680</v>
      </c>
      <c r="X86" s="317" t="s">
        <v>3147</v>
      </c>
      <c r="Y86" s="317" t="s">
        <v>3182</v>
      </c>
      <c r="Z86" s="315" t="s">
        <v>3163</v>
      </c>
      <c r="AA86" s="385">
        <v>1649</v>
      </c>
    </row>
    <row r="87" spans="17:27" ht="13.8">
      <c r="Q87" s="378">
        <f t="shared" si="1"/>
        <v>81</v>
      </c>
      <c r="R87" s="379" t="s">
        <v>1203</v>
      </c>
      <c r="S87" s="379" t="s">
        <v>1204</v>
      </c>
      <c r="T87" s="380" t="s">
        <v>1102</v>
      </c>
      <c r="U87" s="378" t="s">
        <v>1205</v>
      </c>
      <c r="V87" s="378" t="s">
        <v>1204</v>
      </c>
      <c r="W87" s="379" t="s">
        <v>2680</v>
      </c>
      <c r="X87" s="317" t="s">
        <v>3146</v>
      </c>
      <c r="Y87" s="317" t="s">
        <v>3182</v>
      </c>
      <c r="Z87" s="315" t="s">
        <v>3166</v>
      </c>
      <c r="AA87" s="385">
        <v>7838</v>
      </c>
    </row>
    <row r="88" spans="17:27" ht="13.8">
      <c r="Q88" s="378">
        <f t="shared" si="1"/>
        <v>82</v>
      </c>
      <c r="R88" s="379" t="s">
        <v>1206</v>
      </c>
      <c r="S88" s="379" t="s">
        <v>1207</v>
      </c>
      <c r="T88" s="380" t="s">
        <v>1023</v>
      </c>
      <c r="U88" s="378" t="s">
        <v>1208</v>
      </c>
      <c r="V88" s="378" t="s">
        <v>1207</v>
      </c>
      <c r="W88" s="379" t="s">
        <v>2914</v>
      </c>
      <c r="X88" s="317" t="s">
        <v>3146</v>
      </c>
      <c r="Y88" s="317" t="s">
        <v>3183</v>
      </c>
      <c r="Z88" s="315" t="s">
        <v>3165</v>
      </c>
      <c r="AA88" s="385">
        <v>7699</v>
      </c>
    </row>
    <row r="89" spans="17:27" ht="13.8">
      <c r="Q89" s="378">
        <f t="shared" si="1"/>
        <v>83</v>
      </c>
      <c r="R89" s="379" t="s">
        <v>1209</v>
      </c>
      <c r="S89" s="379" t="s">
        <v>1210</v>
      </c>
      <c r="T89" s="380" t="s">
        <v>1023</v>
      </c>
      <c r="U89" s="378" t="s">
        <v>1211</v>
      </c>
      <c r="V89" s="378" t="s">
        <v>1210</v>
      </c>
      <c r="W89" s="379" t="s">
        <v>2915</v>
      </c>
      <c r="X89" s="317" t="s">
        <v>3146</v>
      </c>
      <c r="Y89" s="317" t="s">
        <v>3183</v>
      </c>
      <c r="Z89" s="315" t="s">
        <v>3168</v>
      </c>
      <c r="AA89" s="385">
        <v>15569</v>
      </c>
    </row>
    <row r="90" spans="17:27" ht="13.8">
      <c r="Q90" s="378">
        <f t="shared" si="1"/>
        <v>84</v>
      </c>
      <c r="R90" s="379" t="s">
        <v>1212</v>
      </c>
      <c r="S90" s="379" t="s">
        <v>1213</v>
      </c>
      <c r="T90" s="380" t="s">
        <v>1060</v>
      </c>
      <c r="U90" s="378" t="s">
        <v>1214</v>
      </c>
      <c r="V90" s="378" t="s">
        <v>1213</v>
      </c>
      <c r="W90" s="379" t="s">
        <v>2916</v>
      </c>
      <c r="X90" s="317" t="s">
        <v>3146</v>
      </c>
      <c r="Y90" s="317" t="s">
        <v>3182</v>
      </c>
      <c r="Z90" s="315" t="s">
        <v>3163</v>
      </c>
      <c r="AA90" s="385">
        <v>14756</v>
      </c>
    </row>
    <row r="91" spans="17:27" ht="13.8">
      <c r="Q91" s="378">
        <f t="shared" si="1"/>
        <v>85</v>
      </c>
      <c r="R91" s="379" t="s">
        <v>1215</v>
      </c>
      <c r="S91" s="379" t="s">
        <v>1216</v>
      </c>
      <c r="T91" s="380" t="s">
        <v>1217</v>
      </c>
      <c r="U91" s="378" t="s">
        <v>1218</v>
      </c>
      <c r="V91" s="378" t="s">
        <v>2681</v>
      </c>
      <c r="W91" s="379" t="s">
        <v>2681</v>
      </c>
      <c r="X91" s="317" t="s">
        <v>3147</v>
      </c>
      <c r="Y91" s="317" t="s">
        <v>3182</v>
      </c>
      <c r="Z91" s="315" t="s">
        <v>3163</v>
      </c>
      <c r="AA91" s="385">
        <v>8179</v>
      </c>
    </row>
    <row r="92" spans="17:27" ht="13.8">
      <c r="Q92" s="378">
        <f t="shared" si="1"/>
        <v>86</v>
      </c>
      <c r="R92" s="379" t="s">
        <v>1219</v>
      </c>
      <c r="S92" s="379" t="s">
        <v>1220</v>
      </c>
      <c r="T92" s="380" t="s">
        <v>999</v>
      </c>
      <c r="U92" s="378" t="s">
        <v>1221</v>
      </c>
      <c r="V92" s="378" t="s">
        <v>2682</v>
      </c>
      <c r="W92" s="379" t="s">
        <v>2682</v>
      </c>
      <c r="X92" s="317" t="s">
        <v>3147</v>
      </c>
      <c r="Y92" s="317" t="s">
        <v>3182</v>
      </c>
      <c r="Z92" s="315" t="s">
        <v>3163</v>
      </c>
      <c r="AA92" s="385">
        <v>5000</v>
      </c>
    </row>
    <row r="93" spans="17:27" ht="13.8">
      <c r="Q93" s="378">
        <f t="shared" si="1"/>
        <v>87</v>
      </c>
      <c r="R93" s="379" t="s">
        <v>1222</v>
      </c>
      <c r="S93" s="379" t="s">
        <v>1223</v>
      </c>
      <c r="T93" s="380" t="s">
        <v>962</v>
      </c>
      <c r="U93" s="378" t="s">
        <v>1224</v>
      </c>
      <c r="V93" s="378" t="s">
        <v>2683</v>
      </c>
      <c r="W93" s="379" t="s">
        <v>2683</v>
      </c>
      <c r="X93" s="317" t="s">
        <v>3147</v>
      </c>
      <c r="Y93" s="317" t="s">
        <v>3182</v>
      </c>
      <c r="Z93" s="315" t="s">
        <v>3163</v>
      </c>
      <c r="AA93" s="385">
        <v>23594</v>
      </c>
    </row>
    <row r="94" spans="17:27" ht="13.8">
      <c r="Q94" s="378">
        <f t="shared" si="1"/>
        <v>88</v>
      </c>
      <c r="R94" s="379" t="s">
        <v>1225</v>
      </c>
      <c r="S94" s="379" t="s">
        <v>1226</v>
      </c>
      <c r="T94" s="380" t="s">
        <v>1092</v>
      </c>
      <c r="U94" s="378" t="s">
        <v>1227</v>
      </c>
      <c r="V94" s="378" t="s">
        <v>3097</v>
      </c>
      <c r="W94" s="379" t="s">
        <v>3097</v>
      </c>
      <c r="X94" s="317" t="s">
        <v>3148</v>
      </c>
      <c r="Y94" s="317" t="s">
        <v>3182</v>
      </c>
      <c r="Z94" s="315" t="s">
        <v>3172</v>
      </c>
      <c r="AA94" s="385">
        <v>84136</v>
      </c>
    </row>
    <row r="95" spans="17:27" ht="13.8">
      <c r="Q95" s="378">
        <f t="shared" si="1"/>
        <v>89</v>
      </c>
      <c r="R95" s="379" t="s">
        <v>1228</v>
      </c>
      <c r="S95" s="379" t="s">
        <v>1229</v>
      </c>
      <c r="T95" s="380" t="s">
        <v>1079</v>
      </c>
      <c r="U95" s="378" t="s">
        <v>1230</v>
      </c>
      <c r="V95" s="378" t="s">
        <v>2917</v>
      </c>
      <c r="W95" s="379" t="s">
        <v>2917</v>
      </c>
      <c r="X95" s="317" t="s">
        <v>2640</v>
      </c>
      <c r="Y95" s="317" t="s">
        <v>3182</v>
      </c>
      <c r="Z95" s="315" t="s">
        <v>3163</v>
      </c>
      <c r="AA95" s="385">
        <v>2719</v>
      </c>
    </row>
    <row r="96" spans="17:27" ht="13.8">
      <c r="Q96" s="378">
        <f t="shared" si="1"/>
        <v>90</v>
      </c>
      <c r="R96" s="379" t="s">
        <v>1231</v>
      </c>
      <c r="S96" s="379" t="s">
        <v>1232</v>
      </c>
      <c r="T96" s="380" t="s">
        <v>1079</v>
      </c>
      <c r="U96" s="378" t="s">
        <v>1233</v>
      </c>
      <c r="V96" s="378" t="s">
        <v>1232</v>
      </c>
      <c r="W96" s="379" t="s">
        <v>2917</v>
      </c>
      <c r="X96" s="317" t="s">
        <v>3146</v>
      </c>
      <c r="Y96" s="317" t="s">
        <v>3182</v>
      </c>
      <c r="Z96" s="315" t="s">
        <v>3166</v>
      </c>
      <c r="AA96" s="385">
        <v>13478</v>
      </c>
    </row>
    <row r="97" spans="17:27" ht="13.8">
      <c r="Q97" s="378">
        <f t="shared" si="1"/>
        <v>91</v>
      </c>
      <c r="R97" s="379" t="s">
        <v>1234</v>
      </c>
      <c r="S97" s="379" t="s">
        <v>1235</v>
      </c>
      <c r="T97" s="380" t="s">
        <v>962</v>
      </c>
      <c r="U97" s="378" t="s">
        <v>1236</v>
      </c>
      <c r="V97" s="378" t="s">
        <v>2684</v>
      </c>
      <c r="W97" s="379" t="s">
        <v>2684</v>
      </c>
      <c r="X97" s="317" t="s">
        <v>3147</v>
      </c>
      <c r="Y97" s="317" t="s">
        <v>3182</v>
      </c>
      <c r="Z97" s="315" t="s">
        <v>3163</v>
      </c>
      <c r="AA97" s="385">
        <v>8373</v>
      </c>
    </row>
    <row r="98" spans="17:27" ht="13.8">
      <c r="Q98" s="378">
        <f t="shared" si="1"/>
        <v>92</v>
      </c>
      <c r="R98" s="379" t="s">
        <v>1237</v>
      </c>
      <c r="S98" s="379" t="s">
        <v>1238</v>
      </c>
      <c r="T98" s="380" t="s">
        <v>999</v>
      </c>
      <c r="U98" s="378" t="s">
        <v>1239</v>
      </c>
      <c r="V98" s="378" t="s">
        <v>2685</v>
      </c>
      <c r="W98" s="379" t="s">
        <v>2685</v>
      </c>
      <c r="X98" s="317" t="s">
        <v>3147</v>
      </c>
      <c r="Y98" s="317" t="s">
        <v>3184</v>
      </c>
      <c r="Z98" s="315" t="s">
        <v>3167</v>
      </c>
      <c r="AA98" s="385">
        <v>13926</v>
      </c>
    </row>
    <row r="99" spans="17:27" ht="13.8">
      <c r="Q99" s="378">
        <f t="shared" si="1"/>
        <v>93</v>
      </c>
      <c r="R99" s="379" t="s">
        <v>1240</v>
      </c>
      <c r="S99" s="379" t="s">
        <v>1241</v>
      </c>
      <c r="T99" s="380" t="s">
        <v>954</v>
      </c>
      <c r="U99" s="378" t="s">
        <v>1242</v>
      </c>
      <c r="V99" s="378" t="s">
        <v>1241</v>
      </c>
      <c r="W99" s="379" t="s">
        <v>2918</v>
      </c>
      <c r="X99" s="317" t="s">
        <v>3146</v>
      </c>
      <c r="Y99" s="317" t="s">
        <v>3183</v>
      </c>
      <c r="Z99" s="315" t="s">
        <v>3168</v>
      </c>
      <c r="AA99" s="385">
        <v>10142</v>
      </c>
    </row>
    <row r="100" spans="17:27" ht="13.8">
      <c r="Q100" s="378">
        <f t="shared" si="1"/>
        <v>94</v>
      </c>
      <c r="R100" s="379" t="s">
        <v>1243</v>
      </c>
      <c r="S100" s="379" t="s">
        <v>1244</v>
      </c>
      <c r="T100" s="380" t="s">
        <v>1130</v>
      </c>
      <c r="U100" s="378" t="s">
        <v>1245</v>
      </c>
      <c r="V100" s="378" t="s">
        <v>1244</v>
      </c>
      <c r="W100" s="379" t="s">
        <v>2919</v>
      </c>
      <c r="X100" s="317" t="s">
        <v>3146</v>
      </c>
      <c r="Y100" s="317" t="s">
        <v>3183</v>
      </c>
      <c r="Z100" s="315" t="s">
        <v>3165</v>
      </c>
      <c r="AA100" s="385">
        <v>5178</v>
      </c>
    </row>
    <row r="101" spans="17:27" ht="13.8">
      <c r="Q101" s="378">
        <f t="shared" si="1"/>
        <v>95</v>
      </c>
      <c r="R101" s="379" t="s">
        <v>1246</v>
      </c>
      <c r="S101" s="379" t="s">
        <v>1247</v>
      </c>
      <c r="T101" s="380" t="s">
        <v>958</v>
      </c>
      <c r="U101" s="378" t="s">
        <v>1248</v>
      </c>
      <c r="V101" s="378" t="s">
        <v>1247</v>
      </c>
      <c r="W101" s="379" t="s">
        <v>1247</v>
      </c>
      <c r="X101" s="317" t="s">
        <v>3148</v>
      </c>
      <c r="Y101" s="317" t="s">
        <v>3182</v>
      </c>
      <c r="Z101" s="315" t="s">
        <v>3174</v>
      </c>
      <c r="AA101" s="385">
        <v>492</v>
      </c>
    </row>
    <row r="102" spans="17:27" ht="13.8">
      <c r="Q102" s="378">
        <f t="shared" si="1"/>
        <v>96</v>
      </c>
      <c r="R102" s="379" t="s">
        <v>1249</v>
      </c>
      <c r="S102" s="379" t="s">
        <v>1250</v>
      </c>
      <c r="T102" s="380" t="s">
        <v>1183</v>
      </c>
      <c r="U102" s="378" t="s">
        <v>1251</v>
      </c>
      <c r="V102" s="378" t="s">
        <v>1250</v>
      </c>
      <c r="W102" s="379" t="s">
        <v>2920</v>
      </c>
      <c r="X102" s="317" t="s">
        <v>3146</v>
      </c>
      <c r="Y102" s="317" t="s">
        <v>3183</v>
      </c>
      <c r="Z102" s="315" t="s">
        <v>3168</v>
      </c>
      <c r="AA102" s="385">
        <v>3857</v>
      </c>
    </row>
    <row r="103" spans="17:27" ht="13.8">
      <c r="Q103" s="378">
        <f t="shared" si="1"/>
        <v>97</v>
      </c>
      <c r="R103" s="379" t="s">
        <v>1252</v>
      </c>
      <c r="S103" s="379" t="s">
        <v>1253</v>
      </c>
      <c r="T103" s="380" t="s">
        <v>1060</v>
      </c>
      <c r="U103" s="378" t="s">
        <v>1254</v>
      </c>
      <c r="V103" s="378" t="s">
        <v>1253</v>
      </c>
      <c r="W103" s="379" t="s">
        <v>2921</v>
      </c>
      <c r="X103" s="317" t="s">
        <v>3146</v>
      </c>
      <c r="Y103" s="317" t="s">
        <v>3183</v>
      </c>
      <c r="Z103" s="315" t="s">
        <v>3168</v>
      </c>
      <c r="AA103" s="385">
        <v>22625</v>
      </c>
    </row>
    <row r="104" spans="17:27" ht="13.8">
      <c r="Q104" s="378">
        <f t="shared" si="1"/>
        <v>98</v>
      </c>
      <c r="R104" s="379" t="s">
        <v>1255</v>
      </c>
      <c r="S104" s="379" t="s">
        <v>1256</v>
      </c>
      <c r="T104" s="380" t="s">
        <v>962</v>
      </c>
      <c r="U104" s="378" t="s">
        <v>1257</v>
      </c>
      <c r="V104" s="378" t="s">
        <v>2686</v>
      </c>
      <c r="W104" s="379" t="s">
        <v>2686</v>
      </c>
      <c r="X104" s="317" t="s">
        <v>3147</v>
      </c>
      <c r="Y104" s="317" t="s">
        <v>3182</v>
      </c>
      <c r="Z104" s="315" t="s">
        <v>3163</v>
      </c>
      <c r="AA104" s="385">
        <v>8573</v>
      </c>
    </row>
    <row r="105" spans="17:27" ht="13.8">
      <c r="Q105" s="378">
        <f t="shared" si="1"/>
        <v>99</v>
      </c>
      <c r="R105" s="379" t="s">
        <v>1258</v>
      </c>
      <c r="S105" s="379" t="s">
        <v>1259</v>
      </c>
      <c r="T105" s="380" t="s">
        <v>954</v>
      </c>
      <c r="U105" s="378" t="s">
        <v>1260</v>
      </c>
      <c r="V105" s="378" t="s">
        <v>2687</v>
      </c>
      <c r="W105" s="379" t="s">
        <v>2687</v>
      </c>
      <c r="X105" s="317" t="s">
        <v>3147</v>
      </c>
      <c r="Y105" s="317" t="s">
        <v>3184</v>
      </c>
      <c r="Z105" s="315" t="s">
        <v>3167</v>
      </c>
      <c r="AA105" s="385">
        <v>750</v>
      </c>
    </row>
    <row r="106" spans="17:27" ht="13.8">
      <c r="Q106" s="378">
        <f t="shared" si="1"/>
        <v>100</v>
      </c>
      <c r="R106" s="379" t="s">
        <v>1261</v>
      </c>
      <c r="S106" s="379" t="s">
        <v>1262</v>
      </c>
      <c r="T106" s="380" t="s">
        <v>1130</v>
      </c>
      <c r="U106" s="378" t="s">
        <v>1263</v>
      </c>
      <c r="V106" s="378" t="s">
        <v>1262</v>
      </c>
      <c r="W106" s="379" t="s">
        <v>2922</v>
      </c>
      <c r="X106" s="317" t="s">
        <v>3146</v>
      </c>
      <c r="Y106" s="317" t="s">
        <v>3183</v>
      </c>
      <c r="Z106" s="315" t="s">
        <v>3168</v>
      </c>
      <c r="AA106" s="385">
        <v>3119</v>
      </c>
    </row>
    <row r="107" spans="17:27" ht="13.8">
      <c r="Q107" s="378">
        <f t="shared" si="1"/>
        <v>101</v>
      </c>
      <c r="R107" s="379" t="s">
        <v>1264</v>
      </c>
      <c r="S107" s="379" t="s">
        <v>1265</v>
      </c>
      <c r="T107" s="380" t="s">
        <v>1023</v>
      </c>
      <c r="U107" s="378" t="s">
        <v>1266</v>
      </c>
      <c r="V107" s="378" t="s">
        <v>1265</v>
      </c>
      <c r="W107" s="379" t="s">
        <v>2923</v>
      </c>
      <c r="X107" s="317" t="s">
        <v>3146</v>
      </c>
      <c r="Y107" s="317" t="s">
        <v>3183</v>
      </c>
      <c r="Z107" s="315" t="s">
        <v>3168</v>
      </c>
      <c r="AA107" s="385">
        <v>4283</v>
      </c>
    </row>
    <row r="108" spans="17:27" ht="13.8">
      <c r="Q108" s="378">
        <f t="shared" si="1"/>
        <v>102</v>
      </c>
      <c r="R108" s="379" t="s">
        <v>1267</v>
      </c>
      <c r="S108" s="379" t="s">
        <v>1268</v>
      </c>
      <c r="T108" s="380" t="s">
        <v>1079</v>
      </c>
      <c r="U108" s="378" t="s">
        <v>1269</v>
      </c>
      <c r="V108" s="378" t="s">
        <v>1268</v>
      </c>
      <c r="W108" s="379" t="s">
        <v>2924</v>
      </c>
      <c r="X108" s="317" t="s">
        <v>3146</v>
      </c>
      <c r="Y108" s="317" t="s">
        <v>3183</v>
      </c>
      <c r="Z108" s="315" t="s">
        <v>3168</v>
      </c>
      <c r="AA108" s="385">
        <v>4563</v>
      </c>
    </row>
    <row r="109" spans="17:27" ht="13.8">
      <c r="Q109" s="378">
        <f t="shared" si="1"/>
        <v>103</v>
      </c>
      <c r="R109" s="379" t="s">
        <v>1270</v>
      </c>
      <c r="S109" s="379" t="s">
        <v>1271</v>
      </c>
      <c r="T109" s="380" t="s">
        <v>1023</v>
      </c>
      <c r="U109" s="378" t="s">
        <v>1272</v>
      </c>
      <c r="V109" s="378" t="s">
        <v>1271</v>
      </c>
      <c r="W109" s="379" t="s">
        <v>2925</v>
      </c>
      <c r="X109" s="317" t="s">
        <v>3146</v>
      </c>
      <c r="Y109" s="317" t="s">
        <v>3182</v>
      </c>
      <c r="Z109" s="315" t="s">
        <v>3171</v>
      </c>
      <c r="AA109" s="385">
        <v>16896</v>
      </c>
    </row>
    <row r="110" spans="17:27" ht="13.8">
      <c r="Q110" s="378">
        <f t="shared" si="1"/>
        <v>104</v>
      </c>
      <c r="R110" s="379" t="s">
        <v>1273</v>
      </c>
      <c r="S110" s="379" t="s">
        <v>1274</v>
      </c>
      <c r="T110" s="380" t="s">
        <v>962</v>
      </c>
      <c r="U110" s="378" t="s">
        <v>1275</v>
      </c>
      <c r="V110" s="378" t="s">
        <v>2688</v>
      </c>
      <c r="W110" s="379" t="s">
        <v>2688</v>
      </c>
      <c r="X110" s="317" t="s">
        <v>3147</v>
      </c>
      <c r="Y110" s="317" t="s">
        <v>3182</v>
      </c>
      <c r="Z110" s="315" t="s">
        <v>3163</v>
      </c>
      <c r="AA110" s="385">
        <v>4881</v>
      </c>
    </row>
    <row r="111" spans="17:27" ht="13.8">
      <c r="Q111" s="378">
        <f t="shared" si="1"/>
        <v>105</v>
      </c>
      <c r="R111" s="379" t="s">
        <v>1276</v>
      </c>
      <c r="S111" s="379" t="s">
        <v>1277</v>
      </c>
      <c r="T111" s="380" t="s">
        <v>1006</v>
      </c>
      <c r="U111" s="378" t="s">
        <v>1278</v>
      </c>
      <c r="V111" s="378" t="s">
        <v>1277</v>
      </c>
      <c r="W111" s="379" t="s">
        <v>2926</v>
      </c>
      <c r="X111" s="317" t="s">
        <v>3146</v>
      </c>
      <c r="Y111" s="317" t="s">
        <v>3183</v>
      </c>
      <c r="Z111" s="315" t="s">
        <v>3168</v>
      </c>
      <c r="AA111" s="385">
        <v>6467</v>
      </c>
    </row>
    <row r="112" spans="17:27" ht="13.8">
      <c r="Q112" s="378">
        <f t="shared" si="1"/>
        <v>106</v>
      </c>
      <c r="R112" s="379" t="s">
        <v>1279</v>
      </c>
      <c r="S112" s="379" t="s">
        <v>1280</v>
      </c>
      <c r="T112" s="380" t="s">
        <v>1102</v>
      </c>
      <c r="U112" s="378" t="s">
        <v>1281</v>
      </c>
      <c r="V112" s="378" t="s">
        <v>1280</v>
      </c>
      <c r="W112" s="379" t="s">
        <v>2927</v>
      </c>
      <c r="X112" s="317" t="s">
        <v>3146</v>
      </c>
      <c r="Y112" s="317" t="s">
        <v>3182</v>
      </c>
      <c r="Z112" s="315" t="s">
        <v>3164</v>
      </c>
      <c r="AA112" s="385">
        <v>16635</v>
      </c>
    </row>
    <row r="113" spans="17:27" ht="13.8">
      <c r="Q113" s="378">
        <f t="shared" si="1"/>
        <v>107</v>
      </c>
      <c r="R113" s="379" t="s">
        <v>1282</v>
      </c>
      <c r="S113" s="379" t="s">
        <v>1283</v>
      </c>
      <c r="T113" s="380" t="s">
        <v>1217</v>
      </c>
      <c r="U113" s="378" t="s">
        <v>1284</v>
      </c>
      <c r="V113" s="378" t="s">
        <v>1283</v>
      </c>
      <c r="W113" s="379" t="s">
        <v>2928</v>
      </c>
      <c r="X113" s="317" t="s">
        <v>3146</v>
      </c>
      <c r="Y113" s="317" t="s">
        <v>3182</v>
      </c>
      <c r="Z113" s="315" t="s">
        <v>3172</v>
      </c>
      <c r="AA113" s="385">
        <v>30561</v>
      </c>
    </row>
    <row r="114" spans="17:27" ht="13.8">
      <c r="Q114" s="378">
        <f t="shared" si="1"/>
        <v>108</v>
      </c>
      <c r="R114" s="379" t="s">
        <v>1285</v>
      </c>
      <c r="S114" s="379" t="s">
        <v>1286</v>
      </c>
      <c r="T114" s="380" t="s">
        <v>1102</v>
      </c>
      <c r="U114" s="378" t="s">
        <v>1287</v>
      </c>
      <c r="V114" s="378" t="s">
        <v>3131</v>
      </c>
      <c r="W114" s="379" t="s">
        <v>3131</v>
      </c>
      <c r="X114" s="317" t="s">
        <v>2640</v>
      </c>
      <c r="Y114" s="317" t="s">
        <v>3185</v>
      </c>
      <c r="Z114" s="315" t="s">
        <v>3173</v>
      </c>
      <c r="AA114" s="385">
        <v>18157</v>
      </c>
    </row>
    <row r="115" spans="17:27" ht="13.8">
      <c r="Q115" s="378">
        <f t="shared" si="1"/>
        <v>109</v>
      </c>
      <c r="R115" s="379" t="s">
        <v>1288</v>
      </c>
      <c r="S115" s="379" t="s">
        <v>1289</v>
      </c>
      <c r="T115" s="380" t="s">
        <v>1130</v>
      </c>
      <c r="U115" s="378" t="s">
        <v>1290</v>
      </c>
      <c r="V115" s="378" t="s">
        <v>1289</v>
      </c>
      <c r="W115" s="379" t="s">
        <v>2929</v>
      </c>
      <c r="X115" s="317" t="s">
        <v>3146</v>
      </c>
      <c r="Y115" s="317" t="s">
        <v>3183</v>
      </c>
      <c r="Z115" s="315" t="s">
        <v>3165</v>
      </c>
      <c r="AA115" s="385">
        <v>1585</v>
      </c>
    </row>
    <row r="116" spans="17:27" ht="13.8">
      <c r="Q116" s="378">
        <f t="shared" si="1"/>
        <v>110</v>
      </c>
      <c r="R116" s="379" t="s">
        <v>1291</v>
      </c>
      <c r="S116" s="379" t="s">
        <v>1292</v>
      </c>
      <c r="T116" s="380" t="s">
        <v>962</v>
      </c>
      <c r="U116" s="378" t="s">
        <v>1293</v>
      </c>
      <c r="V116" s="378" t="s">
        <v>2689</v>
      </c>
      <c r="W116" s="379" t="s">
        <v>2689</v>
      </c>
      <c r="X116" s="317" t="s">
        <v>3147</v>
      </c>
      <c r="Y116" s="317" t="s">
        <v>3182</v>
      </c>
      <c r="Z116" s="315" t="s">
        <v>3163</v>
      </c>
      <c r="AA116" s="385">
        <v>17479</v>
      </c>
    </row>
    <row r="117" spans="17:27" ht="13.8">
      <c r="Q117" s="378">
        <f t="shared" si="1"/>
        <v>111</v>
      </c>
      <c r="R117" s="379" t="s">
        <v>1294</v>
      </c>
      <c r="S117" s="379" t="s">
        <v>1295</v>
      </c>
      <c r="T117" s="380" t="s">
        <v>1183</v>
      </c>
      <c r="U117" s="378" t="s">
        <v>1296</v>
      </c>
      <c r="V117" s="378" t="s">
        <v>2690</v>
      </c>
      <c r="W117" s="379" t="s">
        <v>2690</v>
      </c>
      <c r="X117" s="317" t="s">
        <v>3147</v>
      </c>
      <c r="Y117" s="317" t="s">
        <v>3182</v>
      </c>
      <c r="Z117" s="315" t="s">
        <v>3163</v>
      </c>
      <c r="AA117" s="385">
        <v>7227</v>
      </c>
    </row>
    <row r="118" spans="17:27" ht="13.8">
      <c r="Q118" s="378">
        <f t="shared" si="1"/>
        <v>112</v>
      </c>
      <c r="R118" s="379" t="s">
        <v>1297</v>
      </c>
      <c r="S118" s="379" t="s">
        <v>1298</v>
      </c>
      <c r="T118" s="380" t="s">
        <v>1013</v>
      </c>
      <c r="U118" s="378" t="s">
        <v>1299</v>
      </c>
      <c r="V118" s="378" t="s">
        <v>1298</v>
      </c>
      <c r="W118" s="379" t="s">
        <v>2930</v>
      </c>
      <c r="X118" s="317" t="s">
        <v>3146</v>
      </c>
      <c r="Y118" s="317" t="s">
        <v>3183</v>
      </c>
      <c r="Z118" s="315" t="s">
        <v>3165</v>
      </c>
      <c r="AA118" s="385">
        <v>1603</v>
      </c>
    </row>
    <row r="119" spans="17:27" ht="13.8">
      <c r="Q119" s="378">
        <f t="shared" si="1"/>
        <v>113</v>
      </c>
      <c r="R119" s="379" t="s">
        <v>1300</v>
      </c>
      <c r="S119" s="379" t="s">
        <v>1301</v>
      </c>
      <c r="T119" s="380" t="s">
        <v>1079</v>
      </c>
      <c r="U119" s="378" t="s">
        <v>1302</v>
      </c>
      <c r="V119" s="378" t="s">
        <v>1301</v>
      </c>
      <c r="W119" s="379" t="s">
        <v>2931</v>
      </c>
      <c r="X119" s="317" t="s">
        <v>3146</v>
      </c>
      <c r="Y119" s="317" t="s">
        <v>3183</v>
      </c>
      <c r="Z119" s="315" t="s">
        <v>3168</v>
      </c>
      <c r="AA119" s="385">
        <v>4013</v>
      </c>
    </row>
    <row r="120" spans="17:27" ht="13.8">
      <c r="Q120" s="378">
        <f t="shared" si="1"/>
        <v>114</v>
      </c>
      <c r="R120" s="379" t="s">
        <v>1303</v>
      </c>
      <c r="S120" s="379" t="s">
        <v>1304</v>
      </c>
      <c r="T120" s="380" t="s">
        <v>1183</v>
      </c>
      <c r="U120" s="378" t="s">
        <v>1305</v>
      </c>
      <c r="V120" s="378" t="s">
        <v>1304</v>
      </c>
      <c r="W120" s="379" t="s">
        <v>2932</v>
      </c>
      <c r="X120" s="317" t="s">
        <v>3146</v>
      </c>
      <c r="Y120" s="317" t="s">
        <v>3182</v>
      </c>
      <c r="Z120" s="315" t="s">
        <v>3171</v>
      </c>
      <c r="AA120" s="385">
        <v>47512</v>
      </c>
    </row>
    <row r="121" spans="17:27" ht="13.8">
      <c r="Q121" s="378">
        <f t="shared" si="1"/>
        <v>115</v>
      </c>
      <c r="R121" s="379" t="s">
        <v>1306</v>
      </c>
      <c r="S121" s="379" t="s">
        <v>1307</v>
      </c>
      <c r="T121" s="380" t="s">
        <v>1217</v>
      </c>
      <c r="U121" s="378" t="s">
        <v>1308</v>
      </c>
      <c r="V121" s="378" t="s">
        <v>1307</v>
      </c>
      <c r="W121" s="379" t="s">
        <v>2933</v>
      </c>
      <c r="X121" s="317" t="s">
        <v>3146</v>
      </c>
      <c r="Y121" s="317" t="s">
        <v>3183</v>
      </c>
      <c r="Z121" s="315" t="s">
        <v>3168</v>
      </c>
      <c r="AA121" s="385">
        <v>9555</v>
      </c>
    </row>
    <row r="122" spans="17:27" ht="13.8">
      <c r="Q122" s="378">
        <f t="shared" si="1"/>
        <v>116</v>
      </c>
      <c r="R122" s="379" t="s">
        <v>1309</v>
      </c>
      <c r="S122" s="379" t="s">
        <v>1310</v>
      </c>
      <c r="T122" s="380" t="s">
        <v>1102</v>
      </c>
      <c r="U122" s="378" t="s">
        <v>1311</v>
      </c>
      <c r="V122" s="378" t="s">
        <v>1310</v>
      </c>
      <c r="W122" s="379" t="s">
        <v>2934</v>
      </c>
      <c r="X122" s="317" t="s">
        <v>3146</v>
      </c>
      <c r="Y122" s="317" t="s">
        <v>3182</v>
      </c>
      <c r="Z122" s="315" t="s">
        <v>3166</v>
      </c>
      <c r="AA122" s="385">
        <v>11157</v>
      </c>
    </row>
    <row r="123" spans="17:27" ht="13.8">
      <c r="Q123" s="378">
        <f t="shared" si="1"/>
        <v>117</v>
      </c>
      <c r="R123" s="379" t="s">
        <v>1312</v>
      </c>
      <c r="S123" s="379" t="s">
        <v>1313</v>
      </c>
      <c r="T123" s="380" t="s">
        <v>1030</v>
      </c>
      <c r="U123" s="378" t="s">
        <v>1314</v>
      </c>
      <c r="V123" s="378" t="s">
        <v>2691</v>
      </c>
      <c r="W123" s="379" t="s">
        <v>2691</v>
      </c>
      <c r="X123" s="317" t="s">
        <v>3147</v>
      </c>
      <c r="Y123" s="317" t="s">
        <v>3182</v>
      </c>
      <c r="Z123" s="315" t="s">
        <v>3163</v>
      </c>
      <c r="AA123" s="385">
        <v>2406</v>
      </c>
    </row>
    <row r="124" spans="17:27" ht="13.8">
      <c r="Q124" s="378">
        <f t="shared" si="1"/>
        <v>118</v>
      </c>
      <c r="R124" s="379" t="s">
        <v>1315</v>
      </c>
      <c r="S124" s="379" t="s">
        <v>1316</v>
      </c>
      <c r="T124" s="380" t="s">
        <v>1044</v>
      </c>
      <c r="U124" s="378" t="s">
        <v>1317</v>
      </c>
      <c r="V124" s="378" t="s">
        <v>3098</v>
      </c>
      <c r="W124" s="379" t="s">
        <v>3098</v>
      </c>
      <c r="X124" s="317" t="s">
        <v>3148</v>
      </c>
      <c r="Y124" s="317" t="s">
        <v>3182</v>
      </c>
      <c r="Z124" s="315" t="s">
        <v>3175</v>
      </c>
      <c r="AA124" s="385">
        <v>64270</v>
      </c>
    </row>
    <row r="125" spans="17:27" ht="13.8">
      <c r="Q125" s="378">
        <f t="shared" si="1"/>
        <v>119</v>
      </c>
      <c r="R125" s="379" t="s">
        <v>1318</v>
      </c>
      <c r="S125" s="379" t="s">
        <v>1319</v>
      </c>
      <c r="T125" s="380" t="s">
        <v>962</v>
      </c>
      <c r="U125" s="378" t="s">
        <v>1320</v>
      </c>
      <c r="V125" s="378" t="s">
        <v>2692</v>
      </c>
      <c r="W125" s="379" t="s">
        <v>2692</v>
      </c>
      <c r="X125" s="317" t="s">
        <v>3147</v>
      </c>
      <c r="Y125" s="317" t="s">
        <v>3182</v>
      </c>
      <c r="Z125" s="315" t="s">
        <v>3163</v>
      </c>
      <c r="AA125" s="385">
        <v>8913</v>
      </c>
    </row>
    <row r="126" spans="17:27" ht="13.8">
      <c r="Q126" s="378">
        <f t="shared" si="1"/>
        <v>120</v>
      </c>
      <c r="R126" s="379" t="s">
        <v>1321</v>
      </c>
      <c r="S126" s="379" t="s">
        <v>1322</v>
      </c>
      <c r="T126" s="380" t="s">
        <v>1323</v>
      </c>
      <c r="U126" s="378" t="s">
        <v>1324</v>
      </c>
      <c r="V126" s="378" t="s">
        <v>1322</v>
      </c>
      <c r="W126" s="379" t="s">
        <v>2935</v>
      </c>
      <c r="X126" s="317" t="s">
        <v>3146</v>
      </c>
      <c r="Y126" s="317" t="s">
        <v>3182</v>
      </c>
      <c r="Z126" s="315" t="s">
        <v>3172</v>
      </c>
      <c r="AA126" s="385">
        <v>27190</v>
      </c>
    </row>
    <row r="127" spans="17:27" ht="13.8">
      <c r="Q127" s="378">
        <f t="shared" si="1"/>
        <v>121</v>
      </c>
      <c r="R127" s="379" t="s">
        <v>1325</v>
      </c>
      <c r="S127" s="379" t="s">
        <v>1326</v>
      </c>
      <c r="T127" s="380" t="s">
        <v>1023</v>
      </c>
      <c r="U127" s="378" t="s">
        <v>1327</v>
      </c>
      <c r="V127" s="378" t="s">
        <v>1326</v>
      </c>
      <c r="W127" s="379" t="s">
        <v>2936</v>
      </c>
      <c r="X127" s="317" t="s">
        <v>3146</v>
      </c>
      <c r="Y127" s="317" t="s">
        <v>3182</v>
      </c>
      <c r="Z127" s="315" t="s">
        <v>3169</v>
      </c>
      <c r="AA127" s="385">
        <v>6069</v>
      </c>
    </row>
    <row r="128" spans="17:27" ht="13.8">
      <c r="Q128" s="378">
        <f t="shared" si="1"/>
        <v>122</v>
      </c>
      <c r="R128" s="379" t="s">
        <v>1328</v>
      </c>
      <c r="S128" s="379" t="s">
        <v>1329</v>
      </c>
      <c r="T128" s="380" t="s">
        <v>954</v>
      </c>
      <c r="U128" s="378" t="s">
        <v>1330</v>
      </c>
      <c r="V128" s="378" t="s">
        <v>2693</v>
      </c>
      <c r="W128" s="379" t="s">
        <v>2693</v>
      </c>
      <c r="X128" s="317" t="s">
        <v>3147</v>
      </c>
      <c r="Y128" s="317" t="s">
        <v>3182</v>
      </c>
      <c r="Z128" s="315" t="s">
        <v>3163</v>
      </c>
      <c r="AA128" s="385">
        <v>12709</v>
      </c>
    </row>
    <row r="129" spans="17:27" ht="13.8">
      <c r="Q129" s="378">
        <f t="shared" si="1"/>
        <v>123</v>
      </c>
      <c r="R129" s="379" t="s">
        <v>1331</v>
      </c>
      <c r="S129" s="379" t="s">
        <v>1332</v>
      </c>
      <c r="T129" s="380" t="s">
        <v>962</v>
      </c>
      <c r="U129" s="378" t="s">
        <v>1333</v>
      </c>
      <c r="V129" s="378" t="s">
        <v>2694</v>
      </c>
      <c r="W129" s="379" t="s">
        <v>2694</v>
      </c>
      <c r="X129" s="317" t="s">
        <v>3147</v>
      </c>
      <c r="Y129" s="317" t="s">
        <v>3182</v>
      </c>
      <c r="Z129" s="315" t="s">
        <v>3163</v>
      </c>
      <c r="AA129" s="385">
        <v>11513</v>
      </c>
    </row>
    <row r="130" spans="17:27" ht="13.8">
      <c r="Q130" s="378">
        <f t="shared" si="1"/>
        <v>124</v>
      </c>
      <c r="R130" s="379" t="s">
        <v>1334</v>
      </c>
      <c r="S130" s="379" t="s">
        <v>1335</v>
      </c>
      <c r="T130" s="380" t="s">
        <v>1023</v>
      </c>
      <c r="U130" s="378" t="s">
        <v>1336</v>
      </c>
      <c r="V130" s="378" t="s">
        <v>1335</v>
      </c>
      <c r="W130" s="379" t="s">
        <v>2937</v>
      </c>
      <c r="X130" s="317" t="s">
        <v>3146</v>
      </c>
      <c r="Y130" s="317" t="s">
        <v>3183</v>
      </c>
      <c r="Z130" s="315" t="s">
        <v>3168</v>
      </c>
      <c r="AA130" s="385">
        <v>8881</v>
      </c>
    </row>
    <row r="131" spans="17:27" ht="13.8">
      <c r="Q131" s="378">
        <f t="shared" si="1"/>
        <v>125</v>
      </c>
      <c r="R131" s="379" t="s">
        <v>1337</v>
      </c>
      <c r="S131" s="379" t="s">
        <v>1338</v>
      </c>
      <c r="T131" s="380" t="s">
        <v>1183</v>
      </c>
      <c r="U131" s="378" t="s">
        <v>1339</v>
      </c>
      <c r="V131" s="378" t="s">
        <v>1338</v>
      </c>
      <c r="W131" s="379" t="s">
        <v>2938</v>
      </c>
      <c r="X131" s="317" t="s">
        <v>3146</v>
      </c>
      <c r="Y131" s="317" t="s">
        <v>3182</v>
      </c>
      <c r="Z131" s="315" t="s">
        <v>3164</v>
      </c>
      <c r="AA131" s="385">
        <v>99967</v>
      </c>
    </row>
    <row r="132" spans="17:27" ht="13.8">
      <c r="Q132" s="378">
        <f t="shared" si="1"/>
        <v>126</v>
      </c>
      <c r="R132" s="379" t="s">
        <v>1340</v>
      </c>
      <c r="S132" s="379" t="s">
        <v>1341</v>
      </c>
      <c r="T132" s="380" t="s">
        <v>958</v>
      </c>
      <c r="U132" s="378" t="s">
        <v>1342</v>
      </c>
      <c r="V132" s="378" t="s">
        <v>1341</v>
      </c>
      <c r="W132" s="379" t="s">
        <v>1341</v>
      </c>
      <c r="X132" s="317" t="s">
        <v>3148</v>
      </c>
      <c r="Y132" s="317" t="s">
        <v>3182</v>
      </c>
      <c r="Z132" s="315" t="s">
        <v>3170</v>
      </c>
      <c r="AA132" s="385">
        <v>4243</v>
      </c>
    </row>
    <row r="133" spans="17:27" ht="13.8">
      <c r="Q133" s="378">
        <f t="shared" si="1"/>
        <v>127</v>
      </c>
      <c r="R133" s="379" t="s">
        <v>1343</v>
      </c>
      <c r="S133" s="379" t="s">
        <v>1344</v>
      </c>
      <c r="T133" s="380" t="s">
        <v>958</v>
      </c>
      <c r="U133" s="378" t="s">
        <v>1345</v>
      </c>
      <c r="V133" s="378" t="s">
        <v>1344</v>
      </c>
      <c r="W133" s="379" t="s">
        <v>2939</v>
      </c>
      <c r="X133" s="317" t="s">
        <v>3146</v>
      </c>
      <c r="Y133" s="317" t="s">
        <v>3183</v>
      </c>
      <c r="Z133" s="315" t="s">
        <v>3168</v>
      </c>
      <c r="AA133" s="385">
        <v>43323</v>
      </c>
    </row>
    <row r="134" spans="17:27" ht="13.8">
      <c r="Q134" s="378">
        <f t="shared" si="1"/>
        <v>128</v>
      </c>
      <c r="R134" s="379" t="s">
        <v>1346</v>
      </c>
      <c r="S134" s="379" t="s">
        <v>1347</v>
      </c>
      <c r="T134" s="380" t="s">
        <v>1060</v>
      </c>
      <c r="U134" s="378" t="s">
        <v>1348</v>
      </c>
      <c r="V134" s="378" t="s">
        <v>3099</v>
      </c>
      <c r="W134" s="379" t="s">
        <v>3099</v>
      </c>
      <c r="X134" s="317" t="s">
        <v>3148</v>
      </c>
      <c r="Y134" s="317" t="s">
        <v>3182</v>
      </c>
      <c r="Z134" s="315" t="s">
        <v>3170</v>
      </c>
      <c r="AA134" s="385">
        <v>124969</v>
      </c>
    </row>
    <row r="135" spans="17:27" ht="13.8">
      <c r="Q135" s="378">
        <f t="shared" si="1"/>
        <v>129</v>
      </c>
      <c r="R135" s="379" t="s">
        <v>1349</v>
      </c>
      <c r="S135" s="379" t="s">
        <v>1350</v>
      </c>
      <c r="T135" s="380" t="s">
        <v>1217</v>
      </c>
      <c r="U135" s="378" t="s">
        <v>1351</v>
      </c>
      <c r="V135" s="378" t="s">
        <v>1350</v>
      </c>
      <c r="W135" s="379" t="s">
        <v>2940</v>
      </c>
      <c r="X135" s="317" t="s">
        <v>3146</v>
      </c>
      <c r="Y135" s="317" t="s">
        <v>3183</v>
      </c>
      <c r="Z135" s="315" t="s">
        <v>3168</v>
      </c>
      <c r="AA135" s="385">
        <v>4216</v>
      </c>
    </row>
    <row r="136" spans="17:27" ht="13.8">
      <c r="Q136" s="378">
        <f t="shared" si="1"/>
        <v>130</v>
      </c>
      <c r="R136" s="379" t="s">
        <v>1352</v>
      </c>
      <c r="S136" s="379" t="s">
        <v>1353</v>
      </c>
      <c r="T136" s="380" t="s">
        <v>972</v>
      </c>
      <c r="U136" s="378" t="s">
        <v>1354</v>
      </c>
      <c r="V136" s="378" t="s">
        <v>2695</v>
      </c>
      <c r="W136" s="379" t="s">
        <v>2695</v>
      </c>
      <c r="X136" s="317" t="s">
        <v>3147</v>
      </c>
      <c r="Y136" s="317" t="s">
        <v>3182</v>
      </c>
      <c r="Z136" s="315" t="s">
        <v>3163</v>
      </c>
      <c r="AA136" s="385">
        <v>1395</v>
      </c>
    </row>
    <row r="137" spans="17:27" ht="13.8">
      <c r="Q137" s="378">
        <f t="shared" ref="Q137:Q200" si="2">Q136+1</f>
        <v>131</v>
      </c>
      <c r="R137" s="379" t="s">
        <v>1355</v>
      </c>
      <c r="S137" s="379" t="s">
        <v>1356</v>
      </c>
      <c r="T137" s="380" t="s">
        <v>962</v>
      </c>
      <c r="U137" s="378" t="s">
        <v>1357</v>
      </c>
      <c r="V137" s="378" t="s">
        <v>2696</v>
      </c>
      <c r="W137" s="379" t="s">
        <v>2696</v>
      </c>
      <c r="X137" s="317" t="s">
        <v>3147</v>
      </c>
      <c r="Y137" s="317" t="s">
        <v>3182</v>
      </c>
      <c r="Z137" s="315" t="s">
        <v>3163</v>
      </c>
      <c r="AA137" s="385">
        <v>19403</v>
      </c>
    </row>
    <row r="138" spans="17:27" ht="13.8">
      <c r="Q138" s="378">
        <f t="shared" si="2"/>
        <v>132</v>
      </c>
      <c r="R138" s="379" t="s">
        <v>1358</v>
      </c>
      <c r="S138" s="379" t="s">
        <v>1359</v>
      </c>
      <c r="T138" s="380" t="s">
        <v>972</v>
      </c>
      <c r="U138" s="378" t="s">
        <v>1360</v>
      </c>
      <c r="V138" s="378" t="s">
        <v>1359</v>
      </c>
      <c r="W138" s="379" t="s">
        <v>2941</v>
      </c>
      <c r="X138" s="317" t="s">
        <v>3146</v>
      </c>
      <c r="Y138" s="317" t="s">
        <v>3183</v>
      </c>
      <c r="Z138" s="315" t="s">
        <v>3165</v>
      </c>
      <c r="AA138" s="385">
        <v>1036</v>
      </c>
    </row>
    <row r="139" spans="17:27" ht="13.8">
      <c r="Q139" s="378">
        <f t="shared" si="2"/>
        <v>133</v>
      </c>
      <c r="R139" s="379" t="s">
        <v>1361</v>
      </c>
      <c r="S139" s="379" t="s">
        <v>1362</v>
      </c>
      <c r="T139" s="380" t="s">
        <v>962</v>
      </c>
      <c r="U139" s="378" t="s">
        <v>1363</v>
      </c>
      <c r="V139" s="378" t="s">
        <v>2697</v>
      </c>
      <c r="W139" s="379" t="s">
        <v>2697</v>
      </c>
      <c r="X139" s="317" t="s">
        <v>3147</v>
      </c>
      <c r="Y139" s="317" t="s">
        <v>3182</v>
      </c>
      <c r="Z139" s="315" t="s">
        <v>3163</v>
      </c>
      <c r="AA139" s="385">
        <v>7401</v>
      </c>
    </row>
    <row r="140" spans="17:27" ht="13.8">
      <c r="Q140" s="378">
        <f t="shared" si="2"/>
        <v>134</v>
      </c>
      <c r="R140" s="379" t="s">
        <v>1364</v>
      </c>
      <c r="S140" s="379" t="s">
        <v>1365</v>
      </c>
      <c r="T140" s="380" t="s">
        <v>962</v>
      </c>
      <c r="U140" s="378" t="s">
        <v>1366</v>
      </c>
      <c r="V140" s="378" t="s">
        <v>3100</v>
      </c>
      <c r="W140" s="379" t="s">
        <v>3100</v>
      </c>
      <c r="X140" s="317" t="s">
        <v>3148</v>
      </c>
      <c r="Y140" s="317" t="s">
        <v>3182</v>
      </c>
      <c r="Z140" s="315" t="s">
        <v>3171</v>
      </c>
      <c r="AA140" s="385">
        <v>27147</v>
      </c>
    </row>
    <row r="141" spans="17:27" ht="13.8">
      <c r="Q141" s="378">
        <f t="shared" si="2"/>
        <v>135</v>
      </c>
      <c r="R141" s="379" t="s">
        <v>1367</v>
      </c>
      <c r="S141" s="379" t="s">
        <v>1368</v>
      </c>
      <c r="T141" s="380" t="s">
        <v>962</v>
      </c>
      <c r="U141" s="378" t="s">
        <v>1369</v>
      </c>
      <c r="V141" s="378" t="s">
        <v>2698</v>
      </c>
      <c r="W141" s="379" t="s">
        <v>2698</v>
      </c>
      <c r="X141" s="317" t="s">
        <v>3147</v>
      </c>
      <c r="Y141" s="317" t="s">
        <v>3182</v>
      </c>
      <c r="Z141" s="315" t="s">
        <v>3163</v>
      </c>
      <c r="AA141" s="385">
        <v>5281</v>
      </c>
    </row>
    <row r="142" spans="17:27" ht="13.8">
      <c r="Q142" s="378">
        <f t="shared" si="2"/>
        <v>136</v>
      </c>
      <c r="R142" s="379" t="s">
        <v>1370</v>
      </c>
      <c r="S142" s="379" t="s">
        <v>1371</v>
      </c>
      <c r="T142" s="380" t="s">
        <v>954</v>
      </c>
      <c r="U142" s="378" t="s">
        <v>1372</v>
      </c>
      <c r="V142" s="378" t="s">
        <v>2699</v>
      </c>
      <c r="W142" s="379" t="s">
        <v>2699</v>
      </c>
      <c r="X142" s="317" t="s">
        <v>3147</v>
      </c>
      <c r="Y142" s="317" t="s">
        <v>3182</v>
      </c>
      <c r="Z142" s="315" t="s">
        <v>3163</v>
      </c>
      <c r="AA142" s="385">
        <v>1847</v>
      </c>
    </row>
    <row r="143" spans="17:27" ht="13.8">
      <c r="Q143" s="378">
        <f t="shared" si="2"/>
        <v>137</v>
      </c>
      <c r="R143" s="379" t="s">
        <v>1373</v>
      </c>
      <c r="S143" s="379" t="s">
        <v>1374</v>
      </c>
      <c r="T143" s="380" t="s">
        <v>1044</v>
      </c>
      <c r="U143" s="378" t="s">
        <v>1375</v>
      </c>
      <c r="V143" s="378" t="s">
        <v>1374</v>
      </c>
      <c r="W143" s="379" t="s">
        <v>2942</v>
      </c>
      <c r="X143" s="317" t="s">
        <v>3146</v>
      </c>
      <c r="Y143" s="317" t="s">
        <v>3182</v>
      </c>
      <c r="Z143" s="315" t="s">
        <v>3163</v>
      </c>
      <c r="AA143" s="385">
        <v>2113</v>
      </c>
    </row>
    <row r="144" spans="17:27" ht="13.8">
      <c r="Q144" s="378">
        <f t="shared" si="2"/>
        <v>138</v>
      </c>
      <c r="R144" s="379" t="s">
        <v>1376</v>
      </c>
      <c r="S144" s="379" t="s">
        <v>1377</v>
      </c>
      <c r="T144" s="380" t="s">
        <v>958</v>
      </c>
      <c r="U144" s="378" t="s">
        <v>1378</v>
      </c>
      <c r="V144" s="378" t="s">
        <v>3101</v>
      </c>
      <c r="W144" s="379" t="s">
        <v>3101</v>
      </c>
      <c r="X144" s="317" t="s">
        <v>3148</v>
      </c>
      <c r="Y144" s="317" t="s">
        <v>3182</v>
      </c>
      <c r="Z144" s="315" t="s">
        <v>3169</v>
      </c>
      <c r="AA144" s="385">
        <v>1735</v>
      </c>
    </row>
    <row r="145" spans="17:27" ht="13.8">
      <c r="Q145" s="378">
        <f t="shared" si="2"/>
        <v>139</v>
      </c>
      <c r="R145" s="379" t="s">
        <v>1379</v>
      </c>
      <c r="S145" s="379" t="s">
        <v>1380</v>
      </c>
      <c r="T145" s="380" t="s">
        <v>1023</v>
      </c>
      <c r="U145" s="378" t="s">
        <v>1381</v>
      </c>
      <c r="V145" s="378" t="s">
        <v>1380</v>
      </c>
      <c r="W145" s="379" t="s">
        <v>2943</v>
      </c>
      <c r="X145" s="317" t="s">
        <v>3146</v>
      </c>
      <c r="Y145" s="317" t="s">
        <v>3182</v>
      </c>
      <c r="Z145" s="315" t="s">
        <v>3166</v>
      </c>
      <c r="AA145" s="385">
        <v>45538</v>
      </c>
    </row>
    <row r="146" spans="17:27" ht="13.8">
      <c r="Q146" s="378">
        <f t="shared" si="2"/>
        <v>140</v>
      </c>
      <c r="R146" s="379" t="s">
        <v>1382</v>
      </c>
      <c r="S146" s="379" t="s">
        <v>1383</v>
      </c>
      <c r="T146" s="380" t="s">
        <v>1323</v>
      </c>
      <c r="U146" s="378" t="s">
        <v>1384</v>
      </c>
      <c r="V146" s="378" t="s">
        <v>1383</v>
      </c>
      <c r="W146" s="379" t="s">
        <v>2944</v>
      </c>
      <c r="X146" s="317" t="s">
        <v>3146</v>
      </c>
      <c r="Y146" s="317" t="s">
        <v>3182</v>
      </c>
      <c r="Z146" s="315" t="s">
        <v>3171</v>
      </c>
      <c r="AA146" s="385">
        <v>35790</v>
      </c>
    </row>
    <row r="147" spans="17:27" ht="13.8">
      <c r="Q147" s="378">
        <f t="shared" si="2"/>
        <v>141</v>
      </c>
      <c r="R147" s="379" t="s">
        <v>1385</v>
      </c>
      <c r="S147" s="379" t="s">
        <v>1386</v>
      </c>
      <c r="T147" s="380" t="s">
        <v>954</v>
      </c>
      <c r="U147" s="378" t="s">
        <v>1387</v>
      </c>
      <c r="V147" s="378" t="s">
        <v>2700</v>
      </c>
      <c r="W147" s="379" t="s">
        <v>2700</v>
      </c>
      <c r="X147" s="317" t="s">
        <v>3147</v>
      </c>
      <c r="Y147" s="317" t="s">
        <v>3182</v>
      </c>
      <c r="Z147" s="315" t="s">
        <v>3163</v>
      </c>
      <c r="AA147" s="385">
        <v>6121</v>
      </c>
    </row>
    <row r="148" spans="17:27" ht="13.8">
      <c r="Q148" s="378">
        <f t="shared" si="2"/>
        <v>142</v>
      </c>
      <c r="R148" s="379" t="s">
        <v>1388</v>
      </c>
      <c r="S148" s="379" t="s">
        <v>1389</v>
      </c>
      <c r="T148" s="380" t="s">
        <v>962</v>
      </c>
      <c r="U148" s="378" t="s">
        <v>1390</v>
      </c>
      <c r="V148" s="378" t="s">
        <v>2701</v>
      </c>
      <c r="W148" s="379" t="s">
        <v>2701</v>
      </c>
      <c r="X148" s="317" t="s">
        <v>3147</v>
      </c>
      <c r="Y148" s="317" t="s">
        <v>3182</v>
      </c>
      <c r="Z148" s="315" t="s">
        <v>3169</v>
      </c>
      <c r="AA148" s="385">
        <v>32457</v>
      </c>
    </row>
    <row r="149" spans="17:27" ht="13.8">
      <c r="Q149" s="378">
        <f t="shared" si="2"/>
        <v>143</v>
      </c>
      <c r="R149" s="379" t="s">
        <v>1391</v>
      </c>
      <c r="S149" s="381" t="s">
        <v>1392</v>
      </c>
      <c r="T149" s="380" t="s">
        <v>1130</v>
      </c>
      <c r="U149" s="378" t="s">
        <v>1393</v>
      </c>
      <c r="V149" s="378" t="s">
        <v>1392</v>
      </c>
      <c r="W149" s="381" t="s">
        <v>2945</v>
      </c>
      <c r="X149" s="317" t="s">
        <v>3146</v>
      </c>
      <c r="Y149" s="317" t="s">
        <v>3183</v>
      </c>
      <c r="Z149" s="315" t="s">
        <v>3168</v>
      </c>
      <c r="AA149" s="385">
        <v>6295</v>
      </c>
    </row>
    <row r="150" spans="17:27" ht="13.8">
      <c r="Q150" s="378">
        <f t="shared" si="2"/>
        <v>144</v>
      </c>
      <c r="R150" s="379" t="s">
        <v>1394</v>
      </c>
      <c r="S150" s="381" t="s">
        <v>1392</v>
      </c>
      <c r="T150" s="380" t="s">
        <v>1044</v>
      </c>
      <c r="U150" s="378" t="s">
        <v>1395</v>
      </c>
      <c r="V150" s="378" t="s">
        <v>1392</v>
      </c>
      <c r="W150" s="381" t="s">
        <v>2945</v>
      </c>
      <c r="X150" s="317" t="s">
        <v>3146</v>
      </c>
      <c r="Y150" s="317" t="s">
        <v>3182</v>
      </c>
      <c r="Z150" s="315" t="s">
        <v>3166</v>
      </c>
      <c r="AA150" s="385">
        <v>7466</v>
      </c>
    </row>
    <row r="151" spans="17:27" ht="13.8">
      <c r="Q151" s="378">
        <f t="shared" si="2"/>
        <v>145</v>
      </c>
      <c r="R151" s="379" t="s">
        <v>1396</v>
      </c>
      <c r="S151" s="379" t="s">
        <v>1397</v>
      </c>
      <c r="T151" s="380" t="s">
        <v>962</v>
      </c>
      <c r="U151" s="378" t="s">
        <v>1398</v>
      </c>
      <c r="V151" s="378" t="s">
        <v>2702</v>
      </c>
      <c r="W151" s="379" t="s">
        <v>2702</v>
      </c>
      <c r="X151" s="317" t="s">
        <v>3147</v>
      </c>
      <c r="Y151" s="317" t="s">
        <v>3182</v>
      </c>
      <c r="Z151" s="315" t="s">
        <v>3163</v>
      </c>
      <c r="AA151" s="385">
        <v>13835</v>
      </c>
    </row>
    <row r="152" spans="17:27" ht="13.8">
      <c r="Q152" s="378">
        <f t="shared" si="2"/>
        <v>146</v>
      </c>
      <c r="R152" s="379" t="s">
        <v>1399</v>
      </c>
      <c r="S152" s="379" t="s">
        <v>1400</v>
      </c>
      <c r="T152" s="380" t="s">
        <v>1060</v>
      </c>
      <c r="U152" s="378" t="s">
        <v>1401</v>
      </c>
      <c r="V152" s="378" t="s">
        <v>2703</v>
      </c>
      <c r="W152" s="379" t="s">
        <v>2703</v>
      </c>
      <c r="X152" s="317" t="s">
        <v>3147</v>
      </c>
      <c r="Y152" s="317" t="s">
        <v>3182</v>
      </c>
      <c r="Z152" s="315" t="s">
        <v>3163</v>
      </c>
      <c r="AA152" s="385">
        <v>7318</v>
      </c>
    </row>
    <row r="153" spans="17:27" ht="13.8">
      <c r="Q153" s="378">
        <f t="shared" si="2"/>
        <v>147</v>
      </c>
      <c r="R153" s="379" t="s">
        <v>1402</v>
      </c>
      <c r="S153" s="379" t="s">
        <v>1403</v>
      </c>
      <c r="T153" s="380" t="s">
        <v>1040</v>
      </c>
      <c r="U153" s="378" t="s">
        <v>1404</v>
      </c>
      <c r="V153" s="378" t="s">
        <v>2704</v>
      </c>
      <c r="W153" s="379" t="s">
        <v>2704</v>
      </c>
      <c r="X153" s="317" t="s">
        <v>3147</v>
      </c>
      <c r="Y153" s="317" t="s">
        <v>3182</v>
      </c>
      <c r="Z153" s="315" t="s">
        <v>3163</v>
      </c>
      <c r="AA153" s="385">
        <v>919</v>
      </c>
    </row>
    <row r="154" spans="17:27" ht="13.8">
      <c r="Q154" s="378">
        <f t="shared" si="2"/>
        <v>148</v>
      </c>
      <c r="R154" s="379" t="s">
        <v>1405</v>
      </c>
      <c r="S154" s="379" t="s">
        <v>1406</v>
      </c>
      <c r="T154" s="380" t="s">
        <v>954</v>
      </c>
      <c r="U154" s="378" t="s">
        <v>1407</v>
      </c>
      <c r="V154" s="378" t="s">
        <v>2705</v>
      </c>
      <c r="W154" s="379" t="s">
        <v>2705</v>
      </c>
      <c r="X154" s="317" t="s">
        <v>3147</v>
      </c>
      <c r="Y154" s="317" t="s">
        <v>3182</v>
      </c>
      <c r="Z154" s="315" t="s">
        <v>3163</v>
      </c>
      <c r="AA154" s="385">
        <v>1329</v>
      </c>
    </row>
    <row r="155" spans="17:27" ht="13.8">
      <c r="Q155" s="378">
        <f t="shared" si="2"/>
        <v>149</v>
      </c>
      <c r="R155" s="379" t="s">
        <v>1408</v>
      </c>
      <c r="S155" s="379" t="s">
        <v>1409</v>
      </c>
      <c r="T155" s="380" t="s">
        <v>1023</v>
      </c>
      <c r="U155" s="378" t="s">
        <v>1410</v>
      </c>
      <c r="V155" s="378" t="s">
        <v>2706</v>
      </c>
      <c r="W155" s="379" t="s">
        <v>2706</v>
      </c>
      <c r="X155" s="317" t="s">
        <v>3147</v>
      </c>
      <c r="Y155" s="317" t="s">
        <v>3182</v>
      </c>
      <c r="Z155" s="315" t="s">
        <v>3163</v>
      </c>
      <c r="AA155" s="385">
        <v>540</v>
      </c>
    </row>
    <row r="156" spans="17:27" ht="13.8">
      <c r="Q156" s="378">
        <f t="shared" si="2"/>
        <v>150</v>
      </c>
      <c r="R156" s="379" t="s">
        <v>1411</v>
      </c>
      <c r="S156" s="379" t="s">
        <v>1412</v>
      </c>
      <c r="T156" s="380" t="s">
        <v>1079</v>
      </c>
      <c r="U156" s="378" t="s">
        <v>1413</v>
      </c>
      <c r="V156" s="378" t="s">
        <v>2707</v>
      </c>
      <c r="W156" s="379" t="s">
        <v>2707</v>
      </c>
      <c r="X156" s="317" t="s">
        <v>3147</v>
      </c>
      <c r="Y156" s="317" t="s">
        <v>3182</v>
      </c>
      <c r="Z156" s="315" t="s">
        <v>3163</v>
      </c>
      <c r="AA156" s="385">
        <v>4581</v>
      </c>
    </row>
    <row r="157" spans="17:27" ht="13.8">
      <c r="Q157" s="378">
        <f t="shared" si="2"/>
        <v>151</v>
      </c>
      <c r="R157" s="379" t="s">
        <v>1414</v>
      </c>
      <c r="S157" s="379" t="s">
        <v>1415</v>
      </c>
      <c r="T157" s="380" t="s">
        <v>1023</v>
      </c>
      <c r="U157" s="378" t="s">
        <v>1416</v>
      </c>
      <c r="V157" s="378" t="s">
        <v>1415</v>
      </c>
      <c r="W157" s="379" t="s">
        <v>2946</v>
      </c>
      <c r="X157" s="317" t="s">
        <v>3146</v>
      </c>
      <c r="Y157" s="317" t="s">
        <v>3182</v>
      </c>
      <c r="Z157" s="315" t="s">
        <v>3171</v>
      </c>
      <c r="AA157" s="385">
        <v>12109</v>
      </c>
    </row>
    <row r="158" spans="17:27" ht="13.8">
      <c r="Q158" s="378">
        <f t="shared" si="2"/>
        <v>152</v>
      </c>
      <c r="R158" s="379" t="s">
        <v>1417</v>
      </c>
      <c r="S158" s="379" t="s">
        <v>1418</v>
      </c>
      <c r="T158" s="380" t="s">
        <v>1102</v>
      </c>
      <c r="U158" s="378" t="s">
        <v>1419</v>
      </c>
      <c r="V158" s="378" t="s">
        <v>2708</v>
      </c>
      <c r="W158" s="379" t="s">
        <v>2708</v>
      </c>
      <c r="X158" s="317" t="s">
        <v>3147</v>
      </c>
      <c r="Y158" s="317" t="s">
        <v>3182</v>
      </c>
      <c r="Z158" s="315" t="s">
        <v>3163</v>
      </c>
      <c r="AA158" s="385">
        <v>11696</v>
      </c>
    </row>
    <row r="159" spans="17:27" ht="13.8">
      <c r="Q159" s="378">
        <f t="shared" si="2"/>
        <v>153</v>
      </c>
      <c r="R159" s="379" t="s">
        <v>1420</v>
      </c>
      <c r="S159" s="379" t="s">
        <v>1421</v>
      </c>
      <c r="T159" s="380" t="s">
        <v>958</v>
      </c>
      <c r="U159" s="378" t="s">
        <v>1422</v>
      </c>
      <c r="V159" s="378" t="s">
        <v>2709</v>
      </c>
      <c r="W159" s="379" t="s">
        <v>2709</v>
      </c>
      <c r="X159" s="317" t="s">
        <v>3147</v>
      </c>
      <c r="Y159" s="317" t="s">
        <v>3182</v>
      </c>
      <c r="Z159" s="315" t="s">
        <v>3163</v>
      </c>
      <c r="AA159" s="385">
        <v>1885</v>
      </c>
    </row>
    <row r="160" spans="17:27" ht="13.8">
      <c r="Q160" s="378">
        <f t="shared" si="2"/>
        <v>154</v>
      </c>
      <c r="R160" s="379" t="s">
        <v>1423</v>
      </c>
      <c r="S160" s="379" t="s">
        <v>1424</v>
      </c>
      <c r="T160" s="380" t="s">
        <v>962</v>
      </c>
      <c r="U160" s="378" t="s">
        <v>1425</v>
      </c>
      <c r="V160" s="378" t="s">
        <v>2710</v>
      </c>
      <c r="W160" s="379" t="s">
        <v>2710</v>
      </c>
      <c r="X160" s="317" t="s">
        <v>3147</v>
      </c>
      <c r="Y160" s="317" t="s">
        <v>3182</v>
      </c>
      <c r="Z160" s="315" t="s">
        <v>3163</v>
      </c>
      <c r="AA160" s="385">
        <v>35345</v>
      </c>
    </row>
    <row r="161" spans="17:27" ht="13.8">
      <c r="Q161" s="378">
        <f t="shared" si="2"/>
        <v>155</v>
      </c>
      <c r="R161" s="379" t="s">
        <v>1426</v>
      </c>
      <c r="S161" s="379" t="s">
        <v>1427</v>
      </c>
      <c r="T161" s="380" t="s">
        <v>983</v>
      </c>
      <c r="U161" s="378" t="s">
        <v>1428</v>
      </c>
      <c r="V161" s="378" t="s">
        <v>1427</v>
      </c>
      <c r="W161" s="379" t="s">
        <v>2947</v>
      </c>
      <c r="X161" s="317" t="s">
        <v>3146</v>
      </c>
      <c r="Y161" s="317" t="s">
        <v>3183</v>
      </c>
      <c r="Z161" s="315" t="s">
        <v>3165</v>
      </c>
      <c r="AA161" s="385">
        <v>5565</v>
      </c>
    </row>
    <row r="162" spans="17:27" ht="13.8">
      <c r="Q162" s="378">
        <f t="shared" si="2"/>
        <v>156</v>
      </c>
      <c r="R162" s="379" t="s">
        <v>1429</v>
      </c>
      <c r="S162" s="379" t="s">
        <v>1430</v>
      </c>
      <c r="T162" s="380" t="s">
        <v>983</v>
      </c>
      <c r="U162" s="378" t="s">
        <v>1431</v>
      </c>
      <c r="V162" s="378" t="s">
        <v>2711</v>
      </c>
      <c r="W162" s="379" t="s">
        <v>2711</v>
      </c>
      <c r="X162" s="317" t="s">
        <v>3147</v>
      </c>
      <c r="Y162" s="317" t="s">
        <v>3182</v>
      </c>
      <c r="Z162" s="315" t="s">
        <v>3163</v>
      </c>
      <c r="AA162" s="385">
        <v>5045</v>
      </c>
    </row>
    <row r="163" spans="17:27" ht="13.8">
      <c r="Q163" s="378">
        <f t="shared" si="2"/>
        <v>157</v>
      </c>
      <c r="R163" s="379" t="s">
        <v>1432</v>
      </c>
      <c r="S163" s="379" t="s">
        <v>1433</v>
      </c>
      <c r="T163" s="380" t="s">
        <v>962</v>
      </c>
      <c r="U163" s="378" t="s">
        <v>1434</v>
      </c>
      <c r="V163" s="378" t="s">
        <v>2712</v>
      </c>
      <c r="W163" s="379" t="s">
        <v>2712</v>
      </c>
      <c r="X163" s="317" t="s">
        <v>3147</v>
      </c>
      <c r="Y163" s="317" t="s">
        <v>3182</v>
      </c>
      <c r="Z163" s="315" t="s">
        <v>3163</v>
      </c>
      <c r="AA163" s="385">
        <v>10590</v>
      </c>
    </row>
    <row r="164" spans="17:27" ht="13.8">
      <c r="Q164" s="378">
        <f t="shared" si="2"/>
        <v>158</v>
      </c>
      <c r="R164" s="379" t="s">
        <v>1435</v>
      </c>
      <c r="S164" s="379" t="s">
        <v>1436</v>
      </c>
      <c r="T164" s="380" t="s">
        <v>1217</v>
      </c>
      <c r="U164" s="378" t="s">
        <v>1437</v>
      </c>
      <c r="V164" s="378" t="s">
        <v>1436</v>
      </c>
      <c r="W164" s="379" t="s">
        <v>2711</v>
      </c>
      <c r="X164" s="317" t="s">
        <v>3146</v>
      </c>
      <c r="Y164" s="317" t="s">
        <v>3183</v>
      </c>
      <c r="Z164" s="315" t="s">
        <v>3168</v>
      </c>
      <c r="AA164" s="385">
        <v>16820</v>
      </c>
    </row>
    <row r="165" spans="17:27" ht="13.8">
      <c r="Q165" s="378">
        <f t="shared" si="2"/>
        <v>159</v>
      </c>
      <c r="R165" s="379" t="s">
        <v>1438</v>
      </c>
      <c r="S165" s="379" t="s">
        <v>1436</v>
      </c>
      <c r="T165" s="380" t="s">
        <v>1079</v>
      </c>
      <c r="U165" s="378" t="s">
        <v>1439</v>
      </c>
      <c r="V165" s="378" t="s">
        <v>1436</v>
      </c>
      <c r="W165" s="379" t="s">
        <v>2711</v>
      </c>
      <c r="X165" s="317" t="s">
        <v>3146</v>
      </c>
      <c r="Y165" s="317" t="s">
        <v>3183</v>
      </c>
      <c r="Z165" s="315" t="s">
        <v>3168</v>
      </c>
      <c r="AA165" s="385">
        <v>3195</v>
      </c>
    </row>
    <row r="166" spans="17:27" ht="13.8">
      <c r="Q166" s="378">
        <f t="shared" si="2"/>
        <v>160</v>
      </c>
      <c r="R166" s="379" t="s">
        <v>1440</v>
      </c>
      <c r="S166" s="379" t="s">
        <v>1436</v>
      </c>
      <c r="T166" s="380" t="s">
        <v>1040</v>
      </c>
      <c r="U166" s="378" t="s">
        <v>1441</v>
      </c>
      <c r="V166" s="378" t="s">
        <v>1436</v>
      </c>
      <c r="W166" s="379" t="s">
        <v>2711</v>
      </c>
      <c r="X166" s="317" t="s">
        <v>3146</v>
      </c>
      <c r="Y166" s="317" t="s">
        <v>3182</v>
      </c>
      <c r="Z166" s="315" t="s">
        <v>3176</v>
      </c>
      <c r="AA166" s="385">
        <v>62300</v>
      </c>
    </row>
    <row r="167" spans="17:27" ht="13.8">
      <c r="Q167" s="378">
        <f t="shared" si="2"/>
        <v>161</v>
      </c>
      <c r="R167" s="379" t="s">
        <v>1442</v>
      </c>
      <c r="S167" s="379" t="s">
        <v>1436</v>
      </c>
      <c r="T167" s="380" t="s">
        <v>976</v>
      </c>
      <c r="U167" s="378" t="s">
        <v>1443</v>
      </c>
      <c r="V167" s="378" t="s">
        <v>1436</v>
      </c>
      <c r="W167" s="379" t="s">
        <v>2711</v>
      </c>
      <c r="X167" s="317" t="s">
        <v>3146</v>
      </c>
      <c r="Y167" s="317" t="s">
        <v>3183</v>
      </c>
      <c r="Z167" s="315" t="s">
        <v>3168</v>
      </c>
      <c r="AA167" s="385">
        <v>3176</v>
      </c>
    </row>
    <row r="168" spans="17:27" ht="13.8">
      <c r="Q168" s="378">
        <f t="shared" si="2"/>
        <v>162</v>
      </c>
      <c r="R168" s="379" t="s">
        <v>1444</v>
      </c>
      <c r="S168" s="379" t="s">
        <v>1445</v>
      </c>
      <c r="T168" s="380" t="s">
        <v>983</v>
      </c>
      <c r="U168" s="378" t="s">
        <v>1446</v>
      </c>
      <c r="V168" s="378" t="s">
        <v>1445</v>
      </c>
      <c r="W168" s="379" t="s">
        <v>2948</v>
      </c>
      <c r="X168" s="317" t="s">
        <v>3146</v>
      </c>
      <c r="Y168" s="317" t="s">
        <v>3183</v>
      </c>
      <c r="Z168" s="315" t="s">
        <v>3168</v>
      </c>
      <c r="AA168" s="385">
        <v>3437</v>
      </c>
    </row>
    <row r="169" spans="17:27" ht="13.8">
      <c r="Q169" s="378">
        <f t="shared" si="2"/>
        <v>163</v>
      </c>
      <c r="R169" s="379" t="s">
        <v>1447</v>
      </c>
      <c r="S169" s="379" t="s">
        <v>1448</v>
      </c>
      <c r="T169" s="380" t="s">
        <v>954</v>
      </c>
      <c r="U169" s="378" t="s">
        <v>1449</v>
      </c>
      <c r="V169" s="378" t="s">
        <v>2713</v>
      </c>
      <c r="W169" s="379" t="s">
        <v>2713</v>
      </c>
      <c r="X169" s="317" t="s">
        <v>3147</v>
      </c>
      <c r="Y169" s="317" t="s">
        <v>3182</v>
      </c>
      <c r="Z169" s="315" t="s">
        <v>3163</v>
      </c>
      <c r="AA169" s="385">
        <v>12052</v>
      </c>
    </row>
    <row r="170" spans="17:27" ht="13.8">
      <c r="Q170" s="378">
        <f t="shared" si="2"/>
        <v>164</v>
      </c>
      <c r="R170" s="379" t="s">
        <v>1450</v>
      </c>
      <c r="S170" s="379" t="s">
        <v>1451</v>
      </c>
      <c r="T170" s="380" t="s">
        <v>954</v>
      </c>
      <c r="U170" s="378" t="s">
        <v>1452</v>
      </c>
      <c r="V170" s="378" t="s">
        <v>1451</v>
      </c>
      <c r="W170" s="379" t="s">
        <v>2713</v>
      </c>
      <c r="X170" s="317" t="s">
        <v>3146</v>
      </c>
      <c r="Y170" s="317" t="s">
        <v>3183</v>
      </c>
      <c r="Z170" s="315" t="s">
        <v>3168</v>
      </c>
      <c r="AA170" s="385">
        <v>36184</v>
      </c>
    </row>
    <row r="171" spans="17:27" ht="13.8">
      <c r="Q171" s="378">
        <f t="shared" si="2"/>
        <v>165</v>
      </c>
      <c r="R171" s="379" t="s">
        <v>1453</v>
      </c>
      <c r="S171" s="379" t="s">
        <v>1454</v>
      </c>
      <c r="T171" s="380" t="s">
        <v>976</v>
      </c>
      <c r="U171" s="378" t="s">
        <v>1455</v>
      </c>
      <c r="V171" s="378" t="s">
        <v>1454</v>
      </c>
      <c r="W171" s="379" t="s">
        <v>2949</v>
      </c>
      <c r="X171" s="317" t="s">
        <v>3146</v>
      </c>
      <c r="Y171" s="317" t="s">
        <v>3183</v>
      </c>
      <c r="Z171" s="315" t="s">
        <v>3165</v>
      </c>
      <c r="AA171" s="385">
        <v>2230</v>
      </c>
    </row>
    <row r="172" spans="17:27" ht="13.8">
      <c r="Q172" s="378">
        <f t="shared" si="2"/>
        <v>166</v>
      </c>
      <c r="R172" s="379" t="s">
        <v>1456</v>
      </c>
      <c r="S172" s="379" t="s">
        <v>1457</v>
      </c>
      <c r="T172" s="380" t="s">
        <v>1079</v>
      </c>
      <c r="U172" s="378" t="s">
        <v>1458</v>
      </c>
      <c r="V172" s="378" t="s">
        <v>2714</v>
      </c>
      <c r="W172" s="379" t="s">
        <v>2714</v>
      </c>
      <c r="X172" s="317" t="s">
        <v>3147</v>
      </c>
      <c r="Y172" s="317" t="s">
        <v>3182</v>
      </c>
      <c r="Z172" s="315" t="s">
        <v>3163</v>
      </c>
      <c r="AA172" s="385">
        <v>1373</v>
      </c>
    </row>
    <row r="173" spans="17:27" ht="13.8">
      <c r="Q173" s="378">
        <f t="shared" si="2"/>
        <v>167</v>
      </c>
      <c r="R173" s="379" t="s">
        <v>1459</v>
      </c>
      <c r="S173" s="379" t="s">
        <v>1460</v>
      </c>
      <c r="T173" s="380" t="s">
        <v>958</v>
      </c>
      <c r="U173" s="378" t="s">
        <v>1461</v>
      </c>
      <c r="V173" s="378" t="s">
        <v>1460</v>
      </c>
      <c r="W173" s="379" t="s">
        <v>2950</v>
      </c>
      <c r="X173" s="317" t="s">
        <v>3146</v>
      </c>
      <c r="Y173" s="317" t="s">
        <v>3182</v>
      </c>
      <c r="Z173" s="315" t="s">
        <v>3172</v>
      </c>
      <c r="AA173" s="385">
        <v>37349</v>
      </c>
    </row>
    <row r="174" spans="17:27" ht="13.8">
      <c r="Q174" s="378">
        <f t="shared" si="2"/>
        <v>168</v>
      </c>
      <c r="R174" s="379" t="s">
        <v>1462</v>
      </c>
      <c r="S174" s="379" t="s">
        <v>1463</v>
      </c>
      <c r="T174" s="380" t="s">
        <v>962</v>
      </c>
      <c r="U174" s="378" t="s">
        <v>1464</v>
      </c>
      <c r="V174" s="378" t="s">
        <v>3102</v>
      </c>
      <c r="W174" s="379" t="s">
        <v>3102</v>
      </c>
      <c r="X174" s="317" t="s">
        <v>3148</v>
      </c>
      <c r="Y174" s="317" t="s">
        <v>3182</v>
      </c>
      <c r="Z174" s="315" t="s">
        <v>3169</v>
      </c>
      <c r="AA174" s="385">
        <v>30487</v>
      </c>
    </row>
    <row r="175" spans="17:27" ht="13.8">
      <c r="Q175" s="378">
        <f t="shared" si="2"/>
        <v>169</v>
      </c>
      <c r="R175" s="379" t="s">
        <v>1465</v>
      </c>
      <c r="S175" s="379" t="s">
        <v>1466</v>
      </c>
      <c r="T175" s="380" t="s">
        <v>1060</v>
      </c>
      <c r="U175" s="378" t="s">
        <v>1467</v>
      </c>
      <c r="V175" s="378" t="s">
        <v>2715</v>
      </c>
      <c r="W175" s="379" t="s">
        <v>2715</v>
      </c>
      <c r="X175" s="317" t="s">
        <v>3147</v>
      </c>
      <c r="Y175" s="317" t="s">
        <v>3182</v>
      </c>
      <c r="Z175" s="315" t="s">
        <v>3163</v>
      </c>
      <c r="AA175" s="385">
        <v>4226</v>
      </c>
    </row>
    <row r="176" spans="17:27" ht="13.8">
      <c r="Q176" s="378">
        <f t="shared" si="2"/>
        <v>170</v>
      </c>
      <c r="R176" s="379" t="s">
        <v>1468</v>
      </c>
      <c r="S176" s="379" t="s">
        <v>1469</v>
      </c>
      <c r="T176" s="380" t="s">
        <v>999</v>
      </c>
      <c r="U176" s="378" t="s">
        <v>1470</v>
      </c>
      <c r="V176" s="378" t="s">
        <v>2716</v>
      </c>
      <c r="W176" s="379" t="s">
        <v>2716</v>
      </c>
      <c r="X176" s="317" t="s">
        <v>3147</v>
      </c>
      <c r="Y176" s="317" t="s">
        <v>3182</v>
      </c>
      <c r="Z176" s="315" t="s">
        <v>3163</v>
      </c>
      <c r="AA176" s="385">
        <v>2274</v>
      </c>
    </row>
    <row r="177" spans="17:27" ht="13.8">
      <c r="Q177" s="378">
        <f t="shared" si="2"/>
        <v>171</v>
      </c>
      <c r="R177" s="379" t="s">
        <v>1471</v>
      </c>
      <c r="S177" s="379" t="s">
        <v>1472</v>
      </c>
      <c r="T177" s="380" t="s">
        <v>1217</v>
      </c>
      <c r="U177" s="378" t="s">
        <v>1473</v>
      </c>
      <c r="V177" s="378" t="s">
        <v>2717</v>
      </c>
      <c r="W177" s="379" t="s">
        <v>2717</v>
      </c>
      <c r="X177" s="317" t="s">
        <v>3147</v>
      </c>
      <c r="Y177" s="317" t="s">
        <v>3182</v>
      </c>
      <c r="Z177" s="315" t="s">
        <v>3163</v>
      </c>
      <c r="AA177" s="385">
        <v>18579</v>
      </c>
    </row>
    <row r="178" spans="17:27" ht="13.8">
      <c r="Q178" s="378">
        <f t="shared" si="2"/>
        <v>172</v>
      </c>
      <c r="R178" s="379" t="s">
        <v>1474</v>
      </c>
      <c r="S178" s="379" t="s">
        <v>1475</v>
      </c>
      <c r="T178" s="380" t="s">
        <v>1079</v>
      </c>
      <c r="U178" s="378" t="s">
        <v>1476</v>
      </c>
      <c r="V178" s="378" t="s">
        <v>2718</v>
      </c>
      <c r="W178" s="379" t="s">
        <v>2718</v>
      </c>
      <c r="X178" s="317" t="s">
        <v>3147</v>
      </c>
      <c r="Y178" s="317" t="s">
        <v>3182</v>
      </c>
      <c r="Z178" s="315" t="s">
        <v>3163</v>
      </c>
      <c r="AA178" s="385">
        <v>1704</v>
      </c>
    </row>
    <row r="179" spans="17:27" ht="13.8">
      <c r="Q179" s="378">
        <f t="shared" si="2"/>
        <v>173</v>
      </c>
      <c r="R179" s="379" t="s">
        <v>1477</v>
      </c>
      <c r="S179" s="379" t="s">
        <v>1478</v>
      </c>
      <c r="T179" s="380" t="s">
        <v>1044</v>
      </c>
      <c r="U179" s="378" t="s">
        <v>1479</v>
      </c>
      <c r="V179" s="378" t="s">
        <v>2719</v>
      </c>
      <c r="W179" s="379" t="s">
        <v>2719</v>
      </c>
      <c r="X179" s="317" t="s">
        <v>3147</v>
      </c>
      <c r="Y179" s="317" t="s">
        <v>3182</v>
      </c>
      <c r="Z179" s="315" t="s">
        <v>3163</v>
      </c>
      <c r="AA179" s="385">
        <v>7527</v>
      </c>
    </row>
    <row r="180" spans="17:27" ht="13.8">
      <c r="Q180" s="378">
        <f t="shared" si="2"/>
        <v>174</v>
      </c>
      <c r="R180" s="379" t="s">
        <v>1480</v>
      </c>
      <c r="S180" s="379" t="s">
        <v>1481</v>
      </c>
      <c r="T180" s="380" t="s">
        <v>962</v>
      </c>
      <c r="U180" s="378" t="s">
        <v>1482</v>
      </c>
      <c r="V180" s="378" t="s">
        <v>2720</v>
      </c>
      <c r="W180" s="379" t="s">
        <v>2720</v>
      </c>
      <c r="X180" s="317" t="s">
        <v>3147</v>
      </c>
      <c r="Y180" s="317" t="s">
        <v>3182</v>
      </c>
      <c r="Z180" s="315" t="s">
        <v>3163</v>
      </c>
      <c r="AA180" s="385">
        <v>11601</v>
      </c>
    </row>
    <row r="181" spans="17:27" ht="13.8">
      <c r="Q181" s="378">
        <f t="shared" si="2"/>
        <v>175</v>
      </c>
      <c r="R181" s="379" t="s">
        <v>1483</v>
      </c>
      <c r="S181" s="379" t="s">
        <v>1484</v>
      </c>
      <c r="T181" s="380" t="s">
        <v>999</v>
      </c>
      <c r="U181" s="378" t="s">
        <v>1485</v>
      </c>
      <c r="V181" s="378" t="s">
        <v>3142</v>
      </c>
      <c r="W181" s="379" t="s">
        <v>3142</v>
      </c>
      <c r="X181" s="317" t="s">
        <v>3148</v>
      </c>
      <c r="Y181" s="317" t="s">
        <v>3182</v>
      </c>
      <c r="Z181" s="315" t="s">
        <v>3163</v>
      </c>
      <c r="AA181" s="385">
        <v>11456</v>
      </c>
    </row>
    <row r="182" spans="17:27" ht="13.8">
      <c r="Q182" s="378">
        <f t="shared" si="2"/>
        <v>176</v>
      </c>
      <c r="R182" s="379" t="s">
        <v>1486</v>
      </c>
      <c r="S182" s="379" t="s">
        <v>1487</v>
      </c>
      <c r="T182" s="380" t="s">
        <v>999</v>
      </c>
      <c r="U182" s="378" t="s">
        <v>1488</v>
      </c>
      <c r="V182" s="378" t="s">
        <v>1487</v>
      </c>
      <c r="W182" s="379" t="s">
        <v>1217</v>
      </c>
      <c r="X182" s="317" t="s">
        <v>3146</v>
      </c>
      <c r="Y182" s="317" t="s">
        <v>3182</v>
      </c>
      <c r="Z182" s="315" t="s">
        <v>3164</v>
      </c>
      <c r="AA182" s="385">
        <v>64634</v>
      </c>
    </row>
    <row r="183" spans="17:27" ht="13.8">
      <c r="Q183" s="378">
        <f t="shared" si="2"/>
        <v>177</v>
      </c>
      <c r="R183" s="379" t="s">
        <v>1489</v>
      </c>
      <c r="S183" s="379" t="s">
        <v>1490</v>
      </c>
      <c r="T183" s="380" t="s">
        <v>1040</v>
      </c>
      <c r="U183" s="378" t="s">
        <v>1491</v>
      </c>
      <c r="V183" s="378" t="s">
        <v>1490</v>
      </c>
      <c r="W183" s="379" t="s">
        <v>2951</v>
      </c>
      <c r="X183" s="317" t="s">
        <v>3146</v>
      </c>
      <c r="Y183" s="317" t="s">
        <v>3183</v>
      </c>
      <c r="Z183" s="315" t="s">
        <v>3168</v>
      </c>
      <c r="AA183" s="385">
        <v>7203</v>
      </c>
    </row>
    <row r="184" spans="17:27" ht="13.8">
      <c r="Q184" s="378">
        <f t="shared" si="2"/>
        <v>178</v>
      </c>
      <c r="R184" s="379" t="s">
        <v>1492</v>
      </c>
      <c r="S184" s="379" t="s">
        <v>1493</v>
      </c>
      <c r="T184" s="380" t="s">
        <v>983</v>
      </c>
      <c r="U184" s="378" t="s">
        <v>1494</v>
      </c>
      <c r="V184" s="378" t="s">
        <v>1493</v>
      </c>
      <c r="W184" s="379" t="s">
        <v>2952</v>
      </c>
      <c r="X184" s="317" t="s">
        <v>3146</v>
      </c>
      <c r="Y184" s="317" t="s">
        <v>3183</v>
      </c>
      <c r="Z184" s="315" t="s">
        <v>3168</v>
      </c>
      <c r="AA184" s="385">
        <v>3601</v>
      </c>
    </row>
    <row r="185" spans="17:27" ht="13.8">
      <c r="Q185" s="378">
        <f t="shared" si="2"/>
        <v>179</v>
      </c>
      <c r="R185" s="379" t="s">
        <v>1495</v>
      </c>
      <c r="S185" s="379" t="s">
        <v>1496</v>
      </c>
      <c r="T185" s="380" t="s">
        <v>1130</v>
      </c>
      <c r="U185" s="378" t="s">
        <v>1497</v>
      </c>
      <c r="V185" s="378" t="s">
        <v>1496</v>
      </c>
      <c r="W185" s="379" t="s">
        <v>2953</v>
      </c>
      <c r="X185" s="317" t="s">
        <v>3146</v>
      </c>
      <c r="Y185" s="317" t="s">
        <v>3183</v>
      </c>
      <c r="Z185" s="315" t="s">
        <v>3165</v>
      </c>
      <c r="AA185" s="385">
        <v>804</v>
      </c>
    </row>
    <row r="186" spans="17:27" ht="13.8">
      <c r="Q186" s="378">
        <f t="shared" si="2"/>
        <v>180</v>
      </c>
      <c r="R186" s="379" t="s">
        <v>1498</v>
      </c>
      <c r="S186" s="379" t="s">
        <v>1496</v>
      </c>
      <c r="T186" s="380" t="s">
        <v>1217</v>
      </c>
      <c r="U186" s="378" t="s">
        <v>1499</v>
      </c>
      <c r="V186" s="378" t="s">
        <v>1496</v>
      </c>
      <c r="W186" s="379" t="s">
        <v>2953</v>
      </c>
      <c r="X186" s="317" t="s">
        <v>3146</v>
      </c>
      <c r="Y186" s="317" t="s">
        <v>3182</v>
      </c>
      <c r="Z186" s="315" t="s">
        <v>3166</v>
      </c>
      <c r="AA186" s="385">
        <v>4899</v>
      </c>
    </row>
    <row r="187" spans="17:27" ht="13.8">
      <c r="Q187" s="378">
        <f t="shared" si="2"/>
        <v>181</v>
      </c>
      <c r="R187" s="379" t="s">
        <v>1500</v>
      </c>
      <c r="S187" s="379" t="s">
        <v>1496</v>
      </c>
      <c r="T187" s="380" t="s">
        <v>976</v>
      </c>
      <c r="U187" s="378" t="s">
        <v>1501</v>
      </c>
      <c r="V187" s="378" t="s">
        <v>1496</v>
      </c>
      <c r="W187" s="379" t="s">
        <v>2953</v>
      </c>
      <c r="X187" s="317" t="s">
        <v>3146</v>
      </c>
      <c r="Y187" s="317" t="s">
        <v>3183</v>
      </c>
      <c r="Z187" s="315" t="s">
        <v>3168</v>
      </c>
      <c r="AA187" s="385">
        <v>5712</v>
      </c>
    </row>
    <row r="188" spans="17:27" ht="13.8">
      <c r="Q188" s="378">
        <f t="shared" si="2"/>
        <v>182</v>
      </c>
      <c r="R188" s="379" t="s">
        <v>1502</v>
      </c>
      <c r="S188" s="379" t="s">
        <v>1503</v>
      </c>
      <c r="T188" s="380" t="s">
        <v>1030</v>
      </c>
      <c r="U188" s="378" t="s">
        <v>1504</v>
      </c>
      <c r="V188" s="378" t="s">
        <v>3132</v>
      </c>
      <c r="W188" s="379" t="s">
        <v>3132</v>
      </c>
      <c r="X188" s="317" t="s">
        <v>2640</v>
      </c>
      <c r="Y188" s="317" t="s">
        <v>3182</v>
      </c>
      <c r="Z188" s="315" t="s">
        <v>3171</v>
      </c>
      <c r="AA188" s="385">
        <v>11176</v>
      </c>
    </row>
    <row r="189" spans="17:27" ht="13.8">
      <c r="Q189" s="378">
        <f t="shared" si="2"/>
        <v>183</v>
      </c>
      <c r="R189" s="379" t="s">
        <v>1505</v>
      </c>
      <c r="S189" s="379" t="s">
        <v>1506</v>
      </c>
      <c r="T189" s="380" t="s">
        <v>962</v>
      </c>
      <c r="U189" s="378" t="s">
        <v>1507</v>
      </c>
      <c r="V189" s="378" t="s">
        <v>3103</v>
      </c>
      <c r="W189" s="379" t="s">
        <v>3103</v>
      </c>
      <c r="X189" s="317" t="s">
        <v>3148</v>
      </c>
      <c r="Y189" s="317" t="s">
        <v>3182</v>
      </c>
      <c r="Z189" s="315" t="s">
        <v>3169</v>
      </c>
      <c r="AA189" s="385">
        <v>43010</v>
      </c>
    </row>
    <row r="190" spans="17:27" ht="13.8">
      <c r="Q190" s="378">
        <f t="shared" si="2"/>
        <v>184</v>
      </c>
      <c r="R190" s="379" t="s">
        <v>1508</v>
      </c>
      <c r="S190" s="379" t="s">
        <v>1509</v>
      </c>
      <c r="T190" s="380" t="s">
        <v>976</v>
      </c>
      <c r="U190" s="378" t="s">
        <v>1510</v>
      </c>
      <c r="V190" s="378" t="s">
        <v>3133</v>
      </c>
      <c r="W190" s="379" t="s">
        <v>3133</v>
      </c>
      <c r="X190" s="317" t="s">
        <v>2640</v>
      </c>
      <c r="Y190" s="317" t="s">
        <v>3182</v>
      </c>
      <c r="Z190" s="315" t="s">
        <v>3163</v>
      </c>
      <c r="AA190" s="385">
        <v>9724</v>
      </c>
    </row>
    <row r="191" spans="17:27" ht="13.8">
      <c r="Q191" s="378">
        <f t="shared" si="2"/>
        <v>185</v>
      </c>
      <c r="R191" s="379" t="s">
        <v>1511</v>
      </c>
      <c r="S191" s="379" t="s">
        <v>1512</v>
      </c>
      <c r="T191" s="380" t="s">
        <v>999</v>
      </c>
      <c r="U191" s="378" t="s">
        <v>1513</v>
      </c>
      <c r="V191" s="378" t="s">
        <v>2721</v>
      </c>
      <c r="W191" s="379" t="s">
        <v>2721</v>
      </c>
      <c r="X191" s="317" t="s">
        <v>3147</v>
      </c>
      <c r="Y191" s="317" t="s">
        <v>3182</v>
      </c>
      <c r="Z191" s="315" t="s">
        <v>3163</v>
      </c>
      <c r="AA191" s="385">
        <v>7473</v>
      </c>
    </row>
    <row r="192" spans="17:27" ht="13.8">
      <c r="Q192" s="378">
        <f t="shared" si="2"/>
        <v>186</v>
      </c>
      <c r="R192" s="379" t="s">
        <v>1514</v>
      </c>
      <c r="S192" s="379" t="s">
        <v>1515</v>
      </c>
      <c r="T192" s="380" t="s">
        <v>999</v>
      </c>
      <c r="U192" s="378" t="s">
        <v>1516</v>
      </c>
      <c r="V192" s="378" t="s">
        <v>1515</v>
      </c>
      <c r="W192" s="379" t="s">
        <v>2954</v>
      </c>
      <c r="X192" s="317" t="s">
        <v>3146</v>
      </c>
      <c r="Y192" s="317" t="s">
        <v>3184</v>
      </c>
      <c r="Z192" s="315" t="s">
        <v>3167</v>
      </c>
      <c r="AA192" s="385">
        <v>14707</v>
      </c>
    </row>
    <row r="193" spans="17:27" ht="13.8">
      <c r="Q193" s="378">
        <f t="shared" si="2"/>
        <v>187</v>
      </c>
      <c r="R193" s="379" t="s">
        <v>1517</v>
      </c>
      <c r="S193" s="379" t="s">
        <v>1518</v>
      </c>
      <c r="T193" s="380" t="s">
        <v>999</v>
      </c>
      <c r="U193" s="378" t="s">
        <v>1519</v>
      </c>
      <c r="V193" s="378" t="s">
        <v>2722</v>
      </c>
      <c r="W193" s="379" t="s">
        <v>2722</v>
      </c>
      <c r="X193" s="317" t="s">
        <v>3147</v>
      </c>
      <c r="Y193" s="317" t="s">
        <v>3184</v>
      </c>
      <c r="Z193" s="315" t="s">
        <v>3167</v>
      </c>
      <c r="AA193" s="385">
        <v>11593</v>
      </c>
    </row>
    <row r="194" spans="17:27" ht="13.8">
      <c r="Q194" s="378">
        <f t="shared" si="2"/>
        <v>188</v>
      </c>
      <c r="R194" s="379" t="s">
        <v>1520</v>
      </c>
      <c r="S194" s="379" t="s">
        <v>1521</v>
      </c>
      <c r="T194" s="380" t="s">
        <v>1023</v>
      </c>
      <c r="U194" s="378" t="s">
        <v>1522</v>
      </c>
      <c r="V194" s="378" t="s">
        <v>1521</v>
      </c>
      <c r="W194" s="379" t="s">
        <v>2955</v>
      </c>
      <c r="X194" s="317" t="s">
        <v>3146</v>
      </c>
      <c r="Y194" s="317" t="s">
        <v>3183</v>
      </c>
      <c r="Z194" s="315" t="s">
        <v>3168</v>
      </c>
      <c r="AA194" s="385">
        <v>6110</v>
      </c>
    </row>
    <row r="195" spans="17:27" ht="13.8">
      <c r="Q195" s="378">
        <f t="shared" si="2"/>
        <v>189</v>
      </c>
      <c r="R195" s="379" t="s">
        <v>1523</v>
      </c>
      <c r="S195" s="379" t="s">
        <v>1524</v>
      </c>
      <c r="T195" s="380" t="s">
        <v>1092</v>
      </c>
      <c r="U195" s="378" t="s">
        <v>1525</v>
      </c>
      <c r="V195" s="378" t="s">
        <v>2723</v>
      </c>
      <c r="W195" s="379" t="s">
        <v>2723</v>
      </c>
      <c r="X195" s="317" t="s">
        <v>3147</v>
      </c>
      <c r="Y195" s="317" t="s">
        <v>3182</v>
      </c>
      <c r="Z195" s="315" t="s">
        <v>3163</v>
      </c>
      <c r="AA195" s="385">
        <v>8318</v>
      </c>
    </row>
    <row r="196" spans="17:27" ht="13.8">
      <c r="Q196" s="378">
        <f t="shared" si="2"/>
        <v>190</v>
      </c>
      <c r="R196" s="379" t="s">
        <v>1526</v>
      </c>
      <c r="S196" s="379" t="s">
        <v>1527</v>
      </c>
      <c r="T196" s="380" t="s">
        <v>983</v>
      </c>
      <c r="U196" s="378" t="s">
        <v>1528</v>
      </c>
      <c r="V196" s="378" t="s">
        <v>2724</v>
      </c>
      <c r="W196" s="379" t="s">
        <v>2724</v>
      </c>
      <c r="X196" s="317" t="s">
        <v>3147</v>
      </c>
      <c r="Y196" s="317" t="s">
        <v>3182</v>
      </c>
      <c r="Z196" s="315" t="s">
        <v>3163</v>
      </c>
      <c r="AA196" s="385">
        <v>3277</v>
      </c>
    </row>
    <row r="197" spans="17:27" ht="13.8">
      <c r="Q197" s="378">
        <f t="shared" si="2"/>
        <v>191</v>
      </c>
      <c r="R197" s="379" t="s">
        <v>1529</v>
      </c>
      <c r="S197" s="379" t="s">
        <v>1530</v>
      </c>
      <c r="T197" s="380" t="s">
        <v>958</v>
      </c>
      <c r="U197" s="378" t="s">
        <v>1531</v>
      </c>
      <c r="V197" s="378" t="s">
        <v>1530</v>
      </c>
      <c r="W197" s="379" t="s">
        <v>2956</v>
      </c>
      <c r="X197" s="317" t="s">
        <v>3146</v>
      </c>
      <c r="Y197" s="317" t="s">
        <v>3183</v>
      </c>
      <c r="Z197" s="315" t="s">
        <v>3168</v>
      </c>
      <c r="AA197" s="385">
        <v>26503</v>
      </c>
    </row>
    <row r="198" spans="17:27" ht="13.8">
      <c r="Q198" s="378">
        <f t="shared" si="2"/>
        <v>192</v>
      </c>
      <c r="R198" s="379" t="s">
        <v>1532</v>
      </c>
      <c r="S198" s="379" t="s">
        <v>1530</v>
      </c>
      <c r="T198" s="380" t="s">
        <v>1323</v>
      </c>
      <c r="U198" s="378" t="s">
        <v>1533</v>
      </c>
      <c r="V198" s="378" t="s">
        <v>1530</v>
      </c>
      <c r="W198" s="379" t="s">
        <v>2956</v>
      </c>
      <c r="X198" s="317" t="s">
        <v>3146</v>
      </c>
      <c r="Y198" s="317" t="s">
        <v>3182</v>
      </c>
      <c r="Z198" s="315" t="s">
        <v>3171</v>
      </c>
      <c r="AA198" s="385">
        <v>88464</v>
      </c>
    </row>
    <row r="199" spans="17:27" ht="13.8">
      <c r="Q199" s="378">
        <f t="shared" si="2"/>
        <v>193</v>
      </c>
      <c r="R199" s="379" t="s">
        <v>1534</v>
      </c>
      <c r="S199" s="379" t="s">
        <v>1535</v>
      </c>
      <c r="T199" s="380" t="s">
        <v>958</v>
      </c>
      <c r="U199" s="378" t="s">
        <v>1536</v>
      </c>
      <c r="V199" s="378" t="s">
        <v>1535</v>
      </c>
      <c r="W199" s="379" t="s">
        <v>2957</v>
      </c>
      <c r="X199" s="317" t="s">
        <v>3146</v>
      </c>
      <c r="Y199" s="317" t="s">
        <v>3182</v>
      </c>
      <c r="Z199" s="315" t="s">
        <v>3163</v>
      </c>
      <c r="AA199" s="385">
        <v>14791</v>
      </c>
    </row>
    <row r="200" spans="17:27" ht="13.8">
      <c r="Q200" s="378">
        <f t="shared" si="2"/>
        <v>194</v>
      </c>
      <c r="R200" s="379" t="s">
        <v>1537</v>
      </c>
      <c r="S200" s="379" t="s">
        <v>1538</v>
      </c>
      <c r="T200" s="380" t="s">
        <v>1079</v>
      </c>
      <c r="U200" s="378" t="s">
        <v>1539</v>
      </c>
      <c r="V200" s="378" t="s">
        <v>2725</v>
      </c>
      <c r="W200" s="379" t="s">
        <v>2725</v>
      </c>
      <c r="X200" s="317" t="s">
        <v>3147</v>
      </c>
      <c r="Y200" s="317" t="s">
        <v>3182</v>
      </c>
      <c r="Z200" s="315" t="s">
        <v>3163</v>
      </c>
      <c r="AA200" s="385">
        <v>1401</v>
      </c>
    </row>
    <row r="201" spans="17:27" ht="13.8">
      <c r="Q201" s="378">
        <f t="shared" ref="Q201:Q264" si="3">Q200+1</f>
        <v>195</v>
      </c>
      <c r="R201" s="379" t="s">
        <v>1540</v>
      </c>
      <c r="S201" s="379" t="s">
        <v>1541</v>
      </c>
      <c r="T201" s="380" t="s">
        <v>983</v>
      </c>
      <c r="U201" s="378" t="s">
        <v>1542</v>
      </c>
      <c r="V201" s="378" t="s">
        <v>1541</v>
      </c>
      <c r="W201" s="379" t="s">
        <v>2725</v>
      </c>
      <c r="X201" s="317" t="s">
        <v>3146</v>
      </c>
      <c r="Y201" s="317" t="s">
        <v>3183</v>
      </c>
      <c r="Z201" s="315" t="s">
        <v>3168</v>
      </c>
      <c r="AA201" s="385">
        <v>5196</v>
      </c>
    </row>
    <row r="202" spans="17:27" ht="13.8">
      <c r="Q202" s="378">
        <f t="shared" si="3"/>
        <v>196</v>
      </c>
      <c r="R202" s="379" t="s">
        <v>1543</v>
      </c>
      <c r="S202" s="379" t="s">
        <v>1544</v>
      </c>
      <c r="T202" s="380" t="s">
        <v>1102</v>
      </c>
      <c r="U202" s="378" t="s">
        <v>1545</v>
      </c>
      <c r="V202" s="378" t="s">
        <v>1544</v>
      </c>
      <c r="W202" s="379" t="s">
        <v>2958</v>
      </c>
      <c r="X202" s="317" t="s">
        <v>3146</v>
      </c>
      <c r="Y202" s="317" t="s">
        <v>3183</v>
      </c>
      <c r="Z202" s="315" t="s">
        <v>3168</v>
      </c>
      <c r="AA202" s="385">
        <v>13712</v>
      </c>
    </row>
    <row r="203" spans="17:27" ht="13.8">
      <c r="Q203" s="378">
        <f t="shared" si="3"/>
        <v>197</v>
      </c>
      <c r="R203" s="379" t="s">
        <v>1546</v>
      </c>
      <c r="S203" s="379" t="s">
        <v>1547</v>
      </c>
      <c r="T203" s="380" t="s">
        <v>1102</v>
      </c>
      <c r="U203" s="378" t="s">
        <v>1548</v>
      </c>
      <c r="V203" s="378" t="s">
        <v>1547</v>
      </c>
      <c r="W203" s="379" t="s">
        <v>2959</v>
      </c>
      <c r="X203" s="317" t="s">
        <v>3146</v>
      </c>
      <c r="Y203" s="317" t="s">
        <v>3183</v>
      </c>
      <c r="Z203" s="315" t="s">
        <v>3168</v>
      </c>
      <c r="AA203" s="385">
        <v>3838</v>
      </c>
    </row>
    <row r="204" spans="17:27" ht="13.8">
      <c r="Q204" s="378">
        <f t="shared" si="3"/>
        <v>198</v>
      </c>
      <c r="R204" s="379" t="s">
        <v>1549</v>
      </c>
      <c r="S204" s="379" t="s">
        <v>1550</v>
      </c>
      <c r="T204" s="380" t="s">
        <v>976</v>
      </c>
      <c r="U204" s="378" t="s">
        <v>1551</v>
      </c>
      <c r="V204" s="378" t="s">
        <v>1550</v>
      </c>
      <c r="W204" s="379" t="s">
        <v>2960</v>
      </c>
      <c r="X204" s="317" t="s">
        <v>3146</v>
      </c>
      <c r="Y204" s="317" t="s">
        <v>3183</v>
      </c>
      <c r="Z204" s="315" t="s">
        <v>3165</v>
      </c>
      <c r="AA204" s="385">
        <v>1696</v>
      </c>
    </row>
    <row r="205" spans="17:27" ht="13.8">
      <c r="Q205" s="378">
        <f t="shared" si="3"/>
        <v>199</v>
      </c>
      <c r="R205" s="379" t="s">
        <v>1552</v>
      </c>
      <c r="S205" s="379" t="s">
        <v>1553</v>
      </c>
      <c r="T205" s="380" t="s">
        <v>983</v>
      </c>
      <c r="U205" s="378" t="s">
        <v>1554</v>
      </c>
      <c r="V205" s="378" t="s">
        <v>1553</v>
      </c>
      <c r="W205" s="379" t="s">
        <v>2961</v>
      </c>
      <c r="X205" s="317" t="s">
        <v>3146</v>
      </c>
      <c r="Y205" s="317" t="s">
        <v>3182</v>
      </c>
      <c r="Z205" s="315" t="s">
        <v>3169</v>
      </c>
      <c r="AA205" s="385">
        <v>8213</v>
      </c>
    </row>
    <row r="206" spans="17:27" ht="13.8">
      <c r="Q206" s="378">
        <f t="shared" si="3"/>
        <v>200</v>
      </c>
      <c r="R206" s="379" t="s">
        <v>1555</v>
      </c>
      <c r="S206" s="379" t="s">
        <v>1556</v>
      </c>
      <c r="T206" s="380" t="s">
        <v>976</v>
      </c>
      <c r="U206" s="378" t="s">
        <v>1557</v>
      </c>
      <c r="V206" s="378" t="s">
        <v>1556</v>
      </c>
      <c r="W206" s="379" t="s">
        <v>2962</v>
      </c>
      <c r="X206" s="317" t="s">
        <v>3146</v>
      </c>
      <c r="Y206" s="317" t="s">
        <v>3183</v>
      </c>
      <c r="Z206" s="315" t="s">
        <v>3165</v>
      </c>
      <c r="AA206" s="385">
        <v>2667</v>
      </c>
    </row>
    <row r="207" spans="17:27" ht="13.8">
      <c r="Q207" s="378">
        <f t="shared" si="3"/>
        <v>201</v>
      </c>
      <c r="R207" s="379" t="s">
        <v>1558</v>
      </c>
      <c r="S207" s="379" t="s">
        <v>1559</v>
      </c>
      <c r="T207" s="380" t="s">
        <v>962</v>
      </c>
      <c r="U207" s="378" t="s">
        <v>1560</v>
      </c>
      <c r="V207" s="378" t="s">
        <v>2726</v>
      </c>
      <c r="W207" s="379" t="s">
        <v>2726</v>
      </c>
      <c r="X207" s="317" t="s">
        <v>3147</v>
      </c>
      <c r="Y207" s="317" t="s">
        <v>3182</v>
      </c>
      <c r="Z207" s="315" t="s">
        <v>3163</v>
      </c>
      <c r="AA207" s="385">
        <v>4664</v>
      </c>
    </row>
    <row r="208" spans="17:27" ht="13.8">
      <c r="Q208" s="378">
        <f t="shared" si="3"/>
        <v>202</v>
      </c>
      <c r="R208" s="379" t="s">
        <v>1561</v>
      </c>
      <c r="S208" s="379" t="s">
        <v>1562</v>
      </c>
      <c r="T208" s="380" t="s">
        <v>1030</v>
      </c>
      <c r="U208" s="378" t="s">
        <v>1563</v>
      </c>
      <c r="V208" s="378" t="s">
        <v>2963</v>
      </c>
      <c r="W208" s="379" t="s">
        <v>2963</v>
      </c>
      <c r="X208" s="317" t="s">
        <v>2640</v>
      </c>
      <c r="Y208" s="317" t="s">
        <v>3182</v>
      </c>
      <c r="Z208" s="315" t="s">
        <v>3176</v>
      </c>
      <c r="AA208" s="385">
        <v>13620</v>
      </c>
    </row>
    <row r="209" spans="17:27" ht="13.8">
      <c r="Q209" s="378">
        <f t="shared" si="3"/>
        <v>203</v>
      </c>
      <c r="R209" s="379" t="s">
        <v>1564</v>
      </c>
      <c r="S209" s="379" t="s">
        <v>1565</v>
      </c>
      <c r="T209" s="380" t="s">
        <v>1217</v>
      </c>
      <c r="U209" s="378" t="s">
        <v>1566</v>
      </c>
      <c r="V209" s="378" t="s">
        <v>1565</v>
      </c>
      <c r="W209" s="379" t="s">
        <v>2963</v>
      </c>
      <c r="X209" s="317" t="s">
        <v>3146</v>
      </c>
      <c r="Y209" s="317" t="s">
        <v>3183</v>
      </c>
      <c r="Z209" s="315" t="s">
        <v>3168</v>
      </c>
      <c r="AA209" s="385">
        <v>12417</v>
      </c>
    </row>
    <row r="210" spans="17:27" ht="13.8">
      <c r="Q210" s="378">
        <f t="shared" si="3"/>
        <v>204</v>
      </c>
      <c r="R210" s="379" t="s">
        <v>1567</v>
      </c>
      <c r="S210" s="379" t="s">
        <v>1568</v>
      </c>
      <c r="T210" s="380" t="s">
        <v>1013</v>
      </c>
      <c r="U210" s="378" t="s">
        <v>1569</v>
      </c>
      <c r="V210" s="378" t="s">
        <v>2727</v>
      </c>
      <c r="W210" s="379" t="s">
        <v>2727</v>
      </c>
      <c r="X210" s="317" t="s">
        <v>3147</v>
      </c>
      <c r="Y210" s="317" t="s">
        <v>3184</v>
      </c>
      <c r="Z210" s="315" t="s">
        <v>3167</v>
      </c>
      <c r="AA210" s="385">
        <v>337</v>
      </c>
    </row>
    <row r="211" spans="17:27" ht="13.8">
      <c r="Q211" s="378">
        <f t="shared" si="3"/>
        <v>205</v>
      </c>
      <c r="R211" s="379" t="s">
        <v>1570</v>
      </c>
      <c r="S211" s="379" t="s">
        <v>1571</v>
      </c>
      <c r="T211" s="380" t="s">
        <v>962</v>
      </c>
      <c r="U211" s="378" t="s">
        <v>1572</v>
      </c>
      <c r="V211" s="378" t="s">
        <v>2728</v>
      </c>
      <c r="W211" s="379" t="s">
        <v>2728</v>
      </c>
      <c r="X211" s="317" t="s">
        <v>3147</v>
      </c>
      <c r="Y211" s="317" t="s">
        <v>3182</v>
      </c>
      <c r="Z211" s="315" t="s">
        <v>3163</v>
      </c>
      <c r="AA211" s="385">
        <v>11842</v>
      </c>
    </row>
    <row r="212" spans="17:27" ht="13.8">
      <c r="Q212" s="378">
        <f t="shared" si="3"/>
        <v>206</v>
      </c>
      <c r="R212" s="379" t="s">
        <v>1573</v>
      </c>
      <c r="S212" s="379" t="s">
        <v>1574</v>
      </c>
      <c r="T212" s="380" t="s">
        <v>962</v>
      </c>
      <c r="U212" s="378" t="s">
        <v>1575</v>
      </c>
      <c r="V212" s="378" t="s">
        <v>2729</v>
      </c>
      <c r="W212" s="379" t="s">
        <v>2729</v>
      </c>
      <c r="X212" s="317" t="s">
        <v>3147</v>
      </c>
      <c r="Y212" s="317" t="s">
        <v>3182</v>
      </c>
      <c r="Z212" s="315" t="s">
        <v>3163</v>
      </c>
      <c r="AA212" s="385">
        <v>3382</v>
      </c>
    </row>
    <row r="213" spans="17:27" ht="13.8">
      <c r="Q213" s="378">
        <f t="shared" si="3"/>
        <v>207</v>
      </c>
      <c r="R213" s="379" t="s">
        <v>1576</v>
      </c>
      <c r="S213" s="379" t="s">
        <v>1577</v>
      </c>
      <c r="T213" s="380" t="s">
        <v>1092</v>
      </c>
      <c r="U213" s="378" t="s">
        <v>1578</v>
      </c>
      <c r="V213" s="378" t="s">
        <v>2730</v>
      </c>
      <c r="W213" s="379" t="s">
        <v>2730</v>
      </c>
      <c r="X213" s="317" t="s">
        <v>3147</v>
      </c>
      <c r="Y213" s="317" t="s">
        <v>3182</v>
      </c>
      <c r="Z213" s="315" t="s">
        <v>3164</v>
      </c>
      <c r="AA213" s="385">
        <v>18791</v>
      </c>
    </row>
    <row r="214" spans="17:27" ht="13.8">
      <c r="Q214" s="378">
        <f t="shared" si="3"/>
        <v>208</v>
      </c>
      <c r="R214" s="379" t="s">
        <v>1579</v>
      </c>
      <c r="S214" s="379" t="s">
        <v>1580</v>
      </c>
      <c r="T214" s="380" t="s">
        <v>954</v>
      </c>
      <c r="U214" s="378" t="s">
        <v>1581</v>
      </c>
      <c r="V214" s="378" t="s">
        <v>1580</v>
      </c>
      <c r="W214" s="379" t="s">
        <v>2964</v>
      </c>
      <c r="X214" s="317" t="s">
        <v>3146</v>
      </c>
      <c r="Y214" s="317" t="s">
        <v>3183</v>
      </c>
      <c r="Z214" s="315" t="s">
        <v>3168</v>
      </c>
      <c r="AA214" s="385">
        <v>20334</v>
      </c>
    </row>
    <row r="215" spans="17:27" ht="13.8">
      <c r="Q215" s="378">
        <f t="shared" si="3"/>
        <v>209</v>
      </c>
      <c r="R215" s="379" t="s">
        <v>1582</v>
      </c>
      <c r="S215" s="379" t="s">
        <v>1583</v>
      </c>
      <c r="T215" s="380" t="s">
        <v>1183</v>
      </c>
      <c r="U215" s="378" t="s">
        <v>1584</v>
      </c>
      <c r="V215" s="378" t="s">
        <v>2731</v>
      </c>
      <c r="W215" s="379" t="s">
        <v>2731</v>
      </c>
      <c r="X215" s="317" t="s">
        <v>3147</v>
      </c>
      <c r="Y215" s="317" t="s">
        <v>3182</v>
      </c>
      <c r="Z215" s="315" t="s">
        <v>3163</v>
      </c>
      <c r="AA215" s="385">
        <v>2178</v>
      </c>
    </row>
    <row r="216" spans="17:27" ht="13.8">
      <c r="Q216" s="378">
        <f t="shared" si="3"/>
        <v>210</v>
      </c>
      <c r="R216" s="379" t="s">
        <v>1585</v>
      </c>
      <c r="S216" s="379" t="s">
        <v>1586</v>
      </c>
      <c r="T216" s="380" t="s">
        <v>1079</v>
      </c>
      <c r="U216" s="378" t="s">
        <v>1587</v>
      </c>
      <c r="V216" s="378" t="s">
        <v>2732</v>
      </c>
      <c r="W216" s="379" t="s">
        <v>2732</v>
      </c>
      <c r="X216" s="317" t="s">
        <v>3147</v>
      </c>
      <c r="Y216" s="317" t="s">
        <v>3182</v>
      </c>
      <c r="Z216" s="315" t="s">
        <v>3163</v>
      </c>
      <c r="AA216" s="385">
        <v>3648</v>
      </c>
    </row>
    <row r="217" spans="17:27" ht="13.8">
      <c r="Q217" s="378">
        <f t="shared" si="3"/>
        <v>211</v>
      </c>
      <c r="R217" s="379" t="s">
        <v>1588</v>
      </c>
      <c r="S217" s="379" t="s">
        <v>1589</v>
      </c>
      <c r="T217" s="380" t="s">
        <v>1183</v>
      </c>
      <c r="U217" s="378" t="s">
        <v>1590</v>
      </c>
      <c r="V217" s="378" t="s">
        <v>2733</v>
      </c>
      <c r="W217" s="379" t="s">
        <v>2733</v>
      </c>
      <c r="X217" s="317" t="s">
        <v>3147</v>
      </c>
      <c r="Y217" s="317" t="s">
        <v>3182</v>
      </c>
      <c r="Z217" s="315" t="s">
        <v>3163</v>
      </c>
      <c r="AA217" s="385">
        <v>13982</v>
      </c>
    </row>
    <row r="218" spans="17:27" ht="13.8">
      <c r="Q218" s="378">
        <f t="shared" si="3"/>
        <v>212</v>
      </c>
      <c r="R218" s="379" t="s">
        <v>1591</v>
      </c>
      <c r="S218" s="379" t="s">
        <v>1592</v>
      </c>
      <c r="T218" s="380" t="s">
        <v>954</v>
      </c>
      <c r="U218" s="378" t="s">
        <v>1593</v>
      </c>
      <c r="V218" s="378" t="s">
        <v>2734</v>
      </c>
      <c r="W218" s="379" t="s">
        <v>2734</v>
      </c>
      <c r="X218" s="317" t="s">
        <v>3147</v>
      </c>
      <c r="Y218" s="317" t="s">
        <v>3182</v>
      </c>
      <c r="Z218" s="315" t="s">
        <v>3166</v>
      </c>
      <c r="AA218" s="385">
        <v>5005</v>
      </c>
    </row>
    <row r="219" spans="17:27" ht="13.8">
      <c r="Q219" s="378">
        <f t="shared" si="3"/>
        <v>213</v>
      </c>
      <c r="R219" s="379" t="s">
        <v>1594</v>
      </c>
      <c r="S219" s="379" t="s">
        <v>1595</v>
      </c>
      <c r="T219" s="380" t="s">
        <v>1323</v>
      </c>
      <c r="U219" s="378" t="s">
        <v>1596</v>
      </c>
      <c r="V219" s="378" t="s">
        <v>2735</v>
      </c>
      <c r="W219" s="379" t="s">
        <v>2735</v>
      </c>
      <c r="X219" s="317" t="s">
        <v>3147</v>
      </c>
      <c r="Y219" s="317" t="s">
        <v>3182</v>
      </c>
      <c r="Z219" s="315" t="s">
        <v>3163</v>
      </c>
      <c r="AA219" s="385">
        <v>5494</v>
      </c>
    </row>
    <row r="220" spans="17:27" ht="13.8">
      <c r="Q220" s="378">
        <f t="shared" si="3"/>
        <v>214</v>
      </c>
      <c r="R220" s="379" t="s">
        <v>1597</v>
      </c>
      <c r="S220" s="379" t="s">
        <v>1598</v>
      </c>
      <c r="T220" s="380" t="s">
        <v>1040</v>
      </c>
      <c r="U220" s="378" t="s">
        <v>1599</v>
      </c>
      <c r="V220" s="378" t="s">
        <v>1598</v>
      </c>
      <c r="W220" s="379" t="s">
        <v>2965</v>
      </c>
      <c r="X220" s="317" t="s">
        <v>3146</v>
      </c>
      <c r="Y220" s="317" t="s">
        <v>3183</v>
      </c>
      <c r="Z220" s="315" t="s">
        <v>3168</v>
      </c>
      <c r="AA220" s="385">
        <v>38303</v>
      </c>
    </row>
    <row r="221" spans="17:27" ht="13.8">
      <c r="Q221" s="378">
        <f t="shared" si="3"/>
        <v>215</v>
      </c>
      <c r="R221" s="379" t="s">
        <v>1600</v>
      </c>
      <c r="S221" s="379" t="s">
        <v>1601</v>
      </c>
      <c r="T221" s="380" t="s">
        <v>962</v>
      </c>
      <c r="U221" s="378" t="s">
        <v>1602</v>
      </c>
      <c r="V221" s="378" t="s">
        <v>2736</v>
      </c>
      <c r="W221" s="379" t="s">
        <v>2736</v>
      </c>
      <c r="X221" s="317" t="s">
        <v>3147</v>
      </c>
      <c r="Y221" s="317" t="s">
        <v>3182</v>
      </c>
      <c r="Z221" s="315" t="s">
        <v>3163</v>
      </c>
      <c r="AA221" s="385">
        <v>10219</v>
      </c>
    </row>
    <row r="222" spans="17:27" ht="13.8">
      <c r="Q222" s="378">
        <f t="shared" si="3"/>
        <v>216</v>
      </c>
      <c r="R222" s="379" t="s">
        <v>1603</v>
      </c>
      <c r="S222" s="379" t="s">
        <v>1604</v>
      </c>
      <c r="T222" s="380" t="s">
        <v>1060</v>
      </c>
      <c r="U222" s="378" t="s">
        <v>1605</v>
      </c>
      <c r="V222" s="378" t="s">
        <v>1604</v>
      </c>
      <c r="W222" s="379" t="s">
        <v>2966</v>
      </c>
      <c r="X222" s="317" t="s">
        <v>3146</v>
      </c>
      <c r="Y222" s="317" t="s">
        <v>3182</v>
      </c>
      <c r="Z222" s="315" t="s">
        <v>3164</v>
      </c>
      <c r="AA222" s="385">
        <v>21404</v>
      </c>
    </row>
    <row r="223" spans="17:27" ht="13.8">
      <c r="Q223" s="378">
        <f t="shared" si="3"/>
        <v>217</v>
      </c>
      <c r="R223" s="379" t="s">
        <v>1606</v>
      </c>
      <c r="S223" s="379" t="s">
        <v>1607</v>
      </c>
      <c r="T223" s="380" t="s">
        <v>999</v>
      </c>
      <c r="U223" s="378" t="s">
        <v>1608</v>
      </c>
      <c r="V223" s="378" t="s">
        <v>2737</v>
      </c>
      <c r="W223" s="379" t="s">
        <v>2737</v>
      </c>
      <c r="X223" s="317" t="s">
        <v>3147</v>
      </c>
      <c r="Y223" s="317" t="s">
        <v>3182</v>
      </c>
      <c r="Z223" s="315" t="s">
        <v>3163</v>
      </c>
      <c r="AA223" s="385">
        <v>870</v>
      </c>
    </row>
    <row r="224" spans="17:27" ht="13.8">
      <c r="Q224" s="378">
        <f t="shared" si="3"/>
        <v>218</v>
      </c>
      <c r="R224" s="379" t="s">
        <v>1609</v>
      </c>
      <c r="S224" s="379" t="s">
        <v>1610</v>
      </c>
      <c r="T224" s="380" t="s">
        <v>1030</v>
      </c>
      <c r="U224" s="378" t="s">
        <v>1611</v>
      </c>
      <c r="V224" s="378" t="s">
        <v>3104</v>
      </c>
      <c r="W224" s="379" t="s">
        <v>3104</v>
      </c>
      <c r="X224" s="317" t="s">
        <v>3148</v>
      </c>
      <c r="Y224" s="317" t="s">
        <v>3182</v>
      </c>
      <c r="Z224" s="315" t="s">
        <v>3170</v>
      </c>
      <c r="AA224" s="385">
        <v>50005</v>
      </c>
    </row>
    <row r="225" spans="17:27" ht="13.8">
      <c r="Q225" s="378">
        <f t="shared" si="3"/>
        <v>219</v>
      </c>
      <c r="R225" s="379" t="s">
        <v>1612</v>
      </c>
      <c r="S225" s="379" t="s">
        <v>1613</v>
      </c>
      <c r="T225" s="380" t="s">
        <v>962</v>
      </c>
      <c r="U225" s="378" t="s">
        <v>1614</v>
      </c>
      <c r="V225" s="378" t="s">
        <v>2738</v>
      </c>
      <c r="W225" s="379" t="s">
        <v>2738</v>
      </c>
      <c r="X225" s="317" t="s">
        <v>3147</v>
      </c>
      <c r="Y225" s="317" t="s">
        <v>3182</v>
      </c>
      <c r="Z225" s="315" t="s">
        <v>3163</v>
      </c>
      <c r="AA225" s="385">
        <v>4078</v>
      </c>
    </row>
    <row r="226" spans="17:27" ht="13.8">
      <c r="Q226" s="378">
        <f t="shared" si="3"/>
        <v>220</v>
      </c>
      <c r="R226" s="379" t="s">
        <v>1615</v>
      </c>
      <c r="S226" s="379" t="s">
        <v>1616</v>
      </c>
      <c r="T226" s="380" t="s">
        <v>1079</v>
      </c>
      <c r="U226" s="378" t="s">
        <v>1617</v>
      </c>
      <c r="V226" s="378" t="s">
        <v>1616</v>
      </c>
      <c r="W226" s="379" t="s">
        <v>2967</v>
      </c>
      <c r="X226" s="317" t="s">
        <v>3146</v>
      </c>
      <c r="Y226" s="317" t="s">
        <v>3183</v>
      </c>
      <c r="Z226" s="315" t="s">
        <v>3168</v>
      </c>
      <c r="AA226" s="385">
        <v>5291</v>
      </c>
    </row>
    <row r="227" spans="17:27" ht="13.8">
      <c r="Q227" s="378">
        <f t="shared" si="3"/>
        <v>221</v>
      </c>
      <c r="R227" s="379" t="s">
        <v>1618</v>
      </c>
      <c r="S227" s="379" t="s">
        <v>1619</v>
      </c>
      <c r="T227" s="380" t="s">
        <v>954</v>
      </c>
      <c r="U227" s="378" t="s">
        <v>1620</v>
      </c>
      <c r="V227" s="378" t="s">
        <v>1619</v>
      </c>
      <c r="W227" s="379" t="s">
        <v>2968</v>
      </c>
      <c r="X227" s="317" t="s">
        <v>3146</v>
      </c>
      <c r="Y227" s="317" t="s">
        <v>3183</v>
      </c>
      <c r="Z227" s="315" t="s">
        <v>3168</v>
      </c>
      <c r="AA227" s="385">
        <v>16773</v>
      </c>
    </row>
    <row r="228" spans="17:27" ht="13.8">
      <c r="Q228" s="378">
        <f t="shared" si="3"/>
        <v>222</v>
      </c>
      <c r="R228" s="379" t="s">
        <v>1621</v>
      </c>
      <c r="S228" s="379" t="s">
        <v>1622</v>
      </c>
      <c r="T228" s="380" t="s">
        <v>983</v>
      </c>
      <c r="U228" s="378" t="s">
        <v>1623</v>
      </c>
      <c r="V228" s="378" t="s">
        <v>2739</v>
      </c>
      <c r="W228" s="379" t="s">
        <v>2739</v>
      </c>
      <c r="X228" s="317" t="s">
        <v>3147</v>
      </c>
      <c r="Y228" s="317" t="s">
        <v>3182</v>
      </c>
      <c r="Z228" s="315" t="s">
        <v>3163</v>
      </c>
      <c r="AA228" s="385">
        <v>15147</v>
      </c>
    </row>
    <row r="229" spans="17:27" ht="13.8">
      <c r="Q229" s="378">
        <f t="shared" si="3"/>
        <v>223</v>
      </c>
      <c r="R229" s="379" t="s">
        <v>1624</v>
      </c>
      <c r="S229" s="379" t="s">
        <v>1625</v>
      </c>
      <c r="T229" s="380" t="s">
        <v>976</v>
      </c>
      <c r="U229" s="378" t="s">
        <v>1626</v>
      </c>
      <c r="V229" s="378" t="s">
        <v>1625</v>
      </c>
      <c r="W229" s="379" t="s">
        <v>2969</v>
      </c>
      <c r="X229" s="317" t="s">
        <v>3146</v>
      </c>
      <c r="Y229" s="317" t="s">
        <v>3183</v>
      </c>
      <c r="Z229" s="315" t="s">
        <v>3165</v>
      </c>
      <c r="AA229" s="385">
        <v>1952</v>
      </c>
    </row>
    <row r="230" spans="17:27" ht="13.8">
      <c r="Q230" s="378">
        <f t="shared" si="3"/>
        <v>224</v>
      </c>
      <c r="R230" s="379" t="s">
        <v>1627</v>
      </c>
      <c r="S230" s="379" t="s">
        <v>1628</v>
      </c>
      <c r="T230" s="380" t="s">
        <v>1323</v>
      </c>
      <c r="U230" s="378" t="s">
        <v>1629</v>
      </c>
      <c r="V230" s="378" t="s">
        <v>2740</v>
      </c>
      <c r="W230" s="379" t="s">
        <v>2740</v>
      </c>
      <c r="X230" s="317" t="s">
        <v>3147</v>
      </c>
      <c r="Y230" s="317" t="s">
        <v>3182</v>
      </c>
      <c r="Z230" s="315" t="s">
        <v>3163</v>
      </c>
      <c r="AA230" s="385">
        <v>1922</v>
      </c>
    </row>
    <row r="231" spans="17:27" ht="13.8">
      <c r="Q231" s="378">
        <f t="shared" si="3"/>
        <v>225</v>
      </c>
      <c r="R231" s="379" t="s">
        <v>1630</v>
      </c>
      <c r="S231" s="379" t="s">
        <v>1631</v>
      </c>
      <c r="T231" s="380" t="s">
        <v>1130</v>
      </c>
      <c r="U231" s="378" t="s">
        <v>1632</v>
      </c>
      <c r="V231" s="378" t="s">
        <v>1631</v>
      </c>
      <c r="W231" s="379" t="s">
        <v>2740</v>
      </c>
      <c r="X231" s="317" t="s">
        <v>3146</v>
      </c>
      <c r="Y231" s="317" t="s">
        <v>3183</v>
      </c>
      <c r="Z231" s="315" t="s">
        <v>3168</v>
      </c>
      <c r="AA231" s="385">
        <v>4571</v>
      </c>
    </row>
    <row r="232" spans="17:27" ht="13.8">
      <c r="Q232" s="378">
        <f t="shared" si="3"/>
        <v>226</v>
      </c>
      <c r="R232" s="379" t="s">
        <v>1633</v>
      </c>
      <c r="S232" s="379" t="s">
        <v>1631</v>
      </c>
      <c r="T232" s="380" t="s">
        <v>1323</v>
      </c>
      <c r="U232" s="378" t="s">
        <v>1634</v>
      </c>
      <c r="V232" s="378" t="s">
        <v>1631</v>
      </c>
      <c r="W232" s="379" t="s">
        <v>2740</v>
      </c>
      <c r="X232" s="317" t="s">
        <v>3146</v>
      </c>
      <c r="Y232" s="317" t="s">
        <v>3183</v>
      </c>
      <c r="Z232" s="315" t="s">
        <v>3168</v>
      </c>
      <c r="AA232" s="385">
        <v>17304</v>
      </c>
    </row>
    <row r="233" spans="17:27" ht="13.8">
      <c r="Q233" s="378">
        <f t="shared" si="3"/>
        <v>227</v>
      </c>
      <c r="R233" s="379" t="s">
        <v>1635</v>
      </c>
      <c r="S233" s="379" t="s">
        <v>1636</v>
      </c>
      <c r="T233" s="380" t="s">
        <v>954</v>
      </c>
      <c r="U233" s="378" t="s">
        <v>1637</v>
      </c>
      <c r="V233" s="378" t="s">
        <v>1636</v>
      </c>
      <c r="W233" s="379" t="s">
        <v>2970</v>
      </c>
      <c r="X233" s="317" t="s">
        <v>3146</v>
      </c>
      <c r="Y233" s="317" t="s">
        <v>3182</v>
      </c>
      <c r="Z233" s="315" t="s">
        <v>3166</v>
      </c>
      <c r="AA233" s="385">
        <v>51075</v>
      </c>
    </row>
    <row r="234" spans="17:27" ht="13.8">
      <c r="Q234" s="378">
        <f t="shared" si="3"/>
        <v>228</v>
      </c>
      <c r="R234" s="379" t="s">
        <v>1638</v>
      </c>
      <c r="S234" s="379" t="s">
        <v>1639</v>
      </c>
      <c r="T234" s="380" t="s">
        <v>976</v>
      </c>
      <c r="U234" s="378" t="s">
        <v>1640</v>
      </c>
      <c r="V234" s="378" t="s">
        <v>1639</v>
      </c>
      <c r="W234" s="379" t="s">
        <v>2971</v>
      </c>
      <c r="X234" s="317" t="s">
        <v>3146</v>
      </c>
      <c r="Y234" s="317" t="s">
        <v>3183</v>
      </c>
      <c r="Z234" s="315" t="s">
        <v>3168</v>
      </c>
      <c r="AA234" s="385">
        <v>5662</v>
      </c>
    </row>
    <row r="235" spans="17:27" ht="13.8">
      <c r="Q235" s="378">
        <f t="shared" si="3"/>
        <v>229</v>
      </c>
      <c r="R235" s="379" t="s">
        <v>1641</v>
      </c>
      <c r="S235" s="379" t="s">
        <v>1642</v>
      </c>
      <c r="T235" s="380" t="s">
        <v>954</v>
      </c>
      <c r="U235" s="378" t="s">
        <v>1643</v>
      </c>
      <c r="V235" s="378" t="s">
        <v>2741</v>
      </c>
      <c r="W235" s="379" t="s">
        <v>2741</v>
      </c>
      <c r="X235" s="317" t="s">
        <v>3147</v>
      </c>
      <c r="Y235" s="317" t="s">
        <v>3182</v>
      </c>
      <c r="Z235" s="315" t="s">
        <v>3163</v>
      </c>
      <c r="AA235" s="385">
        <v>820</v>
      </c>
    </row>
    <row r="236" spans="17:27" ht="13.8">
      <c r="Q236" s="378">
        <f t="shared" si="3"/>
        <v>230</v>
      </c>
      <c r="R236" s="379" t="s">
        <v>1644</v>
      </c>
      <c r="S236" s="379" t="s">
        <v>1645</v>
      </c>
      <c r="T236" s="380" t="s">
        <v>1044</v>
      </c>
      <c r="U236" s="378" t="s">
        <v>1646</v>
      </c>
      <c r="V236" s="378" t="s">
        <v>1645</v>
      </c>
      <c r="W236" s="379" t="s">
        <v>2972</v>
      </c>
      <c r="X236" s="317" t="s">
        <v>3146</v>
      </c>
      <c r="Y236" s="317" t="s">
        <v>3182</v>
      </c>
      <c r="Z236" s="315" t="s">
        <v>3163</v>
      </c>
      <c r="AA236" s="385">
        <v>53926</v>
      </c>
    </row>
    <row r="237" spans="17:27" ht="13.8">
      <c r="Q237" s="378">
        <f t="shared" si="3"/>
        <v>231</v>
      </c>
      <c r="R237" s="379" t="s">
        <v>1647</v>
      </c>
      <c r="S237" s="379" t="s">
        <v>1648</v>
      </c>
      <c r="T237" s="380" t="s">
        <v>1013</v>
      </c>
      <c r="U237" s="378" t="s">
        <v>1649</v>
      </c>
      <c r="V237" s="378" t="s">
        <v>2742</v>
      </c>
      <c r="W237" s="379" t="s">
        <v>2742</v>
      </c>
      <c r="X237" s="317" t="s">
        <v>3147</v>
      </c>
      <c r="Y237" s="317" t="s">
        <v>3182</v>
      </c>
      <c r="Z237" s="315" t="s">
        <v>3163</v>
      </c>
      <c r="AA237" s="385">
        <v>1673</v>
      </c>
    </row>
    <row r="238" spans="17:27" ht="13.8">
      <c r="Q238" s="378">
        <f t="shared" si="3"/>
        <v>232</v>
      </c>
      <c r="R238" s="379" t="s">
        <v>1650</v>
      </c>
      <c r="S238" s="379" t="s">
        <v>1651</v>
      </c>
      <c r="T238" s="380" t="s">
        <v>1013</v>
      </c>
      <c r="U238" s="378" t="s">
        <v>1652</v>
      </c>
      <c r="V238" s="378" t="s">
        <v>1651</v>
      </c>
      <c r="W238" s="379" t="s">
        <v>2973</v>
      </c>
      <c r="X238" s="317" t="s">
        <v>3146</v>
      </c>
      <c r="Y238" s="317" t="s">
        <v>3183</v>
      </c>
      <c r="Z238" s="315" t="s">
        <v>3168</v>
      </c>
      <c r="AA238" s="385">
        <v>54856</v>
      </c>
    </row>
    <row r="239" spans="17:27" ht="13.8">
      <c r="Q239" s="378">
        <f t="shared" si="3"/>
        <v>233</v>
      </c>
      <c r="R239" s="379" t="s">
        <v>1653</v>
      </c>
      <c r="S239" s="379" t="s">
        <v>1654</v>
      </c>
      <c r="T239" s="380" t="s">
        <v>1183</v>
      </c>
      <c r="U239" s="378" t="s">
        <v>1655</v>
      </c>
      <c r="V239" s="378" t="s">
        <v>2743</v>
      </c>
      <c r="W239" s="379" t="s">
        <v>2743</v>
      </c>
      <c r="X239" s="317" t="s">
        <v>3147</v>
      </c>
      <c r="Y239" s="317" t="s">
        <v>3182</v>
      </c>
      <c r="Z239" s="315" t="s">
        <v>3163</v>
      </c>
      <c r="AA239" s="385">
        <v>5915</v>
      </c>
    </row>
    <row r="240" spans="17:27" ht="13.8">
      <c r="Q240" s="378">
        <f t="shared" si="3"/>
        <v>234</v>
      </c>
      <c r="R240" s="379" t="s">
        <v>1656</v>
      </c>
      <c r="S240" s="379" t="s">
        <v>1657</v>
      </c>
      <c r="T240" s="380" t="s">
        <v>1102</v>
      </c>
      <c r="U240" s="378" t="s">
        <v>1658</v>
      </c>
      <c r="V240" s="378" t="s">
        <v>1657</v>
      </c>
      <c r="W240" s="379" t="s">
        <v>2974</v>
      </c>
      <c r="X240" s="317" t="s">
        <v>3146</v>
      </c>
      <c r="Y240" s="317" t="s">
        <v>3182</v>
      </c>
      <c r="Z240" s="315" t="s">
        <v>3171</v>
      </c>
      <c r="AA240" s="385">
        <v>21314</v>
      </c>
    </row>
    <row r="241" spans="17:27" ht="13.8">
      <c r="Q241" s="378">
        <f t="shared" si="3"/>
        <v>235</v>
      </c>
      <c r="R241" s="379" t="s">
        <v>1659</v>
      </c>
      <c r="S241" s="379" t="s">
        <v>1660</v>
      </c>
      <c r="T241" s="380" t="s">
        <v>1030</v>
      </c>
      <c r="U241" s="378" t="s">
        <v>1661</v>
      </c>
      <c r="V241" s="378" t="s">
        <v>3143</v>
      </c>
      <c r="W241" s="379" t="s">
        <v>3143</v>
      </c>
      <c r="X241" s="317" t="s">
        <v>3148</v>
      </c>
      <c r="Y241" s="317" t="s">
        <v>3182</v>
      </c>
      <c r="Z241" s="315" t="s">
        <v>3170</v>
      </c>
      <c r="AA241" s="385">
        <v>247597</v>
      </c>
    </row>
    <row r="242" spans="17:27" ht="13.8">
      <c r="Q242" s="378">
        <f t="shared" si="3"/>
        <v>236</v>
      </c>
      <c r="R242" s="379" t="s">
        <v>1662</v>
      </c>
      <c r="S242" s="379" t="s">
        <v>1663</v>
      </c>
      <c r="T242" s="380" t="s">
        <v>954</v>
      </c>
      <c r="U242" s="378" t="s">
        <v>1664</v>
      </c>
      <c r="V242" s="378" t="s">
        <v>2744</v>
      </c>
      <c r="W242" s="379" t="s">
        <v>2744</v>
      </c>
      <c r="X242" s="317" t="s">
        <v>3147</v>
      </c>
      <c r="Y242" s="317" t="s">
        <v>3182</v>
      </c>
      <c r="Z242" s="315" t="s">
        <v>3169</v>
      </c>
      <c r="AA242" s="385">
        <v>10105</v>
      </c>
    </row>
    <row r="243" spans="17:27" ht="13.8">
      <c r="Q243" s="378">
        <f t="shared" si="3"/>
        <v>237</v>
      </c>
      <c r="R243" s="379" t="s">
        <v>1665</v>
      </c>
      <c r="S243" s="379" t="s">
        <v>1666</v>
      </c>
      <c r="T243" s="380" t="s">
        <v>1030</v>
      </c>
      <c r="U243" s="378" t="s">
        <v>1667</v>
      </c>
      <c r="V243" s="378" t="s">
        <v>3134</v>
      </c>
      <c r="W243" s="379" t="s">
        <v>3134</v>
      </c>
      <c r="X243" s="317" t="s">
        <v>2640</v>
      </c>
      <c r="Y243" s="317" t="s">
        <v>3182</v>
      </c>
      <c r="Z243" s="315" t="s">
        <v>3176</v>
      </c>
      <c r="AA243" s="385">
        <v>40684</v>
      </c>
    </row>
    <row r="244" spans="17:27" ht="13.8">
      <c r="Q244" s="378">
        <f t="shared" si="3"/>
        <v>238</v>
      </c>
      <c r="R244" s="379" t="s">
        <v>1668</v>
      </c>
      <c r="S244" s="379" t="s">
        <v>1669</v>
      </c>
      <c r="T244" s="380" t="s">
        <v>1060</v>
      </c>
      <c r="U244" s="378" t="s">
        <v>1670</v>
      </c>
      <c r="V244" s="378" t="s">
        <v>2745</v>
      </c>
      <c r="W244" s="379" t="s">
        <v>2745</v>
      </c>
      <c r="X244" s="317" t="s">
        <v>3147</v>
      </c>
      <c r="Y244" s="317" t="s">
        <v>3182</v>
      </c>
      <c r="Z244" s="315" t="s">
        <v>3163</v>
      </c>
      <c r="AA244" s="385">
        <v>7914</v>
      </c>
    </row>
    <row r="245" spans="17:27" ht="13.8">
      <c r="Q245" s="378">
        <f t="shared" si="3"/>
        <v>239</v>
      </c>
      <c r="R245" s="379" t="s">
        <v>1671</v>
      </c>
      <c r="S245" s="379" t="s">
        <v>1672</v>
      </c>
      <c r="T245" s="380" t="s">
        <v>954</v>
      </c>
      <c r="U245" s="378" t="s">
        <v>1673</v>
      </c>
      <c r="V245" s="378" t="s">
        <v>2746</v>
      </c>
      <c r="W245" s="379" t="s">
        <v>2746</v>
      </c>
      <c r="X245" s="317" t="s">
        <v>3147</v>
      </c>
      <c r="Y245" s="317" t="s">
        <v>3182</v>
      </c>
      <c r="Z245" s="315" t="s">
        <v>3163</v>
      </c>
      <c r="AA245" s="385">
        <v>7240</v>
      </c>
    </row>
    <row r="246" spans="17:27" ht="13.8">
      <c r="Q246" s="378">
        <f t="shared" si="3"/>
        <v>240</v>
      </c>
      <c r="R246" s="379" t="s">
        <v>1674</v>
      </c>
      <c r="S246" s="379" t="s">
        <v>1675</v>
      </c>
      <c r="T246" s="380" t="s">
        <v>1079</v>
      </c>
      <c r="U246" s="378" t="s">
        <v>1676</v>
      </c>
      <c r="V246" s="378" t="s">
        <v>1675</v>
      </c>
      <c r="W246" s="379" t="s">
        <v>2975</v>
      </c>
      <c r="X246" s="317" t="s">
        <v>3146</v>
      </c>
      <c r="Y246" s="317" t="s">
        <v>3183</v>
      </c>
      <c r="Z246" s="315" t="s">
        <v>3165</v>
      </c>
      <c r="AA246" s="385">
        <v>3845</v>
      </c>
    </row>
    <row r="247" spans="17:27" ht="13.8">
      <c r="Q247" s="378">
        <f t="shared" si="3"/>
        <v>241</v>
      </c>
      <c r="R247" s="379" t="s">
        <v>1677</v>
      </c>
      <c r="S247" s="379" t="s">
        <v>1678</v>
      </c>
      <c r="T247" s="380" t="s">
        <v>1102</v>
      </c>
      <c r="U247" s="378" t="s">
        <v>1679</v>
      </c>
      <c r="V247" s="378" t="s">
        <v>2747</v>
      </c>
      <c r="W247" s="379" t="s">
        <v>2747</v>
      </c>
      <c r="X247" s="317" t="s">
        <v>3147</v>
      </c>
      <c r="Y247" s="317" t="s">
        <v>3182</v>
      </c>
      <c r="Z247" s="315" t="s">
        <v>3163</v>
      </c>
      <c r="AA247" s="385">
        <v>10248</v>
      </c>
    </row>
    <row r="248" spans="17:27" ht="13.8">
      <c r="Q248" s="378">
        <f t="shared" si="3"/>
        <v>242</v>
      </c>
      <c r="R248" s="379" t="s">
        <v>1680</v>
      </c>
      <c r="S248" s="379" t="s">
        <v>1681</v>
      </c>
      <c r="T248" s="380" t="s">
        <v>976</v>
      </c>
      <c r="U248" s="378" t="s">
        <v>1682</v>
      </c>
      <c r="V248" s="378" t="s">
        <v>1681</v>
      </c>
      <c r="W248" s="379" t="s">
        <v>2976</v>
      </c>
      <c r="X248" s="317" t="s">
        <v>3146</v>
      </c>
      <c r="Y248" s="317" t="s">
        <v>3183</v>
      </c>
      <c r="Z248" s="315" t="s">
        <v>3168</v>
      </c>
      <c r="AA248" s="385">
        <v>3055</v>
      </c>
    </row>
    <row r="249" spans="17:27" ht="13.8">
      <c r="Q249" s="378">
        <f t="shared" si="3"/>
        <v>243</v>
      </c>
      <c r="R249" s="379" t="s">
        <v>1683</v>
      </c>
      <c r="S249" s="379" t="s">
        <v>1684</v>
      </c>
      <c r="T249" s="380" t="s">
        <v>1013</v>
      </c>
      <c r="U249" s="378" t="s">
        <v>1685</v>
      </c>
      <c r="V249" s="378" t="s">
        <v>1684</v>
      </c>
      <c r="W249" s="379" t="s">
        <v>2977</v>
      </c>
      <c r="X249" s="317" t="s">
        <v>3146</v>
      </c>
      <c r="Y249" s="317" t="s">
        <v>3183</v>
      </c>
      <c r="Z249" s="315" t="s">
        <v>3168</v>
      </c>
      <c r="AA249" s="385">
        <v>27644</v>
      </c>
    </row>
    <row r="250" spans="17:27" ht="13.8">
      <c r="Q250" s="378">
        <f t="shared" si="3"/>
        <v>244</v>
      </c>
      <c r="R250" s="379" t="s">
        <v>1686</v>
      </c>
      <c r="S250" s="379" t="s">
        <v>1687</v>
      </c>
      <c r="T250" s="380" t="s">
        <v>983</v>
      </c>
      <c r="U250" s="378" t="s">
        <v>1688</v>
      </c>
      <c r="V250" s="378" t="s">
        <v>1687</v>
      </c>
      <c r="W250" s="379" t="s">
        <v>2978</v>
      </c>
      <c r="X250" s="317" t="s">
        <v>3146</v>
      </c>
      <c r="Y250" s="317" t="s">
        <v>3183</v>
      </c>
      <c r="Z250" s="315" t="s">
        <v>3168</v>
      </c>
      <c r="AA250" s="385">
        <v>2538</v>
      </c>
    </row>
    <row r="251" spans="17:27" ht="13.8">
      <c r="Q251" s="378">
        <f t="shared" si="3"/>
        <v>245</v>
      </c>
      <c r="R251" s="379" t="s">
        <v>1689</v>
      </c>
      <c r="S251" s="379" t="s">
        <v>3161</v>
      </c>
      <c r="T251" s="380" t="s">
        <v>954</v>
      </c>
      <c r="U251" s="378" t="s">
        <v>3162</v>
      </c>
      <c r="V251" s="378" t="s">
        <v>3160</v>
      </c>
      <c r="W251" s="379" t="s">
        <v>3160</v>
      </c>
      <c r="X251" s="317" t="s">
        <v>3147</v>
      </c>
      <c r="Y251" s="317" t="s">
        <v>3182</v>
      </c>
      <c r="Z251" s="315" t="s">
        <v>3163</v>
      </c>
      <c r="AA251" s="385">
        <v>1759</v>
      </c>
    </row>
    <row r="252" spans="17:27" ht="13.8">
      <c r="Q252" s="378">
        <f t="shared" si="3"/>
        <v>246</v>
      </c>
      <c r="R252" s="379" t="s">
        <v>1690</v>
      </c>
      <c r="S252" s="379" t="s">
        <v>1691</v>
      </c>
      <c r="T252" s="380" t="s">
        <v>1013</v>
      </c>
      <c r="U252" s="378" t="s">
        <v>1692</v>
      </c>
      <c r="V252" s="378" t="s">
        <v>2748</v>
      </c>
      <c r="W252" s="379" t="s">
        <v>2748</v>
      </c>
      <c r="X252" s="317" t="s">
        <v>3147</v>
      </c>
      <c r="Y252" s="317" t="s">
        <v>3182</v>
      </c>
      <c r="Z252" s="315" t="s">
        <v>3163</v>
      </c>
      <c r="AA252" s="385">
        <v>2654</v>
      </c>
    </row>
    <row r="253" spans="17:27" ht="13.8">
      <c r="Q253" s="378">
        <f t="shared" si="3"/>
        <v>247</v>
      </c>
      <c r="R253" s="379" t="s">
        <v>1693</v>
      </c>
      <c r="S253" s="379" t="s">
        <v>1694</v>
      </c>
      <c r="T253" s="380" t="s">
        <v>1013</v>
      </c>
      <c r="U253" s="378" t="s">
        <v>1695</v>
      </c>
      <c r="V253" s="378" t="s">
        <v>1694</v>
      </c>
      <c r="W253" s="379" t="s">
        <v>2979</v>
      </c>
      <c r="X253" s="317" t="s">
        <v>3146</v>
      </c>
      <c r="Y253" s="317" t="s">
        <v>3183</v>
      </c>
      <c r="Z253" s="315" t="s">
        <v>3168</v>
      </c>
      <c r="AA253" s="385">
        <v>92843</v>
      </c>
    </row>
    <row r="254" spans="17:27" ht="13.8">
      <c r="Q254" s="378">
        <f t="shared" si="3"/>
        <v>248</v>
      </c>
      <c r="R254" s="379" t="s">
        <v>1696</v>
      </c>
      <c r="S254" s="379" t="s">
        <v>1697</v>
      </c>
      <c r="T254" s="380" t="s">
        <v>1079</v>
      </c>
      <c r="U254" s="378" t="s">
        <v>1698</v>
      </c>
      <c r="V254" s="378" t="s">
        <v>3105</v>
      </c>
      <c r="W254" s="379" t="s">
        <v>3105</v>
      </c>
      <c r="X254" s="317" t="s">
        <v>3148</v>
      </c>
      <c r="Y254" s="317" t="s">
        <v>3182</v>
      </c>
      <c r="Z254" s="315" t="s">
        <v>3166</v>
      </c>
      <c r="AA254" s="385">
        <v>3906</v>
      </c>
    </row>
    <row r="255" spans="17:27" ht="13.8">
      <c r="Q255" s="378">
        <f t="shared" si="3"/>
        <v>249</v>
      </c>
      <c r="R255" s="379" t="s">
        <v>1699</v>
      </c>
      <c r="S255" s="379" t="s">
        <v>1700</v>
      </c>
      <c r="T255" s="380" t="s">
        <v>999</v>
      </c>
      <c r="U255" s="378" t="s">
        <v>1701</v>
      </c>
      <c r="V255" s="378" t="s">
        <v>2749</v>
      </c>
      <c r="W255" s="379" t="s">
        <v>2749</v>
      </c>
      <c r="X255" s="317" t="s">
        <v>3147</v>
      </c>
      <c r="Y255" s="317" t="s">
        <v>3182</v>
      </c>
      <c r="Z255" s="315" t="s">
        <v>3163</v>
      </c>
      <c r="AA255" s="385">
        <v>1908</v>
      </c>
    </row>
    <row r="256" spans="17:27" ht="13.8">
      <c r="Q256" s="378">
        <f t="shared" si="3"/>
        <v>250</v>
      </c>
      <c r="R256" s="379" t="s">
        <v>1702</v>
      </c>
      <c r="S256" s="379" t="s">
        <v>1703</v>
      </c>
      <c r="T256" s="380" t="s">
        <v>1013</v>
      </c>
      <c r="U256" s="378" t="s">
        <v>1704</v>
      </c>
      <c r="V256" s="378" t="s">
        <v>2750</v>
      </c>
      <c r="W256" s="379" t="s">
        <v>2750</v>
      </c>
      <c r="X256" s="317" t="s">
        <v>3147</v>
      </c>
      <c r="Y256" s="317" t="s">
        <v>3182</v>
      </c>
      <c r="Z256" s="315" t="s">
        <v>3163</v>
      </c>
      <c r="AA256" s="385">
        <v>1875</v>
      </c>
    </row>
    <row r="257" spans="17:27" ht="13.8">
      <c r="Q257" s="378">
        <f t="shared" si="3"/>
        <v>251</v>
      </c>
      <c r="R257" s="379" t="s">
        <v>1705</v>
      </c>
      <c r="S257" s="379" t="s">
        <v>1706</v>
      </c>
      <c r="T257" s="380" t="s">
        <v>999</v>
      </c>
      <c r="U257" s="378" t="s">
        <v>1707</v>
      </c>
      <c r="V257" s="378" t="s">
        <v>2751</v>
      </c>
      <c r="W257" s="379" t="s">
        <v>2751</v>
      </c>
      <c r="X257" s="317" t="s">
        <v>3147</v>
      </c>
      <c r="Y257" s="317" t="s">
        <v>3182</v>
      </c>
      <c r="Z257" s="315" t="s">
        <v>3163</v>
      </c>
      <c r="AA257" s="385">
        <v>2945</v>
      </c>
    </row>
    <row r="258" spans="17:27" ht="13.8">
      <c r="Q258" s="378">
        <f t="shared" si="3"/>
        <v>252</v>
      </c>
      <c r="R258" s="379" t="s">
        <v>1708</v>
      </c>
      <c r="S258" s="379" t="s">
        <v>1709</v>
      </c>
      <c r="T258" s="380" t="s">
        <v>1130</v>
      </c>
      <c r="U258" s="378" t="s">
        <v>1710</v>
      </c>
      <c r="V258" s="378" t="s">
        <v>1709</v>
      </c>
      <c r="W258" s="379" t="s">
        <v>2980</v>
      </c>
      <c r="X258" s="317" t="s">
        <v>3146</v>
      </c>
      <c r="Y258" s="317" t="s">
        <v>3183</v>
      </c>
      <c r="Z258" s="315" t="s">
        <v>3165</v>
      </c>
      <c r="AA258" s="385">
        <v>3290</v>
      </c>
    </row>
    <row r="259" spans="17:27" ht="13.8">
      <c r="Q259" s="378">
        <f t="shared" si="3"/>
        <v>253</v>
      </c>
      <c r="R259" s="379" t="s">
        <v>1711</v>
      </c>
      <c r="S259" s="379" t="s">
        <v>1709</v>
      </c>
      <c r="T259" s="380" t="s">
        <v>1323</v>
      </c>
      <c r="U259" s="378" t="s">
        <v>1712</v>
      </c>
      <c r="V259" s="378" t="s">
        <v>1709</v>
      </c>
      <c r="W259" s="379" t="s">
        <v>2980</v>
      </c>
      <c r="X259" s="317" t="s">
        <v>3146</v>
      </c>
      <c r="Y259" s="317" t="s">
        <v>3182</v>
      </c>
      <c r="Z259" s="315" t="s">
        <v>3169</v>
      </c>
      <c r="AA259" s="385">
        <v>33472</v>
      </c>
    </row>
    <row r="260" spans="17:27" ht="13.8">
      <c r="Q260" s="378">
        <f t="shared" si="3"/>
        <v>254</v>
      </c>
      <c r="R260" s="379" t="s">
        <v>1713</v>
      </c>
      <c r="S260" s="379" t="s">
        <v>1714</v>
      </c>
      <c r="T260" s="380" t="s">
        <v>1079</v>
      </c>
      <c r="U260" s="378" t="s">
        <v>1715</v>
      </c>
      <c r="V260" s="378" t="s">
        <v>2752</v>
      </c>
      <c r="W260" s="379" t="s">
        <v>2752</v>
      </c>
      <c r="X260" s="317" t="s">
        <v>3147</v>
      </c>
      <c r="Y260" s="317" t="s">
        <v>3182</v>
      </c>
      <c r="Z260" s="315" t="s">
        <v>3163</v>
      </c>
      <c r="AA260" s="385">
        <v>1358</v>
      </c>
    </row>
    <row r="261" spans="17:27" ht="13.8">
      <c r="Q261" s="378">
        <f t="shared" si="3"/>
        <v>255</v>
      </c>
      <c r="R261" s="379" t="s">
        <v>1716</v>
      </c>
      <c r="S261" s="379" t="s">
        <v>1717</v>
      </c>
      <c r="T261" s="380" t="s">
        <v>1079</v>
      </c>
      <c r="U261" s="378" t="s">
        <v>1718</v>
      </c>
      <c r="V261" s="378" t="s">
        <v>1717</v>
      </c>
      <c r="W261" s="379" t="s">
        <v>2752</v>
      </c>
      <c r="X261" s="317" t="s">
        <v>3146</v>
      </c>
      <c r="Y261" s="317" t="s">
        <v>3183</v>
      </c>
      <c r="Z261" s="315" t="s">
        <v>3168</v>
      </c>
      <c r="AA261" s="385">
        <v>6588</v>
      </c>
    </row>
    <row r="262" spans="17:27" ht="13.8">
      <c r="Q262" s="378">
        <f t="shared" si="3"/>
        <v>256</v>
      </c>
      <c r="R262" s="379" t="s">
        <v>1719</v>
      </c>
      <c r="S262" s="379" t="s">
        <v>1720</v>
      </c>
      <c r="T262" s="380" t="s">
        <v>962</v>
      </c>
      <c r="U262" s="378" t="s">
        <v>1721</v>
      </c>
      <c r="V262" s="378" t="s">
        <v>2753</v>
      </c>
      <c r="W262" s="379" t="s">
        <v>2753</v>
      </c>
      <c r="X262" s="317" t="s">
        <v>3147</v>
      </c>
      <c r="Y262" s="317" t="s">
        <v>3182</v>
      </c>
      <c r="Z262" s="315" t="s">
        <v>3163</v>
      </c>
      <c r="AA262" s="385">
        <v>8937</v>
      </c>
    </row>
    <row r="263" spans="17:27" ht="13.8">
      <c r="Q263" s="378">
        <f t="shared" si="3"/>
        <v>257</v>
      </c>
      <c r="R263" s="379" t="s">
        <v>1722</v>
      </c>
      <c r="S263" s="379" t="s">
        <v>1723</v>
      </c>
      <c r="T263" s="380" t="s">
        <v>976</v>
      </c>
      <c r="U263" s="378" t="s">
        <v>1724</v>
      </c>
      <c r="V263" s="378" t="s">
        <v>1723</v>
      </c>
      <c r="W263" s="379" t="s">
        <v>2981</v>
      </c>
      <c r="X263" s="317" t="s">
        <v>3146</v>
      </c>
      <c r="Y263" s="317" t="s">
        <v>3183</v>
      </c>
      <c r="Z263" s="315" t="s">
        <v>3168</v>
      </c>
      <c r="AA263" s="385">
        <v>2942</v>
      </c>
    </row>
    <row r="264" spans="17:27" ht="13.8">
      <c r="Q264" s="378">
        <f t="shared" si="3"/>
        <v>258</v>
      </c>
      <c r="R264" s="379" t="s">
        <v>1725</v>
      </c>
      <c r="S264" s="379" t="s">
        <v>1726</v>
      </c>
      <c r="T264" s="380" t="s">
        <v>1102</v>
      </c>
      <c r="U264" s="378" t="s">
        <v>1727</v>
      </c>
      <c r="V264" s="378" t="s">
        <v>2754</v>
      </c>
      <c r="W264" s="379" t="s">
        <v>2754</v>
      </c>
      <c r="X264" s="317" t="s">
        <v>3147</v>
      </c>
      <c r="Y264" s="317" t="s">
        <v>3182</v>
      </c>
      <c r="Z264" s="315" t="s">
        <v>3164</v>
      </c>
      <c r="AA264" s="385">
        <v>10521</v>
      </c>
    </row>
    <row r="265" spans="17:27" ht="13.8">
      <c r="Q265" s="378">
        <f t="shared" ref="Q265:Q328" si="4">Q264+1</f>
        <v>259</v>
      </c>
      <c r="R265" s="379" t="s">
        <v>1728</v>
      </c>
      <c r="S265" s="379" t="s">
        <v>1729</v>
      </c>
      <c r="T265" s="380" t="s">
        <v>1060</v>
      </c>
      <c r="U265" s="378" t="s">
        <v>1730</v>
      </c>
      <c r="V265" s="378" t="s">
        <v>3106</v>
      </c>
      <c r="W265" s="379" t="s">
        <v>3106</v>
      </c>
      <c r="X265" s="317" t="s">
        <v>3148</v>
      </c>
      <c r="Y265" s="317" t="s">
        <v>3182</v>
      </c>
      <c r="Z265" s="315" t="s">
        <v>3177</v>
      </c>
      <c r="AA265" s="385">
        <v>40499</v>
      </c>
    </row>
    <row r="266" spans="17:27" ht="13.8">
      <c r="Q266" s="378">
        <f t="shared" si="4"/>
        <v>260</v>
      </c>
      <c r="R266" s="379" t="s">
        <v>1731</v>
      </c>
      <c r="S266" s="379" t="s">
        <v>1732</v>
      </c>
      <c r="T266" s="380" t="s">
        <v>999</v>
      </c>
      <c r="U266" s="378" t="s">
        <v>1733</v>
      </c>
      <c r="V266" s="378" t="s">
        <v>2755</v>
      </c>
      <c r="W266" s="379" t="s">
        <v>2755</v>
      </c>
      <c r="X266" s="317" t="s">
        <v>3147</v>
      </c>
      <c r="Y266" s="317" t="s">
        <v>3182</v>
      </c>
      <c r="Z266" s="315" t="s">
        <v>3163</v>
      </c>
      <c r="AA266" s="385">
        <v>17613</v>
      </c>
    </row>
    <row r="267" spans="17:27" ht="13.8">
      <c r="Q267" s="378">
        <f t="shared" si="4"/>
        <v>261</v>
      </c>
      <c r="R267" s="379" t="s">
        <v>1734</v>
      </c>
      <c r="S267" s="379" t="s">
        <v>1735</v>
      </c>
      <c r="T267" s="380" t="s">
        <v>958</v>
      </c>
      <c r="U267" s="378" t="s">
        <v>1736</v>
      </c>
      <c r="V267" s="378" t="s">
        <v>3107</v>
      </c>
      <c r="W267" s="379" t="s">
        <v>3107</v>
      </c>
      <c r="X267" s="317" t="s">
        <v>3148</v>
      </c>
      <c r="Y267" s="317" t="s">
        <v>3182</v>
      </c>
      <c r="Z267" s="315" t="s">
        <v>3164</v>
      </c>
      <c r="AA267" s="385">
        <v>7092</v>
      </c>
    </row>
    <row r="268" spans="17:27" ht="13.8">
      <c r="Q268" s="378">
        <f t="shared" si="4"/>
        <v>262</v>
      </c>
      <c r="R268" s="379" t="s">
        <v>1737</v>
      </c>
      <c r="S268" s="379" t="s">
        <v>1738</v>
      </c>
      <c r="T268" s="380" t="s">
        <v>1013</v>
      </c>
      <c r="U268" s="378" t="s">
        <v>1739</v>
      </c>
      <c r="V268" s="378" t="s">
        <v>1738</v>
      </c>
      <c r="W268" s="379" t="s">
        <v>2982</v>
      </c>
      <c r="X268" s="317" t="s">
        <v>3146</v>
      </c>
      <c r="Y268" s="317" t="s">
        <v>3183</v>
      </c>
      <c r="Z268" s="315" t="s">
        <v>3168</v>
      </c>
      <c r="AA268" s="385">
        <v>20065</v>
      </c>
    </row>
    <row r="269" spans="17:27" ht="13.8">
      <c r="Q269" s="378">
        <f t="shared" si="4"/>
        <v>263</v>
      </c>
      <c r="R269" s="379" t="s">
        <v>1740</v>
      </c>
      <c r="S269" s="379" t="s">
        <v>1741</v>
      </c>
      <c r="T269" s="380" t="s">
        <v>1092</v>
      </c>
      <c r="U269" s="378" t="s">
        <v>1742</v>
      </c>
      <c r="V269" s="378" t="s">
        <v>1741</v>
      </c>
      <c r="W269" s="379" t="s">
        <v>2983</v>
      </c>
      <c r="X269" s="317" t="s">
        <v>3146</v>
      </c>
      <c r="Y269" s="317" t="s">
        <v>3183</v>
      </c>
      <c r="Z269" s="315" t="s">
        <v>3168</v>
      </c>
      <c r="AA269" s="385">
        <v>14432</v>
      </c>
    </row>
    <row r="270" spans="17:27" ht="13.8">
      <c r="Q270" s="378">
        <f t="shared" si="4"/>
        <v>264</v>
      </c>
      <c r="R270" s="379" t="s">
        <v>1743</v>
      </c>
      <c r="S270" s="379" t="s">
        <v>1744</v>
      </c>
      <c r="T270" s="380" t="s">
        <v>962</v>
      </c>
      <c r="U270" s="378" t="s">
        <v>1745</v>
      </c>
      <c r="V270" s="378" t="s">
        <v>2756</v>
      </c>
      <c r="W270" s="379" t="s">
        <v>2756</v>
      </c>
      <c r="X270" s="317" t="s">
        <v>3147</v>
      </c>
      <c r="Y270" s="317" t="s">
        <v>3182</v>
      </c>
      <c r="Z270" s="315" t="s">
        <v>3163</v>
      </c>
      <c r="AA270" s="385">
        <v>10626</v>
      </c>
    </row>
    <row r="271" spans="17:27" ht="13.8">
      <c r="Q271" s="378">
        <f t="shared" si="4"/>
        <v>265</v>
      </c>
      <c r="R271" s="379" t="s">
        <v>1746</v>
      </c>
      <c r="S271" s="379" t="s">
        <v>1747</v>
      </c>
      <c r="T271" s="380" t="s">
        <v>954</v>
      </c>
      <c r="U271" s="378" t="s">
        <v>1748</v>
      </c>
      <c r="V271" s="378" t="s">
        <v>2757</v>
      </c>
      <c r="W271" s="379" t="s">
        <v>2757</v>
      </c>
      <c r="X271" s="317" t="s">
        <v>3147</v>
      </c>
      <c r="Y271" s="317" t="s">
        <v>3182</v>
      </c>
      <c r="Z271" s="315" t="s">
        <v>3163</v>
      </c>
      <c r="AA271" s="385">
        <v>5950</v>
      </c>
    </row>
    <row r="272" spans="17:27" ht="13.8">
      <c r="Q272" s="378">
        <f t="shared" si="4"/>
        <v>266</v>
      </c>
      <c r="R272" s="379" t="s">
        <v>1749</v>
      </c>
      <c r="S272" s="379" t="s">
        <v>1750</v>
      </c>
      <c r="T272" s="380" t="s">
        <v>1044</v>
      </c>
      <c r="U272" s="378" t="s">
        <v>1751</v>
      </c>
      <c r="V272" s="378" t="s">
        <v>1750</v>
      </c>
      <c r="W272" s="379" t="s">
        <v>2984</v>
      </c>
      <c r="X272" s="317" t="s">
        <v>3146</v>
      </c>
      <c r="Y272" s="317" t="s">
        <v>3182</v>
      </c>
      <c r="Z272" s="315" t="s">
        <v>3169</v>
      </c>
      <c r="AA272" s="385">
        <v>29366</v>
      </c>
    </row>
    <row r="273" spans="17:27" ht="13.8">
      <c r="Q273" s="378">
        <f t="shared" si="4"/>
        <v>267</v>
      </c>
      <c r="R273" s="379" t="s">
        <v>1752</v>
      </c>
      <c r="S273" s="379" t="s">
        <v>1753</v>
      </c>
      <c r="T273" s="380" t="s">
        <v>954</v>
      </c>
      <c r="U273" s="378" t="s">
        <v>1754</v>
      </c>
      <c r="V273" s="378" t="s">
        <v>1753</v>
      </c>
      <c r="W273" s="379" t="s">
        <v>3150</v>
      </c>
      <c r="X273" s="317" t="s">
        <v>3149</v>
      </c>
      <c r="Y273" s="317" t="s">
        <v>3184</v>
      </c>
      <c r="Z273" s="315" t="s">
        <v>3167</v>
      </c>
      <c r="AA273" s="385">
        <v>194</v>
      </c>
    </row>
    <row r="274" spans="17:27" ht="13.8">
      <c r="Q274" s="378">
        <f t="shared" si="4"/>
        <v>268</v>
      </c>
      <c r="R274" s="379" t="s">
        <v>1755</v>
      </c>
      <c r="S274" s="379" t="s">
        <v>1756</v>
      </c>
      <c r="T274" s="380" t="s">
        <v>962</v>
      </c>
      <c r="U274" s="378" t="s">
        <v>1757</v>
      </c>
      <c r="V274" s="378" t="s">
        <v>2758</v>
      </c>
      <c r="W274" s="379" t="s">
        <v>2758</v>
      </c>
      <c r="X274" s="317" t="s">
        <v>3147</v>
      </c>
      <c r="Y274" s="317" t="s">
        <v>3182</v>
      </c>
      <c r="Z274" s="315" t="s">
        <v>3169</v>
      </c>
      <c r="AA274" s="385">
        <v>24136</v>
      </c>
    </row>
    <row r="275" spans="17:27" ht="13.8">
      <c r="Q275" s="378">
        <f t="shared" si="4"/>
        <v>269</v>
      </c>
      <c r="R275" s="379" t="s">
        <v>1758</v>
      </c>
      <c r="S275" s="379" t="s">
        <v>1759</v>
      </c>
      <c r="T275" s="380" t="s">
        <v>1217</v>
      </c>
      <c r="U275" s="378" t="s">
        <v>1760</v>
      </c>
      <c r="V275" s="378" t="s">
        <v>1759</v>
      </c>
      <c r="W275" s="379" t="s">
        <v>2985</v>
      </c>
      <c r="X275" s="317" t="s">
        <v>3146</v>
      </c>
      <c r="Y275" s="317" t="s">
        <v>3182</v>
      </c>
      <c r="Z275" s="315" t="s">
        <v>3166</v>
      </c>
      <c r="AA275" s="385">
        <v>6042</v>
      </c>
    </row>
    <row r="276" spans="17:27" ht="13.8">
      <c r="Q276" s="378">
        <f t="shared" si="4"/>
        <v>270</v>
      </c>
      <c r="R276" s="379" t="s">
        <v>1761</v>
      </c>
      <c r="S276" s="379" t="s">
        <v>1762</v>
      </c>
      <c r="T276" s="380" t="s">
        <v>1013</v>
      </c>
      <c r="U276" s="378" t="s">
        <v>1763</v>
      </c>
      <c r="V276" s="378" t="s">
        <v>1762</v>
      </c>
      <c r="W276" s="379" t="s">
        <v>2986</v>
      </c>
      <c r="X276" s="317" t="s">
        <v>3146</v>
      </c>
      <c r="Y276" s="317" t="s">
        <v>3184</v>
      </c>
      <c r="Z276" s="315" t="s">
        <v>3167</v>
      </c>
      <c r="AA276" s="385">
        <v>3051</v>
      </c>
    </row>
    <row r="277" spans="17:27" ht="13.8">
      <c r="Q277" s="378">
        <f t="shared" si="4"/>
        <v>271</v>
      </c>
      <c r="R277" s="379" t="s">
        <v>1764</v>
      </c>
      <c r="S277" s="379" t="s">
        <v>1765</v>
      </c>
      <c r="T277" s="380" t="s">
        <v>954</v>
      </c>
      <c r="U277" s="378" t="s">
        <v>1766</v>
      </c>
      <c r="V277" s="378" t="s">
        <v>3108</v>
      </c>
      <c r="W277" s="379" t="s">
        <v>3108</v>
      </c>
      <c r="X277" s="317" t="s">
        <v>3148</v>
      </c>
      <c r="Y277" s="317" t="s">
        <v>3182</v>
      </c>
      <c r="Z277" s="315" t="s">
        <v>3171</v>
      </c>
      <c r="AA277" s="385">
        <v>30719</v>
      </c>
    </row>
    <row r="278" spans="17:27" ht="13.8">
      <c r="Q278" s="378">
        <f t="shared" si="4"/>
        <v>272</v>
      </c>
      <c r="R278" s="379" t="s">
        <v>1767</v>
      </c>
      <c r="S278" s="379" t="s">
        <v>1768</v>
      </c>
      <c r="T278" s="380" t="s">
        <v>1102</v>
      </c>
      <c r="U278" s="378" t="s">
        <v>1769</v>
      </c>
      <c r="V278" s="378" t="s">
        <v>1768</v>
      </c>
      <c r="W278" s="379" t="s">
        <v>2987</v>
      </c>
      <c r="X278" s="317" t="s">
        <v>3146</v>
      </c>
      <c r="Y278" s="317" t="s">
        <v>3183</v>
      </c>
      <c r="Z278" s="315" t="s">
        <v>3168</v>
      </c>
      <c r="AA278" s="385">
        <v>8702</v>
      </c>
    </row>
    <row r="279" spans="17:27" ht="13.8">
      <c r="Q279" s="378">
        <f t="shared" si="4"/>
        <v>273</v>
      </c>
      <c r="R279" s="379" t="s">
        <v>1770</v>
      </c>
      <c r="S279" s="381" t="s">
        <v>1771</v>
      </c>
      <c r="T279" s="380" t="s">
        <v>958</v>
      </c>
      <c r="U279" s="378" t="s">
        <v>1772</v>
      </c>
      <c r="V279" s="378" t="s">
        <v>2759</v>
      </c>
      <c r="W279" s="381" t="s">
        <v>2759</v>
      </c>
      <c r="X279" s="317" t="s">
        <v>3147</v>
      </c>
      <c r="Y279" s="317" t="s">
        <v>3184</v>
      </c>
      <c r="Z279" s="315" t="s">
        <v>3167</v>
      </c>
      <c r="AA279" s="385">
        <v>895</v>
      </c>
    </row>
    <row r="280" spans="17:27" ht="13.8">
      <c r="Q280" s="378">
        <f t="shared" si="4"/>
        <v>274</v>
      </c>
      <c r="R280" s="379" t="s">
        <v>1773</v>
      </c>
      <c r="S280" s="379" t="s">
        <v>1774</v>
      </c>
      <c r="T280" s="380" t="s">
        <v>976</v>
      </c>
      <c r="U280" s="378" t="s">
        <v>1775</v>
      </c>
      <c r="V280" s="378" t="s">
        <v>1774</v>
      </c>
      <c r="W280" s="379" t="s">
        <v>2988</v>
      </c>
      <c r="X280" s="317" t="s">
        <v>3146</v>
      </c>
      <c r="Y280" s="317" t="s">
        <v>3182</v>
      </c>
      <c r="Z280" s="315" t="s">
        <v>3166</v>
      </c>
      <c r="AA280" s="385">
        <v>8014</v>
      </c>
    </row>
    <row r="281" spans="17:27" ht="13.8">
      <c r="Q281" s="378">
        <f t="shared" si="4"/>
        <v>275</v>
      </c>
      <c r="R281" s="379" t="s">
        <v>1776</v>
      </c>
      <c r="S281" s="379" t="s">
        <v>1777</v>
      </c>
      <c r="T281" s="380" t="s">
        <v>972</v>
      </c>
      <c r="U281" s="378" t="s">
        <v>1778</v>
      </c>
      <c r="V281" s="378" t="s">
        <v>1777</v>
      </c>
      <c r="W281" s="379" t="s">
        <v>2989</v>
      </c>
      <c r="X281" s="317" t="s">
        <v>3146</v>
      </c>
      <c r="Y281" s="317" t="s">
        <v>3183</v>
      </c>
      <c r="Z281" s="315" t="s">
        <v>3168</v>
      </c>
      <c r="AA281" s="385">
        <v>1770</v>
      </c>
    </row>
    <row r="282" spans="17:27" ht="13.8">
      <c r="Q282" s="378">
        <f t="shared" si="4"/>
        <v>276</v>
      </c>
      <c r="R282" s="379" t="s">
        <v>1779</v>
      </c>
      <c r="S282" s="379" t="s">
        <v>1780</v>
      </c>
      <c r="T282" s="380" t="s">
        <v>1006</v>
      </c>
      <c r="U282" s="378" t="s">
        <v>1781</v>
      </c>
      <c r="V282" s="378" t="s">
        <v>1780</v>
      </c>
      <c r="W282" s="379" t="s">
        <v>2990</v>
      </c>
      <c r="X282" s="317" t="s">
        <v>3146</v>
      </c>
      <c r="Y282" s="317" t="s">
        <v>3182</v>
      </c>
      <c r="Z282" s="315" t="s">
        <v>3166</v>
      </c>
      <c r="AA282" s="385">
        <v>22866</v>
      </c>
    </row>
    <row r="283" spans="17:27" ht="13.8">
      <c r="Q283" s="378">
        <f t="shared" si="4"/>
        <v>277</v>
      </c>
      <c r="R283" s="379" t="s">
        <v>1782</v>
      </c>
      <c r="S283" s="379" t="s">
        <v>1783</v>
      </c>
      <c r="T283" s="380" t="s">
        <v>1023</v>
      </c>
      <c r="U283" s="378" t="s">
        <v>1784</v>
      </c>
      <c r="V283" s="378" t="s">
        <v>1783</v>
      </c>
      <c r="W283" s="379" t="s">
        <v>2991</v>
      </c>
      <c r="X283" s="317" t="s">
        <v>3146</v>
      </c>
      <c r="Y283" s="317" t="s">
        <v>3183</v>
      </c>
      <c r="Z283" s="315" t="s">
        <v>3168</v>
      </c>
      <c r="AA283" s="385">
        <v>12559</v>
      </c>
    </row>
    <row r="284" spans="17:27" ht="13.8">
      <c r="Q284" s="378">
        <f t="shared" si="4"/>
        <v>278</v>
      </c>
      <c r="R284" s="379" t="s">
        <v>1785</v>
      </c>
      <c r="S284" s="379" t="s">
        <v>1786</v>
      </c>
      <c r="T284" s="380" t="s">
        <v>962</v>
      </c>
      <c r="U284" s="378" t="s">
        <v>1787</v>
      </c>
      <c r="V284" s="378" t="s">
        <v>1786</v>
      </c>
      <c r="W284" s="379" t="s">
        <v>2992</v>
      </c>
      <c r="X284" s="317" t="s">
        <v>3146</v>
      </c>
      <c r="Y284" s="317" t="s">
        <v>3184</v>
      </c>
      <c r="Z284" s="315" t="s">
        <v>3178</v>
      </c>
      <c r="AA284" s="385">
        <v>20554</v>
      </c>
    </row>
    <row r="285" spans="17:27" ht="13.8">
      <c r="Q285" s="378">
        <f t="shared" si="4"/>
        <v>279</v>
      </c>
      <c r="R285" s="379" t="s">
        <v>1788</v>
      </c>
      <c r="S285" s="379" t="s">
        <v>1789</v>
      </c>
      <c r="T285" s="380" t="s">
        <v>1102</v>
      </c>
      <c r="U285" s="378" t="s">
        <v>1790</v>
      </c>
      <c r="V285" s="378" t="s">
        <v>2760</v>
      </c>
      <c r="W285" s="379" t="s">
        <v>2760</v>
      </c>
      <c r="X285" s="317" t="s">
        <v>3147</v>
      </c>
      <c r="Y285" s="317" t="s">
        <v>3182</v>
      </c>
      <c r="Z285" s="315" t="s">
        <v>3163</v>
      </c>
      <c r="AA285" s="385">
        <v>15845</v>
      </c>
    </row>
    <row r="286" spans="17:27" ht="13.8">
      <c r="Q286" s="378">
        <f t="shared" si="4"/>
        <v>280</v>
      </c>
      <c r="R286" s="379" t="s">
        <v>1791</v>
      </c>
      <c r="S286" s="379" t="s">
        <v>1792</v>
      </c>
      <c r="T286" s="380" t="s">
        <v>999</v>
      </c>
      <c r="U286" s="378" t="s">
        <v>1793</v>
      </c>
      <c r="V286" s="378" t="s">
        <v>2761</v>
      </c>
      <c r="W286" s="379" t="s">
        <v>2761</v>
      </c>
      <c r="X286" s="317" t="s">
        <v>3147</v>
      </c>
      <c r="Y286" s="317" t="s">
        <v>3182</v>
      </c>
      <c r="Z286" s="315" t="s">
        <v>3163</v>
      </c>
      <c r="AA286" s="385">
        <v>4341</v>
      </c>
    </row>
    <row r="287" spans="17:27" ht="13.8">
      <c r="Q287" s="378">
        <f t="shared" si="4"/>
        <v>281</v>
      </c>
      <c r="R287" s="379" t="s">
        <v>1794</v>
      </c>
      <c r="S287" s="379" t="s">
        <v>1795</v>
      </c>
      <c r="T287" s="380" t="s">
        <v>962</v>
      </c>
      <c r="U287" s="378" t="s">
        <v>1796</v>
      </c>
      <c r="V287" s="378" t="s">
        <v>1795</v>
      </c>
      <c r="W287" s="379" t="s">
        <v>2993</v>
      </c>
      <c r="X287" s="317" t="s">
        <v>3146</v>
      </c>
      <c r="Y287" s="317" t="s">
        <v>3182</v>
      </c>
      <c r="Z287" s="315" t="s">
        <v>3164</v>
      </c>
      <c r="AA287" s="385">
        <v>25890</v>
      </c>
    </row>
    <row r="288" spans="17:27" ht="13.8">
      <c r="Q288" s="378">
        <f t="shared" si="4"/>
        <v>282</v>
      </c>
      <c r="R288" s="379" t="s">
        <v>1797</v>
      </c>
      <c r="S288" s="379" t="s">
        <v>1798</v>
      </c>
      <c r="T288" s="380" t="s">
        <v>954</v>
      </c>
      <c r="U288" s="378" t="s">
        <v>1799</v>
      </c>
      <c r="V288" s="378" t="s">
        <v>1798</v>
      </c>
      <c r="W288" s="379" t="s">
        <v>2994</v>
      </c>
      <c r="X288" s="317" t="s">
        <v>3146</v>
      </c>
      <c r="Y288" s="317" t="s">
        <v>3183</v>
      </c>
      <c r="Z288" s="315" t="s">
        <v>3168</v>
      </c>
      <c r="AA288" s="385">
        <v>38872</v>
      </c>
    </row>
    <row r="289" spans="17:27" ht="13.8">
      <c r="Q289" s="378">
        <f t="shared" si="4"/>
        <v>283</v>
      </c>
      <c r="R289" s="379" t="s">
        <v>1800</v>
      </c>
      <c r="S289" s="379" t="s">
        <v>1801</v>
      </c>
      <c r="T289" s="380" t="s">
        <v>954</v>
      </c>
      <c r="U289" s="378" t="s">
        <v>1802</v>
      </c>
      <c r="V289" s="378" t="s">
        <v>2762</v>
      </c>
      <c r="W289" s="379" t="s">
        <v>2762</v>
      </c>
      <c r="X289" s="317" t="s">
        <v>3147</v>
      </c>
      <c r="Y289" s="317" t="s">
        <v>3182</v>
      </c>
      <c r="Z289" s="315" t="s">
        <v>3163</v>
      </c>
      <c r="AA289" s="385">
        <v>5897</v>
      </c>
    </row>
    <row r="290" spans="17:27" ht="13.8">
      <c r="Q290" s="378">
        <f t="shared" si="4"/>
        <v>284</v>
      </c>
      <c r="R290" s="379" t="s">
        <v>1803</v>
      </c>
      <c r="S290" s="379" t="s">
        <v>1804</v>
      </c>
      <c r="T290" s="380" t="s">
        <v>1013</v>
      </c>
      <c r="U290" s="378" t="s">
        <v>1805</v>
      </c>
      <c r="V290" s="378" t="s">
        <v>1804</v>
      </c>
      <c r="W290" s="379" t="s">
        <v>2995</v>
      </c>
      <c r="X290" s="317" t="s">
        <v>3146</v>
      </c>
      <c r="Y290" s="317" t="s">
        <v>3182</v>
      </c>
      <c r="Z290" s="315" t="s">
        <v>3171</v>
      </c>
      <c r="AA290" s="385">
        <v>43070</v>
      </c>
    </row>
    <row r="291" spans="17:27" ht="13.8">
      <c r="Q291" s="378">
        <f t="shared" si="4"/>
        <v>285</v>
      </c>
      <c r="R291" s="379" t="s">
        <v>1806</v>
      </c>
      <c r="S291" s="379" t="s">
        <v>1807</v>
      </c>
      <c r="T291" s="380" t="s">
        <v>972</v>
      </c>
      <c r="U291" s="378" t="s">
        <v>1808</v>
      </c>
      <c r="V291" s="378" t="s">
        <v>1807</v>
      </c>
      <c r="W291" s="379" t="s">
        <v>2996</v>
      </c>
      <c r="X291" s="317" t="s">
        <v>3146</v>
      </c>
      <c r="Y291" s="317" t="s">
        <v>3183</v>
      </c>
      <c r="Z291" s="315" t="s">
        <v>3165</v>
      </c>
      <c r="AA291" s="385">
        <v>1806</v>
      </c>
    </row>
    <row r="292" spans="17:27" ht="13.8">
      <c r="Q292" s="378">
        <f t="shared" si="4"/>
        <v>286</v>
      </c>
      <c r="R292" s="379" t="s">
        <v>1809</v>
      </c>
      <c r="S292" s="379" t="s">
        <v>1810</v>
      </c>
      <c r="T292" s="380" t="s">
        <v>1023</v>
      </c>
      <c r="U292" s="378" t="s">
        <v>1811</v>
      </c>
      <c r="V292" s="378" t="s">
        <v>1810</v>
      </c>
      <c r="W292" s="379" t="s">
        <v>2997</v>
      </c>
      <c r="X292" s="317" t="s">
        <v>3146</v>
      </c>
      <c r="Y292" s="317" t="s">
        <v>3183</v>
      </c>
      <c r="Z292" s="315" t="s">
        <v>3168</v>
      </c>
      <c r="AA292" s="385">
        <v>8544</v>
      </c>
    </row>
    <row r="293" spans="17:27" ht="13.8">
      <c r="Q293" s="378">
        <f t="shared" si="4"/>
        <v>287</v>
      </c>
      <c r="R293" s="379" t="s">
        <v>1812</v>
      </c>
      <c r="S293" s="379" t="s">
        <v>1810</v>
      </c>
      <c r="T293" s="380" t="s">
        <v>976</v>
      </c>
      <c r="U293" s="378" t="s">
        <v>1813</v>
      </c>
      <c r="V293" s="378" t="s">
        <v>1810</v>
      </c>
      <c r="W293" s="379" t="s">
        <v>2997</v>
      </c>
      <c r="X293" s="317" t="s">
        <v>3146</v>
      </c>
      <c r="Y293" s="317" t="s">
        <v>3183</v>
      </c>
      <c r="Z293" s="315" t="s">
        <v>3168</v>
      </c>
      <c r="AA293" s="385">
        <v>7725</v>
      </c>
    </row>
    <row r="294" spans="17:27" ht="13.8">
      <c r="Q294" s="378">
        <f t="shared" si="4"/>
        <v>288</v>
      </c>
      <c r="R294" s="379" t="s">
        <v>1814</v>
      </c>
      <c r="S294" s="379" t="s">
        <v>1815</v>
      </c>
      <c r="T294" s="380" t="s">
        <v>1013</v>
      </c>
      <c r="U294" s="378" t="s">
        <v>1816</v>
      </c>
      <c r="V294" s="378" t="s">
        <v>2763</v>
      </c>
      <c r="W294" s="379" t="s">
        <v>2763</v>
      </c>
      <c r="X294" s="317" t="s">
        <v>3147</v>
      </c>
      <c r="Y294" s="317" t="s">
        <v>3182</v>
      </c>
      <c r="Z294" s="315" t="s">
        <v>3163</v>
      </c>
      <c r="AA294" s="385">
        <v>296</v>
      </c>
    </row>
    <row r="295" spans="17:27" ht="13.8">
      <c r="Q295" s="378">
        <f t="shared" si="4"/>
        <v>289</v>
      </c>
      <c r="R295" s="379" t="s">
        <v>1817</v>
      </c>
      <c r="S295" s="379" t="s">
        <v>1818</v>
      </c>
      <c r="T295" s="380" t="s">
        <v>1217</v>
      </c>
      <c r="U295" s="378" t="s">
        <v>1819</v>
      </c>
      <c r="V295" s="378" t="s">
        <v>1818</v>
      </c>
      <c r="W295" s="379" t="s">
        <v>2998</v>
      </c>
      <c r="X295" s="317" t="s">
        <v>3146</v>
      </c>
      <c r="Y295" s="317" t="s">
        <v>3183</v>
      </c>
      <c r="Z295" s="315" t="s">
        <v>3168</v>
      </c>
      <c r="AA295" s="385">
        <v>15217</v>
      </c>
    </row>
    <row r="296" spans="17:27" ht="13.8">
      <c r="Q296" s="378">
        <f t="shared" si="4"/>
        <v>290</v>
      </c>
      <c r="R296" s="379" t="s">
        <v>1820</v>
      </c>
      <c r="S296" s="379" t="s">
        <v>1821</v>
      </c>
      <c r="T296" s="380" t="s">
        <v>1040</v>
      </c>
      <c r="U296" s="378" t="s">
        <v>1822</v>
      </c>
      <c r="V296" s="378" t="s">
        <v>2764</v>
      </c>
      <c r="W296" s="379" t="s">
        <v>2764</v>
      </c>
      <c r="X296" s="317" t="s">
        <v>3147</v>
      </c>
      <c r="Y296" s="317" t="s">
        <v>3182</v>
      </c>
      <c r="Z296" s="315" t="s">
        <v>3163</v>
      </c>
      <c r="AA296" s="385">
        <v>10344</v>
      </c>
    </row>
    <row r="297" spans="17:27" ht="13.8">
      <c r="Q297" s="378">
        <f t="shared" si="4"/>
        <v>291</v>
      </c>
      <c r="R297" s="379" t="s">
        <v>1823</v>
      </c>
      <c r="S297" s="379" t="s">
        <v>1824</v>
      </c>
      <c r="T297" s="380" t="s">
        <v>1023</v>
      </c>
      <c r="U297" s="378" t="s">
        <v>1825</v>
      </c>
      <c r="V297" s="378" t="s">
        <v>1824</v>
      </c>
      <c r="W297" s="379" t="s">
        <v>2999</v>
      </c>
      <c r="X297" s="317" t="s">
        <v>3146</v>
      </c>
      <c r="Y297" s="317" t="s">
        <v>3182</v>
      </c>
      <c r="Z297" s="315" t="s">
        <v>3169</v>
      </c>
      <c r="AA297" s="385">
        <v>19131</v>
      </c>
    </row>
    <row r="298" spans="17:27" ht="13.8">
      <c r="Q298" s="378">
        <f t="shared" si="4"/>
        <v>292</v>
      </c>
      <c r="R298" s="379" t="s">
        <v>1826</v>
      </c>
      <c r="S298" s="379" t="s">
        <v>1827</v>
      </c>
      <c r="T298" s="380" t="s">
        <v>1044</v>
      </c>
      <c r="U298" s="378" t="s">
        <v>1828</v>
      </c>
      <c r="V298" s="378" t="s">
        <v>1827</v>
      </c>
      <c r="W298" s="379" t="s">
        <v>3000</v>
      </c>
      <c r="X298" s="317" t="s">
        <v>3146</v>
      </c>
      <c r="Y298" s="317" t="s">
        <v>3183</v>
      </c>
      <c r="Z298" s="315" t="s">
        <v>3168</v>
      </c>
      <c r="AA298" s="385">
        <v>23867</v>
      </c>
    </row>
    <row r="299" spans="17:27" ht="13.8">
      <c r="Q299" s="378">
        <f t="shared" si="4"/>
        <v>293</v>
      </c>
      <c r="R299" s="379" t="s">
        <v>1829</v>
      </c>
      <c r="S299" s="381" t="s">
        <v>1830</v>
      </c>
      <c r="T299" s="380" t="s">
        <v>958</v>
      </c>
      <c r="U299" s="378" t="s">
        <v>1831</v>
      </c>
      <c r="V299" s="378" t="s">
        <v>1830</v>
      </c>
      <c r="W299" s="381" t="s">
        <v>1830</v>
      </c>
      <c r="X299" s="317" t="s">
        <v>3148</v>
      </c>
      <c r="Y299" s="317" t="s">
        <v>3184</v>
      </c>
      <c r="Z299" s="315" t="s">
        <v>3167</v>
      </c>
      <c r="AA299" s="385">
        <v>6354</v>
      </c>
    </row>
    <row r="300" spans="17:27" ht="13.8">
      <c r="Q300" s="378">
        <f t="shared" si="4"/>
        <v>294</v>
      </c>
      <c r="R300" s="379" t="s">
        <v>1832</v>
      </c>
      <c r="S300" s="379" t="s">
        <v>1833</v>
      </c>
      <c r="T300" s="380" t="s">
        <v>954</v>
      </c>
      <c r="U300" s="378" t="s">
        <v>1834</v>
      </c>
      <c r="V300" s="378" t="s">
        <v>1833</v>
      </c>
      <c r="W300" s="379" t="s">
        <v>3001</v>
      </c>
      <c r="X300" s="317" t="s">
        <v>3146</v>
      </c>
      <c r="Y300" s="317" t="s">
        <v>3182</v>
      </c>
      <c r="Z300" s="315" t="s">
        <v>3171</v>
      </c>
      <c r="AA300" s="385">
        <v>40191</v>
      </c>
    </row>
    <row r="301" spans="17:27" ht="13.8">
      <c r="Q301" s="378">
        <f t="shared" si="4"/>
        <v>295</v>
      </c>
      <c r="R301" s="379" t="s">
        <v>1835</v>
      </c>
      <c r="S301" s="379" t="s">
        <v>1836</v>
      </c>
      <c r="T301" s="380" t="s">
        <v>954</v>
      </c>
      <c r="U301" s="378" t="s">
        <v>1837</v>
      </c>
      <c r="V301" s="378" t="s">
        <v>2765</v>
      </c>
      <c r="W301" s="379" t="s">
        <v>2765</v>
      </c>
      <c r="X301" s="317" t="s">
        <v>3147</v>
      </c>
      <c r="Y301" s="317" t="s">
        <v>3182</v>
      </c>
      <c r="Z301" s="315" t="s">
        <v>3163</v>
      </c>
      <c r="AA301" s="385">
        <v>8810</v>
      </c>
    </row>
    <row r="302" spans="17:27" ht="13.8">
      <c r="Q302" s="378">
        <f t="shared" si="4"/>
        <v>296</v>
      </c>
      <c r="R302" s="379" t="s">
        <v>1838</v>
      </c>
      <c r="S302" s="379" t="s">
        <v>1839</v>
      </c>
      <c r="T302" s="380" t="s">
        <v>1130</v>
      </c>
      <c r="U302" s="378" t="s">
        <v>1840</v>
      </c>
      <c r="V302" s="378" t="s">
        <v>1839</v>
      </c>
      <c r="W302" s="379" t="s">
        <v>3002</v>
      </c>
      <c r="X302" s="317" t="s">
        <v>3146</v>
      </c>
      <c r="Y302" s="317" t="s">
        <v>3183</v>
      </c>
      <c r="Z302" s="315" t="s">
        <v>3165</v>
      </c>
      <c r="AA302" s="385">
        <v>7976</v>
      </c>
    </row>
    <row r="303" spans="17:27" ht="13.8">
      <c r="Q303" s="378">
        <f t="shared" si="4"/>
        <v>297</v>
      </c>
      <c r="R303" s="379" t="s">
        <v>1841</v>
      </c>
      <c r="S303" s="379" t="s">
        <v>1842</v>
      </c>
      <c r="T303" s="380" t="s">
        <v>962</v>
      </c>
      <c r="U303" s="378" t="s">
        <v>1843</v>
      </c>
      <c r="V303" s="378" t="s">
        <v>2766</v>
      </c>
      <c r="W303" s="379" t="s">
        <v>2766</v>
      </c>
      <c r="X303" s="317" t="s">
        <v>3147</v>
      </c>
      <c r="Y303" s="317" t="s">
        <v>3182</v>
      </c>
      <c r="Z303" s="315" t="s">
        <v>3163</v>
      </c>
      <c r="AA303" s="385">
        <v>9555</v>
      </c>
    </row>
    <row r="304" spans="17:27" ht="13.8">
      <c r="Q304" s="378">
        <f t="shared" si="4"/>
        <v>298</v>
      </c>
      <c r="R304" s="379" t="s">
        <v>1844</v>
      </c>
      <c r="S304" s="379" t="s">
        <v>1845</v>
      </c>
      <c r="T304" s="380" t="s">
        <v>1023</v>
      </c>
      <c r="U304" s="378" t="s">
        <v>1846</v>
      </c>
      <c r="V304" s="378" t="s">
        <v>2767</v>
      </c>
      <c r="W304" s="379" t="s">
        <v>2767</v>
      </c>
      <c r="X304" s="317" t="s">
        <v>3147</v>
      </c>
      <c r="Y304" s="317" t="s">
        <v>3182</v>
      </c>
      <c r="Z304" s="315" t="s">
        <v>3179</v>
      </c>
      <c r="AA304" s="385">
        <v>4146</v>
      </c>
    </row>
    <row r="305" spans="17:27" ht="13.8">
      <c r="Q305" s="378">
        <f t="shared" si="4"/>
        <v>299</v>
      </c>
      <c r="R305" s="379" t="s">
        <v>1847</v>
      </c>
      <c r="S305" s="379" t="s">
        <v>1848</v>
      </c>
      <c r="T305" s="380" t="s">
        <v>1023</v>
      </c>
      <c r="U305" s="378" t="s">
        <v>1849</v>
      </c>
      <c r="V305" s="378" t="s">
        <v>1848</v>
      </c>
      <c r="W305" s="379" t="s">
        <v>3003</v>
      </c>
      <c r="X305" s="317" t="s">
        <v>3146</v>
      </c>
      <c r="Y305" s="317" t="s">
        <v>3182</v>
      </c>
      <c r="Z305" s="315" t="s">
        <v>3169</v>
      </c>
      <c r="AA305" s="385">
        <v>23033</v>
      </c>
    </row>
    <row r="306" spans="17:27" ht="13.8">
      <c r="Q306" s="378">
        <f t="shared" si="4"/>
        <v>300</v>
      </c>
      <c r="R306" s="379" t="s">
        <v>1850</v>
      </c>
      <c r="S306" s="379" t="s">
        <v>1851</v>
      </c>
      <c r="T306" s="380" t="s">
        <v>1102</v>
      </c>
      <c r="U306" s="378" t="s">
        <v>1852</v>
      </c>
      <c r="V306" s="378" t="s">
        <v>2768</v>
      </c>
      <c r="W306" s="379" t="s">
        <v>2768</v>
      </c>
      <c r="X306" s="317" t="s">
        <v>3147</v>
      </c>
      <c r="Y306" s="317" t="s">
        <v>3182</v>
      </c>
      <c r="Z306" s="315" t="s">
        <v>3163</v>
      </c>
      <c r="AA306" s="385">
        <v>4981</v>
      </c>
    </row>
    <row r="307" spans="17:27" ht="13.8">
      <c r="Q307" s="378">
        <f t="shared" si="4"/>
        <v>301</v>
      </c>
      <c r="R307" s="379" t="s">
        <v>1853</v>
      </c>
      <c r="S307" s="379" t="s">
        <v>1854</v>
      </c>
      <c r="T307" s="380" t="s">
        <v>1102</v>
      </c>
      <c r="U307" s="378" t="s">
        <v>1855</v>
      </c>
      <c r="V307" s="378" t="s">
        <v>1854</v>
      </c>
      <c r="W307" s="379" t="s">
        <v>2768</v>
      </c>
      <c r="X307" s="317" t="s">
        <v>3146</v>
      </c>
      <c r="Y307" s="317" t="s">
        <v>3183</v>
      </c>
      <c r="Z307" s="315" t="s">
        <v>3168</v>
      </c>
      <c r="AA307" s="385">
        <v>5869</v>
      </c>
    </row>
    <row r="308" spans="17:27" ht="13.8">
      <c r="Q308" s="378">
        <f t="shared" si="4"/>
        <v>302</v>
      </c>
      <c r="R308" s="379" t="s">
        <v>1856</v>
      </c>
      <c r="S308" s="379" t="s">
        <v>1857</v>
      </c>
      <c r="T308" s="380" t="s">
        <v>999</v>
      </c>
      <c r="U308" s="378" t="s">
        <v>1858</v>
      </c>
      <c r="V308" s="378" t="s">
        <v>2769</v>
      </c>
      <c r="W308" s="379" t="s">
        <v>2769</v>
      </c>
      <c r="X308" s="317" t="s">
        <v>3147</v>
      </c>
      <c r="Y308" s="317" t="s">
        <v>3182</v>
      </c>
      <c r="Z308" s="315" t="s">
        <v>3163</v>
      </c>
      <c r="AA308" s="385">
        <v>3821</v>
      </c>
    </row>
    <row r="309" spans="17:27" ht="13.8">
      <c r="Q309" s="378">
        <f t="shared" si="4"/>
        <v>303</v>
      </c>
      <c r="R309" s="379" t="s">
        <v>1859</v>
      </c>
      <c r="S309" s="379" t="s">
        <v>1860</v>
      </c>
      <c r="T309" s="380" t="s">
        <v>1183</v>
      </c>
      <c r="U309" s="378" t="s">
        <v>1861</v>
      </c>
      <c r="V309" s="378" t="s">
        <v>2770</v>
      </c>
      <c r="W309" s="379" t="s">
        <v>2770</v>
      </c>
      <c r="X309" s="317" t="s">
        <v>3147</v>
      </c>
      <c r="Y309" s="317" t="s">
        <v>3182</v>
      </c>
      <c r="Z309" s="315" t="s">
        <v>3163</v>
      </c>
      <c r="AA309" s="385">
        <v>13574</v>
      </c>
    </row>
    <row r="310" spans="17:27" ht="13.8">
      <c r="Q310" s="378">
        <f t="shared" si="4"/>
        <v>304</v>
      </c>
      <c r="R310" s="379" t="s">
        <v>1862</v>
      </c>
      <c r="S310" s="379" t="s">
        <v>1863</v>
      </c>
      <c r="T310" s="380" t="s">
        <v>1006</v>
      </c>
      <c r="U310" s="378" t="s">
        <v>1864</v>
      </c>
      <c r="V310" s="378" t="s">
        <v>1863</v>
      </c>
      <c r="W310" s="379" t="s">
        <v>3004</v>
      </c>
      <c r="X310" s="317" t="s">
        <v>3146</v>
      </c>
      <c r="Y310" s="317" t="s">
        <v>3183</v>
      </c>
      <c r="Z310" s="315" t="s">
        <v>3165</v>
      </c>
      <c r="AA310" s="385">
        <v>18911</v>
      </c>
    </row>
    <row r="311" spans="17:27" ht="13.8">
      <c r="Q311" s="378">
        <f t="shared" si="4"/>
        <v>305</v>
      </c>
      <c r="R311" s="379" t="s">
        <v>1865</v>
      </c>
      <c r="S311" s="379" t="s">
        <v>1866</v>
      </c>
      <c r="T311" s="380" t="s">
        <v>1183</v>
      </c>
      <c r="U311" s="378" t="s">
        <v>1867</v>
      </c>
      <c r="V311" s="378" t="s">
        <v>1183</v>
      </c>
      <c r="W311" s="379" t="s">
        <v>1183</v>
      </c>
      <c r="X311" s="317" t="s">
        <v>3147</v>
      </c>
      <c r="Y311" s="317" t="s">
        <v>3182</v>
      </c>
      <c r="Z311" s="315" t="s">
        <v>3163</v>
      </c>
      <c r="AA311" s="385">
        <v>13635</v>
      </c>
    </row>
    <row r="312" spans="17:27" ht="13.8">
      <c r="Q312" s="378">
        <f t="shared" si="4"/>
        <v>306</v>
      </c>
      <c r="R312" s="379" t="s">
        <v>1868</v>
      </c>
      <c r="S312" s="379" t="s">
        <v>1869</v>
      </c>
      <c r="T312" s="380" t="s">
        <v>954</v>
      </c>
      <c r="U312" s="378" t="s">
        <v>1870</v>
      </c>
      <c r="V312" s="378" t="s">
        <v>1869</v>
      </c>
      <c r="W312" s="379" t="s">
        <v>3005</v>
      </c>
      <c r="X312" s="317" t="s">
        <v>3146</v>
      </c>
      <c r="Y312" s="317" t="s">
        <v>3182</v>
      </c>
      <c r="Z312" s="315" t="s">
        <v>3169</v>
      </c>
      <c r="AA312" s="385">
        <v>66522</v>
      </c>
    </row>
    <row r="313" spans="17:27" ht="13.8">
      <c r="Q313" s="378">
        <f t="shared" si="4"/>
        <v>307</v>
      </c>
      <c r="R313" s="379" t="s">
        <v>1871</v>
      </c>
      <c r="S313" s="379" t="s">
        <v>1872</v>
      </c>
      <c r="T313" s="380" t="s">
        <v>962</v>
      </c>
      <c r="U313" s="378" t="s">
        <v>1873</v>
      </c>
      <c r="V313" s="378" t="s">
        <v>2771</v>
      </c>
      <c r="W313" s="379" t="s">
        <v>2771</v>
      </c>
      <c r="X313" s="317" t="s">
        <v>3147</v>
      </c>
      <c r="Y313" s="317" t="s">
        <v>3182</v>
      </c>
      <c r="Z313" s="315" t="s">
        <v>3163</v>
      </c>
      <c r="AA313" s="385">
        <v>7128</v>
      </c>
    </row>
    <row r="314" spans="17:27" ht="13.8">
      <c r="Q314" s="378">
        <f t="shared" si="4"/>
        <v>308</v>
      </c>
      <c r="R314" s="379" t="s">
        <v>1874</v>
      </c>
      <c r="S314" s="379" t="s">
        <v>1875</v>
      </c>
      <c r="T314" s="380" t="s">
        <v>1079</v>
      </c>
      <c r="U314" s="378" t="s">
        <v>1876</v>
      </c>
      <c r="V314" s="378" t="s">
        <v>2772</v>
      </c>
      <c r="W314" s="379" t="s">
        <v>2772</v>
      </c>
      <c r="X314" s="317" t="s">
        <v>3147</v>
      </c>
      <c r="Y314" s="317" t="s">
        <v>3182</v>
      </c>
      <c r="Z314" s="315" t="s">
        <v>3163</v>
      </c>
      <c r="AA314" s="385">
        <v>1233</v>
      </c>
    </row>
    <row r="315" spans="17:27" ht="13.8">
      <c r="Q315" s="378">
        <f t="shared" si="4"/>
        <v>309</v>
      </c>
      <c r="R315" s="379" t="s">
        <v>1877</v>
      </c>
      <c r="S315" s="379" t="s">
        <v>1878</v>
      </c>
      <c r="T315" s="380" t="s">
        <v>1044</v>
      </c>
      <c r="U315" s="378" t="s">
        <v>1879</v>
      </c>
      <c r="V315" s="378" t="s">
        <v>1878</v>
      </c>
      <c r="W315" s="379" t="s">
        <v>3006</v>
      </c>
      <c r="X315" s="317" t="s">
        <v>3146</v>
      </c>
      <c r="Y315" s="317" t="s">
        <v>3183</v>
      </c>
      <c r="Z315" s="315" t="s">
        <v>3168</v>
      </c>
      <c r="AA315" s="385">
        <v>20149</v>
      </c>
    </row>
    <row r="316" spans="17:27" ht="13.8">
      <c r="Q316" s="378">
        <f t="shared" si="4"/>
        <v>310</v>
      </c>
      <c r="R316" s="379" t="s">
        <v>1880</v>
      </c>
      <c r="S316" s="379" t="s">
        <v>1881</v>
      </c>
      <c r="T316" s="380" t="s">
        <v>1040</v>
      </c>
      <c r="U316" s="378" t="s">
        <v>1882</v>
      </c>
      <c r="V316" s="378" t="s">
        <v>2773</v>
      </c>
      <c r="W316" s="379" t="s">
        <v>2773</v>
      </c>
      <c r="X316" s="317" t="s">
        <v>3147</v>
      </c>
      <c r="Y316" s="317" t="s">
        <v>3182</v>
      </c>
      <c r="Z316" s="315" t="s">
        <v>3163</v>
      </c>
      <c r="AA316" s="385">
        <v>418</v>
      </c>
    </row>
    <row r="317" spans="17:27" ht="13.8">
      <c r="Q317" s="378">
        <f t="shared" si="4"/>
        <v>311</v>
      </c>
      <c r="R317" s="379" t="s">
        <v>1883</v>
      </c>
      <c r="S317" s="379" t="s">
        <v>1884</v>
      </c>
      <c r="T317" s="380" t="s">
        <v>954</v>
      </c>
      <c r="U317" s="378" t="s">
        <v>1885</v>
      </c>
      <c r="V317" s="378" t="s">
        <v>1884</v>
      </c>
      <c r="W317" s="379" t="s">
        <v>2773</v>
      </c>
      <c r="X317" s="317" t="s">
        <v>3146</v>
      </c>
      <c r="Y317" s="317" t="s">
        <v>3183</v>
      </c>
      <c r="Z317" s="315" t="s">
        <v>3168</v>
      </c>
      <c r="AA317" s="385">
        <v>10566</v>
      </c>
    </row>
    <row r="318" spans="17:27" ht="13.8">
      <c r="Q318" s="378">
        <f t="shared" si="4"/>
        <v>312</v>
      </c>
      <c r="R318" s="379" t="s">
        <v>1886</v>
      </c>
      <c r="S318" s="379" t="s">
        <v>1887</v>
      </c>
      <c r="T318" s="380" t="s">
        <v>1183</v>
      </c>
      <c r="U318" s="378" t="s">
        <v>1888</v>
      </c>
      <c r="V318" s="378" t="s">
        <v>2774</v>
      </c>
      <c r="W318" s="379" t="s">
        <v>2774</v>
      </c>
      <c r="X318" s="317" t="s">
        <v>3147</v>
      </c>
      <c r="Y318" s="317" t="s">
        <v>3182</v>
      </c>
      <c r="Z318" s="315" t="s">
        <v>3163</v>
      </c>
      <c r="AA318" s="385">
        <v>6893</v>
      </c>
    </row>
    <row r="319" spans="17:27" ht="13.8">
      <c r="Q319" s="378">
        <f t="shared" si="4"/>
        <v>313</v>
      </c>
      <c r="R319" s="379" t="s">
        <v>1889</v>
      </c>
      <c r="S319" s="379" t="s">
        <v>1890</v>
      </c>
      <c r="T319" s="380" t="s">
        <v>1130</v>
      </c>
      <c r="U319" s="378" t="s">
        <v>1891</v>
      </c>
      <c r="V319" s="378" t="s">
        <v>3109</v>
      </c>
      <c r="W319" s="379" t="s">
        <v>3109</v>
      </c>
      <c r="X319" s="317" t="s">
        <v>3148</v>
      </c>
      <c r="Y319" s="317" t="s">
        <v>3184</v>
      </c>
      <c r="Z319" s="315" t="s">
        <v>3178</v>
      </c>
      <c r="AA319" s="385">
        <v>28400</v>
      </c>
    </row>
    <row r="320" spans="17:27" ht="13.8">
      <c r="Q320" s="378">
        <f t="shared" si="4"/>
        <v>314</v>
      </c>
      <c r="R320" s="379" t="s">
        <v>1892</v>
      </c>
      <c r="S320" s="379" t="s">
        <v>1893</v>
      </c>
      <c r="T320" s="380" t="s">
        <v>1102</v>
      </c>
      <c r="U320" s="378" t="s">
        <v>1894</v>
      </c>
      <c r="V320" s="378" t="s">
        <v>1893</v>
      </c>
      <c r="W320" s="379" t="s">
        <v>3007</v>
      </c>
      <c r="X320" s="317" t="s">
        <v>3146</v>
      </c>
      <c r="Y320" s="317" t="s">
        <v>3182</v>
      </c>
      <c r="Z320" s="315" t="s">
        <v>3171</v>
      </c>
      <c r="AA320" s="385">
        <v>3651</v>
      </c>
    </row>
    <row r="321" spans="17:27" ht="13.8">
      <c r="Q321" s="378">
        <f t="shared" si="4"/>
        <v>315</v>
      </c>
      <c r="R321" s="379" t="s">
        <v>1895</v>
      </c>
      <c r="S321" s="379" t="s">
        <v>1896</v>
      </c>
      <c r="T321" s="380" t="s">
        <v>954</v>
      </c>
      <c r="U321" s="378" t="s">
        <v>1897</v>
      </c>
      <c r="V321" s="378" t="s">
        <v>2775</v>
      </c>
      <c r="W321" s="379" t="s">
        <v>2775</v>
      </c>
      <c r="X321" s="317" t="s">
        <v>3147</v>
      </c>
      <c r="Y321" s="317" t="s">
        <v>3184</v>
      </c>
      <c r="Z321" s="315" t="s">
        <v>3167</v>
      </c>
      <c r="AA321" s="385">
        <v>3279</v>
      </c>
    </row>
    <row r="322" spans="17:27" ht="13.8">
      <c r="Q322" s="378">
        <f t="shared" si="4"/>
        <v>316</v>
      </c>
      <c r="R322" s="379" t="s">
        <v>1898</v>
      </c>
      <c r="S322" s="379" t="s">
        <v>1899</v>
      </c>
      <c r="T322" s="380" t="s">
        <v>1217</v>
      </c>
      <c r="U322" s="378" t="s">
        <v>1900</v>
      </c>
      <c r="V322" s="378" t="s">
        <v>1899</v>
      </c>
      <c r="W322" s="379" t="s">
        <v>3008</v>
      </c>
      <c r="X322" s="317" t="s">
        <v>3146</v>
      </c>
      <c r="Y322" s="317" t="s">
        <v>3182</v>
      </c>
      <c r="Z322" s="315" t="s">
        <v>3164</v>
      </c>
      <c r="AA322" s="385">
        <v>36129</v>
      </c>
    </row>
    <row r="323" spans="17:27" ht="13.8">
      <c r="Q323" s="378">
        <f t="shared" si="4"/>
        <v>317</v>
      </c>
      <c r="R323" s="379" t="s">
        <v>1901</v>
      </c>
      <c r="S323" s="379" t="s">
        <v>1899</v>
      </c>
      <c r="T323" s="380" t="s">
        <v>1183</v>
      </c>
      <c r="U323" s="378" t="s">
        <v>1902</v>
      </c>
      <c r="V323" s="378" t="s">
        <v>1899</v>
      </c>
      <c r="W323" s="379" t="s">
        <v>3008</v>
      </c>
      <c r="X323" s="317" t="s">
        <v>3146</v>
      </c>
      <c r="Y323" s="317" t="s">
        <v>3182</v>
      </c>
      <c r="Z323" s="315" t="s">
        <v>3171</v>
      </c>
      <c r="AA323" s="385">
        <v>39132</v>
      </c>
    </row>
    <row r="324" spans="17:27" ht="13.8">
      <c r="Q324" s="378">
        <f t="shared" si="4"/>
        <v>318</v>
      </c>
      <c r="R324" s="379" t="s">
        <v>1903</v>
      </c>
      <c r="S324" s="379" t="s">
        <v>1904</v>
      </c>
      <c r="T324" s="380" t="s">
        <v>983</v>
      </c>
      <c r="U324" s="378" t="s">
        <v>1905</v>
      </c>
      <c r="V324" s="378" t="s">
        <v>1904</v>
      </c>
      <c r="W324" s="379" t="s">
        <v>3009</v>
      </c>
      <c r="X324" s="317" t="s">
        <v>3146</v>
      </c>
      <c r="Y324" s="317" t="s">
        <v>3183</v>
      </c>
      <c r="Z324" s="315" t="s">
        <v>3168</v>
      </c>
      <c r="AA324" s="385">
        <v>3847</v>
      </c>
    </row>
    <row r="325" spans="17:27" ht="13.8">
      <c r="Q325" s="378">
        <f t="shared" si="4"/>
        <v>319</v>
      </c>
      <c r="R325" s="379" t="s">
        <v>1906</v>
      </c>
      <c r="S325" s="379" t="s">
        <v>1907</v>
      </c>
      <c r="T325" s="380" t="s">
        <v>1044</v>
      </c>
      <c r="U325" s="378" t="s">
        <v>1908</v>
      </c>
      <c r="V325" s="378" t="s">
        <v>1907</v>
      </c>
      <c r="W325" s="379" t="s">
        <v>3010</v>
      </c>
      <c r="X325" s="317" t="s">
        <v>3146</v>
      </c>
      <c r="Y325" s="317" t="s">
        <v>3182</v>
      </c>
      <c r="Z325" s="315" t="s">
        <v>3163</v>
      </c>
      <c r="AA325" s="385">
        <v>37669</v>
      </c>
    </row>
    <row r="326" spans="17:27" ht="13.8">
      <c r="Q326" s="378">
        <f t="shared" si="4"/>
        <v>320</v>
      </c>
      <c r="R326" s="379" t="s">
        <v>1909</v>
      </c>
      <c r="S326" s="379" t="s">
        <v>1910</v>
      </c>
      <c r="T326" s="380" t="s">
        <v>1040</v>
      </c>
      <c r="U326" s="378" t="s">
        <v>1911</v>
      </c>
      <c r="V326" s="378" t="s">
        <v>1910</v>
      </c>
      <c r="W326" s="379" t="s">
        <v>3011</v>
      </c>
      <c r="X326" s="317" t="s">
        <v>3146</v>
      </c>
      <c r="Y326" s="317" t="s">
        <v>3183</v>
      </c>
      <c r="Z326" s="315" t="s">
        <v>3168</v>
      </c>
      <c r="AA326" s="385">
        <v>22254</v>
      </c>
    </row>
    <row r="327" spans="17:27" ht="13.8">
      <c r="Q327" s="378">
        <f t="shared" si="4"/>
        <v>321</v>
      </c>
      <c r="R327" s="379" t="s">
        <v>1912</v>
      </c>
      <c r="S327" s="379" t="s">
        <v>1913</v>
      </c>
      <c r="T327" s="380" t="s">
        <v>962</v>
      </c>
      <c r="U327" s="378" t="s">
        <v>1914</v>
      </c>
      <c r="V327" s="378" t="s">
        <v>2776</v>
      </c>
      <c r="W327" s="379" t="s">
        <v>2776</v>
      </c>
      <c r="X327" s="317" t="s">
        <v>3147</v>
      </c>
      <c r="Y327" s="317" t="s">
        <v>3182</v>
      </c>
      <c r="Z327" s="315" t="s">
        <v>3163</v>
      </c>
      <c r="AA327" s="385">
        <v>7844</v>
      </c>
    </row>
    <row r="328" spans="17:27" ht="13.8">
      <c r="Q328" s="378">
        <f t="shared" si="4"/>
        <v>322</v>
      </c>
      <c r="R328" s="379" t="s">
        <v>1915</v>
      </c>
      <c r="S328" s="379" t="s">
        <v>1916</v>
      </c>
      <c r="T328" s="380" t="s">
        <v>1102</v>
      </c>
      <c r="U328" s="378" t="s">
        <v>1917</v>
      </c>
      <c r="V328" s="378" t="s">
        <v>1916</v>
      </c>
      <c r="W328" s="379" t="s">
        <v>3012</v>
      </c>
      <c r="X328" s="317" t="s">
        <v>3146</v>
      </c>
      <c r="Y328" s="317" t="s">
        <v>3183</v>
      </c>
      <c r="Z328" s="315" t="s">
        <v>3168</v>
      </c>
      <c r="AA328" s="385">
        <v>21528</v>
      </c>
    </row>
    <row r="329" spans="17:27" ht="13.8">
      <c r="Q329" s="378">
        <f t="shared" ref="Q329:Q392" si="5">Q328+1</f>
        <v>323</v>
      </c>
      <c r="R329" s="379" t="s">
        <v>1918</v>
      </c>
      <c r="S329" s="379" t="s">
        <v>1919</v>
      </c>
      <c r="T329" s="380" t="s">
        <v>962</v>
      </c>
      <c r="U329" s="378" t="s">
        <v>1920</v>
      </c>
      <c r="V329" s="378" t="s">
        <v>2777</v>
      </c>
      <c r="W329" s="379" t="s">
        <v>2777</v>
      </c>
      <c r="X329" s="317" t="s">
        <v>3147</v>
      </c>
      <c r="Y329" s="317" t="s">
        <v>3182</v>
      </c>
      <c r="Z329" s="315" t="s">
        <v>3163</v>
      </c>
      <c r="AA329" s="385">
        <v>2708</v>
      </c>
    </row>
    <row r="330" spans="17:27" ht="13.8">
      <c r="Q330" s="378">
        <f t="shared" si="5"/>
        <v>324</v>
      </c>
      <c r="R330" s="379" t="s">
        <v>1921</v>
      </c>
      <c r="S330" s="379" t="s">
        <v>1922</v>
      </c>
      <c r="T330" s="380" t="s">
        <v>1023</v>
      </c>
      <c r="U330" s="378" t="s">
        <v>1923</v>
      </c>
      <c r="V330" s="378" t="s">
        <v>1922</v>
      </c>
      <c r="W330" s="379" t="s">
        <v>3013</v>
      </c>
      <c r="X330" s="317" t="s">
        <v>3146</v>
      </c>
      <c r="Y330" s="317" t="s">
        <v>3182</v>
      </c>
      <c r="Z330" s="315" t="s">
        <v>3169</v>
      </c>
      <c r="AA330" s="385">
        <v>20726</v>
      </c>
    </row>
    <row r="331" spans="17:27" ht="13.8">
      <c r="Q331" s="378">
        <f t="shared" si="5"/>
        <v>325</v>
      </c>
      <c r="R331" s="379" t="s">
        <v>1924</v>
      </c>
      <c r="S331" s="379" t="s">
        <v>1925</v>
      </c>
      <c r="T331" s="380" t="s">
        <v>1102</v>
      </c>
      <c r="U331" s="378" t="s">
        <v>1926</v>
      </c>
      <c r="V331" s="378" t="s">
        <v>2778</v>
      </c>
      <c r="W331" s="379" t="s">
        <v>2778</v>
      </c>
      <c r="X331" s="317" t="s">
        <v>3147</v>
      </c>
      <c r="Y331" s="317" t="s">
        <v>3182</v>
      </c>
      <c r="Z331" s="315" t="s">
        <v>3163</v>
      </c>
      <c r="AA331" s="385">
        <v>5532</v>
      </c>
    </row>
    <row r="332" spans="17:27" ht="13.8">
      <c r="Q332" s="378">
        <f t="shared" si="5"/>
        <v>326</v>
      </c>
      <c r="R332" s="379" t="s">
        <v>1927</v>
      </c>
      <c r="S332" s="379" t="s">
        <v>1928</v>
      </c>
      <c r="T332" s="380" t="s">
        <v>1102</v>
      </c>
      <c r="U332" s="378" t="s">
        <v>1929</v>
      </c>
      <c r="V332" s="378" t="s">
        <v>1928</v>
      </c>
      <c r="W332" s="379" t="s">
        <v>1102</v>
      </c>
      <c r="X332" s="317" t="s">
        <v>3146</v>
      </c>
      <c r="Y332" s="317" t="s">
        <v>3183</v>
      </c>
      <c r="Z332" s="315" t="s">
        <v>3168</v>
      </c>
      <c r="AA332" s="385">
        <v>22306</v>
      </c>
    </row>
    <row r="333" spans="17:27" ht="13.8">
      <c r="Q333" s="378">
        <f t="shared" si="5"/>
        <v>327</v>
      </c>
      <c r="R333" s="379" t="s">
        <v>1930</v>
      </c>
      <c r="S333" s="379" t="s">
        <v>1931</v>
      </c>
      <c r="T333" s="380" t="s">
        <v>1102</v>
      </c>
      <c r="U333" s="378" t="s">
        <v>1932</v>
      </c>
      <c r="V333" s="378" t="s">
        <v>3135</v>
      </c>
      <c r="W333" s="379" t="s">
        <v>3135</v>
      </c>
      <c r="X333" s="317" t="s">
        <v>2640</v>
      </c>
      <c r="Y333" s="317" t="s">
        <v>3182</v>
      </c>
      <c r="Z333" s="315" t="s">
        <v>3164</v>
      </c>
      <c r="AA333" s="385">
        <v>18411</v>
      </c>
    </row>
    <row r="334" spans="17:27" ht="13.8">
      <c r="Q334" s="378">
        <f t="shared" si="5"/>
        <v>328</v>
      </c>
      <c r="R334" s="379" t="s">
        <v>1933</v>
      </c>
      <c r="S334" s="379" t="s">
        <v>1934</v>
      </c>
      <c r="T334" s="380" t="s">
        <v>1102</v>
      </c>
      <c r="U334" s="378" t="s">
        <v>1935</v>
      </c>
      <c r="V334" s="378" t="s">
        <v>2779</v>
      </c>
      <c r="W334" s="379" t="s">
        <v>2779</v>
      </c>
      <c r="X334" s="317" t="s">
        <v>3147</v>
      </c>
      <c r="Y334" s="317" t="s">
        <v>3182</v>
      </c>
      <c r="Z334" s="315" t="s">
        <v>3172</v>
      </c>
      <c r="AA334" s="385">
        <v>5050</v>
      </c>
    </row>
    <row r="335" spans="17:27" ht="13.8">
      <c r="Q335" s="378">
        <f t="shared" si="5"/>
        <v>329</v>
      </c>
      <c r="R335" s="379" t="s">
        <v>1936</v>
      </c>
      <c r="S335" s="381" t="s">
        <v>1937</v>
      </c>
      <c r="T335" s="380" t="s">
        <v>999</v>
      </c>
      <c r="U335" s="378" t="s">
        <v>1938</v>
      </c>
      <c r="V335" s="378" t="s">
        <v>2780</v>
      </c>
      <c r="W335" s="381" t="s">
        <v>2780</v>
      </c>
      <c r="X335" s="317" t="s">
        <v>3147</v>
      </c>
      <c r="Y335" s="317" t="s">
        <v>3184</v>
      </c>
      <c r="Z335" s="315" t="s">
        <v>3167</v>
      </c>
      <c r="AA335" s="385">
        <v>4676</v>
      </c>
    </row>
    <row r="336" spans="17:27" ht="13.8">
      <c r="Q336" s="378">
        <f t="shared" si="5"/>
        <v>330</v>
      </c>
      <c r="R336" s="379" t="s">
        <v>1939</v>
      </c>
      <c r="S336" s="379" t="s">
        <v>1940</v>
      </c>
      <c r="T336" s="380" t="s">
        <v>1023</v>
      </c>
      <c r="U336" s="378" t="s">
        <v>1941</v>
      </c>
      <c r="V336" s="378" t="s">
        <v>1940</v>
      </c>
      <c r="W336" s="379" t="s">
        <v>3014</v>
      </c>
      <c r="X336" s="317" t="s">
        <v>3146</v>
      </c>
      <c r="Y336" s="317" t="s">
        <v>3182</v>
      </c>
      <c r="Z336" s="315" t="s">
        <v>3169</v>
      </c>
      <c r="AA336" s="385">
        <v>9536</v>
      </c>
    </row>
    <row r="337" spans="17:27" ht="13.8">
      <c r="Q337" s="378">
        <f t="shared" si="5"/>
        <v>331</v>
      </c>
      <c r="R337" s="379" t="s">
        <v>1942</v>
      </c>
      <c r="S337" s="379" t="s">
        <v>1943</v>
      </c>
      <c r="T337" s="380" t="s">
        <v>1023</v>
      </c>
      <c r="U337" s="378" t="s">
        <v>1944</v>
      </c>
      <c r="V337" s="378" t="s">
        <v>1943</v>
      </c>
      <c r="W337" s="379" t="s">
        <v>3015</v>
      </c>
      <c r="X337" s="317" t="s">
        <v>3146</v>
      </c>
      <c r="Y337" s="317" t="s">
        <v>3182</v>
      </c>
      <c r="Z337" s="315" t="s">
        <v>3169</v>
      </c>
      <c r="AA337" s="385">
        <v>41864</v>
      </c>
    </row>
    <row r="338" spans="17:27" ht="13.8">
      <c r="Q338" s="378">
        <f t="shared" si="5"/>
        <v>332</v>
      </c>
      <c r="R338" s="379" t="s">
        <v>1945</v>
      </c>
      <c r="S338" s="379" t="s">
        <v>1946</v>
      </c>
      <c r="T338" s="380" t="s">
        <v>1102</v>
      </c>
      <c r="U338" s="378" t="s">
        <v>1947</v>
      </c>
      <c r="V338" s="378" t="s">
        <v>1946</v>
      </c>
      <c r="W338" s="379" t="s">
        <v>3016</v>
      </c>
      <c r="X338" s="317" t="s">
        <v>3146</v>
      </c>
      <c r="Y338" s="317" t="s">
        <v>3182</v>
      </c>
      <c r="Z338" s="315" t="s">
        <v>3163</v>
      </c>
      <c r="AA338" s="385">
        <v>28117</v>
      </c>
    </row>
    <row r="339" spans="17:27" ht="13.8">
      <c r="Q339" s="378">
        <f t="shared" si="5"/>
        <v>333</v>
      </c>
      <c r="R339" s="379" t="s">
        <v>1948</v>
      </c>
      <c r="S339" s="379" t="s">
        <v>1949</v>
      </c>
      <c r="T339" s="380" t="s">
        <v>1102</v>
      </c>
      <c r="U339" s="378" t="s">
        <v>1950</v>
      </c>
      <c r="V339" s="378" t="s">
        <v>2781</v>
      </c>
      <c r="W339" s="379" t="s">
        <v>2781</v>
      </c>
      <c r="X339" s="317" t="s">
        <v>3147</v>
      </c>
      <c r="Y339" s="317" t="s">
        <v>3182</v>
      </c>
      <c r="Z339" s="315" t="s">
        <v>3164</v>
      </c>
      <c r="AA339" s="385">
        <v>4160</v>
      </c>
    </row>
    <row r="340" spans="17:27" ht="13.8">
      <c r="Q340" s="378">
        <f t="shared" si="5"/>
        <v>334</v>
      </c>
      <c r="R340" s="379" t="s">
        <v>1951</v>
      </c>
      <c r="S340" s="379" t="s">
        <v>1952</v>
      </c>
      <c r="T340" s="380" t="s">
        <v>1060</v>
      </c>
      <c r="U340" s="378" t="s">
        <v>1953</v>
      </c>
      <c r="V340" s="378" t="s">
        <v>2782</v>
      </c>
      <c r="W340" s="379" t="s">
        <v>2782</v>
      </c>
      <c r="X340" s="317" t="s">
        <v>3147</v>
      </c>
      <c r="Y340" s="317" t="s">
        <v>3182</v>
      </c>
      <c r="Z340" s="315" t="s">
        <v>3163</v>
      </c>
      <c r="AA340" s="385">
        <v>6685</v>
      </c>
    </row>
    <row r="341" spans="17:27" ht="13.8">
      <c r="Q341" s="378">
        <f t="shared" si="5"/>
        <v>335</v>
      </c>
      <c r="R341" s="379" t="s">
        <v>1954</v>
      </c>
      <c r="S341" s="381" t="s">
        <v>1955</v>
      </c>
      <c r="T341" s="380" t="s">
        <v>958</v>
      </c>
      <c r="U341" s="378" t="s">
        <v>1956</v>
      </c>
      <c r="V341" s="378" t="s">
        <v>1955</v>
      </c>
      <c r="W341" s="381" t="s">
        <v>3017</v>
      </c>
      <c r="X341" s="317" t="s">
        <v>3146</v>
      </c>
      <c r="Y341" s="317" t="s">
        <v>3183</v>
      </c>
      <c r="Z341" s="315" t="s">
        <v>3168</v>
      </c>
      <c r="AA341" s="385">
        <v>6147</v>
      </c>
    </row>
    <row r="342" spans="17:27" ht="13.8">
      <c r="Q342" s="378">
        <f t="shared" si="5"/>
        <v>336</v>
      </c>
      <c r="R342" s="379" t="s">
        <v>1957</v>
      </c>
      <c r="S342" s="379" t="s">
        <v>1958</v>
      </c>
      <c r="T342" s="380" t="s">
        <v>1217</v>
      </c>
      <c r="U342" s="378" t="s">
        <v>1959</v>
      </c>
      <c r="V342" s="378" t="s">
        <v>2783</v>
      </c>
      <c r="W342" s="379" t="s">
        <v>2783</v>
      </c>
      <c r="X342" s="317" t="s">
        <v>3147</v>
      </c>
      <c r="Y342" s="317" t="s">
        <v>3182</v>
      </c>
      <c r="Z342" s="315" t="s">
        <v>3163</v>
      </c>
      <c r="AA342" s="385">
        <v>3036</v>
      </c>
    </row>
    <row r="343" spans="17:27" ht="13.8">
      <c r="Q343" s="378">
        <f t="shared" si="5"/>
        <v>337</v>
      </c>
      <c r="R343" s="379" t="s">
        <v>1960</v>
      </c>
      <c r="S343" s="379" t="s">
        <v>1961</v>
      </c>
      <c r="T343" s="380" t="s">
        <v>954</v>
      </c>
      <c r="U343" s="378" t="s">
        <v>1962</v>
      </c>
      <c r="V343" s="378" t="s">
        <v>2784</v>
      </c>
      <c r="W343" s="379" t="s">
        <v>3018</v>
      </c>
      <c r="X343" s="317" t="s">
        <v>3147</v>
      </c>
      <c r="Y343" s="317" t="s">
        <v>3182</v>
      </c>
      <c r="Z343" s="315" t="s">
        <v>3163</v>
      </c>
      <c r="AA343" s="385">
        <v>4869</v>
      </c>
    </row>
    <row r="344" spans="17:27" ht="13.8">
      <c r="Q344" s="378">
        <f t="shared" si="5"/>
        <v>338</v>
      </c>
      <c r="R344" s="379" t="s">
        <v>1963</v>
      </c>
      <c r="S344" s="379" t="s">
        <v>1964</v>
      </c>
      <c r="T344" s="380" t="s">
        <v>954</v>
      </c>
      <c r="U344" s="378" t="s">
        <v>1965</v>
      </c>
      <c r="V344" s="378" t="s">
        <v>1964</v>
      </c>
      <c r="W344" s="379" t="s">
        <v>3018</v>
      </c>
      <c r="X344" s="317" t="s">
        <v>3146</v>
      </c>
      <c r="Y344" s="317" t="s">
        <v>3183</v>
      </c>
      <c r="Z344" s="315" t="s">
        <v>3168</v>
      </c>
      <c r="AA344" s="385">
        <v>27935</v>
      </c>
    </row>
    <row r="345" spans="17:27" ht="13.8">
      <c r="Q345" s="378">
        <f t="shared" si="5"/>
        <v>339</v>
      </c>
      <c r="R345" s="379" t="s">
        <v>1966</v>
      </c>
      <c r="S345" s="379" t="s">
        <v>1967</v>
      </c>
      <c r="T345" s="380" t="s">
        <v>1102</v>
      </c>
      <c r="U345" s="378" t="s">
        <v>1968</v>
      </c>
      <c r="V345" s="378" t="s">
        <v>2785</v>
      </c>
      <c r="W345" s="379" t="s">
        <v>2785</v>
      </c>
      <c r="X345" s="317" t="s">
        <v>3147</v>
      </c>
      <c r="Y345" s="317" t="s">
        <v>3182</v>
      </c>
      <c r="Z345" s="315" t="s">
        <v>3163</v>
      </c>
      <c r="AA345" s="385">
        <v>3232</v>
      </c>
    </row>
    <row r="346" spans="17:27" ht="13.8">
      <c r="Q346" s="378">
        <f t="shared" si="5"/>
        <v>340</v>
      </c>
      <c r="R346" s="379" t="s">
        <v>1969</v>
      </c>
      <c r="S346" s="381" t="s">
        <v>1970</v>
      </c>
      <c r="T346" s="380" t="s">
        <v>1183</v>
      </c>
      <c r="U346" s="378" t="s">
        <v>1971</v>
      </c>
      <c r="V346" s="378" t="s">
        <v>3110</v>
      </c>
      <c r="W346" s="381" t="s">
        <v>3110</v>
      </c>
      <c r="X346" s="317" t="s">
        <v>3148</v>
      </c>
      <c r="Y346" s="317" t="s">
        <v>3182</v>
      </c>
      <c r="Z346" s="315" t="s">
        <v>3171</v>
      </c>
      <c r="AA346" s="385">
        <v>55181</v>
      </c>
    </row>
    <row r="347" spans="17:27" ht="13.8">
      <c r="Q347" s="378">
        <f t="shared" si="5"/>
        <v>341</v>
      </c>
      <c r="R347" s="379" t="s">
        <v>1972</v>
      </c>
      <c r="S347" s="379" t="s">
        <v>1973</v>
      </c>
      <c r="T347" s="380" t="s">
        <v>1023</v>
      </c>
      <c r="U347" s="378" t="s">
        <v>1974</v>
      </c>
      <c r="V347" s="378" t="s">
        <v>1973</v>
      </c>
      <c r="W347" s="379" t="s">
        <v>3019</v>
      </c>
      <c r="X347" s="317" t="s">
        <v>3146</v>
      </c>
      <c r="Y347" s="317" t="s">
        <v>3183</v>
      </c>
      <c r="Z347" s="315" t="s">
        <v>3168</v>
      </c>
      <c r="AA347" s="385">
        <v>7385</v>
      </c>
    </row>
    <row r="348" spans="17:27" ht="13.8">
      <c r="Q348" s="378">
        <f t="shared" si="5"/>
        <v>342</v>
      </c>
      <c r="R348" s="379" t="s">
        <v>1975</v>
      </c>
      <c r="S348" s="379" t="s">
        <v>1976</v>
      </c>
      <c r="T348" s="380" t="s">
        <v>962</v>
      </c>
      <c r="U348" s="378" t="s">
        <v>1977</v>
      </c>
      <c r="V348" s="378" t="s">
        <v>2786</v>
      </c>
      <c r="W348" s="379" t="s">
        <v>2786</v>
      </c>
      <c r="X348" s="317" t="s">
        <v>3147</v>
      </c>
      <c r="Y348" s="317" t="s">
        <v>3182</v>
      </c>
      <c r="Z348" s="315" t="s">
        <v>3163</v>
      </c>
      <c r="AA348" s="385">
        <v>16341</v>
      </c>
    </row>
    <row r="349" spans="17:27" ht="13.8">
      <c r="Q349" s="378">
        <f t="shared" si="5"/>
        <v>343</v>
      </c>
      <c r="R349" s="379" t="s">
        <v>1978</v>
      </c>
      <c r="S349" s="379" t="s">
        <v>1979</v>
      </c>
      <c r="T349" s="380" t="s">
        <v>1060</v>
      </c>
      <c r="U349" s="378" t="s">
        <v>1980</v>
      </c>
      <c r="V349" s="378" t="s">
        <v>2787</v>
      </c>
      <c r="W349" s="379" t="s">
        <v>2787</v>
      </c>
      <c r="X349" s="317" t="s">
        <v>3147</v>
      </c>
      <c r="Y349" s="317" t="s">
        <v>3182</v>
      </c>
      <c r="Z349" s="315" t="s">
        <v>3163</v>
      </c>
      <c r="AA349" s="385">
        <v>12171</v>
      </c>
    </row>
    <row r="350" spans="17:27" ht="13.8">
      <c r="Q350" s="378">
        <f t="shared" si="5"/>
        <v>344</v>
      </c>
      <c r="R350" s="379" t="s">
        <v>1981</v>
      </c>
      <c r="S350" s="379" t="s">
        <v>1982</v>
      </c>
      <c r="T350" s="380" t="s">
        <v>1044</v>
      </c>
      <c r="U350" s="378" t="s">
        <v>1983</v>
      </c>
      <c r="V350" s="378" t="s">
        <v>3111</v>
      </c>
      <c r="W350" s="379" t="s">
        <v>3111</v>
      </c>
      <c r="X350" s="317" t="s">
        <v>3148</v>
      </c>
      <c r="Y350" s="317" t="s">
        <v>3182</v>
      </c>
      <c r="Z350" s="315" t="s">
        <v>3170</v>
      </c>
      <c r="AA350" s="385">
        <v>277140</v>
      </c>
    </row>
    <row r="351" spans="17:27" ht="13.8">
      <c r="Q351" s="378">
        <f t="shared" si="5"/>
        <v>345</v>
      </c>
      <c r="R351" s="379" t="s">
        <v>1984</v>
      </c>
      <c r="S351" s="379" t="s">
        <v>1985</v>
      </c>
      <c r="T351" s="380" t="s">
        <v>1217</v>
      </c>
      <c r="U351" s="378" t="s">
        <v>1986</v>
      </c>
      <c r="V351" s="378" t="s">
        <v>2788</v>
      </c>
      <c r="W351" s="379" t="s">
        <v>2788</v>
      </c>
      <c r="X351" s="317" t="s">
        <v>3147</v>
      </c>
      <c r="Y351" s="317" t="s">
        <v>3182</v>
      </c>
      <c r="Z351" s="315" t="s">
        <v>3163</v>
      </c>
      <c r="AA351" s="385">
        <v>1553</v>
      </c>
    </row>
    <row r="352" spans="17:27" ht="13.8">
      <c r="Q352" s="378">
        <f t="shared" si="5"/>
        <v>346</v>
      </c>
      <c r="R352" s="379" t="s">
        <v>1987</v>
      </c>
      <c r="S352" s="379" t="s">
        <v>1988</v>
      </c>
      <c r="T352" s="380" t="s">
        <v>983</v>
      </c>
      <c r="U352" s="378" t="s">
        <v>1989</v>
      </c>
      <c r="V352" s="378" t="s">
        <v>3136</v>
      </c>
      <c r="W352" s="379" t="s">
        <v>3136</v>
      </c>
      <c r="X352" s="317" t="s">
        <v>2640</v>
      </c>
      <c r="Y352" s="317" t="s">
        <v>3182</v>
      </c>
      <c r="Z352" s="315" t="s">
        <v>3169</v>
      </c>
      <c r="AA352" s="385">
        <v>7997</v>
      </c>
    </row>
    <row r="353" spans="17:27" ht="13.8">
      <c r="Q353" s="378">
        <f t="shared" si="5"/>
        <v>347</v>
      </c>
      <c r="R353" s="379" t="s">
        <v>1990</v>
      </c>
      <c r="S353" s="379" t="s">
        <v>1991</v>
      </c>
      <c r="T353" s="380" t="s">
        <v>962</v>
      </c>
      <c r="U353" s="378" t="s">
        <v>1992</v>
      </c>
      <c r="V353" s="378" t="s">
        <v>2789</v>
      </c>
      <c r="W353" s="379" t="s">
        <v>2789</v>
      </c>
      <c r="X353" s="317" t="s">
        <v>3147</v>
      </c>
      <c r="Y353" s="317" t="s">
        <v>3182</v>
      </c>
      <c r="Z353" s="315" t="s">
        <v>3163</v>
      </c>
      <c r="AA353" s="385">
        <v>15392</v>
      </c>
    </row>
    <row r="354" spans="17:27" ht="13.8">
      <c r="Q354" s="378">
        <f t="shared" si="5"/>
        <v>348</v>
      </c>
      <c r="R354" s="379" t="s">
        <v>1993</v>
      </c>
      <c r="S354" s="379" t="s">
        <v>1994</v>
      </c>
      <c r="T354" s="380" t="s">
        <v>1030</v>
      </c>
      <c r="U354" s="378" t="s">
        <v>1995</v>
      </c>
      <c r="V354" s="378" t="s">
        <v>1994</v>
      </c>
      <c r="W354" s="379" t="s">
        <v>3020</v>
      </c>
      <c r="X354" s="317" t="s">
        <v>3146</v>
      </c>
      <c r="Y354" s="317" t="s">
        <v>3184</v>
      </c>
      <c r="Z354" s="315" t="s">
        <v>3178</v>
      </c>
      <c r="AA354" s="385">
        <v>60773</v>
      </c>
    </row>
    <row r="355" spans="17:27" ht="13.8">
      <c r="Q355" s="378">
        <f t="shared" si="5"/>
        <v>349</v>
      </c>
      <c r="R355" s="379" t="s">
        <v>1996</v>
      </c>
      <c r="S355" s="379" t="s">
        <v>1997</v>
      </c>
      <c r="T355" s="380" t="s">
        <v>1183</v>
      </c>
      <c r="U355" s="378" t="s">
        <v>1998</v>
      </c>
      <c r="V355" s="378" t="s">
        <v>1997</v>
      </c>
      <c r="W355" s="379" t="s">
        <v>3021</v>
      </c>
      <c r="X355" s="317" t="s">
        <v>3146</v>
      </c>
      <c r="Y355" s="317" t="s">
        <v>3182</v>
      </c>
      <c r="Z355" s="315" t="s">
        <v>3163</v>
      </c>
      <c r="AA355" s="385">
        <v>40742</v>
      </c>
    </row>
    <row r="356" spans="17:27" ht="13.8">
      <c r="Q356" s="378">
        <f t="shared" si="5"/>
        <v>350</v>
      </c>
      <c r="R356" s="379" t="s">
        <v>1999</v>
      </c>
      <c r="S356" s="379" t="s">
        <v>2000</v>
      </c>
      <c r="T356" s="380" t="s">
        <v>1044</v>
      </c>
      <c r="U356" s="378" t="s">
        <v>2001</v>
      </c>
      <c r="V356" s="378" t="s">
        <v>2790</v>
      </c>
      <c r="W356" s="379" t="s">
        <v>2790</v>
      </c>
      <c r="X356" s="317" t="s">
        <v>3147</v>
      </c>
      <c r="Y356" s="317" t="s">
        <v>3184</v>
      </c>
      <c r="Z356" s="315" t="s">
        <v>3178</v>
      </c>
      <c r="AA356" s="385">
        <v>6183</v>
      </c>
    </row>
    <row r="357" spans="17:27" ht="13.8">
      <c r="Q357" s="378">
        <f t="shared" si="5"/>
        <v>351</v>
      </c>
      <c r="R357" s="379" t="s">
        <v>2002</v>
      </c>
      <c r="S357" s="379" t="s">
        <v>2003</v>
      </c>
      <c r="T357" s="380" t="s">
        <v>1092</v>
      </c>
      <c r="U357" s="378" t="s">
        <v>2004</v>
      </c>
      <c r="V357" s="378" t="s">
        <v>2791</v>
      </c>
      <c r="W357" s="379" t="s">
        <v>2791</v>
      </c>
      <c r="X357" s="317" t="s">
        <v>3147</v>
      </c>
      <c r="Y357" s="317" t="s">
        <v>3182</v>
      </c>
      <c r="Z357" s="315" t="s">
        <v>3163</v>
      </c>
      <c r="AA357" s="385">
        <v>8417</v>
      </c>
    </row>
    <row r="358" spans="17:27" ht="13.8">
      <c r="Q358" s="378">
        <f t="shared" si="5"/>
        <v>352</v>
      </c>
      <c r="R358" s="379" t="s">
        <v>2005</v>
      </c>
      <c r="S358" s="379" t="s">
        <v>2006</v>
      </c>
      <c r="T358" s="380" t="s">
        <v>1023</v>
      </c>
      <c r="U358" s="378" t="s">
        <v>2007</v>
      </c>
      <c r="V358" s="378" t="s">
        <v>2006</v>
      </c>
      <c r="W358" s="379" t="s">
        <v>3022</v>
      </c>
      <c r="X358" s="317" t="s">
        <v>3146</v>
      </c>
      <c r="Y358" s="317" t="s">
        <v>3183</v>
      </c>
      <c r="Z358" s="315" t="s">
        <v>3168</v>
      </c>
      <c r="AA358" s="385">
        <v>7678</v>
      </c>
    </row>
    <row r="359" spans="17:27" ht="13.8">
      <c r="Q359" s="378">
        <f t="shared" si="5"/>
        <v>353</v>
      </c>
      <c r="R359" s="379" t="s">
        <v>2008</v>
      </c>
      <c r="S359" s="379" t="s">
        <v>2009</v>
      </c>
      <c r="T359" s="380" t="s">
        <v>1040</v>
      </c>
      <c r="U359" s="378" t="s">
        <v>2010</v>
      </c>
      <c r="V359" s="378" t="s">
        <v>2792</v>
      </c>
      <c r="W359" s="379" t="s">
        <v>2792</v>
      </c>
      <c r="X359" s="317" t="s">
        <v>3147</v>
      </c>
      <c r="Y359" s="317" t="s">
        <v>3182</v>
      </c>
      <c r="Z359" s="315" t="s">
        <v>3164</v>
      </c>
      <c r="AA359" s="385">
        <v>21936</v>
      </c>
    </row>
    <row r="360" spans="17:27" ht="13.8">
      <c r="Q360" s="378">
        <f t="shared" si="5"/>
        <v>354</v>
      </c>
      <c r="R360" s="379" t="s">
        <v>2011</v>
      </c>
      <c r="S360" s="379" t="s">
        <v>2012</v>
      </c>
      <c r="T360" s="380" t="s">
        <v>1006</v>
      </c>
      <c r="U360" s="378" t="s">
        <v>2013</v>
      </c>
      <c r="V360" s="378" t="s">
        <v>3112</v>
      </c>
      <c r="W360" s="379" t="s">
        <v>3112</v>
      </c>
      <c r="X360" s="317" t="s">
        <v>3148</v>
      </c>
      <c r="Y360" s="317" t="s">
        <v>3182</v>
      </c>
      <c r="Z360" s="315" t="s">
        <v>3164</v>
      </c>
      <c r="AA360" s="385">
        <v>4041</v>
      </c>
    </row>
    <row r="361" spans="17:27" ht="13.8">
      <c r="Q361" s="378">
        <f t="shared" si="5"/>
        <v>355</v>
      </c>
      <c r="R361" s="379" t="s">
        <v>2014</v>
      </c>
      <c r="S361" s="379" t="s">
        <v>2015</v>
      </c>
      <c r="T361" s="380" t="s">
        <v>958</v>
      </c>
      <c r="U361" s="378" t="s">
        <v>2016</v>
      </c>
      <c r="V361" s="378" t="s">
        <v>3113</v>
      </c>
      <c r="W361" s="379" t="s">
        <v>3113</v>
      </c>
      <c r="X361" s="317" t="s">
        <v>3148</v>
      </c>
      <c r="Y361" s="317" t="s">
        <v>3182</v>
      </c>
      <c r="Z361" s="315" t="s">
        <v>3164</v>
      </c>
      <c r="AA361" s="385">
        <v>8624</v>
      </c>
    </row>
    <row r="362" spans="17:27" ht="13.8">
      <c r="Q362" s="378">
        <f t="shared" si="5"/>
        <v>356</v>
      </c>
      <c r="R362" s="379" t="s">
        <v>2017</v>
      </c>
      <c r="S362" s="379" t="s">
        <v>2018</v>
      </c>
      <c r="T362" s="380" t="s">
        <v>962</v>
      </c>
      <c r="U362" s="378" t="s">
        <v>2019</v>
      </c>
      <c r="V362" s="378" t="s">
        <v>2793</v>
      </c>
      <c r="W362" s="379" t="s">
        <v>2793</v>
      </c>
      <c r="X362" s="317" t="s">
        <v>3147</v>
      </c>
      <c r="Y362" s="317" t="s">
        <v>3182</v>
      </c>
      <c r="Z362" s="315" t="s">
        <v>3163</v>
      </c>
      <c r="AA362" s="385">
        <v>4640</v>
      </c>
    </row>
    <row r="363" spans="17:27" ht="13.8">
      <c r="Q363" s="378">
        <f t="shared" si="5"/>
        <v>357</v>
      </c>
      <c r="R363" s="379" t="s">
        <v>2020</v>
      </c>
      <c r="S363" s="379" t="s">
        <v>2021</v>
      </c>
      <c r="T363" s="380" t="s">
        <v>962</v>
      </c>
      <c r="U363" s="378" t="s">
        <v>2022</v>
      </c>
      <c r="V363" s="378" t="s">
        <v>2794</v>
      </c>
      <c r="W363" s="379" t="s">
        <v>2794</v>
      </c>
      <c r="X363" s="317" t="s">
        <v>3147</v>
      </c>
      <c r="Y363" s="317" t="s">
        <v>3182</v>
      </c>
      <c r="Z363" s="315" t="s">
        <v>3163</v>
      </c>
      <c r="AA363" s="385">
        <v>5711</v>
      </c>
    </row>
    <row r="364" spans="17:27" ht="13.8">
      <c r="Q364" s="378">
        <f t="shared" si="5"/>
        <v>358</v>
      </c>
      <c r="R364" s="379" t="s">
        <v>2023</v>
      </c>
      <c r="S364" s="379" t="s">
        <v>2024</v>
      </c>
      <c r="T364" s="380" t="s">
        <v>1044</v>
      </c>
      <c r="U364" s="378" t="s">
        <v>2025</v>
      </c>
      <c r="V364" s="378" t="s">
        <v>2024</v>
      </c>
      <c r="W364" s="379" t="s">
        <v>3023</v>
      </c>
      <c r="X364" s="317" t="s">
        <v>3146</v>
      </c>
      <c r="Y364" s="317" t="s">
        <v>3182</v>
      </c>
      <c r="Z364" s="315" t="s">
        <v>3163</v>
      </c>
      <c r="AA364" s="385">
        <v>28370</v>
      </c>
    </row>
    <row r="365" spans="17:27" ht="13.8">
      <c r="Q365" s="378">
        <f t="shared" si="5"/>
        <v>359</v>
      </c>
      <c r="R365" s="379" t="s">
        <v>2026</v>
      </c>
      <c r="S365" s="379" t="s">
        <v>2027</v>
      </c>
      <c r="T365" s="380" t="s">
        <v>962</v>
      </c>
      <c r="U365" s="378" t="s">
        <v>2028</v>
      </c>
      <c r="V365" s="378" t="s">
        <v>2795</v>
      </c>
      <c r="W365" s="379" t="s">
        <v>2795</v>
      </c>
      <c r="X365" s="317" t="s">
        <v>3147</v>
      </c>
      <c r="Y365" s="317" t="s">
        <v>3182</v>
      </c>
      <c r="Z365" s="315" t="s">
        <v>3163</v>
      </c>
      <c r="AA365" s="385">
        <v>12754</v>
      </c>
    </row>
    <row r="366" spans="17:27" ht="13.8">
      <c r="Q366" s="378">
        <f t="shared" si="5"/>
        <v>360</v>
      </c>
      <c r="R366" s="379" t="s">
        <v>2029</v>
      </c>
      <c r="S366" s="379" t="s">
        <v>2030</v>
      </c>
      <c r="T366" s="380" t="s">
        <v>999</v>
      </c>
      <c r="U366" s="378" t="s">
        <v>2031</v>
      </c>
      <c r="V366" s="378" t="s">
        <v>2796</v>
      </c>
      <c r="W366" s="379" t="s">
        <v>2796</v>
      </c>
      <c r="X366" s="317" t="s">
        <v>3147</v>
      </c>
      <c r="Y366" s="317" t="s">
        <v>3182</v>
      </c>
      <c r="Z366" s="315" t="s">
        <v>3163</v>
      </c>
      <c r="AA366" s="385">
        <v>4038</v>
      </c>
    </row>
    <row r="367" spans="17:27" ht="13.8">
      <c r="Q367" s="378">
        <f t="shared" si="5"/>
        <v>361</v>
      </c>
      <c r="R367" s="379" t="s">
        <v>2032</v>
      </c>
      <c r="S367" s="379" t="s">
        <v>2033</v>
      </c>
      <c r="T367" s="380" t="s">
        <v>1006</v>
      </c>
      <c r="U367" s="378" t="s">
        <v>2034</v>
      </c>
      <c r="V367" s="378" t="s">
        <v>3144</v>
      </c>
      <c r="W367" s="379" t="s">
        <v>3144</v>
      </c>
      <c r="X367" s="317" t="s">
        <v>3148</v>
      </c>
      <c r="Y367" s="317" t="s">
        <v>3182</v>
      </c>
      <c r="Z367" s="315" t="s">
        <v>3164</v>
      </c>
      <c r="AA367" s="385">
        <v>11701</v>
      </c>
    </row>
    <row r="368" spans="17:27" ht="13.8">
      <c r="Q368" s="378">
        <f t="shared" si="5"/>
        <v>362</v>
      </c>
      <c r="R368" s="379" t="s">
        <v>2035</v>
      </c>
      <c r="S368" s="379" t="s">
        <v>2036</v>
      </c>
      <c r="T368" s="380" t="s">
        <v>1013</v>
      </c>
      <c r="U368" s="378" t="s">
        <v>2037</v>
      </c>
      <c r="V368" s="378" t="s">
        <v>2797</v>
      </c>
      <c r="W368" s="379" t="s">
        <v>2797</v>
      </c>
      <c r="X368" s="317" t="s">
        <v>3147</v>
      </c>
      <c r="Y368" s="317" t="s">
        <v>3182</v>
      </c>
      <c r="Z368" s="315" t="s">
        <v>3163</v>
      </c>
      <c r="AA368" s="385">
        <v>2011</v>
      </c>
    </row>
    <row r="369" spans="17:27" ht="13.8">
      <c r="Q369" s="378">
        <f t="shared" si="5"/>
        <v>363</v>
      </c>
      <c r="R369" s="379" t="s">
        <v>2038</v>
      </c>
      <c r="S369" s="379" t="s">
        <v>2039</v>
      </c>
      <c r="T369" s="380" t="s">
        <v>954</v>
      </c>
      <c r="U369" s="378" t="s">
        <v>2040</v>
      </c>
      <c r="V369" s="378" t="s">
        <v>2039</v>
      </c>
      <c r="W369" s="379" t="s">
        <v>1013</v>
      </c>
      <c r="X369" s="317" t="s">
        <v>3146</v>
      </c>
      <c r="Y369" s="317" t="s">
        <v>3182</v>
      </c>
      <c r="Z369" s="315" t="s">
        <v>3163</v>
      </c>
      <c r="AA369" s="385">
        <v>27291</v>
      </c>
    </row>
    <row r="370" spans="17:27" ht="13.8">
      <c r="Q370" s="378">
        <f t="shared" si="5"/>
        <v>364</v>
      </c>
      <c r="R370" s="379" t="s">
        <v>2041</v>
      </c>
      <c r="S370" s="379" t="s">
        <v>2039</v>
      </c>
      <c r="T370" s="380" t="s">
        <v>1013</v>
      </c>
      <c r="U370" s="378" t="s">
        <v>2042</v>
      </c>
      <c r="V370" s="378" t="s">
        <v>2039</v>
      </c>
      <c r="W370" s="379" t="s">
        <v>1013</v>
      </c>
      <c r="X370" s="317" t="s">
        <v>3146</v>
      </c>
      <c r="Y370" s="317" t="s">
        <v>3183</v>
      </c>
      <c r="Z370" s="315" t="s">
        <v>3165</v>
      </c>
      <c r="AA370" s="385">
        <v>8332</v>
      </c>
    </row>
    <row r="371" spans="17:27" ht="13.8">
      <c r="Q371" s="378">
        <f t="shared" si="5"/>
        <v>365</v>
      </c>
      <c r="R371" s="379" t="s">
        <v>2043</v>
      </c>
      <c r="S371" s="379" t="s">
        <v>2044</v>
      </c>
      <c r="T371" s="380" t="s">
        <v>954</v>
      </c>
      <c r="U371" s="378" t="s">
        <v>2045</v>
      </c>
      <c r="V371" s="378" t="s">
        <v>2798</v>
      </c>
      <c r="W371" s="379" t="s">
        <v>2798</v>
      </c>
      <c r="X371" s="317" t="s">
        <v>3147</v>
      </c>
      <c r="Y371" s="317" t="s">
        <v>3182</v>
      </c>
      <c r="Z371" s="315" t="s">
        <v>3169</v>
      </c>
      <c r="AA371" s="385">
        <v>5832</v>
      </c>
    </row>
    <row r="372" spans="17:27" ht="13.8">
      <c r="Q372" s="378">
        <f t="shared" si="5"/>
        <v>366</v>
      </c>
      <c r="R372" s="379" t="s">
        <v>2046</v>
      </c>
      <c r="S372" s="379" t="s">
        <v>2047</v>
      </c>
      <c r="T372" s="380" t="s">
        <v>983</v>
      </c>
      <c r="U372" s="378" t="s">
        <v>2048</v>
      </c>
      <c r="V372" s="378" t="s">
        <v>2799</v>
      </c>
      <c r="W372" s="379" t="s">
        <v>2799</v>
      </c>
      <c r="X372" s="317" t="s">
        <v>3147</v>
      </c>
      <c r="Y372" s="317" t="s">
        <v>3182</v>
      </c>
      <c r="Z372" s="315" t="s">
        <v>3163</v>
      </c>
      <c r="AA372" s="385">
        <v>2410</v>
      </c>
    </row>
    <row r="373" spans="17:27" ht="13.8">
      <c r="Q373" s="378">
        <f t="shared" si="5"/>
        <v>367</v>
      </c>
      <c r="R373" s="382" t="s">
        <v>2049</v>
      </c>
      <c r="S373" s="382" t="s">
        <v>2050</v>
      </c>
      <c r="T373" s="380" t="s">
        <v>1183</v>
      </c>
      <c r="U373" s="378" t="s">
        <v>2051</v>
      </c>
      <c r="V373" s="378" t="s">
        <v>2050</v>
      </c>
      <c r="W373" s="382" t="s">
        <v>3024</v>
      </c>
      <c r="X373" s="317" t="s">
        <v>3146</v>
      </c>
      <c r="Y373" s="317" t="s">
        <v>3182</v>
      </c>
      <c r="Z373" s="315" t="s">
        <v>3170</v>
      </c>
      <c r="AA373" s="385">
        <v>65375</v>
      </c>
    </row>
    <row r="374" spans="17:27" ht="13.8">
      <c r="Q374" s="378">
        <f t="shared" si="5"/>
        <v>368</v>
      </c>
      <c r="R374" s="379" t="s">
        <v>2052</v>
      </c>
      <c r="S374" s="379" t="s">
        <v>2053</v>
      </c>
      <c r="T374" s="380" t="s">
        <v>962</v>
      </c>
      <c r="U374" s="378" t="s">
        <v>2054</v>
      </c>
      <c r="V374" s="378" t="s">
        <v>2800</v>
      </c>
      <c r="W374" s="379" t="s">
        <v>2800</v>
      </c>
      <c r="X374" s="317" t="s">
        <v>3147</v>
      </c>
      <c r="Y374" s="317" t="s">
        <v>3182</v>
      </c>
      <c r="Z374" s="315" t="s">
        <v>3163</v>
      </c>
      <c r="AA374" s="385">
        <v>5750</v>
      </c>
    </row>
    <row r="375" spans="17:27" ht="13.8">
      <c r="Q375" s="378">
        <f t="shared" si="5"/>
        <v>369</v>
      </c>
      <c r="R375" s="379" t="s">
        <v>2055</v>
      </c>
      <c r="S375" s="379" t="s">
        <v>2056</v>
      </c>
      <c r="T375" s="380" t="s">
        <v>972</v>
      </c>
      <c r="U375" s="378" t="s">
        <v>2057</v>
      </c>
      <c r="V375" s="378" t="s">
        <v>2056</v>
      </c>
      <c r="W375" s="379" t="s">
        <v>3025</v>
      </c>
      <c r="X375" s="317" t="s">
        <v>3146</v>
      </c>
      <c r="Y375" s="317" t="s">
        <v>3183</v>
      </c>
      <c r="Z375" s="315" t="s">
        <v>3165</v>
      </c>
      <c r="AA375" s="385">
        <v>1773</v>
      </c>
    </row>
    <row r="376" spans="17:27" ht="13.8">
      <c r="Q376" s="378">
        <f t="shared" si="5"/>
        <v>370</v>
      </c>
      <c r="R376" s="379" t="s">
        <v>2058</v>
      </c>
      <c r="S376" s="379" t="s">
        <v>2059</v>
      </c>
      <c r="T376" s="380" t="s">
        <v>962</v>
      </c>
      <c r="U376" s="378" t="s">
        <v>2060</v>
      </c>
      <c r="V376" s="378" t="s">
        <v>2801</v>
      </c>
      <c r="W376" s="379" t="s">
        <v>2801</v>
      </c>
      <c r="X376" s="317" t="s">
        <v>3147</v>
      </c>
      <c r="Y376" s="317" t="s">
        <v>3182</v>
      </c>
      <c r="Z376" s="315" t="s">
        <v>3163</v>
      </c>
      <c r="AA376" s="385">
        <v>7978</v>
      </c>
    </row>
    <row r="377" spans="17:27" ht="13.8">
      <c r="Q377" s="378">
        <f t="shared" si="5"/>
        <v>371</v>
      </c>
      <c r="R377" s="379" t="s">
        <v>2061</v>
      </c>
      <c r="S377" s="379" t="s">
        <v>2062</v>
      </c>
      <c r="T377" s="380" t="s">
        <v>1044</v>
      </c>
      <c r="U377" s="378" t="s">
        <v>2063</v>
      </c>
      <c r="V377" s="378" t="s">
        <v>3114</v>
      </c>
      <c r="W377" s="379" t="s">
        <v>3129</v>
      </c>
      <c r="X377" s="317" t="s">
        <v>3148</v>
      </c>
      <c r="Y377" s="317" t="s">
        <v>3182</v>
      </c>
      <c r="Z377" s="315" t="s">
        <v>3164</v>
      </c>
      <c r="AA377" s="385">
        <v>30134</v>
      </c>
    </row>
    <row r="378" spans="17:27" ht="13.8">
      <c r="Q378" s="378">
        <f t="shared" si="5"/>
        <v>372</v>
      </c>
      <c r="R378" s="379" t="s">
        <v>2064</v>
      </c>
      <c r="S378" s="379" t="s">
        <v>2065</v>
      </c>
      <c r="T378" s="380" t="s">
        <v>976</v>
      </c>
      <c r="U378" s="378" t="s">
        <v>2066</v>
      </c>
      <c r="V378" s="378" t="s">
        <v>2065</v>
      </c>
      <c r="W378" s="379" t="s">
        <v>3026</v>
      </c>
      <c r="X378" s="317" t="s">
        <v>3146</v>
      </c>
      <c r="Y378" s="317" t="s">
        <v>3183</v>
      </c>
      <c r="Z378" s="315" t="s">
        <v>3165</v>
      </c>
      <c r="AA378" s="385">
        <v>2514</v>
      </c>
    </row>
    <row r="379" spans="17:27" ht="13.8">
      <c r="Q379" s="378">
        <f t="shared" si="5"/>
        <v>373</v>
      </c>
      <c r="R379" s="379" t="s">
        <v>2067</v>
      </c>
      <c r="S379" s="379" t="s">
        <v>2068</v>
      </c>
      <c r="T379" s="380" t="s">
        <v>962</v>
      </c>
      <c r="U379" s="378" t="s">
        <v>2069</v>
      </c>
      <c r="V379" s="378" t="s">
        <v>2802</v>
      </c>
      <c r="W379" s="379" t="s">
        <v>2802</v>
      </c>
      <c r="X379" s="317" t="s">
        <v>3147</v>
      </c>
      <c r="Y379" s="317" t="s">
        <v>3182</v>
      </c>
      <c r="Z379" s="315" t="s">
        <v>3163</v>
      </c>
      <c r="AA379" s="385">
        <v>19622</v>
      </c>
    </row>
    <row r="380" spans="17:27" ht="13.8">
      <c r="Q380" s="378">
        <f t="shared" si="5"/>
        <v>374</v>
      </c>
      <c r="R380" s="379" t="s">
        <v>2070</v>
      </c>
      <c r="S380" s="379" t="s">
        <v>2071</v>
      </c>
      <c r="T380" s="380" t="s">
        <v>1023</v>
      </c>
      <c r="U380" s="378" t="s">
        <v>2072</v>
      </c>
      <c r="V380" s="378" t="s">
        <v>2803</v>
      </c>
      <c r="W380" s="379" t="s">
        <v>2803</v>
      </c>
      <c r="X380" s="317" t="s">
        <v>3147</v>
      </c>
      <c r="Y380" s="317" t="s">
        <v>3182</v>
      </c>
      <c r="Z380" s="315" t="s">
        <v>3163</v>
      </c>
      <c r="AA380" s="385">
        <v>7398</v>
      </c>
    </row>
    <row r="381" spans="17:27" ht="13.8">
      <c r="Q381" s="378">
        <f t="shared" si="5"/>
        <v>375</v>
      </c>
      <c r="R381" s="379" t="s">
        <v>2073</v>
      </c>
      <c r="S381" s="379" t="s">
        <v>2074</v>
      </c>
      <c r="T381" s="380" t="s">
        <v>962</v>
      </c>
      <c r="U381" s="378" t="s">
        <v>2075</v>
      </c>
      <c r="V381" s="378" t="s">
        <v>2804</v>
      </c>
      <c r="W381" s="379" t="s">
        <v>2804</v>
      </c>
      <c r="X381" s="317" t="s">
        <v>3147</v>
      </c>
      <c r="Y381" s="317" t="s">
        <v>3182</v>
      </c>
      <c r="Z381" s="315" t="s">
        <v>3163</v>
      </c>
      <c r="AA381" s="385">
        <v>26342</v>
      </c>
    </row>
    <row r="382" spans="17:27" ht="13.8">
      <c r="Q382" s="378">
        <f t="shared" si="5"/>
        <v>376</v>
      </c>
      <c r="R382" s="379" t="s">
        <v>2076</v>
      </c>
      <c r="S382" s="379" t="s">
        <v>2077</v>
      </c>
      <c r="T382" s="380" t="s">
        <v>962</v>
      </c>
      <c r="U382" s="378" t="s">
        <v>2078</v>
      </c>
      <c r="V382" s="378" t="s">
        <v>2805</v>
      </c>
      <c r="W382" s="379" t="s">
        <v>2805</v>
      </c>
      <c r="X382" s="317" t="s">
        <v>3147</v>
      </c>
      <c r="Y382" s="317" t="s">
        <v>3182</v>
      </c>
      <c r="Z382" s="315" t="s">
        <v>3163</v>
      </c>
      <c r="AA382" s="385">
        <v>8645</v>
      </c>
    </row>
    <row r="383" spans="17:27" ht="13.8">
      <c r="Q383" s="378">
        <f t="shared" si="5"/>
        <v>377</v>
      </c>
      <c r="R383" s="379" t="s">
        <v>2079</v>
      </c>
      <c r="S383" s="379" t="s">
        <v>2080</v>
      </c>
      <c r="T383" s="380" t="s">
        <v>1102</v>
      </c>
      <c r="U383" s="378" t="s">
        <v>2081</v>
      </c>
      <c r="V383" s="378" t="s">
        <v>2080</v>
      </c>
      <c r="W383" s="379" t="s">
        <v>3027</v>
      </c>
      <c r="X383" s="317" t="s">
        <v>3146</v>
      </c>
      <c r="Y383" s="317" t="s">
        <v>3182</v>
      </c>
      <c r="Z383" s="315" t="s">
        <v>3171</v>
      </c>
      <c r="AA383" s="385">
        <v>53238</v>
      </c>
    </row>
    <row r="384" spans="17:27" ht="13.8">
      <c r="Q384" s="378">
        <f t="shared" si="5"/>
        <v>378</v>
      </c>
      <c r="R384" s="379" t="s">
        <v>2082</v>
      </c>
      <c r="S384" s="379" t="s">
        <v>2083</v>
      </c>
      <c r="T384" s="380" t="s">
        <v>1092</v>
      </c>
      <c r="U384" s="378" t="s">
        <v>2084</v>
      </c>
      <c r="V384" s="378" t="s">
        <v>1092</v>
      </c>
      <c r="W384" s="379" t="s">
        <v>1092</v>
      </c>
      <c r="X384" s="317" t="s">
        <v>3148</v>
      </c>
      <c r="Y384" s="317" t="s">
        <v>3182</v>
      </c>
      <c r="Z384" s="315" t="s">
        <v>3164</v>
      </c>
      <c r="AA384" s="385">
        <v>69781</v>
      </c>
    </row>
    <row r="385" spans="17:27" ht="13.8">
      <c r="Q385" s="378">
        <f t="shared" si="5"/>
        <v>379</v>
      </c>
      <c r="R385" s="379" t="s">
        <v>2085</v>
      </c>
      <c r="S385" s="379" t="s">
        <v>2086</v>
      </c>
      <c r="T385" s="380" t="s">
        <v>1092</v>
      </c>
      <c r="U385" s="378" t="s">
        <v>2087</v>
      </c>
      <c r="V385" s="378" t="s">
        <v>3115</v>
      </c>
      <c r="W385" s="379" t="s">
        <v>3115</v>
      </c>
      <c r="X385" s="317" t="s">
        <v>3148</v>
      </c>
      <c r="Y385" s="317" t="s">
        <v>3182</v>
      </c>
      <c r="Z385" s="315" t="s">
        <v>3170</v>
      </c>
      <c r="AA385" s="385">
        <v>146199</v>
      </c>
    </row>
    <row r="386" spans="17:27" ht="13.8">
      <c r="Q386" s="378">
        <f t="shared" si="5"/>
        <v>380</v>
      </c>
      <c r="R386" s="379" t="s">
        <v>2088</v>
      </c>
      <c r="S386" s="379" t="s">
        <v>2089</v>
      </c>
      <c r="T386" s="380" t="s">
        <v>1217</v>
      </c>
      <c r="U386" s="378" t="s">
        <v>2090</v>
      </c>
      <c r="V386" s="378" t="s">
        <v>2806</v>
      </c>
      <c r="W386" s="379" t="s">
        <v>2806</v>
      </c>
      <c r="X386" s="317" t="s">
        <v>3147</v>
      </c>
      <c r="Y386" s="317" t="s">
        <v>3182</v>
      </c>
      <c r="Z386" s="315" t="s">
        <v>3163</v>
      </c>
      <c r="AA386" s="385">
        <v>6097</v>
      </c>
    </row>
    <row r="387" spans="17:27" ht="13.8">
      <c r="Q387" s="378">
        <f t="shared" si="5"/>
        <v>381</v>
      </c>
      <c r="R387" s="379" t="s">
        <v>2091</v>
      </c>
      <c r="S387" s="379" t="s">
        <v>2092</v>
      </c>
      <c r="T387" s="380" t="s">
        <v>1040</v>
      </c>
      <c r="U387" s="378" t="s">
        <v>2093</v>
      </c>
      <c r="V387" s="378" t="s">
        <v>2807</v>
      </c>
      <c r="W387" s="379" t="s">
        <v>2807</v>
      </c>
      <c r="X387" s="317" t="s">
        <v>3147</v>
      </c>
      <c r="Y387" s="317" t="s">
        <v>3182</v>
      </c>
      <c r="Z387" s="315" t="s">
        <v>3163</v>
      </c>
      <c r="AA387" s="385">
        <v>2582</v>
      </c>
    </row>
    <row r="388" spans="17:27" ht="13.8">
      <c r="Q388" s="378">
        <f t="shared" si="5"/>
        <v>382</v>
      </c>
      <c r="R388" s="379" t="s">
        <v>2094</v>
      </c>
      <c r="S388" s="379" t="s">
        <v>2095</v>
      </c>
      <c r="T388" s="380" t="s">
        <v>1023</v>
      </c>
      <c r="U388" s="378" t="s">
        <v>2096</v>
      </c>
      <c r="V388" s="378" t="s">
        <v>2808</v>
      </c>
      <c r="W388" s="379" t="s">
        <v>2808</v>
      </c>
      <c r="X388" s="317" t="s">
        <v>3147</v>
      </c>
      <c r="Y388" s="317" t="s">
        <v>3182</v>
      </c>
      <c r="Z388" s="315" t="s">
        <v>3163</v>
      </c>
      <c r="AA388" s="385">
        <v>1409</v>
      </c>
    </row>
    <row r="389" spans="17:27" ht="13.8">
      <c r="Q389" s="378">
        <f t="shared" si="5"/>
        <v>383</v>
      </c>
      <c r="R389" s="379" t="s">
        <v>2097</v>
      </c>
      <c r="S389" s="379" t="s">
        <v>2098</v>
      </c>
      <c r="T389" s="380" t="s">
        <v>1023</v>
      </c>
      <c r="U389" s="378" t="s">
        <v>2099</v>
      </c>
      <c r="V389" s="378" t="s">
        <v>2098</v>
      </c>
      <c r="W389" s="379" t="s">
        <v>2808</v>
      </c>
      <c r="X389" s="317" t="s">
        <v>3146</v>
      </c>
      <c r="Y389" s="317" t="s">
        <v>3182</v>
      </c>
      <c r="Z389" s="315" t="s">
        <v>3171</v>
      </c>
      <c r="AA389" s="385">
        <v>27912</v>
      </c>
    </row>
    <row r="390" spans="17:27" ht="13.8">
      <c r="Q390" s="378">
        <f t="shared" si="5"/>
        <v>384</v>
      </c>
      <c r="R390" s="379" t="s">
        <v>2100</v>
      </c>
      <c r="S390" s="379" t="s">
        <v>2101</v>
      </c>
      <c r="T390" s="380" t="s">
        <v>1323</v>
      </c>
      <c r="U390" s="378" t="s">
        <v>2102</v>
      </c>
      <c r="V390" s="378" t="s">
        <v>2809</v>
      </c>
      <c r="W390" s="379" t="s">
        <v>2809</v>
      </c>
      <c r="X390" s="317" t="s">
        <v>3147</v>
      </c>
      <c r="Y390" s="317" t="s">
        <v>3182</v>
      </c>
      <c r="Z390" s="315" t="s">
        <v>3163</v>
      </c>
      <c r="AA390" s="385">
        <v>2585</v>
      </c>
    </row>
    <row r="391" spans="17:27" ht="13.8">
      <c r="Q391" s="378">
        <f t="shared" si="5"/>
        <v>385</v>
      </c>
      <c r="R391" s="379" t="s">
        <v>2103</v>
      </c>
      <c r="S391" s="379" t="s">
        <v>2104</v>
      </c>
      <c r="T391" s="380" t="s">
        <v>972</v>
      </c>
      <c r="U391" s="378" t="s">
        <v>2105</v>
      </c>
      <c r="V391" s="378" t="s">
        <v>2810</v>
      </c>
      <c r="W391" s="379" t="s">
        <v>2810</v>
      </c>
      <c r="X391" s="317" t="s">
        <v>3147</v>
      </c>
      <c r="Y391" s="317" t="s">
        <v>3182</v>
      </c>
      <c r="Z391" s="315" t="s">
        <v>3163</v>
      </c>
      <c r="AA391" s="385">
        <v>5147</v>
      </c>
    </row>
    <row r="392" spans="17:27" ht="13.8">
      <c r="Q392" s="378">
        <f t="shared" si="5"/>
        <v>386</v>
      </c>
      <c r="R392" s="379" t="s">
        <v>2106</v>
      </c>
      <c r="S392" s="379" t="s">
        <v>2107</v>
      </c>
      <c r="T392" s="380" t="s">
        <v>999</v>
      </c>
      <c r="U392" s="378" t="s">
        <v>2108</v>
      </c>
      <c r="V392" s="378" t="s">
        <v>2107</v>
      </c>
      <c r="W392" s="379" t="s">
        <v>3028</v>
      </c>
      <c r="X392" s="317" t="s">
        <v>3146</v>
      </c>
      <c r="Y392" s="317" t="s">
        <v>3183</v>
      </c>
      <c r="Z392" s="315" t="s">
        <v>3168</v>
      </c>
      <c r="AA392" s="385">
        <v>35885</v>
      </c>
    </row>
    <row r="393" spans="17:27" ht="13.8">
      <c r="Q393" s="378">
        <f t="shared" ref="Q393:Q456" si="6">Q392+1</f>
        <v>387</v>
      </c>
      <c r="R393" s="379" t="s">
        <v>2109</v>
      </c>
      <c r="S393" s="379" t="s">
        <v>2110</v>
      </c>
      <c r="T393" s="380" t="s">
        <v>972</v>
      </c>
      <c r="U393" s="378" t="s">
        <v>2111</v>
      </c>
      <c r="V393" s="378" t="s">
        <v>2110</v>
      </c>
      <c r="W393" s="379" t="s">
        <v>3029</v>
      </c>
      <c r="X393" s="317" t="s">
        <v>3146</v>
      </c>
      <c r="Y393" s="317" t="s">
        <v>3183</v>
      </c>
      <c r="Z393" s="315" t="s">
        <v>3168</v>
      </c>
      <c r="AA393" s="385">
        <v>13409</v>
      </c>
    </row>
    <row r="394" spans="17:27" ht="13.8">
      <c r="Q394" s="378">
        <f t="shared" si="6"/>
        <v>388</v>
      </c>
      <c r="R394" s="379" t="s">
        <v>2112</v>
      </c>
      <c r="S394" s="379" t="s">
        <v>2113</v>
      </c>
      <c r="T394" s="380" t="s">
        <v>1102</v>
      </c>
      <c r="U394" s="378" t="s">
        <v>2114</v>
      </c>
      <c r="V394" s="378" t="s">
        <v>2113</v>
      </c>
      <c r="W394" s="379" t="s">
        <v>3030</v>
      </c>
      <c r="X394" s="317" t="s">
        <v>3146</v>
      </c>
      <c r="Y394" s="317" t="s">
        <v>3182</v>
      </c>
      <c r="Z394" s="315" t="s">
        <v>3169</v>
      </c>
      <c r="AA394" s="385">
        <v>15540</v>
      </c>
    </row>
    <row r="395" spans="17:27" ht="13.8">
      <c r="Q395" s="378">
        <f t="shared" si="6"/>
        <v>389</v>
      </c>
      <c r="R395" s="379" t="s">
        <v>2115</v>
      </c>
      <c r="S395" s="379" t="s">
        <v>2116</v>
      </c>
      <c r="T395" s="380" t="s">
        <v>1183</v>
      </c>
      <c r="U395" s="378" t="s">
        <v>2117</v>
      </c>
      <c r="V395" s="378" t="s">
        <v>3116</v>
      </c>
      <c r="W395" s="379" t="s">
        <v>3116</v>
      </c>
      <c r="X395" s="317" t="s">
        <v>3148</v>
      </c>
      <c r="Y395" s="317" t="s">
        <v>3182</v>
      </c>
      <c r="Z395" s="315" t="s">
        <v>3171</v>
      </c>
      <c r="AA395" s="385">
        <v>50814</v>
      </c>
    </row>
    <row r="396" spans="17:27" ht="13.8">
      <c r="Q396" s="378">
        <f t="shared" si="6"/>
        <v>390</v>
      </c>
      <c r="R396" s="379" t="s">
        <v>2118</v>
      </c>
      <c r="S396" s="379" t="s">
        <v>2119</v>
      </c>
      <c r="T396" s="380" t="s">
        <v>976</v>
      </c>
      <c r="U396" s="378" t="s">
        <v>2120</v>
      </c>
      <c r="V396" s="378" t="s">
        <v>3137</v>
      </c>
      <c r="W396" s="379" t="s">
        <v>3137</v>
      </c>
      <c r="X396" s="317" t="s">
        <v>2640</v>
      </c>
      <c r="Y396" s="317" t="s">
        <v>3182</v>
      </c>
      <c r="Z396" s="315" t="s">
        <v>3171</v>
      </c>
      <c r="AA396" s="385">
        <v>14950</v>
      </c>
    </row>
    <row r="397" spans="17:27" ht="13.8">
      <c r="Q397" s="378">
        <f t="shared" si="6"/>
        <v>391</v>
      </c>
      <c r="R397" s="379" t="s">
        <v>2121</v>
      </c>
      <c r="S397" s="379" t="s">
        <v>2122</v>
      </c>
      <c r="T397" s="380" t="s">
        <v>972</v>
      </c>
      <c r="U397" s="378" t="s">
        <v>2123</v>
      </c>
      <c r="V397" s="378" t="s">
        <v>2122</v>
      </c>
      <c r="W397" s="379" t="s">
        <v>3031</v>
      </c>
      <c r="X397" s="317" t="s">
        <v>3146</v>
      </c>
      <c r="Y397" s="317" t="s">
        <v>3183</v>
      </c>
      <c r="Z397" s="315" t="s">
        <v>3165</v>
      </c>
      <c r="AA397" s="385">
        <v>4016</v>
      </c>
    </row>
    <row r="398" spans="17:27" ht="13.8">
      <c r="Q398" s="378">
        <f t="shared" si="6"/>
        <v>392</v>
      </c>
      <c r="R398" s="379" t="s">
        <v>2124</v>
      </c>
      <c r="S398" s="379" t="s">
        <v>2125</v>
      </c>
      <c r="T398" s="380" t="s">
        <v>1013</v>
      </c>
      <c r="U398" s="378" t="s">
        <v>2126</v>
      </c>
      <c r="V398" s="378" t="s">
        <v>2811</v>
      </c>
      <c r="W398" s="379" t="s">
        <v>2811</v>
      </c>
      <c r="X398" s="317" t="s">
        <v>3147</v>
      </c>
      <c r="Y398" s="317" t="s">
        <v>3182</v>
      </c>
      <c r="Z398" s="315" t="s">
        <v>3163</v>
      </c>
      <c r="AA398" s="385">
        <v>2127</v>
      </c>
    </row>
    <row r="399" spans="17:27" ht="13.8">
      <c r="Q399" s="378">
        <f t="shared" si="6"/>
        <v>393</v>
      </c>
      <c r="R399" s="379" t="s">
        <v>2127</v>
      </c>
      <c r="S399" s="379" t="s">
        <v>2128</v>
      </c>
      <c r="T399" s="380" t="s">
        <v>999</v>
      </c>
      <c r="U399" s="378" t="s">
        <v>2129</v>
      </c>
      <c r="V399" s="378" t="s">
        <v>2812</v>
      </c>
      <c r="W399" s="379" t="s">
        <v>2812</v>
      </c>
      <c r="X399" s="317" t="s">
        <v>3147</v>
      </c>
      <c r="Y399" s="317" t="s">
        <v>3182</v>
      </c>
      <c r="Z399" s="315" t="s">
        <v>3163</v>
      </c>
      <c r="AA399" s="385">
        <v>10233</v>
      </c>
    </row>
    <row r="400" spans="17:27" ht="13.8">
      <c r="Q400" s="378">
        <f t="shared" si="6"/>
        <v>394</v>
      </c>
      <c r="R400" s="379" t="s">
        <v>2130</v>
      </c>
      <c r="S400" s="379" t="s">
        <v>2131</v>
      </c>
      <c r="T400" s="380" t="s">
        <v>999</v>
      </c>
      <c r="U400" s="378" t="s">
        <v>2132</v>
      </c>
      <c r="V400" s="378" t="s">
        <v>2813</v>
      </c>
      <c r="W400" s="379" t="s">
        <v>2813</v>
      </c>
      <c r="X400" s="317" t="s">
        <v>3147</v>
      </c>
      <c r="Y400" s="317" t="s">
        <v>3184</v>
      </c>
      <c r="Z400" s="315" t="s">
        <v>3167</v>
      </c>
      <c r="AA400" s="385">
        <v>12</v>
      </c>
    </row>
    <row r="401" spans="17:27" ht="13.8">
      <c r="Q401" s="378">
        <f t="shared" si="6"/>
        <v>395</v>
      </c>
      <c r="R401" s="379" t="s">
        <v>2133</v>
      </c>
      <c r="S401" s="379" t="s">
        <v>2134</v>
      </c>
      <c r="T401" s="380" t="s">
        <v>1183</v>
      </c>
      <c r="U401" s="378" t="s">
        <v>2135</v>
      </c>
      <c r="V401" s="378" t="s">
        <v>2134</v>
      </c>
      <c r="W401" s="379" t="s">
        <v>3032</v>
      </c>
      <c r="X401" s="317" t="s">
        <v>3146</v>
      </c>
      <c r="Y401" s="317" t="s">
        <v>3182</v>
      </c>
      <c r="Z401" s="315" t="s">
        <v>3164</v>
      </c>
      <c r="AA401" s="385">
        <v>56044</v>
      </c>
    </row>
    <row r="402" spans="17:27" ht="13.8">
      <c r="Q402" s="378">
        <f t="shared" si="6"/>
        <v>396</v>
      </c>
      <c r="R402" s="379" t="s">
        <v>2136</v>
      </c>
      <c r="S402" s="379" t="s">
        <v>2137</v>
      </c>
      <c r="T402" s="380" t="s">
        <v>1217</v>
      </c>
      <c r="U402" s="378" t="s">
        <v>2138</v>
      </c>
      <c r="V402" s="378" t="s">
        <v>2814</v>
      </c>
      <c r="W402" s="379" t="s">
        <v>2814</v>
      </c>
      <c r="X402" s="317" t="s">
        <v>3147</v>
      </c>
      <c r="Y402" s="317" t="s">
        <v>3182</v>
      </c>
      <c r="Z402" s="315" t="s">
        <v>3163</v>
      </c>
      <c r="AA402" s="385">
        <v>9011</v>
      </c>
    </row>
    <row r="403" spans="17:27" ht="13.8">
      <c r="Q403" s="378">
        <f t="shared" si="6"/>
        <v>397</v>
      </c>
      <c r="R403" s="379" t="s">
        <v>2139</v>
      </c>
      <c r="S403" s="379" t="s">
        <v>2140</v>
      </c>
      <c r="T403" s="380" t="s">
        <v>972</v>
      </c>
      <c r="U403" s="378" t="s">
        <v>2141</v>
      </c>
      <c r="V403" s="378" t="s">
        <v>2140</v>
      </c>
      <c r="W403" s="379" t="s">
        <v>3033</v>
      </c>
      <c r="X403" s="317" t="s">
        <v>3146</v>
      </c>
      <c r="Y403" s="317" t="s">
        <v>3183</v>
      </c>
      <c r="Z403" s="315" t="s">
        <v>3168</v>
      </c>
      <c r="AA403" s="385">
        <v>9393</v>
      </c>
    </row>
    <row r="404" spans="17:27" ht="13.8">
      <c r="Q404" s="378">
        <f t="shared" si="6"/>
        <v>398</v>
      </c>
      <c r="R404" s="379" t="s">
        <v>2142</v>
      </c>
      <c r="S404" s="379" t="s">
        <v>2143</v>
      </c>
      <c r="T404" s="380" t="s">
        <v>1060</v>
      </c>
      <c r="U404" s="378" t="s">
        <v>2144</v>
      </c>
      <c r="V404" s="378" t="s">
        <v>3117</v>
      </c>
      <c r="W404" s="379" t="s">
        <v>3117</v>
      </c>
      <c r="X404" s="317" t="s">
        <v>3148</v>
      </c>
      <c r="Y404" s="317" t="s">
        <v>3182</v>
      </c>
      <c r="Z404" s="315" t="s">
        <v>3164</v>
      </c>
      <c r="AA404" s="385">
        <v>49808</v>
      </c>
    </row>
    <row r="405" spans="17:27" ht="13.8">
      <c r="Q405" s="378">
        <f t="shared" si="6"/>
        <v>399</v>
      </c>
      <c r="R405" s="379" t="s">
        <v>2145</v>
      </c>
      <c r="S405" s="379" t="s">
        <v>2146</v>
      </c>
      <c r="T405" s="380" t="s">
        <v>1183</v>
      </c>
      <c r="U405" s="378" t="s">
        <v>2147</v>
      </c>
      <c r="V405" s="378" t="s">
        <v>2146</v>
      </c>
      <c r="W405" s="379" t="s">
        <v>3034</v>
      </c>
      <c r="X405" s="317" t="s">
        <v>3146</v>
      </c>
      <c r="Y405" s="317" t="s">
        <v>3183</v>
      </c>
      <c r="Z405" s="315" t="s">
        <v>3168</v>
      </c>
      <c r="AA405" s="385">
        <v>22999</v>
      </c>
    </row>
    <row r="406" spans="17:27" ht="13.8">
      <c r="Q406" s="378">
        <f t="shared" si="6"/>
        <v>400</v>
      </c>
      <c r="R406" s="379" t="s">
        <v>2148</v>
      </c>
      <c r="S406" s="379" t="s">
        <v>2149</v>
      </c>
      <c r="T406" s="380" t="s">
        <v>958</v>
      </c>
      <c r="U406" s="378" t="s">
        <v>2150</v>
      </c>
      <c r="V406" s="378" t="s">
        <v>3118</v>
      </c>
      <c r="W406" s="379" t="s">
        <v>3118</v>
      </c>
      <c r="X406" s="317" t="s">
        <v>3148</v>
      </c>
      <c r="Y406" s="317" t="s">
        <v>3182</v>
      </c>
      <c r="Z406" s="315" t="s">
        <v>3164</v>
      </c>
      <c r="AA406" s="385">
        <v>20249</v>
      </c>
    </row>
    <row r="407" spans="17:27" ht="13.8">
      <c r="Q407" s="378">
        <f t="shared" si="6"/>
        <v>401</v>
      </c>
      <c r="R407" s="379" t="s">
        <v>2151</v>
      </c>
      <c r="S407" s="379" t="s">
        <v>2152</v>
      </c>
      <c r="T407" s="380" t="s">
        <v>1013</v>
      </c>
      <c r="U407" s="378" t="s">
        <v>2153</v>
      </c>
      <c r="V407" s="378" t="s">
        <v>2152</v>
      </c>
      <c r="W407" s="379" t="s">
        <v>3035</v>
      </c>
      <c r="X407" s="317" t="s">
        <v>3146</v>
      </c>
      <c r="Y407" s="317" t="s">
        <v>3183</v>
      </c>
      <c r="Z407" s="315" t="s">
        <v>3168</v>
      </c>
      <c r="AA407" s="385">
        <v>8421</v>
      </c>
    </row>
    <row r="408" spans="17:27" ht="13.8">
      <c r="Q408" s="378">
        <f t="shared" si="6"/>
        <v>402</v>
      </c>
      <c r="R408" s="379" t="s">
        <v>2154</v>
      </c>
      <c r="S408" s="379" t="s">
        <v>2155</v>
      </c>
      <c r="T408" s="380" t="s">
        <v>976</v>
      </c>
      <c r="U408" s="378" t="s">
        <v>2156</v>
      </c>
      <c r="V408" s="378" t="s">
        <v>2155</v>
      </c>
      <c r="W408" s="379" t="s">
        <v>3036</v>
      </c>
      <c r="X408" s="317" t="s">
        <v>3146</v>
      </c>
      <c r="Y408" s="317" t="s">
        <v>3182</v>
      </c>
      <c r="Z408" s="315" t="s">
        <v>3166</v>
      </c>
      <c r="AA408" s="385">
        <v>3339</v>
      </c>
    </row>
    <row r="409" spans="17:27" ht="13.8">
      <c r="Q409" s="378">
        <f t="shared" si="6"/>
        <v>403</v>
      </c>
      <c r="R409" s="379" t="s">
        <v>2157</v>
      </c>
      <c r="S409" s="379" t="s">
        <v>2158</v>
      </c>
      <c r="T409" s="380" t="s">
        <v>1013</v>
      </c>
      <c r="U409" s="378" t="s">
        <v>2159</v>
      </c>
      <c r="V409" s="378" t="s">
        <v>2815</v>
      </c>
      <c r="W409" s="379" t="s">
        <v>2815</v>
      </c>
      <c r="X409" s="317" t="s">
        <v>3147</v>
      </c>
      <c r="Y409" s="317" t="s">
        <v>3182</v>
      </c>
      <c r="Z409" s="315" t="s">
        <v>3163</v>
      </c>
      <c r="AA409" s="385">
        <v>4665</v>
      </c>
    </row>
    <row r="410" spans="17:27" ht="13.8">
      <c r="Q410" s="378">
        <f t="shared" si="6"/>
        <v>404</v>
      </c>
      <c r="R410" s="379" t="s">
        <v>2160</v>
      </c>
      <c r="S410" s="379" t="s">
        <v>2161</v>
      </c>
      <c r="T410" s="380" t="s">
        <v>1013</v>
      </c>
      <c r="U410" s="378" t="s">
        <v>2162</v>
      </c>
      <c r="V410" s="378" t="s">
        <v>2816</v>
      </c>
      <c r="W410" s="379" t="s">
        <v>2816</v>
      </c>
      <c r="X410" s="317" t="s">
        <v>3147</v>
      </c>
      <c r="Y410" s="317" t="s">
        <v>3182</v>
      </c>
      <c r="Z410" s="315" t="s">
        <v>3163</v>
      </c>
      <c r="AA410" s="385">
        <v>18392</v>
      </c>
    </row>
    <row r="411" spans="17:27" ht="13.8">
      <c r="Q411" s="378">
        <f t="shared" si="6"/>
        <v>405</v>
      </c>
      <c r="R411" s="379" t="s">
        <v>2163</v>
      </c>
      <c r="S411" s="379" t="s">
        <v>2164</v>
      </c>
      <c r="T411" s="380" t="s">
        <v>1092</v>
      </c>
      <c r="U411" s="378" t="s">
        <v>2165</v>
      </c>
      <c r="V411" s="378" t="s">
        <v>2817</v>
      </c>
      <c r="W411" s="379" t="s">
        <v>2817</v>
      </c>
      <c r="X411" s="317" t="s">
        <v>3147</v>
      </c>
      <c r="Y411" s="317" t="s">
        <v>3182</v>
      </c>
      <c r="Z411" s="315" t="s">
        <v>3163</v>
      </c>
      <c r="AA411" s="385">
        <v>11097</v>
      </c>
    </row>
    <row r="412" spans="17:27" ht="13.8">
      <c r="Q412" s="378">
        <f t="shared" si="6"/>
        <v>406</v>
      </c>
      <c r="R412" s="379" t="s">
        <v>2166</v>
      </c>
      <c r="S412" s="379" t="s">
        <v>2167</v>
      </c>
      <c r="T412" s="380" t="s">
        <v>958</v>
      </c>
      <c r="U412" s="378" t="s">
        <v>2168</v>
      </c>
      <c r="V412" s="378" t="s">
        <v>3119</v>
      </c>
      <c r="W412" s="379" t="s">
        <v>3119</v>
      </c>
      <c r="X412" s="317" t="s">
        <v>3148</v>
      </c>
      <c r="Y412" s="317" t="s">
        <v>3182</v>
      </c>
      <c r="Z412" s="315" t="s">
        <v>3164</v>
      </c>
      <c r="AA412" s="385">
        <v>1115</v>
      </c>
    </row>
    <row r="413" spans="17:27" ht="13.8">
      <c r="Q413" s="378">
        <f t="shared" si="6"/>
        <v>407</v>
      </c>
      <c r="R413" s="381" t="s">
        <v>2169</v>
      </c>
      <c r="S413" s="379" t="s">
        <v>2170</v>
      </c>
      <c r="T413" s="380" t="s">
        <v>1323</v>
      </c>
      <c r="U413" s="378" t="s">
        <v>2171</v>
      </c>
      <c r="V413" s="378" t="s">
        <v>2170</v>
      </c>
      <c r="W413" s="379" t="s">
        <v>2170</v>
      </c>
      <c r="X413" s="317" t="s">
        <v>3147</v>
      </c>
      <c r="Y413" s="317" t="s">
        <v>3182</v>
      </c>
      <c r="Z413" s="315" t="e">
        <v>#N/A</v>
      </c>
      <c r="AA413" s="385">
        <v>12307</v>
      </c>
    </row>
    <row r="414" spans="17:27" ht="13.8">
      <c r="Q414" s="378">
        <f t="shared" si="6"/>
        <v>408</v>
      </c>
      <c r="R414" s="379" t="s">
        <v>2172</v>
      </c>
      <c r="S414" s="379" t="s">
        <v>2173</v>
      </c>
      <c r="T414" s="380" t="s">
        <v>1092</v>
      </c>
      <c r="U414" s="378" t="s">
        <v>2174</v>
      </c>
      <c r="V414" s="378" t="s">
        <v>2818</v>
      </c>
      <c r="W414" s="379" t="s">
        <v>2818</v>
      </c>
      <c r="X414" s="317" t="s">
        <v>3147</v>
      </c>
      <c r="Y414" s="317" t="s">
        <v>3182</v>
      </c>
      <c r="Z414" s="315" t="s">
        <v>3163</v>
      </c>
      <c r="AA414" s="385">
        <v>5865</v>
      </c>
    </row>
    <row r="415" spans="17:27" ht="13.8">
      <c r="Q415" s="378">
        <f t="shared" si="6"/>
        <v>409</v>
      </c>
      <c r="R415" s="379" t="s">
        <v>2175</v>
      </c>
      <c r="S415" s="379" t="s">
        <v>2176</v>
      </c>
      <c r="T415" s="380" t="s">
        <v>972</v>
      </c>
      <c r="U415" s="378" t="s">
        <v>2177</v>
      </c>
      <c r="V415" s="378" t="s">
        <v>2176</v>
      </c>
      <c r="W415" s="379" t="s">
        <v>3037</v>
      </c>
      <c r="X415" s="317" t="s">
        <v>3146</v>
      </c>
      <c r="Y415" s="317" t="s">
        <v>3183</v>
      </c>
      <c r="Z415" s="315" t="s">
        <v>3165</v>
      </c>
      <c r="AA415" s="385">
        <v>2666</v>
      </c>
    </row>
    <row r="416" spans="17:27" ht="13.8">
      <c r="Q416" s="378">
        <f t="shared" si="6"/>
        <v>410</v>
      </c>
      <c r="R416" s="379" t="s">
        <v>2178</v>
      </c>
      <c r="S416" s="379" t="s">
        <v>2179</v>
      </c>
      <c r="T416" s="380" t="s">
        <v>1060</v>
      </c>
      <c r="U416" s="378" t="s">
        <v>2180</v>
      </c>
      <c r="V416" s="378" t="s">
        <v>3120</v>
      </c>
      <c r="W416" s="379" t="s">
        <v>3120</v>
      </c>
      <c r="X416" s="317" t="s">
        <v>3148</v>
      </c>
      <c r="Y416" s="317" t="s">
        <v>3182</v>
      </c>
      <c r="Z416" s="315" t="s">
        <v>3170</v>
      </c>
      <c r="AA416" s="385">
        <v>27346</v>
      </c>
    </row>
    <row r="417" spans="17:27" ht="13.8">
      <c r="Q417" s="378">
        <f t="shared" si="6"/>
        <v>411</v>
      </c>
      <c r="R417" s="379" t="s">
        <v>2181</v>
      </c>
      <c r="S417" s="379" t="s">
        <v>2182</v>
      </c>
      <c r="T417" s="380" t="s">
        <v>962</v>
      </c>
      <c r="U417" s="378" t="s">
        <v>2183</v>
      </c>
      <c r="V417" s="378" t="s">
        <v>2819</v>
      </c>
      <c r="W417" s="379" t="s">
        <v>2819</v>
      </c>
      <c r="X417" s="317" t="s">
        <v>3147</v>
      </c>
      <c r="Y417" s="317" t="s">
        <v>3182</v>
      </c>
      <c r="Z417" s="315" t="s">
        <v>3163</v>
      </c>
      <c r="AA417" s="385">
        <v>14473</v>
      </c>
    </row>
    <row r="418" spans="17:27" ht="13.8">
      <c r="Q418" s="378">
        <f t="shared" si="6"/>
        <v>412</v>
      </c>
      <c r="R418" s="379" t="s">
        <v>2184</v>
      </c>
      <c r="S418" s="379" t="s">
        <v>2185</v>
      </c>
      <c r="T418" s="380" t="s">
        <v>1102</v>
      </c>
      <c r="U418" s="378" t="s">
        <v>2186</v>
      </c>
      <c r="V418" s="378" t="s">
        <v>2185</v>
      </c>
      <c r="W418" s="379" t="s">
        <v>3038</v>
      </c>
      <c r="X418" s="317" t="s">
        <v>3146</v>
      </c>
      <c r="Y418" s="317" t="s">
        <v>3182</v>
      </c>
      <c r="Z418" s="315" t="s">
        <v>3172</v>
      </c>
      <c r="AA418" s="385">
        <v>25734</v>
      </c>
    </row>
    <row r="419" spans="17:27" ht="13.8">
      <c r="Q419" s="378">
        <f t="shared" si="6"/>
        <v>413</v>
      </c>
      <c r="R419" s="379" t="s">
        <v>2187</v>
      </c>
      <c r="S419" s="379" t="s">
        <v>2188</v>
      </c>
      <c r="T419" s="380" t="s">
        <v>1040</v>
      </c>
      <c r="U419" s="378" t="s">
        <v>2189</v>
      </c>
      <c r="V419" s="378" t="s">
        <v>2820</v>
      </c>
      <c r="W419" s="379" t="s">
        <v>2820</v>
      </c>
      <c r="X419" s="317" t="s">
        <v>3147</v>
      </c>
      <c r="Y419" s="317" t="s">
        <v>3182</v>
      </c>
      <c r="Z419" s="315" t="s">
        <v>3163</v>
      </c>
      <c r="AA419" s="385">
        <v>6881</v>
      </c>
    </row>
    <row r="420" spans="17:27" ht="13.8">
      <c r="Q420" s="378">
        <f t="shared" si="6"/>
        <v>414</v>
      </c>
      <c r="R420" s="379" t="s">
        <v>2190</v>
      </c>
      <c r="S420" s="379" t="s">
        <v>2191</v>
      </c>
      <c r="T420" s="380" t="s">
        <v>1079</v>
      </c>
      <c r="U420" s="378" t="s">
        <v>2192</v>
      </c>
      <c r="V420" s="378" t="s">
        <v>2191</v>
      </c>
      <c r="W420" s="379" t="s">
        <v>2820</v>
      </c>
      <c r="X420" s="317" t="s">
        <v>3146</v>
      </c>
      <c r="Y420" s="317" t="s">
        <v>3183</v>
      </c>
      <c r="Z420" s="315" t="s">
        <v>3168</v>
      </c>
      <c r="AA420" s="385">
        <v>22185</v>
      </c>
    </row>
    <row r="421" spans="17:27" ht="13.8">
      <c r="Q421" s="378">
        <f t="shared" si="6"/>
        <v>415</v>
      </c>
      <c r="R421" s="379" t="s">
        <v>2193</v>
      </c>
      <c r="S421" s="379" t="s">
        <v>2194</v>
      </c>
      <c r="T421" s="380" t="s">
        <v>1079</v>
      </c>
      <c r="U421" s="378" t="s">
        <v>2195</v>
      </c>
      <c r="V421" s="378" t="s">
        <v>2194</v>
      </c>
      <c r="W421" s="379" t="s">
        <v>3039</v>
      </c>
      <c r="X421" s="317" t="s">
        <v>3146</v>
      </c>
      <c r="Y421" s="317" t="s">
        <v>3183</v>
      </c>
      <c r="Z421" s="315" t="s">
        <v>3168</v>
      </c>
      <c r="AA421" s="385">
        <v>16126</v>
      </c>
    </row>
    <row r="422" spans="17:27" ht="13.8">
      <c r="Q422" s="378">
        <f t="shared" si="6"/>
        <v>416</v>
      </c>
      <c r="R422" s="379" t="s">
        <v>2196</v>
      </c>
      <c r="S422" s="379" t="s">
        <v>2197</v>
      </c>
      <c r="T422" s="380" t="s">
        <v>954</v>
      </c>
      <c r="U422" s="378" t="s">
        <v>2198</v>
      </c>
      <c r="V422" s="378" t="s">
        <v>2821</v>
      </c>
      <c r="W422" s="379" t="s">
        <v>2821</v>
      </c>
      <c r="X422" s="317" t="s">
        <v>3147</v>
      </c>
      <c r="Y422" s="317" t="s">
        <v>3182</v>
      </c>
      <c r="Z422" s="315" t="s">
        <v>3163</v>
      </c>
      <c r="AA422" s="385">
        <v>12206</v>
      </c>
    </row>
    <row r="423" spans="17:27" ht="13.8">
      <c r="Q423" s="378">
        <f t="shared" si="6"/>
        <v>417</v>
      </c>
      <c r="R423" s="379" t="s">
        <v>2199</v>
      </c>
      <c r="S423" s="379" t="s">
        <v>2200</v>
      </c>
      <c r="T423" s="380" t="s">
        <v>962</v>
      </c>
      <c r="U423" s="378" t="s">
        <v>2201</v>
      </c>
      <c r="V423" s="378" t="s">
        <v>2822</v>
      </c>
      <c r="W423" s="379" t="s">
        <v>2822</v>
      </c>
      <c r="X423" s="317" t="s">
        <v>3147</v>
      </c>
      <c r="Y423" s="317" t="s">
        <v>3182</v>
      </c>
      <c r="Z423" s="315" t="s">
        <v>3163</v>
      </c>
      <c r="AA423" s="385">
        <v>11032</v>
      </c>
    </row>
    <row r="424" spans="17:27" ht="13.8">
      <c r="Q424" s="378">
        <f t="shared" si="6"/>
        <v>418</v>
      </c>
      <c r="R424" s="379" t="s">
        <v>2202</v>
      </c>
      <c r="S424" s="379" t="s">
        <v>2203</v>
      </c>
      <c r="T424" s="380" t="s">
        <v>962</v>
      </c>
      <c r="U424" s="378" t="s">
        <v>2204</v>
      </c>
      <c r="V424" s="378" t="s">
        <v>2203</v>
      </c>
      <c r="W424" s="379" t="s">
        <v>3151</v>
      </c>
      <c r="X424" s="317" t="s">
        <v>3149</v>
      </c>
      <c r="Y424" s="317" t="s">
        <v>3184</v>
      </c>
      <c r="Z424" s="315" t="s">
        <v>3178</v>
      </c>
      <c r="AA424" s="385">
        <v>12729</v>
      </c>
    </row>
    <row r="425" spans="17:27" ht="13.8">
      <c r="Q425" s="378">
        <f t="shared" si="6"/>
        <v>419</v>
      </c>
      <c r="R425" s="379" t="s">
        <v>2205</v>
      </c>
      <c r="S425" s="379" t="s">
        <v>2206</v>
      </c>
      <c r="T425" s="380" t="s">
        <v>962</v>
      </c>
      <c r="U425" s="378" t="s">
        <v>2207</v>
      </c>
      <c r="V425" s="378" t="s">
        <v>2206</v>
      </c>
      <c r="W425" s="379" t="s">
        <v>3152</v>
      </c>
      <c r="X425" s="317" t="s">
        <v>3149</v>
      </c>
      <c r="Y425" s="317" t="s">
        <v>3182</v>
      </c>
      <c r="Z425" s="315" t="s">
        <v>3169</v>
      </c>
      <c r="AA425" s="385">
        <v>24958</v>
      </c>
    </row>
    <row r="426" spans="17:27" ht="13.8">
      <c r="Q426" s="378">
        <f t="shared" si="6"/>
        <v>420</v>
      </c>
      <c r="R426" s="379" t="s">
        <v>2208</v>
      </c>
      <c r="S426" s="379" t="s">
        <v>2209</v>
      </c>
      <c r="T426" s="380" t="s">
        <v>1092</v>
      </c>
      <c r="U426" s="378" t="s">
        <v>2210</v>
      </c>
      <c r="V426" s="378" t="s">
        <v>2823</v>
      </c>
      <c r="W426" s="379" t="s">
        <v>2823</v>
      </c>
      <c r="X426" s="317" t="s">
        <v>3147</v>
      </c>
      <c r="Y426" s="317" t="s">
        <v>3182</v>
      </c>
      <c r="Z426" s="315" t="s">
        <v>3172</v>
      </c>
      <c r="AA426" s="385">
        <v>12228</v>
      </c>
    </row>
    <row r="427" spans="17:27" ht="13.8">
      <c r="Q427" s="378">
        <f t="shared" si="6"/>
        <v>421</v>
      </c>
      <c r="R427" s="379" t="s">
        <v>2211</v>
      </c>
      <c r="S427" s="379" t="s">
        <v>2212</v>
      </c>
      <c r="T427" s="380" t="s">
        <v>962</v>
      </c>
      <c r="U427" s="378" t="s">
        <v>2213</v>
      </c>
      <c r="V427" s="378" t="s">
        <v>2824</v>
      </c>
      <c r="W427" s="379" t="s">
        <v>2824</v>
      </c>
      <c r="X427" s="317" t="s">
        <v>3147</v>
      </c>
      <c r="Y427" s="317" t="s">
        <v>3182</v>
      </c>
      <c r="Z427" s="315" t="s">
        <v>3163</v>
      </c>
      <c r="AA427" s="385">
        <v>11340</v>
      </c>
    </row>
    <row r="428" spans="17:27" ht="13.8">
      <c r="Q428" s="378">
        <f t="shared" si="6"/>
        <v>422</v>
      </c>
      <c r="R428" s="379" t="s">
        <v>2214</v>
      </c>
      <c r="S428" s="379" t="s">
        <v>2215</v>
      </c>
      <c r="T428" s="380" t="s">
        <v>962</v>
      </c>
      <c r="U428" s="378" t="s">
        <v>2216</v>
      </c>
      <c r="V428" s="378" t="s">
        <v>2215</v>
      </c>
      <c r="W428" s="379" t="s">
        <v>3040</v>
      </c>
      <c r="X428" s="317" t="s">
        <v>3146</v>
      </c>
      <c r="Y428" s="317" t="s">
        <v>3182</v>
      </c>
      <c r="Z428" s="315" t="s">
        <v>3171</v>
      </c>
      <c r="AA428" s="385">
        <v>9659</v>
      </c>
    </row>
    <row r="429" spans="17:27" ht="13.8">
      <c r="Q429" s="378">
        <f t="shared" si="6"/>
        <v>423</v>
      </c>
      <c r="R429" s="379" t="s">
        <v>2217</v>
      </c>
      <c r="S429" s="379" t="s">
        <v>2218</v>
      </c>
      <c r="T429" s="380" t="s">
        <v>1102</v>
      </c>
      <c r="U429" s="378" t="s">
        <v>2219</v>
      </c>
      <c r="V429" s="378" t="s">
        <v>2825</v>
      </c>
      <c r="W429" s="379" t="s">
        <v>2825</v>
      </c>
      <c r="X429" s="317" t="s">
        <v>3147</v>
      </c>
      <c r="Y429" s="317" t="s">
        <v>3182</v>
      </c>
      <c r="Z429" s="315" t="s">
        <v>3163</v>
      </c>
      <c r="AA429" s="385">
        <v>3559</v>
      </c>
    </row>
    <row r="430" spans="17:27" ht="13.8">
      <c r="Q430" s="378">
        <f t="shared" si="6"/>
        <v>424</v>
      </c>
      <c r="R430" s="379" t="s">
        <v>2220</v>
      </c>
      <c r="S430" s="379" t="s">
        <v>2221</v>
      </c>
      <c r="T430" s="380" t="s">
        <v>1023</v>
      </c>
      <c r="U430" s="378" t="s">
        <v>2222</v>
      </c>
      <c r="V430" s="378" t="s">
        <v>2221</v>
      </c>
      <c r="W430" s="379" t="s">
        <v>3041</v>
      </c>
      <c r="X430" s="317" t="s">
        <v>3146</v>
      </c>
      <c r="Y430" s="317" t="s">
        <v>3183</v>
      </c>
      <c r="Z430" s="315" t="s">
        <v>3168</v>
      </c>
      <c r="AA430" s="385">
        <v>8079</v>
      </c>
    </row>
    <row r="431" spans="17:27" ht="13.8">
      <c r="Q431" s="378">
        <f t="shared" si="6"/>
        <v>425</v>
      </c>
      <c r="R431" s="379" t="s">
        <v>2223</v>
      </c>
      <c r="S431" s="379" t="s">
        <v>2224</v>
      </c>
      <c r="T431" s="380" t="s">
        <v>1023</v>
      </c>
      <c r="U431" s="378" t="s">
        <v>2225</v>
      </c>
      <c r="V431" s="378" t="s">
        <v>2826</v>
      </c>
      <c r="W431" s="379" t="s">
        <v>2826</v>
      </c>
      <c r="X431" s="317" t="s">
        <v>3147</v>
      </c>
      <c r="Y431" s="317" t="s">
        <v>3182</v>
      </c>
      <c r="Z431" s="315" t="s">
        <v>3163</v>
      </c>
      <c r="AA431" s="385">
        <v>2779</v>
      </c>
    </row>
    <row r="432" spans="17:27" ht="13.8">
      <c r="Q432" s="378">
        <f t="shared" si="6"/>
        <v>426</v>
      </c>
      <c r="R432" s="379" t="s">
        <v>2226</v>
      </c>
      <c r="S432" s="379" t="s">
        <v>2227</v>
      </c>
      <c r="T432" s="380" t="s">
        <v>1323</v>
      </c>
      <c r="U432" s="378" t="s">
        <v>2228</v>
      </c>
      <c r="V432" s="378" t="s">
        <v>2227</v>
      </c>
      <c r="W432" s="379" t="s">
        <v>3042</v>
      </c>
      <c r="X432" s="317" t="s">
        <v>3146</v>
      </c>
      <c r="Y432" s="317" t="s">
        <v>3182</v>
      </c>
      <c r="Z432" s="315" t="s">
        <v>3171</v>
      </c>
      <c r="AA432" s="385">
        <v>13642</v>
      </c>
    </row>
    <row r="433" spans="17:27" ht="13.8">
      <c r="Q433" s="378">
        <f t="shared" si="6"/>
        <v>427</v>
      </c>
      <c r="R433" s="379" t="s">
        <v>2229</v>
      </c>
      <c r="S433" s="379" t="s">
        <v>2230</v>
      </c>
      <c r="T433" s="380" t="s">
        <v>962</v>
      </c>
      <c r="U433" s="378" t="s">
        <v>2231</v>
      </c>
      <c r="V433" s="378" t="s">
        <v>2230</v>
      </c>
      <c r="W433" s="379" t="s">
        <v>3043</v>
      </c>
      <c r="X433" s="317" t="s">
        <v>3146</v>
      </c>
      <c r="Y433" s="317" t="s">
        <v>3183</v>
      </c>
      <c r="Z433" s="315" t="s">
        <v>3168</v>
      </c>
      <c r="AA433" s="385">
        <v>5530</v>
      </c>
    </row>
    <row r="434" spans="17:27" ht="13.8">
      <c r="Q434" s="378">
        <f t="shared" si="6"/>
        <v>428</v>
      </c>
      <c r="R434" s="379" t="s">
        <v>2232</v>
      </c>
      <c r="S434" s="379" t="s">
        <v>2233</v>
      </c>
      <c r="T434" s="380" t="s">
        <v>1102</v>
      </c>
      <c r="U434" s="378" t="s">
        <v>2234</v>
      </c>
      <c r="V434" s="378" t="s">
        <v>2827</v>
      </c>
      <c r="W434" s="379" t="s">
        <v>2827</v>
      </c>
      <c r="X434" s="317" t="s">
        <v>3147</v>
      </c>
      <c r="Y434" s="317" t="s">
        <v>3182</v>
      </c>
      <c r="Z434" s="315" t="s">
        <v>3163</v>
      </c>
      <c r="AA434" s="385">
        <v>6438</v>
      </c>
    </row>
    <row r="435" spans="17:27" ht="13.8">
      <c r="Q435" s="378">
        <f t="shared" si="6"/>
        <v>429</v>
      </c>
      <c r="R435" s="379" t="s">
        <v>2235</v>
      </c>
      <c r="S435" s="379" t="s">
        <v>2236</v>
      </c>
      <c r="T435" s="380" t="s">
        <v>1102</v>
      </c>
      <c r="U435" s="378" t="s">
        <v>2237</v>
      </c>
      <c r="V435" s="378" t="s">
        <v>2236</v>
      </c>
      <c r="W435" s="379" t="s">
        <v>2827</v>
      </c>
      <c r="X435" s="317" t="s">
        <v>3146</v>
      </c>
      <c r="Y435" s="317" t="s">
        <v>3182</v>
      </c>
      <c r="Z435" s="315" t="s">
        <v>3170</v>
      </c>
      <c r="AA435" s="385">
        <v>24156</v>
      </c>
    </row>
    <row r="436" spans="17:27" ht="13.8">
      <c r="Q436" s="378">
        <f t="shared" si="6"/>
        <v>430</v>
      </c>
      <c r="R436" s="379" t="s">
        <v>2238</v>
      </c>
      <c r="S436" s="379" t="s">
        <v>2239</v>
      </c>
      <c r="T436" s="380" t="s">
        <v>962</v>
      </c>
      <c r="U436" s="378" t="s">
        <v>2240</v>
      </c>
      <c r="V436" s="378" t="s">
        <v>2828</v>
      </c>
      <c r="W436" s="379" t="s">
        <v>2828</v>
      </c>
      <c r="X436" s="317" t="s">
        <v>3147</v>
      </c>
      <c r="Y436" s="317" t="s">
        <v>3182</v>
      </c>
      <c r="Z436" s="315" t="s">
        <v>3163</v>
      </c>
      <c r="AA436" s="385">
        <v>531</v>
      </c>
    </row>
    <row r="437" spans="17:27" ht="13.8">
      <c r="Q437" s="378">
        <f t="shared" si="6"/>
        <v>431</v>
      </c>
      <c r="R437" s="379" t="s">
        <v>2241</v>
      </c>
      <c r="S437" s="379" t="s">
        <v>2242</v>
      </c>
      <c r="T437" s="380" t="s">
        <v>1040</v>
      </c>
      <c r="U437" s="378" t="s">
        <v>2243</v>
      </c>
      <c r="V437" s="378" t="s">
        <v>2829</v>
      </c>
      <c r="W437" s="379" t="s">
        <v>2829</v>
      </c>
      <c r="X437" s="317" t="s">
        <v>3147</v>
      </c>
      <c r="Y437" s="317" t="s">
        <v>3182</v>
      </c>
      <c r="Z437" s="315" t="s">
        <v>3163</v>
      </c>
      <c r="AA437" s="385">
        <v>682</v>
      </c>
    </row>
    <row r="438" spans="17:27" ht="13.8">
      <c r="Q438" s="378">
        <f t="shared" si="6"/>
        <v>432</v>
      </c>
      <c r="R438" s="379" t="s">
        <v>2244</v>
      </c>
      <c r="S438" s="379" t="s">
        <v>2245</v>
      </c>
      <c r="T438" s="380" t="s">
        <v>954</v>
      </c>
      <c r="U438" s="378" t="s">
        <v>2246</v>
      </c>
      <c r="V438" s="378" t="s">
        <v>2830</v>
      </c>
      <c r="W438" s="379" t="s">
        <v>2830</v>
      </c>
      <c r="X438" s="317" t="s">
        <v>3147</v>
      </c>
      <c r="Y438" s="317" t="s">
        <v>3182</v>
      </c>
      <c r="Z438" s="315" t="s">
        <v>3163</v>
      </c>
      <c r="AA438" s="385">
        <v>882</v>
      </c>
    </row>
    <row r="439" spans="17:27" ht="13.8">
      <c r="Q439" s="378">
        <f t="shared" si="6"/>
        <v>433</v>
      </c>
      <c r="R439" s="379" t="s">
        <v>2247</v>
      </c>
      <c r="S439" s="379" t="s">
        <v>2248</v>
      </c>
      <c r="T439" s="380" t="s">
        <v>1044</v>
      </c>
      <c r="U439" s="378" t="s">
        <v>2249</v>
      </c>
      <c r="V439" s="378" t="s">
        <v>2831</v>
      </c>
      <c r="W439" s="379" t="s">
        <v>2831</v>
      </c>
      <c r="X439" s="317" t="s">
        <v>3147</v>
      </c>
      <c r="Y439" s="317" t="s">
        <v>3182</v>
      </c>
      <c r="Z439" s="315" t="s">
        <v>3163</v>
      </c>
      <c r="AA439" s="385">
        <v>5819</v>
      </c>
    </row>
    <row r="440" spans="17:27" ht="13.8">
      <c r="Q440" s="378">
        <f t="shared" si="6"/>
        <v>434</v>
      </c>
      <c r="R440" s="379" t="s">
        <v>2250</v>
      </c>
      <c r="S440" s="379" t="s">
        <v>2251</v>
      </c>
      <c r="T440" s="380" t="s">
        <v>1060</v>
      </c>
      <c r="U440" s="378" t="s">
        <v>2252</v>
      </c>
      <c r="V440" s="378" t="s">
        <v>2832</v>
      </c>
      <c r="W440" s="379" t="s">
        <v>2832</v>
      </c>
      <c r="X440" s="317" t="s">
        <v>3147</v>
      </c>
      <c r="Y440" s="317" t="s">
        <v>3182</v>
      </c>
      <c r="Z440" s="315" t="s">
        <v>3163</v>
      </c>
      <c r="AA440" s="385">
        <v>21085</v>
      </c>
    </row>
    <row r="441" spans="17:27" ht="13.8">
      <c r="Q441" s="378">
        <f t="shared" si="6"/>
        <v>435</v>
      </c>
      <c r="R441" s="379" t="s">
        <v>2253</v>
      </c>
      <c r="S441" s="379" t="s">
        <v>2254</v>
      </c>
      <c r="T441" s="380" t="s">
        <v>1060</v>
      </c>
      <c r="U441" s="378" t="s">
        <v>2255</v>
      </c>
      <c r="V441" s="378" t="s">
        <v>2833</v>
      </c>
      <c r="W441" s="379" t="s">
        <v>2833</v>
      </c>
      <c r="X441" s="317" t="s">
        <v>3147</v>
      </c>
      <c r="Y441" s="317" t="s">
        <v>3182</v>
      </c>
      <c r="Z441" s="315" t="s">
        <v>3163</v>
      </c>
      <c r="AA441" s="385">
        <v>13297</v>
      </c>
    </row>
    <row r="442" spans="17:27" ht="13.8">
      <c r="Q442" s="378">
        <f t="shared" si="6"/>
        <v>436</v>
      </c>
      <c r="R442" s="379" t="s">
        <v>2256</v>
      </c>
      <c r="S442" s="379" t="s">
        <v>2257</v>
      </c>
      <c r="T442" s="380" t="s">
        <v>1102</v>
      </c>
      <c r="U442" s="378" t="s">
        <v>2258</v>
      </c>
      <c r="V442" s="378" t="s">
        <v>2257</v>
      </c>
      <c r="W442" s="379" t="s">
        <v>3044</v>
      </c>
      <c r="X442" s="317" t="s">
        <v>3146</v>
      </c>
      <c r="Y442" s="317" t="s">
        <v>3182</v>
      </c>
      <c r="Z442" s="315" t="s">
        <v>3172</v>
      </c>
      <c r="AA442" s="385">
        <v>23324</v>
      </c>
    </row>
    <row r="443" spans="17:27" ht="13.8">
      <c r="Q443" s="378">
        <f t="shared" si="6"/>
        <v>437</v>
      </c>
      <c r="R443" s="379" t="s">
        <v>2259</v>
      </c>
      <c r="S443" s="379" t="s">
        <v>2260</v>
      </c>
      <c r="T443" s="380" t="s">
        <v>954</v>
      </c>
      <c r="U443" s="378" t="s">
        <v>2261</v>
      </c>
      <c r="V443" s="378" t="s">
        <v>2834</v>
      </c>
      <c r="W443" s="379" t="s">
        <v>2834</v>
      </c>
      <c r="X443" s="317" t="s">
        <v>3147</v>
      </c>
      <c r="Y443" s="317" t="s">
        <v>3182</v>
      </c>
      <c r="Z443" s="315" t="s">
        <v>3163</v>
      </c>
      <c r="AA443" s="385">
        <v>7122</v>
      </c>
    </row>
    <row r="444" spans="17:27" ht="13.8">
      <c r="Q444" s="378">
        <f t="shared" si="6"/>
        <v>438</v>
      </c>
      <c r="R444" s="379" t="s">
        <v>2262</v>
      </c>
      <c r="S444" s="379" t="s">
        <v>2263</v>
      </c>
      <c r="T444" s="380" t="s">
        <v>999</v>
      </c>
      <c r="U444" s="378" t="s">
        <v>2264</v>
      </c>
      <c r="V444" s="378" t="s">
        <v>2835</v>
      </c>
      <c r="W444" s="379" t="s">
        <v>2835</v>
      </c>
      <c r="X444" s="317" t="s">
        <v>3147</v>
      </c>
      <c r="Y444" s="317" t="s">
        <v>3182</v>
      </c>
      <c r="Z444" s="315" t="s">
        <v>3163</v>
      </c>
      <c r="AA444" s="385">
        <v>8468</v>
      </c>
    </row>
    <row r="445" spans="17:27" ht="13.8">
      <c r="Q445" s="378">
        <f t="shared" si="6"/>
        <v>439</v>
      </c>
      <c r="R445" s="379" t="s">
        <v>2265</v>
      </c>
      <c r="S445" s="379" t="s">
        <v>2266</v>
      </c>
      <c r="T445" s="380" t="s">
        <v>962</v>
      </c>
      <c r="U445" s="378" t="s">
        <v>2267</v>
      </c>
      <c r="V445" s="378" t="s">
        <v>2836</v>
      </c>
      <c r="W445" s="379" t="s">
        <v>2836</v>
      </c>
      <c r="X445" s="317" t="s">
        <v>3147</v>
      </c>
      <c r="Y445" s="317" t="s">
        <v>3182</v>
      </c>
      <c r="Z445" s="315" t="s">
        <v>3163</v>
      </c>
      <c r="AA445" s="385">
        <v>18061</v>
      </c>
    </row>
    <row r="446" spans="17:27" ht="13.8">
      <c r="Q446" s="378">
        <f t="shared" si="6"/>
        <v>440</v>
      </c>
      <c r="R446" s="379" t="s">
        <v>2268</v>
      </c>
      <c r="S446" s="379" t="s">
        <v>2269</v>
      </c>
      <c r="T446" s="380" t="s">
        <v>962</v>
      </c>
      <c r="U446" s="378" t="s">
        <v>2270</v>
      </c>
      <c r="V446" s="378" t="s">
        <v>2269</v>
      </c>
      <c r="W446" s="379" t="s">
        <v>3045</v>
      </c>
      <c r="X446" s="317" t="s">
        <v>3146</v>
      </c>
      <c r="Y446" s="317" t="s">
        <v>3182</v>
      </c>
      <c r="Z446" s="315" t="s">
        <v>3171</v>
      </c>
      <c r="AA446" s="385">
        <v>13659</v>
      </c>
    </row>
    <row r="447" spans="17:27" ht="13.8">
      <c r="Q447" s="378">
        <f t="shared" si="6"/>
        <v>441</v>
      </c>
      <c r="R447" s="379" t="s">
        <v>2271</v>
      </c>
      <c r="S447" s="379" t="s">
        <v>2272</v>
      </c>
      <c r="T447" s="380" t="s">
        <v>962</v>
      </c>
      <c r="U447" s="378" t="s">
        <v>2273</v>
      </c>
      <c r="V447" s="378" t="s">
        <v>2837</v>
      </c>
      <c r="W447" s="379" t="s">
        <v>2837</v>
      </c>
      <c r="X447" s="317" t="s">
        <v>3147</v>
      </c>
      <c r="Y447" s="317" t="s">
        <v>3182</v>
      </c>
      <c r="Z447" s="315" t="s">
        <v>3163</v>
      </c>
      <c r="AA447" s="385">
        <v>3152</v>
      </c>
    </row>
    <row r="448" spans="17:27" ht="13.8">
      <c r="Q448" s="378">
        <f t="shared" si="6"/>
        <v>442</v>
      </c>
      <c r="R448" s="379" t="s">
        <v>2274</v>
      </c>
      <c r="S448" s="379" t="s">
        <v>2275</v>
      </c>
      <c r="T448" s="380" t="s">
        <v>972</v>
      </c>
      <c r="U448" s="378" t="s">
        <v>2276</v>
      </c>
      <c r="V448" s="378" t="s">
        <v>972</v>
      </c>
      <c r="W448" s="379" t="s">
        <v>972</v>
      </c>
      <c r="X448" s="317" t="s">
        <v>3148</v>
      </c>
      <c r="Y448" s="317" t="s">
        <v>3182</v>
      </c>
      <c r="Z448" s="315" t="s">
        <v>3176</v>
      </c>
      <c r="AA448" s="385">
        <v>5146</v>
      </c>
    </row>
    <row r="449" spans="17:27" ht="13.8">
      <c r="Q449" s="378">
        <f t="shared" si="6"/>
        <v>443</v>
      </c>
      <c r="R449" s="379" t="s">
        <v>2277</v>
      </c>
      <c r="S449" s="379" t="s">
        <v>2278</v>
      </c>
      <c r="T449" s="380" t="s">
        <v>983</v>
      </c>
      <c r="U449" s="378" t="s">
        <v>2279</v>
      </c>
      <c r="V449" s="378" t="s">
        <v>2278</v>
      </c>
      <c r="W449" s="379" t="s">
        <v>3046</v>
      </c>
      <c r="X449" s="317" t="s">
        <v>3146</v>
      </c>
      <c r="Y449" s="317" t="s">
        <v>3183</v>
      </c>
      <c r="Z449" s="315" t="s">
        <v>3165</v>
      </c>
      <c r="AA449" s="385">
        <v>1998</v>
      </c>
    </row>
    <row r="450" spans="17:27" ht="13.8">
      <c r="Q450" s="378">
        <f t="shared" si="6"/>
        <v>444</v>
      </c>
      <c r="R450" s="379" t="s">
        <v>2280</v>
      </c>
      <c r="S450" s="379" t="s">
        <v>2281</v>
      </c>
      <c r="T450" s="380" t="s">
        <v>1183</v>
      </c>
      <c r="U450" s="378" t="s">
        <v>2282</v>
      </c>
      <c r="V450" s="378" t="s">
        <v>2838</v>
      </c>
      <c r="W450" s="379" t="s">
        <v>2838</v>
      </c>
      <c r="X450" s="317" t="s">
        <v>3147</v>
      </c>
      <c r="Y450" s="317" t="s">
        <v>3182</v>
      </c>
      <c r="Z450" s="315" t="s">
        <v>3163</v>
      </c>
      <c r="AA450" s="385">
        <v>42704</v>
      </c>
    </row>
    <row r="451" spans="17:27" ht="13.8">
      <c r="Q451" s="378">
        <f t="shared" si="6"/>
        <v>445</v>
      </c>
      <c r="R451" s="379" t="s">
        <v>2283</v>
      </c>
      <c r="S451" s="379" t="s">
        <v>2284</v>
      </c>
      <c r="T451" s="380" t="s">
        <v>1060</v>
      </c>
      <c r="U451" s="378" t="s">
        <v>2285</v>
      </c>
      <c r="V451" s="378" t="s">
        <v>2284</v>
      </c>
      <c r="W451" s="379" t="s">
        <v>3047</v>
      </c>
      <c r="X451" s="317" t="s">
        <v>3146</v>
      </c>
      <c r="Y451" s="317" t="s">
        <v>3182</v>
      </c>
      <c r="Z451" s="315" t="s">
        <v>3166</v>
      </c>
      <c r="AA451" s="385">
        <v>23510</v>
      </c>
    </row>
    <row r="452" spans="17:27" ht="13.8">
      <c r="Q452" s="378">
        <f t="shared" si="6"/>
        <v>446</v>
      </c>
      <c r="R452" s="379" t="s">
        <v>2286</v>
      </c>
      <c r="S452" s="379" t="s">
        <v>2287</v>
      </c>
      <c r="T452" s="380" t="s">
        <v>954</v>
      </c>
      <c r="U452" s="378" t="s">
        <v>2288</v>
      </c>
      <c r="V452" s="378" t="s">
        <v>2839</v>
      </c>
      <c r="W452" s="379" t="s">
        <v>2839</v>
      </c>
      <c r="X452" s="317" t="s">
        <v>3147</v>
      </c>
      <c r="Y452" s="317" t="s">
        <v>3182</v>
      </c>
      <c r="Z452" s="315" t="s">
        <v>3163</v>
      </c>
      <c r="AA452" s="385">
        <v>1412</v>
      </c>
    </row>
    <row r="453" spans="17:27" ht="13.8">
      <c r="Q453" s="378">
        <f t="shared" si="6"/>
        <v>447</v>
      </c>
      <c r="R453" s="379" t="s">
        <v>2289</v>
      </c>
      <c r="S453" s="379" t="s">
        <v>2290</v>
      </c>
      <c r="T453" s="380" t="s">
        <v>954</v>
      </c>
      <c r="U453" s="378" t="s">
        <v>2291</v>
      </c>
      <c r="V453" s="378" t="s">
        <v>2840</v>
      </c>
      <c r="W453" s="379" t="s">
        <v>2840</v>
      </c>
      <c r="X453" s="317" t="s">
        <v>3147</v>
      </c>
      <c r="Y453" s="317" t="s">
        <v>3182</v>
      </c>
      <c r="Z453" s="315" t="s">
        <v>3163</v>
      </c>
      <c r="AA453" s="385">
        <v>1828</v>
      </c>
    </row>
    <row r="454" spans="17:27" ht="13.8">
      <c r="Q454" s="378">
        <f t="shared" si="6"/>
        <v>448</v>
      </c>
      <c r="R454" s="379" t="s">
        <v>2292</v>
      </c>
      <c r="S454" s="379" t="s">
        <v>2293</v>
      </c>
      <c r="T454" s="380" t="s">
        <v>1006</v>
      </c>
      <c r="U454" s="378" t="s">
        <v>2294</v>
      </c>
      <c r="V454" s="378" t="s">
        <v>2293</v>
      </c>
      <c r="W454" s="379" t="s">
        <v>2293</v>
      </c>
      <c r="X454" s="317" t="s">
        <v>3148</v>
      </c>
      <c r="Y454" s="317" t="s">
        <v>3182</v>
      </c>
      <c r="Z454" s="315" t="s">
        <v>3171</v>
      </c>
      <c r="AA454" s="385">
        <v>2114</v>
      </c>
    </row>
    <row r="455" spans="17:27" ht="13.8">
      <c r="Q455" s="378">
        <f t="shared" si="6"/>
        <v>449</v>
      </c>
      <c r="R455" s="379" t="s">
        <v>2295</v>
      </c>
      <c r="S455" s="379" t="s">
        <v>2296</v>
      </c>
      <c r="T455" s="380" t="s">
        <v>1013</v>
      </c>
      <c r="U455" s="378" t="s">
        <v>2297</v>
      </c>
      <c r="V455" s="378" t="s">
        <v>2841</v>
      </c>
      <c r="W455" s="379" t="s">
        <v>2841</v>
      </c>
      <c r="X455" s="317" t="s">
        <v>3147</v>
      </c>
      <c r="Y455" s="317" t="s">
        <v>3182</v>
      </c>
      <c r="Z455" s="315" t="s">
        <v>3163</v>
      </c>
      <c r="AA455" s="385">
        <v>2887</v>
      </c>
    </row>
    <row r="456" spans="17:27" ht="13.8">
      <c r="Q456" s="378">
        <f t="shared" si="6"/>
        <v>450</v>
      </c>
      <c r="R456" s="379" t="s">
        <v>2298</v>
      </c>
      <c r="S456" s="379" t="s">
        <v>2299</v>
      </c>
      <c r="T456" s="380" t="s">
        <v>1013</v>
      </c>
      <c r="U456" s="378" t="s">
        <v>2300</v>
      </c>
      <c r="V456" s="378" t="s">
        <v>2842</v>
      </c>
      <c r="W456" s="379" t="s">
        <v>2842</v>
      </c>
      <c r="X456" s="317" t="s">
        <v>3147</v>
      </c>
      <c r="Y456" s="317" t="s">
        <v>3182</v>
      </c>
      <c r="Z456" s="315" t="s">
        <v>3163</v>
      </c>
      <c r="AA456" s="385">
        <v>1579</v>
      </c>
    </row>
    <row r="457" spans="17:27" ht="13.8">
      <c r="Q457" s="378">
        <f t="shared" ref="Q457:Q520" si="7">Q456+1</f>
        <v>451</v>
      </c>
      <c r="R457" s="379" t="s">
        <v>2301</v>
      </c>
      <c r="S457" s="379" t="s">
        <v>2302</v>
      </c>
      <c r="T457" s="380" t="s">
        <v>1030</v>
      </c>
      <c r="U457" s="378" t="s">
        <v>2303</v>
      </c>
      <c r="V457" s="378" t="s">
        <v>3138</v>
      </c>
      <c r="W457" s="379" t="s">
        <v>3138</v>
      </c>
      <c r="X457" s="317" t="s">
        <v>2640</v>
      </c>
      <c r="Y457" s="317" t="s">
        <v>3182</v>
      </c>
      <c r="Z457" s="315" t="s">
        <v>3163</v>
      </c>
      <c r="AA457" s="385">
        <v>16264</v>
      </c>
    </row>
    <row r="458" spans="17:27" ht="13.8">
      <c r="Q458" s="378">
        <f t="shared" si="7"/>
        <v>452</v>
      </c>
      <c r="R458" s="379" t="s">
        <v>2304</v>
      </c>
      <c r="S458" s="379" t="s">
        <v>2305</v>
      </c>
      <c r="T458" s="380" t="s">
        <v>1023</v>
      </c>
      <c r="U458" s="378" t="s">
        <v>2306</v>
      </c>
      <c r="V458" s="378" t="s">
        <v>2305</v>
      </c>
      <c r="W458" s="379" t="s">
        <v>3048</v>
      </c>
      <c r="X458" s="317" t="s">
        <v>3146</v>
      </c>
      <c r="Y458" s="317" t="s">
        <v>3183</v>
      </c>
      <c r="Z458" s="315" t="s">
        <v>3168</v>
      </c>
      <c r="AA458" s="385">
        <v>6490</v>
      </c>
    </row>
    <row r="459" spans="17:27" ht="13.8">
      <c r="Q459" s="378">
        <f t="shared" si="7"/>
        <v>453</v>
      </c>
      <c r="R459" s="379" t="s">
        <v>2307</v>
      </c>
      <c r="S459" s="379" t="s">
        <v>2308</v>
      </c>
      <c r="T459" s="380" t="s">
        <v>1130</v>
      </c>
      <c r="U459" s="378" t="s">
        <v>2309</v>
      </c>
      <c r="V459" s="378" t="s">
        <v>2843</v>
      </c>
      <c r="W459" s="379" t="s">
        <v>2843</v>
      </c>
      <c r="X459" s="317" t="s">
        <v>3147</v>
      </c>
      <c r="Y459" s="317" t="s">
        <v>3182</v>
      </c>
      <c r="Z459" s="315" t="s">
        <v>3163</v>
      </c>
      <c r="AA459" s="385">
        <v>516</v>
      </c>
    </row>
    <row r="460" spans="17:27" ht="13.8">
      <c r="Q460" s="378">
        <f t="shared" si="7"/>
        <v>454</v>
      </c>
      <c r="R460" s="379" t="s">
        <v>2310</v>
      </c>
      <c r="S460" s="379" t="s">
        <v>2311</v>
      </c>
      <c r="T460" s="380" t="s">
        <v>1013</v>
      </c>
      <c r="U460" s="378" t="s">
        <v>2312</v>
      </c>
      <c r="V460" s="378" t="s">
        <v>2844</v>
      </c>
      <c r="W460" s="379" t="s">
        <v>2844</v>
      </c>
      <c r="X460" s="317" t="s">
        <v>3147</v>
      </c>
      <c r="Y460" s="317" t="s">
        <v>3182</v>
      </c>
      <c r="Z460" s="315" t="s">
        <v>3163</v>
      </c>
      <c r="AA460" s="385">
        <v>1156</v>
      </c>
    </row>
    <row r="461" spans="17:27" ht="13.8">
      <c r="Q461" s="378">
        <f t="shared" si="7"/>
        <v>455</v>
      </c>
      <c r="R461" s="379" t="s">
        <v>2313</v>
      </c>
      <c r="S461" s="379" t="s">
        <v>2314</v>
      </c>
      <c r="T461" s="380" t="s">
        <v>954</v>
      </c>
      <c r="U461" s="378" t="s">
        <v>2315</v>
      </c>
      <c r="V461" s="378" t="s">
        <v>2845</v>
      </c>
      <c r="W461" s="379" t="s">
        <v>2845</v>
      </c>
      <c r="X461" s="317" t="s">
        <v>3147</v>
      </c>
      <c r="Y461" s="317" t="s">
        <v>3182</v>
      </c>
      <c r="Z461" s="315" t="s">
        <v>3163</v>
      </c>
      <c r="AA461" s="385">
        <v>3809</v>
      </c>
    </row>
    <row r="462" spans="17:27" ht="13.8">
      <c r="Q462" s="378">
        <f t="shared" si="7"/>
        <v>456</v>
      </c>
      <c r="R462" s="379" t="s">
        <v>2316</v>
      </c>
      <c r="S462" s="379" t="s">
        <v>2317</v>
      </c>
      <c r="T462" s="380" t="s">
        <v>954</v>
      </c>
      <c r="U462" s="378" t="s">
        <v>2318</v>
      </c>
      <c r="V462" s="378" t="s">
        <v>2317</v>
      </c>
      <c r="W462" s="379" t="s">
        <v>2845</v>
      </c>
      <c r="X462" s="317" t="s">
        <v>3146</v>
      </c>
      <c r="Y462" s="317" t="s">
        <v>3183</v>
      </c>
      <c r="Z462" s="315" t="s">
        <v>3165</v>
      </c>
      <c r="AA462" s="385">
        <v>1141</v>
      </c>
    </row>
    <row r="463" spans="17:27" ht="13.8">
      <c r="Q463" s="378">
        <f t="shared" si="7"/>
        <v>457</v>
      </c>
      <c r="R463" s="379" t="s">
        <v>2319</v>
      </c>
      <c r="S463" s="379" t="s">
        <v>2320</v>
      </c>
      <c r="T463" s="380" t="s">
        <v>999</v>
      </c>
      <c r="U463" s="378" t="s">
        <v>2321</v>
      </c>
      <c r="V463" s="378" t="s">
        <v>2846</v>
      </c>
      <c r="W463" s="379" t="s">
        <v>2846</v>
      </c>
      <c r="X463" s="317" t="s">
        <v>3147</v>
      </c>
      <c r="Y463" s="317" t="s">
        <v>3182</v>
      </c>
      <c r="Z463" s="315" t="s">
        <v>3163</v>
      </c>
      <c r="AA463" s="385">
        <v>5151</v>
      </c>
    </row>
    <row r="464" spans="17:27" ht="13.8">
      <c r="Q464" s="378">
        <f t="shared" si="7"/>
        <v>458</v>
      </c>
      <c r="R464" s="379" t="s">
        <v>2322</v>
      </c>
      <c r="S464" s="379" t="s">
        <v>2323</v>
      </c>
      <c r="T464" s="380" t="s">
        <v>958</v>
      </c>
      <c r="U464" s="378" t="s">
        <v>2324</v>
      </c>
      <c r="V464" s="378" t="s">
        <v>3121</v>
      </c>
      <c r="W464" s="379" t="s">
        <v>3121</v>
      </c>
      <c r="X464" s="317" t="s">
        <v>3148</v>
      </c>
      <c r="Y464" s="317" t="s">
        <v>3182</v>
      </c>
      <c r="Z464" s="315" t="s">
        <v>3164</v>
      </c>
      <c r="AA464" s="385">
        <v>10795</v>
      </c>
    </row>
    <row r="465" spans="17:27" ht="13.8">
      <c r="Q465" s="378">
        <f t="shared" si="7"/>
        <v>459</v>
      </c>
      <c r="R465" s="379" t="s">
        <v>2325</v>
      </c>
      <c r="S465" s="379" t="s">
        <v>2326</v>
      </c>
      <c r="T465" s="380" t="s">
        <v>1040</v>
      </c>
      <c r="U465" s="378" t="s">
        <v>2327</v>
      </c>
      <c r="V465" s="378" t="s">
        <v>2847</v>
      </c>
      <c r="W465" s="379" t="s">
        <v>2847</v>
      </c>
      <c r="X465" s="317" t="s">
        <v>3147</v>
      </c>
      <c r="Y465" s="317" t="s">
        <v>3182</v>
      </c>
      <c r="Z465" s="315" t="s">
        <v>3163</v>
      </c>
      <c r="AA465" s="385">
        <v>12098</v>
      </c>
    </row>
    <row r="466" spans="17:27" ht="13.8">
      <c r="Q466" s="378">
        <f t="shared" si="7"/>
        <v>460</v>
      </c>
      <c r="R466" s="379" t="s">
        <v>2328</v>
      </c>
      <c r="S466" s="379" t="s">
        <v>2329</v>
      </c>
      <c r="T466" s="380" t="s">
        <v>1183</v>
      </c>
      <c r="U466" s="378" t="s">
        <v>2330</v>
      </c>
      <c r="V466" s="378" t="s">
        <v>3122</v>
      </c>
      <c r="W466" s="379" t="s">
        <v>3122</v>
      </c>
      <c r="X466" s="317" t="s">
        <v>3148</v>
      </c>
      <c r="Y466" s="317" t="s">
        <v>3182</v>
      </c>
      <c r="Z466" s="315" t="s">
        <v>3171</v>
      </c>
      <c r="AA466" s="385">
        <v>8631</v>
      </c>
    </row>
    <row r="467" spans="17:27" ht="13.8">
      <c r="Q467" s="378">
        <f t="shared" si="7"/>
        <v>461</v>
      </c>
      <c r="R467" s="379" t="s">
        <v>2331</v>
      </c>
      <c r="S467" s="379" t="s">
        <v>2332</v>
      </c>
      <c r="T467" s="380" t="s">
        <v>1040</v>
      </c>
      <c r="U467" s="378" t="s">
        <v>2333</v>
      </c>
      <c r="V467" s="378" t="s">
        <v>2848</v>
      </c>
      <c r="W467" s="379" t="s">
        <v>2848</v>
      </c>
      <c r="X467" s="317" t="s">
        <v>3147</v>
      </c>
      <c r="Y467" s="317" t="s">
        <v>3182</v>
      </c>
      <c r="Z467" s="315" t="s">
        <v>3163</v>
      </c>
      <c r="AA467" s="385">
        <v>4563</v>
      </c>
    </row>
    <row r="468" spans="17:27" ht="13.8">
      <c r="Q468" s="378">
        <f t="shared" si="7"/>
        <v>462</v>
      </c>
      <c r="R468" s="379" t="s">
        <v>2334</v>
      </c>
      <c r="S468" s="379" t="s">
        <v>2335</v>
      </c>
      <c r="T468" s="380" t="s">
        <v>1183</v>
      </c>
      <c r="U468" s="378" t="s">
        <v>2336</v>
      </c>
      <c r="V468" s="378" t="s">
        <v>2335</v>
      </c>
      <c r="W468" s="379" t="s">
        <v>3049</v>
      </c>
      <c r="X468" s="317" t="s">
        <v>3146</v>
      </c>
      <c r="Y468" s="317" t="s">
        <v>3182</v>
      </c>
      <c r="Z468" s="315" t="s">
        <v>3166</v>
      </c>
      <c r="AA468" s="385">
        <v>43417</v>
      </c>
    </row>
    <row r="469" spans="17:27" ht="13.8">
      <c r="Q469" s="378">
        <f t="shared" si="7"/>
        <v>463</v>
      </c>
      <c r="R469" s="379" t="s">
        <v>2337</v>
      </c>
      <c r="S469" s="379" t="s">
        <v>2338</v>
      </c>
      <c r="T469" s="380" t="s">
        <v>962</v>
      </c>
      <c r="U469" s="378" t="s">
        <v>2339</v>
      </c>
      <c r="V469" s="378" t="s">
        <v>2338</v>
      </c>
      <c r="W469" s="379" t="s">
        <v>3050</v>
      </c>
      <c r="X469" s="317" t="s">
        <v>3146</v>
      </c>
      <c r="Y469" s="317" t="s">
        <v>3183</v>
      </c>
      <c r="Z469" s="315" t="s">
        <v>3168</v>
      </c>
      <c r="AA469" s="385">
        <v>2378</v>
      </c>
    </row>
    <row r="470" spans="17:27" ht="13.8">
      <c r="Q470" s="378">
        <f t="shared" si="7"/>
        <v>464</v>
      </c>
      <c r="R470" s="379" t="s">
        <v>2340</v>
      </c>
      <c r="S470" s="379" t="s">
        <v>2341</v>
      </c>
      <c r="T470" s="380" t="s">
        <v>1217</v>
      </c>
      <c r="U470" s="378" t="s">
        <v>2342</v>
      </c>
      <c r="V470" s="378" t="s">
        <v>2341</v>
      </c>
      <c r="W470" s="379" t="s">
        <v>3051</v>
      </c>
      <c r="X470" s="317" t="s">
        <v>3146</v>
      </c>
      <c r="Y470" s="317" t="s">
        <v>3183</v>
      </c>
      <c r="Z470" s="315" t="s">
        <v>3168</v>
      </c>
      <c r="AA470" s="385">
        <v>3162</v>
      </c>
    </row>
    <row r="471" spans="17:27" ht="13.8">
      <c r="Q471" s="378">
        <f t="shared" si="7"/>
        <v>465</v>
      </c>
      <c r="R471" s="379" t="s">
        <v>2343</v>
      </c>
      <c r="S471" s="379" t="s">
        <v>2344</v>
      </c>
      <c r="T471" s="380" t="s">
        <v>1044</v>
      </c>
      <c r="U471" s="378" t="s">
        <v>2345</v>
      </c>
      <c r="V471" s="378" t="s">
        <v>2344</v>
      </c>
      <c r="W471" s="379" t="s">
        <v>2344</v>
      </c>
      <c r="X471" s="317" t="s">
        <v>3146</v>
      </c>
      <c r="Y471" s="317" t="s">
        <v>3186</v>
      </c>
      <c r="Z471" s="315" t="s">
        <v>3180</v>
      </c>
      <c r="AA471" s="385">
        <v>16198</v>
      </c>
    </row>
    <row r="472" spans="17:27" ht="13.8">
      <c r="Q472" s="378">
        <f t="shared" si="7"/>
        <v>466</v>
      </c>
      <c r="R472" s="379" t="s">
        <v>2346</v>
      </c>
      <c r="S472" s="379" t="s">
        <v>2347</v>
      </c>
      <c r="T472" s="380" t="s">
        <v>1183</v>
      </c>
      <c r="U472" s="378" t="s">
        <v>2348</v>
      </c>
      <c r="V472" s="378" t="s">
        <v>2849</v>
      </c>
      <c r="W472" s="379" t="s">
        <v>2849</v>
      </c>
      <c r="X472" s="317" t="s">
        <v>3147</v>
      </c>
      <c r="Y472" s="317" t="s">
        <v>3182</v>
      </c>
      <c r="Z472" s="315" t="s">
        <v>3163</v>
      </c>
      <c r="AA472" s="385">
        <v>23385</v>
      </c>
    </row>
    <row r="473" spans="17:27" ht="13.8">
      <c r="Q473" s="378">
        <f t="shared" si="7"/>
        <v>467</v>
      </c>
      <c r="R473" s="379" t="s">
        <v>2349</v>
      </c>
      <c r="S473" s="379" t="s">
        <v>2350</v>
      </c>
      <c r="T473" s="380" t="s">
        <v>1183</v>
      </c>
      <c r="U473" s="378" t="s">
        <v>2351</v>
      </c>
      <c r="V473" s="378" t="s">
        <v>2850</v>
      </c>
      <c r="W473" s="379" t="s">
        <v>2850</v>
      </c>
      <c r="X473" s="317" t="s">
        <v>3147</v>
      </c>
      <c r="Y473" s="317" t="s">
        <v>3182</v>
      </c>
      <c r="Z473" s="315" t="s">
        <v>3163</v>
      </c>
      <c r="AA473" s="385">
        <v>16008</v>
      </c>
    </row>
    <row r="474" spans="17:27" ht="13.8">
      <c r="Q474" s="378">
        <f t="shared" si="7"/>
        <v>468</v>
      </c>
      <c r="R474" s="379" t="s">
        <v>2352</v>
      </c>
      <c r="S474" s="379" t="s">
        <v>2353</v>
      </c>
      <c r="T474" s="380" t="s">
        <v>1013</v>
      </c>
      <c r="U474" s="378" t="s">
        <v>2354</v>
      </c>
      <c r="V474" s="378" t="s">
        <v>2851</v>
      </c>
      <c r="W474" s="379" t="s">
        <v>2851</v>
      </c>
      <c r="X474" s="317" t="s">
        <v>3147</v>
      </c>
      <c r="Y474" s="317" t="s">
        <v>3182</v>
      </c>
      <c r="Z474" s="315" t="s">
        <v>3163</v>
      </c>
      <c r="AA474" s="385">
        <v>3684</v>
      </c>
    </row>
    <row r="475" spans="17:27" ht="13.8">
      <c r="Q475" s="378">
        <f t="shared" si="7"/>
        <v>469</v>
      </c>
      <c r="R475" s="379" t="s">
        <v>2355</v>
      </c>
      <c r="S475" s="379" t="s">
        <v>2356</v>
      </c>
      <c r="T475" s="380" t="s">
        <v>1023</v>
      </c>
      <c r="U475" s="378" t="s">
        <v>2357</v>
      </c>
      <c r="V475" s="378" t="s">
        <v>2356</v>
      </c>
      <c r="W475" s="379" t="s">
        <v>3052</v>
      </c>
      <c r="X475" s="317" t="s">
        <v>3146</v>
      </c>
      <c r="Y475" s="317" t="s">
        <v>3183</v>
      </c>
      <c r="Z475" s="315" t="s">
        <v>3168</v>
      </c>
      <c r="AA475" s="385">
        <v>10464</v>
      </c>
    </row>
    <row r="476" spans="17:27" ht="13.8">
      <c r="Q476" s="378">
        <f t="shared" si="7"/>
        <v>470</v>
      </c>
      <c r="R476" s="379" t="s">
        <v>2358</v>
      </c>
      <c r="S476" s="379" t="s">
        <v>2359</v>
      </c>
      <c r="T476" s="380" t="s">
        <v>983</v>
      </c>
      <c r="U476" s="378" t="s">
        <v>2360</v>
      </c>
      <c r="V476" s="378" t="s">
        <v>2359</v>
      </c>
      <c r="W476" s="379" t="s">
        <v>3053</v>
      </c>
      <c r="X476" s="317" t="s">
        <v>3146</v>
      </c>
      <c r="Y476" s="317" t="s">
        <v>3182</v>
      </c>
      <c r="Z476" s="315" t="s">
        <v>3169</v>
      </c>
      <c r="AA476" s="385">
        <v>19722</v>
      </c>
    </row>
    <row r="477" spans="17:27" ht="13.8">
      <c r="Q477" s="378">
        <f t="shared" si="7"/>
        <v>471</v>
      </c>
      <c r="R477" s="379" t="s">
        <v>2361</v>
      </c>
      <c r="S477" s="379" t="s">
        <v>2362</v>
      </c>
      <c r="T477" s="380" t="s">
        <v>1183</v>
      </c>
      <c r="U477" s="378" t="s">
        <v>2363</v>
      </c>
      <c r="V477" s="378" t="s">
        <v>2852</v>
      </c>
      <c r="W477" s="379" t="s">
        <v>2852</v>
      </c>
      <c r="X477" s="317" t="s">
        <v>3147</v>
      </c>
      <c r="Y477" s="317" t="s">
        <v>3182</v>
      </c>
      <c r="Z477" s="315" t="s">
        <v>3171</v>
      </c>
      <c r="AA477" s="385">
        <v>8257</v>
      </c>
    </row>
    <row r="478" spans="17:27" ht="13.8">
      <c r="Q478" s="378">
        <f t="shared" si="7"/>
        <v>472</v>
      </c>
      <c r="R478" s="379" t="s">
        <v>2364</v>
      </c>
      <c r="S478" s="379" t="s">
        <v>2365</v>
      </c>
      <c r="T478" s="380" t="s">
        <v>954</v>
      </c>
      <c r="U478" s="378" t="s">
        <v>2366</v>
      </c>
      <c r="V478" s="378" t="s">
        <v>2853</v>
      </c>
      <c r="W478" s="379" t="s">
        <v>2853</v>
      </c>
      <c r="X478" s="317" t="s">
        <v>3147</v>
      </c>
      <c r="Y478" s="317" t="s">
        <v>3182</v>
      </c>
      <c r="Z478" s="315" t="s">
        <v>3163</v>
      </c>
      <c r="AA478" s="385">
        <v>2993</v>
      </c>
    </row>
    <row r="479" spans="17:27" ht="13.8">
      <c r="Q479" s="378">
        <f t="shared" si="7"/>
        <v>473</v>
      </c>
      <c r="R479" s="379" t="s">
        <v>2367</v>
      </c>
      <c r="S479" s="379" t="s">
        <v>2368</v>
      </c>
      <c r="T479" s="380" t="s">
        <v>954</v>
      </c>
      <c r="U479" s="378" t="s">
        <v>2369</v>
      </c>
      <c r="V479" s="378" t="s">
        <v>2854</v>
      </c>
      <c r="W479" s="379" t="s">
        <v>2854</v>
      </c>
      <c r="X479" s="317" t="s">
        <v>3147</v>
      </c>
      <c r="Y479" s="317" t="s">
        <v>3182</v>
      </c>
      <c r="Z479" s="315" t="s">
        <v>3163</v>
      </c>
      <c r="AA479" s="385">
        <v>4713</v>
      </c>
    </row>
    <row r="480" spans="17:27" ht="13.8">
      <c r="Q480" s="378">
        <f t="shared" si="7"/>
        <v>474</v>
      </c>
      <c r="R480" s="379" t="s">
        <v>2370</v>
      </c>
      <c r="S480" s="379" t="s">
        <v>2371</v>
      </c>
      <c r="T480" s="380" t="s">
        <v>1023</v>
      </c>
      <c r="U480" s="378" t="s">
        <v>2372</v>
      </c>
      <c r="V480" s="378" t="s">
        <v>2371</v>
      </c>
      <c r="W480" s="379" t="s">
        <v>3054</v>
      </c>
      <c r="X480" s="317" t="s">
        <v>3146</v>
      </c>
      <c r="Y480" s="317" t="s">
        <v>3182</v>
      </c>
      <c r="Z480" s="315" t="s">
        <v>3169</v>
      </c>
      <c r="AA480" s="385">
        <v>3414</v>
      </c>
    </row>
    <row r="481" spans="17:27" ht="13.8">
      <c r="Q481" s="378">
        <f t="shared" si="7"/>
        <v>475</v>
      </c>
      <c r="R481" s="379" t="s">
        <v>2373</v>
      </c>
      <c r="S481" s="379" t="s">
        <v>2371</v>
      </c>
      <c r="T481" s="380" t="s">
        <v>1060</v>
      </c>
      <c r="U481" s="378" t="s">
        <v>2374</v>
      </c>
      <c r="V481" s="378" t="s">
        <v>2371</v>
      </c>
      <c r="W481" s="379" t="s">
        <v>3054</v>
      </c>
      <c r="X481" s="317" t="s">
        <v>3146</v>
      </c>
      <c r="Y481" s="317" t="s">
        <v>3183</v>
      </c>
      <c r="Z481" s="315" t="s">
        <v>3168</v>
      </c>
      <c r="AA481" s="385">
        <v>15817</v>
      </c>
    </row>
    <row r="482" spans="17:27" ht="13.8">
      <c r="Q482" s="378">
        <f t="shared" si="7"/>
        <v>476</v>
      </c>
      <c r="R482" s="379" t="s">
        <v>2375</v>
      </c>
      <c r="S482" s="379" t="s">
        <v>2376</v>
      </c>
      <c r="T482" s="380" t="s">
        <v>1013</v>
      </c>
      <c r="U482" s="378" t="s">
        <v>2377</v>
      </c>
      <c r="V482" s="378" t="s">
        <v>2376</v>
      </c>
      <c r="W482" s="379" t="s">
        <v>3055</v>
      </c>
      <c r="X482" s="317" t="s">
        <v>3146</v>
      </c>
      <c r="Y482" s="317" t="s">
        <v>3182</v>
      </c>
      <c r="Z482" s="315" t="s">
        <v>3163</v>
      </c>
      <c r="AA482" s="385">
        <v>26535</v>
      </c>
    </row>
    <row r="483" spans="17:27" ht="13.8">
      <c r="Q483" s="378">
        <f t="shared" si="7"/>
        <v>477</v>
      </c>
      <c r="R483" s="379" t="s">
        <v>2378</v>
      </c>
      <c r="S483" s="379" t="s">
        <v>2379</v>
      </c>
      <c r="T483" s="380" t="s">
        <v>983</v>
      </c>
      <c r="U483" s="378" t="s">
        <v>2380</v>
      </c>
      <c r="V483" s="378" t="s">
        <v>2855</v>
      </c>
      <c r="W483" s="379" t="s">
        <v>2855</v>
      </c>
      <c r="X483" s="317" t="s">
        <v>3147</v>
      </c>
      <c r="Y483" s="317" t="s">
        <v>3182</v>
      </c>
      <c r="Z483" s="315" t="s">
        <v>3163</v>
      </c>
      <c r="AA483" s="385">
        <v>3610</v>
      </c>
    </row>
    <row r="484" spans="17:27" ht="13.8">
      <c r="Q484" s="378">
        <f t="shared" si="7"/>
        <v>478</v>
      </c>
      <c r="R484" s="379" t="s">
        <v>2381</v>
      </c>
      <c r="S484" s="379" t="s">
        <v>2382</v>
      </c>
      <c r="T484" s="380" t="s">
        <v>983</v>
      </c>
      <c r="U484" s="378" t="s">
        <v>2383</v>
      </c>
      <c r="V484" s="378" t="s">
        <v>2382</v>
      </c>
      <c r="W484" s="379" t="s">
        <v>3056</v>
      </c>
      <c r="X484" s="317" t="s">
        <v>3146</v>
      </c>
      <c r="Y484" s="317" t="s">
        <v>3183</v>
      </c>
      <c r="Z484" s="315" t="s">
        <v>3168</v>
      </c>
      <c r="AA484" s="385">
        <v>4099</v>
      </c>
    </row>
    <row r="485" spans="17:27" ht="13.8">
      <c r="Q485" s="378">
        <f t="shared" si="7"/>
        <v>479</v>
      </c>
      <c r="R485" s="379" t="s">
        <v>2384</v>
      </c>
      <c r="S485" s="379" t="s">
        <v>2385</v>
      </c>
      <c r="T485" s="380" t="s">
        <v>1079</v>
      </c>
      <c r="U485" s="378" t="s">
        <v>2386</v>
      </c>
      <c r="V485" s="378" t="s">
        <v>2856</v>
      </c>
      <c r="W485" s="379" t="s">
        <v>2856</v>
      </c>
      <c r="X485" s="317" t="s">
        <v>3147</v>
      </c>
      <c r="Y485" s="317" t="s">
        <v>3182</v>
      </c>
      <c r="Z485" s="315" t="s">
        <v>3163</v>
      </c>
      <c r="AA485" s="385">
        <v>538</v>
      </c>
    </row>
    <row r="486" spans="17:27" ht="13.8">
      <c r="Q486" s="378">
        <f t="shared" si="7"/>
        <v>480</v>
      </c>
      <c r="R486" s="379" t="s">
        <v>2387</v>
      </c>
      <c r="S486" s="379" t="s">
        <v>2388</v>
      </c>
      <c r="T486" s="380" t="s">
        <v>1006</v>
      </c>
      <c r="U486" s="378" t="s">
        <v>2389</v>
      </c>
      <c r="V486" s="378" t="s">
        <v>2857</v>
      </c>
      <c r="W486" s="379" t="s">
        <v>2857</v>
      </c>
      <c r="X486" s="317" t="s">
        <v>3147</v>
      </c>
      <c r="Y486" s="317" t="s">
        <v>3182</v>
      </c>
      <c r="Z486" s="315" t="s">
        <v>3163</v>
      </c>
      <c r="AA486" s="385">
        <v>866</v>
      </c>
    </row>
    <row r="487" spans="17:27" ht="13.8">
      <c r="Q487" s="378">
        <f t="shared" si="7"/>
        <v>481</v>
      </c>
      <c r="R487" s="379" t="s">
        <v>2390</v>
      </c>
      <c r="S487" s="379" t="s">
        <v>2391</v>
      </c>
      <c r="T487" s="380" t="s">
        <v>1130</v>
      </c>
      <c r="U487" s="378" t="s">
        <v>2392</v>
      </c>
      <c r="V487" s="378" t="s">
        <v>2391</v>
      </c>
      <c r="W487" s="379" t="s">
        <v>3057</v>
      </c>
      <c r="X487" s="317" t="s">
        <v>3146</v>
      </c>
      <c r="Y487" s="317" t="s">
        <v>3183</v>
      </c>
      <c r="Z487" s="315" t="s">
        <v>3165</v>
      </c>
      <c r="AA487" s="385">
        <v>1431</v>
      </c>
    </row>
    <row r="488" spans="17:27" ht="13.8">
      <c r="Q488" s="378">
        <f t="shared" si="7"/>
        <v>482</v>
      </c>
      <c r="R488" s="379" t="s">
        <v>2393</v>
      </c>
      <c r="S488" s="379" t="s">
        <v>2394</v>
      </c>
      <c r="T488" s="380" t="s">
        <v>999</v>
      </c>
      <c r="U488" s="378" t="s">
        <v>2395</v>
      </c>
      <c r="V488" s="378" t="s">
        <v>2858</v>
      </c>
      <c r="W488" s="379" t="s">
        <v>2858</v>
      </c>
      <c r="X488" s="317" t="s">
        <v>3147</v>
      </c>
      <c r="Y488" s="317" t="s">
        <v>3182</v>
      </c>
      <c r="Z488" s="315" t="s">
        <v>3163</v>
      </c>
      <c r="AA488" s="385">
        <v>7040</v>
      </c>
    </row>
    <row r="489" spans="17:27" ht="13.8">
      <c r="Q489" s="378">
        <f t="shared" si="7"/>
        <v>483</v>
      </c>
      <c r="R489" s="379" t="s">
        <v>2396</v>
      </c>
      <c r="S489" s="379" t="s">
        <v>2397</v>
      </c>
      <c r="T489" s="380" t="s">
        <v>1060</v>
      </c>
      <c r="U489" s="378" t="s">
        <v>2398</v>
      </c>
      <c r="V489" s="378" t="s">
        <v>3123</v>
      </c>
      <c r="W489" s="379" t="s">
        <v>3123</v>
      </c>
      <c r="X489" s="317" t="s">
        <v>3148</v>
      </c>
      <c r="Y489" s="317" t="s">
        <v>3182</v>
      </c>
      <c r="Z489" s="315" t="s">
        <v>3164</v>
      </c>
      <c r="AA489" s="385">
        <v>21457</v>
      </c>
    </row>
    <row r="490" spans="17:27" ht="13.8">
      <c r="Q490" s="378">
        <f t="shared" si="7"/>
        <v>484</v>
      </c>
      <c r="R490" s="379" t="s">
        <v>2399</v>
      </c>
      <c r="S490" s="379" t="s">
        <v>2400</v>
      </c>
      <c r="T490" s="380" t="s">
        <v>1013</v>
      </c>
      <c r="U490" s="378" t="s">
        <v>2401</v>
      </c>
      <c r="V490" s="378" t="s">
        <v>2859</v>
      </c>
      <c r="W490" s="379" t="s">
        <v>3124</v>
      </c>
      <c r="X490" s="317" t="s">
        <v>3147</v>
      </c>
      <c r="Y490" s="317" t="s">
        <v>3182</v>
      </c>
      <c r="Z490" s="315" t="s">
        <v>3163</v>
      </c>
      <c r="AA490" s="385">
        <v>1205</v>
      </c>
    </row>
    <row r="491" spans="17:27" ht="13.8">
      <c r="Q491" s="378">
        <f t="shared" si="7"/>
        <v>485</v>
      </c>
      <c r="R491" s="379" t="s">
        <v>2402</v>
      </c>
      <c r="S491" s="379" t="s">
        <v>2403</v>
      </c>
      <c r="T491" s="380" t="s">
        <v>983</v>
      </c>
      <c r="U491" s="378" t="s">
        <v>2404</v>
      </c>
      <c r="V491" s="378" t="s">
        <v>983</v>
      </c>
      <c r="W491" s="379" t="s">
        <v>983</v>
      </c>
      <c r="X491" s="317" t="s">
        <v>3147</v>
      </c>
      <c r="Y491" s="317" t="s">
        <v>3182</v>
      </c>
      <c r="Z491" s="315" t="s">
        <v>3163</v>
      </c>
      <c r="AA491" s="385">
        <v>2130</v>
      </c>
    </row>
    <row r="492" spans="17:27" ht="13.8">
      <c r="Q492" s="378">
        <f t="shared" si="7"/>
        <v>486</v>
      </c>
      <c r="R492" s="379" t="s">
        <v>2405</v>
      </c>
      <c r="S492" s="379" t="s">
        <v>2406</v>
      </c>
      <c r="T492" s="380" t="s">
        <v>1217</v>
      </c>
      <c r="U492" s="378" t="s">
        <v>2407</v>
      </c>
      <c r="V492" s="378" t="s">
        <v>2860</v>
      </c>
      <c r="W492" s="379" t="s">
        <v>2860</v>
      </c>
      <c r="X492" s="317" t="s">
        <v>3147</v>
      </c>
      <c r="Y492" s="317" t="s">
        <v>3182</v>
      </c>
      <c r="Z492" s="315" t="s">
        <v>3163</v>
      </c>
      <c r="AA492" s="385">
        <v>2584</v>
      </c>
    </row>
    <row r="493" spans="17:27" ht="13.8">
      <c r="Q493" s="378">
        <f t="shared" si="7"/>
        <v>487</v>
      </c>
      <c r="R493" s="379" t="s">
        <v>2408</v>
      </c>
      <c r="S493" s="379" t="s">
        <v>2409</v>
      </c>
      <c r="T493" s="380" t="s">
        <v>1023</v>
      </c>
      <c r="U493" s="378" t="s">
        <v>2410</v>
      </c>
      <c r="V493" s="378" t="s">
        <v>2409</v>
      </c>
      <c r="W493" s="379" t="s">
        <v>3058</v>
      </c>
      <c r="X493" s="317" t="s">
        <v>3146</v>
      </c>
      <c r="Y493" s="317" t="s">
        <v>3183</v>
      </c>
      <c r="Z493" s="315" t="s">
        <v>3168</v>
      </c>
      <c r="AA493" s="385">
        <v>6949</v>
      </c>
    </row>
    <row r="494" spans="17:27" ht="13.8">
      <c r="Q494" s="378">
        <f t="shared" si="7"/>
        <v>488</v>
      </c>
      <c r="R494" s="379" t="s">
        <v>2411</v>
      </c>
      <c r="S494" s="379" t="s">
        <v>2412</v>
      </c>
      <c r="T494" s="380" t="s">
        <v>999</v>
      </c>
      <c r="U494" s="378" t="s">
        <v>2413</v>
      </c>
      <c r="V494" s="378" t="s">
        <v>2861</v>
      </c>
      <c r="W494" s="379" t="s">
        <v>2861</v>
      </c>
      <c r="X494" s="317" t="s">
        <v>3147</v>
      </c>
      <c r="Y494" s="317" t="s">
        <v>3184</v>
      </c>
      <c r="Z494" s="315" t="s">
        <v>3167</v>
      </c>
      <c r="AA494" s="385">
        <v>5</v>
      </c>
    </row>
    <row r="495" spans="17:27" ht="13.8">
      <c r="Q495" s="378">
        <f t="shared" si="7"/>
        <v>489</v>
      </c>
      <c r="R495" s="379" t="s">
        <v>2414</v>
      </c>
      <c r="S495" s="379" t="s">
        <v>2415</v>
      </c>
      <c r="T495" s="380" t="s">
        <v>962</v>
      </c>
      <c r="U495" s="378" t="s">
        <v>2416</v>
      </c>
      <c r="V495" s="378" t="s">
        <v>2415</v>
      </c>
      <c r="W495" s="379" t="s">
        <v>3059</v>
      </c>
      <c r="X495" s="317" t="s">
        <v>3146</v>
      </c>
      <c r="Y495" s="317" t="s">
        <v>3182</v>
      </c>
      <c r="Z495" s="315" t="s">
        <v>3172</v>
      </c>
      <c r="AA495" s="385">
        <v>39776</v>
      </c>
    </row>
    <row r="496" spans="17:27" ht="13.8">
      <c r="Q496" s="378">
        <f t="shared" si="7"/>
        <v>490</v>
      </c>
      <c r="R496" s="379" t="s">
        <v>2417</v>
      </c>
      <c r="S496" s="379" t="s">
        <v>2418</v>
      </c>
      <c r="T496" s="380" t="s">
        <v>962</v>
      </c>
      <c r="U496" s="378" t="s">
        <v>2419</v>
      </c>
      <c r="V496" s="378" t="s">
        <v>2862</v>
      </c>
      <c r="W496" s="379" t="s">
        <v>2862</v>
      </c>
      <c r="X496" s="317" t="s">
        <v>3147</v>
      </c>
      <c r="Y496" s="317" t="s">
        <v>3182</v>
      </c>
      <c r="Z496" s="315" t="s">
        <v>3163</v>
      </c>
      <c r="AA496" s="385">
        <v>14488</v>
      </c>
    </row>
    <row r="497" spans="17:27" ht="13.8">
      <c r="Q497" s="378">
        <f t="shared" si="7"/>
        <v>491</v>
      </c>
      <c r="R497" s="379" t="s">
        <v>2420</v>
      </c>
      <c r="S497" s="379" t="s">
        <v>2421</v>
      </c>
      <c r="T497" s="380" t="s">
        <v>962</v>
      </c>
      <c r="U497" s="378" t="s">
        <v>2422</v>
      </c>
      <c r="V497" s="378" t="s">
        <v>2863</v>
      </c>
      <c r="W497" s="379" t="s">
        <v>2863</v>
      </c>
      <c r="X497" s="317" t="s">
        <v>3147</v>
      </c>
      <c r="Y497" s="317" t="s">
        <v>3182</v>
      </c>
      <c r="Z497" s="315" t="s">
        <v>3169</v>
      </c>
      <c r="AA497" s="385">
        <v>67</v>
      </c>
    </row>
    <row r="498" spans="17:27" ht="13.8">
      <c r="Q498" s="378">
        <f t="shared" si="7"/>
        <v>492</v>
      </c>
      <c r="R498" s="379" t="s">
        <v>2423</v>
      </c>
      <c r="S498" s="379" t="s">
        <v>2424</v>
      </c>
      <c r="T498" s="380" t="s">
        <v>1079</v>
      </c>
      <c r="U498" s="378" t="s">
        <v>2425</v>
      </c>
      <c r="V498" s="378" t="s">
        <v>2424</v>
      </c>
      <c r="W498" s="379" t="s">
        <v>3060</v>
      </c>
      <c r="X498" s="317" t="s">
        <v>3146</v>
      </c>
      <c r="Y498" s="317" t="s">
        <v>3183</v>
      </c>
      <c r="Z498" s="315" t="s">
        <v>3168</v>
      </c>
      <c r="AA498" s="385">
        <v>5993</v>
      </c>
    </row>
    <row r="499" spans="17:27" ht="13.8">
      <c r="Q499" s="378">
        <f t="shared" si="7"/>
        <v>493</v>
      </c>
      <c r="R499" s="379" t="s">
        <v>2426</v>
      </c>
      <c r="S499" s="379" t="s">
        <v>2427</v>
      </c>
      <c r="T499" s="380" t="s">
        <v>954</v>
      </c>
      <c r="U499" s="378" t="s">
        <v>2428</v>
      </c>
      <c r="V499" s="378" t="s">
        <v>2864</v>
      </c>
      <c r="W499" s="379" t="s">
        <v>2864</v>
      </c>
      <c r="X499" s="317" t="s">
        <v>3147</v>
      </c>
      <c r="Y499" s="317" t="s">
        <v>3182</v>
      </c>
      <c r="Z499" s="315" t="s">
        <v>3171</v>
      </c>
      <c r="AA499" s="385">
        <v>17892</v>
      </c>
    </row>
    <row r="500" spans="17:27" ht="13.8">
      <c r="Q500" s="378">
        <f t="shared" si="7"/>
        <v>494</v>
      </c>
      <c r="R500" s="379" t="s">
        <v>2429</v>
      </c>
      <c r="S500" s="379" t="s">
        <v>2430</v>
      </c>
      <c r="T500" s="380" t="s">
        <v>1013</v>
      </c>
      <c r="U500" s="378" t="s">
        <v>2431</v>
      </c>
      <c r="V500" s="378" t="s">
        <v>2430</v>
      </c>
      <c r="W500" s="379" t="s">
        <v>3061</v>
      </c>
      <c r="X500" s="317" t="s">
        <v>3146</v>
      </c>
      <c r="Y500" s="317" t="s">
        <v>3182</v>
      </c>
      <c r="Z500" s="315" t="s">
        <v>3164</v>
      </c>
      <c r="AA500" s="385">
        <v>91239</v>
      </c>
    </row>
    <row r="501" spans="17:27" ht="13.8">
      <c r="Q501" s="378">
        <f t="shared" si="7"/>
        <v>495</v>
      </c>
      <c r="R501" s="379" t="s">
        <v>2432</v>
      </c>
      <c r="S501" s="379" t="s">
        <v>2433</v>
      </c>
      <c r="T501" s="380" t="s">
        <v>1092</v>
      </c>
      <c r="U501" s="378" t="s">
        <v>2434</v>
      </c>
      <c r="V501" s="378" t="s">
        <v>2865</v>
      </c>
      <c r="W501" s="379" t="s">
        <v>2865</v>
      </c>
      <c r="X501" s="317" t="s">
        <v>3147</v>
      </c>
      <c r="Y501" s="317" t="s">
        <v>3182</v>
      </c>
      <c r="Z501" s="315" t="s">
        <v>3163</v>
      </c>
      <c r="AA501" s="385">
        <v>10804</v>
      </c>
    </row>
    <row r="502" spans="17:27" ht="13.8">
      <c r="Q502" s="378">
        <f t="shared" si="7"/>
        <v>496</v>
      </c>
      <c r="R502" s="379" t="s">
        <v>2435</v>
      </c>
      <c r="S502" s="379" t="s">
        <v>2436</v>
      </c>
      <c r="T502" s="380" t="s">
        <v>1323</v>
      </c>
      <c r="U502" s="378" t="s">
        <v>2437</v>
      </c>
      <c r="V502" s="378" t="s">
        <v>3125</v>
      </c>
      <c r="W502" s="379" t="s">
        <v>3125</v>
      </c>
      <c r="X502" s="317" t="s">
        <v>3148</v>
      </c>
      <c r="Y502" s="317" t="s">
        <v>3182</v>
      </c>
      <c r="Z502" s="315" t="s">
        <v>3164</v>
      </c>
      <c r="AA502" s="385">
        <v>84913</v>
      </c>
    </row>
    <row r="503" spans="17:27" ht="13.8">
      <c r="Q503" s="378">
        <f t="shared" si="7"/>
        <v>497</v>
      </c>
      <c r="R503" s="379" t="s">
        <v>2438</v>
      </c>
      <c r="S503" s="379" t="s">
        <v>2439</v>
      </c>
      <c r="T503" s="380" t="s">
        <v>1013</v>
      </c>
      <c r="U503" s="378" t="s">
        <v>2440</v>
      </c>
      <c r="V503" s="378" t="s">
        <v>2866</v>
      </c>
      <c r="W503" s="379" t="s">
        <v>2866</v>
      </c>
      <c r="X503" s="317" t="s">
        <v>3147</v>
      </c>
      <c r="Y503" s="317" t="s">
        <v>3182</v>
      </c>
      <c r="Z503" s="315" t="s">
        <v>3163</v>
      </c>
      <c r="AA503" s="385">
        <v>3347</v>
      </c>
    </row>
    <row r="504" spans="17:27" ht="13.8">
      <c r="Q504" s="378">
        <f t="shared" si="7"/>
        <v>498</v>
      </c>
      <c r="R504" s="379" t="s">
        <v>2441</v>
      </c>
      <c r="S504" s="379" t="s">
        <v>2442</v>
      </c>
      <c r="T504" s="380" t="s">
        <v>954</v>
      </c>
      <c r="U504" s="378" t="s">
        <v>2443</v>
      </c>
      <c r="V504" s="378" t="s">
        <v>2867</v>
      </c>
      <c r="W504" s="379" t="s">
        <v>2867</v>
      </c>
      <c r="X504" s="317" t="s">
        <v>3147</v>
      </c>
      <c r="Y504" s="317" t="s">
        <v>3182</v>
      </c>
      <c r="Z504" s="315" t="s">
        <v>3163</v>
      </c>
      <c r="AA504" s="385">
        <v>6245</v>
      </c>
    </row>
    <row r="505" spans="17:27" ht="13.8">
      <c r="Q505" s="378">
        <f t="shared" si="7"/>
        <v>499</v>
      </c>
      <c r="R505" s="379" t="s">
        <v>2444</v>
      </c>
      <c r="S505" s="379" t="s">
        <v>2445</v>
      </c>
      <c r="T505" s="380" t="s">
        <v>1030</v>
      </c>
      <c r="U505" s="378" t="s">
        <v>2446</v>
      </c>
      <c r="V505" s="378" t="s">
        <v>3145</v>
      </c>
      <c r="W505" s="379" t="s">
        <v>3145</v>
      </c>
      <c r="X505" s="317" t="s">
        <v>3148</v>
      </c>
      <c r="Y505" s="317" t="s">
        <v>3184</v>
      </c>
      <c r="Z505" s="315" t="s">
        <v>3178</v>
      </c>
      <c r="AA505" s="385">
        <v>66455</v>
      </c>
    </row>
    <row r="506" spans="17:27" ht="13.8">
      <c r="Q506" s="378">
        <f t="shared" si="7"/>
        <v>500</v>
      </c>
      <c r="R506" s="379" t="s">
        <v>2447</v>
      </c>
      <c r="S506" s="379" t="s">
        <v>2448</v>
      </c>
      <c r="T506" s="380" t="s">
        <v>1079</v>
      </c>
      <c r="U506" s="378" t="s">
        <v>2449</v>
      </c>
      <c r="V506" s="378" t="s">
        <v>2448</v>
      </c>
      <c r="W506" s="379" t="s">
        <v>1060</v>
      </c>
      <c r="X506" s="317" t="s">
        <v>3146</v>
      </c>
      <c r="Y506" s="317" t="s">
        <v>3183</v>
      </c>
      <c r="Z506" s="315" t="s">
        <v>3168</v>
      </c>
      <c r="AA506" s="385">
        <v>5908</v>
      </c>
    </row>
    <row r="507" spans="17:27" ht="13.8">
      <c r="Q507" s="378">
        <f t="shared" si="7"/>
        <v>501</v>
      </c>
      <c r="R507" s="379" t="s">
        <v>2450</v>
      </c>
      <c r="S507" s="379" t="s">
        <v>2448</v>
      </c>
      <c r="T507" s="380" t="s">
        <v>1060</v>
      </c>
      <c r="U507" s="378" t="s">
        <v>2451</v>
      </c>
      <c r="V507" s="378" t="s">
        <v>2448</v>
      </c>
      <c r="W507" s="379" t="s">
        <v>1060</v>
      </c>
      <c r="X507" s="317" t="s">
        <v>3146</v>
      </c>
      <c r="Y507" s="317" t="s">
        <v>3183</v>
      </c>
      <c r="Z507" s="315" t="s">
        <v>3168</v>
      </c>
      <c r="AA507" s="385">
        <v>56642</v>
      </c>
    </row>
    <row r="508" spans="17:27" ht="13.8">
      <c r="Q508" s="378">
        <f t="shared" si="7"/>
        <v>502</v>
      </c>
      <c r="R508" s="379" t="s">
        <v>2452</v>
      </c>
      <c r="S508" s="379" t="s">
        <v>2453</v>
      </c>
      <c r="T508" s="380" t="s">
        <v>1130</v>
      </c>
      <c r="U508" s="378" t="s">
        <v>2454</v>
      </c>
      <c r="V508" s="378" t="s">
        <v>2453</v>
      </c>
      <c r="W508" s="379" t="s">
        <v>3062</v>
      </c>
      <c r="X508" s="317" t="s">
        <v>3146</v>
      </c>
      <c r="Y508" s="317" t="s">
        <v>3183</v>
      </c>
      <c r="Z508" s="315" t="s">
        <v>3168</v>
      </c>
      <c r="AA508" s="385">
        <v>7660</v>
      </c>
    </row>
    <row r="509" spans="17:27" ht="13.8">
      <c r="Q509" s="378">
        <f t="shared" si="7"/>
        <v>503</v>
      </c>
      <c r="R509" s="379" t="s">
        <v>2455</v>
      </c>
      <c r="S509" s="379" t="s">
        <v>2456</v>
      </c>
      <c r="T509" s="380" t="s">
        <v>954</v>
      </c>
      <c r="U509" s="378" t="s">
        <v>2457</v>
      </c>
      <c r="V509" s="378" t="s">
        <v>2456</v>
      </c>
      <c r="W509" s="379" t="s">
        <v>3063</v>
      </c>
      <c r="X509" s="317" t="s">
        <v>3146</v>
      </c>
      <c r="Y509" s="317" t="s">
        <v>3183</v>
      </c>
      <c r="Z509" s="315" t="s">
        <v>3168</v>
      </c>
      <c r="AA509" s="385">
        <v>6902</v>
      </c>
    </row>
    <row r="510" spans="17:27" ht="13.8">
      <c r="Q510" s="378">
        <f t="shared" si="7"/>
        <v>504</v>
      </c>
      <c r="R510" s="379" t="s">
        <v>2458</v>
      </c>
      <c r="S510" s="379" t="s">
        <v>2459</v>
      </c>
      <c r="T510" s="380" t="s">
        <v>972</v>
      </c>
      <c r="U510" s="378" t="s">
        <v>2460</v>
      </c>
      <c r="V510" s="378" t="s">
        <v>2459</v>
      </c>
      <c r="W510" s="379" t="s">
        <v>3064</v>
      </c>
      <c r="X510" s="317" t="s">
        <v>3146</v>
      </c>
      <c r="Y510" s="317" t="s">
        <v>3183</v>
      </c>
      <c r="Z510" s="315" t="s">
        <v>3168</v>
      </c>
      <c r="AA510" s="385">
        <v>3505</v>
      </c>
    </row>
    <row r="511" spans="17:27" ht="13.8">
      <c r="Q511" s="378">
        <f t="shared" si="7"/>
        <v>505</v>
      </c>
      <c r="R511" s="379" t="s">
        <v>2461</v>
      </c>
      <c r="S511" s="379" t="s">
        <v>2462</v>
      </c>
      <c r="T511" s="380" t="s">
        <v>962</v>
      </c>
      <c r="U511" s="378" t="s">
        <v>2463</v>
      </c>
      <c r="V511" s="378" t="s">
        <v>2868</v>
      </c>
      <c r="W511" s="379" t="s">
        <v>2868</v>
      </c>
      <c r="X511" s="317" t="s">
        <v>3147</v>
      </c>
      <c r="Y511" s="317" t="s">
        <v>3182</v>
      </c>
      <c r="Z511" s="315" t="s">
        <v>3163</v>
      </c>
      <c r="AA511" s="385">
        <v>8208</v>
      </c>
    </row>
    <row r="512" spans="17:27" ht="13.8">
      <c r="Q512" s="378">
        <f t="shared" si="7"/>
        <v>506</v>
      </c>
      <c r="R512" s="379" t="s">
        <v>2464</v>
      </c>
      <c r="S512" s="379" t="s">
        <v>2465</v>
      </c>
      <c r="T512" s="380" t="s">
        <v>1006</v>
      </c>
      <c r="U512" s="378" t="s">
        <v>2466</v>
      </c>
      <c r="V512" s="378" t="s">
        <v>2465</v>
      </c>
      <c r="W512" s="379" t="s">
        <v>3065</v>
      </c>
      <c r="X512" s="317" t="s">
        <v>3146</v>
      </c>
      <c r="Y512" s="317" t="s">
        <v>3183</v>
      </c>
      <c r="Z512" s="315" t="s">
        <v>3168</v>
      </c>
      <c r="AA512" s="385">
        <v>12373</v>
      </c>
    </row>
    <row r="513" spans="17:27" ht="13.8">
      <c r="Q513" s="378">
        <f t="shared" si="7"/>
        <v>507</v>
      </c>
      <c r="R513" s="379" t="s">
        <v>2467</v>
      </c>
      <c r="S513" s="379" t="s">
        <v>2468</v>
      </c>
      <c r="T513" s="380" t="s">
        <v>958</v>
      </c>
      <c r="U513" s="378" t="s">
        <v>2469</v>
      </c>
      <c r="V513" s="378" t="s">
        <v>2468</v>
      </c>
      <c r="W513" s="379" t="s">
        <v>2468</v>
      </c>
      <c r="X513" s="317" t="s">
        <v>3148</v>
      </c>
      <c r="Y513" s="317" t="s">
        <v>3184</v>
      </c>
      <c r="Z513" s="315" t="s">
        <v>3167</v>
      </c>
      <c r="AA513" s="385">
        <v>10650</v>
      </c>
    </row>
    <row r="514" spans="17:27" ht="13.8">
      <c r="Q514" s="378">
        <f t="shared" si="7"/>
        <v>508</v>
      </c>
      <c r="R514" s="379" t="s">
        <v>2470</v>
      </c>
      <c r="S514" s="379" t="s">
        <v>2471</v>
      </c>
      <c r="T514" s="380" t="s">
        <v>983</v>
      </c>
      <c r="U514" s="378" t="s">
        <v>2472</v>
      </c>
      <c r="V514" s="378" t="s">
        <v>2471</v>
      </c>
      <c r="W514" s="379" t="s">
        <v>3066</v>
      </c>
      <c r="X514" s="317" t="s">
        <v>3146</v>
      </c>
      <c r="Y514" s="317" t="s">
        <v>3182</v>
      </c>
      <c r="Z514" s="315" t="s">
        <v>3169</v>
      </c>
      <c r="AA514" s="385">
        <v>23943</v>
      </c>
    </row>
    <row r="515" spans="17:27" ht="13.8">
      <c r="Q515" s="378">
        <f t="shared" si="7"/>
        <v>509</v>
      </c>
      <c r="R515" s="379" t="s">
        <v>2473</v>
      </c>
      <c r="S515" s="379" t="s">
        <v>2474</v>
      </c>
      <c r="T515" s="380" t="s">
        <v>1044</v>
      </c>
      <c r="U515" s="378" t="s">
        <v>2475</v>
      </c>
      <c r="V515" s="378" t="s">
        <v>2474</v>
      </c>
      <c r="W515" s="379" t="s">
        <v>3067</v>
      </c>
      <c r="X515" s="317" t="s">
        <v>3146</v>
      </c>
      <c r="Y515" s="317" t="s">
        <v>3182</v>
      </c>
      <c r="Z515" s="315" t="s">
        <v>3169</v>
      </c>
      <c r="AA515" s="385">
        <v>13332</v>
      </c>
    </row>
    <row r="516" spans="17:27" ht="13.8">
      <c r="Q516" s="378">
        <f t="shared" si="7"/>
        <v>510</v>
      </c>
      <c r="R516" s="379" t="s">
        <v>2476</v>
      </c>
      <c r="S516" s="379" t="s">
        <v>2477</v>
      </c>
      <c r="T516" s="380" t="s">
        <v>1102</v>
      </c>
      <c r="U516" s="378" t="s">
        <v>2478</v>
      </c>
      <c r="V516" s="378" t="s">
        <v>2869</v>
      </c>
      <c r="W516" s="379" t="s">
        <v>2869</v>
      </c>
      <c r="X516" s="317" t="s">
        <v>3147</v>
      </c>
      <c r="Y516" s="317" t="s">
        <v>3182</v>
      </c>
      <c r="Z516" s="315" t="s">
        <v>3163</v>
      </c>
      <c r="AA516" s="385">
        <v>1520</v>
      </c>
    </row>
    <row r="517" spans="17:27" ht="13.8">
      <c r="Q517" s="378">
        <f t="shared" si="7"/>
        <v>511</v>
      </c>
      <c r="R517" s="379" t="s">
        <v>2479</v>
      </c>
      <c r="S517" s="379" t="s">
        <v>2480</v>
      </c>
      <c r="T517" s="380" t="s">
        <v>1130</v>
      </c>
      <c r="U517" s="378" t="s">
        <v>2481</v>
      </c>
      <c r="V517" s="378" t="s">
        <v>3126</v>
      </c>
      <c r="W517" s="379" t="s">
        <v>3126</v>
      </c>
      <c r="X517" s="317" t="s">
        <v>3148</v>
      </c>
      <c r="Y517" s="317" t="s">
        <v>3182</v>
      </c>
      <c r="Z517" s="315" t="s">
        <v>3171</v>
      </c>
      <c r="AA517" s="385">
        <v>60724</v>
      </c>
    </row>
    <row r="518" spans="17:27" ht="13.8">
      <c r="Q518" s="378">
        <f t="shared" si="7"/>
        <v>512</v>
      </c>
      <c r="R518" s="379" t="s">
        <v>2482</v>
      </c>
      <c r="S518" s="379" t="s">
        <v>2483</v>
      </c>
      <c r="T518" s="380" t="s">
        <v>999</v>
      </c>
      <c r="U518" s="378" t="s">
        <v>2484</v>
      </c>
      <c r="V518" s="378" t="s">
        <v>2483</v>
      </c>
      <c r="W518" s="379" t="s">
        <v>3068</v>
      </c>
      <c r="X518" s="317" t="s">
        <v>3146</v>
      </c>
      <c r="Y518" s="317" t="s">
        <v>3183</v>
      </c>
      <c r="Z518" s="315" t="s">
        <v>3168</v>
      </c>
      <c r="AA518" s="385">
        <v>29131</v>
      </c>
    </row>
    <row r="519" spans="17:27" ht="13.8">
      <c r="Q519" s="378">
        <f t="shared" si="7"/>
        <v>513</v>
      </c>
      <c r="R519" s="379" t="s">
        <v>2485</v>
      </c>
      <c r="S519" s="379" t="s">
        <v>2486</v>
      </c>
      <c r="T519" s="380" t="s">
        <v>962</v>
      </c>
      <c r="U519" s="378" t="s">
        <v>2487</v>
      </c>
      <c r="V519" s="378" t="s">
        <v>2870</v>
      </c>
      <c r="W519" s="379" t="s">
        <v>2870</v>
      </c>
      <c r="X519" s="317" t="s">
        <v>3147</v>
      </c>
      <c r="Y519" s="317" t="s">
        <v>3182</v>
      </c>
      <c r="Z519" s="315" t="s">
        <v>3163</v>
      </c>
      <c r="AA519" s="385">
        <v>9625</v>
      </c>
    </row>
    <row r="520" spans="17:27" ht="13.8">
      <c r="Q520" s="378">
        <f t="shared" si="7"/>
        <v>514</v>
      </c>
      <c r="R520" s="379" t="s">
        <v>2488</v>
      </c>
      <c r="S520" s="379" t="s">
        <v>2489</v>
      </c>
      <c r="T520" s="380" t="s">
        <v>954</v>
      </c>
      <c r="U520" s="378" t="s">
        <v>2490</v>
      </c>
      <c r="V520" s="378" t="s">
        <v>2489</v>
      </c>
      <c r="W520" s="379" t="s">
        <v>3069</v>
      </c>
      <c r="X520" s="317" t="s">
        <v>3146</v>
      </c>
      <c r="Y520" s="317" t="s">
        <v>3183</v>
      </c>
      <c r="Z520" s="315" t="s">
        <v>3168</v>
      </c>
      <c r="AA520" s="385">
        <v>26164</v>
      </c>
    </row>
    <row r="521" spans="17:27" ht="13.8">
      <c r="Q521" s="378">
        <f t="shared" ref="Q521:Q584" si="8">Q520+1</f>
        <v>515</v>
      </c>
      <c r="R521" s="379" t="s">
        <v>2491</v>
      </c>
      <c r="S521" s="379" t="s">
        <v>2492</v>
      </c>
      <c r="T521" s="380" t="s">
        <v>962</v>
      </c>
      <c r="U521" s="378" t="s">
        <v>2493</v>
      </c>
      <c r="V521" s="378" t="s">
        <v>2871</v>
      </c>
      <c r="W521" s="379" t="s">
        <v>2871</v>
      </c>
      <c r="X521" s="317" t="s">
        <v>3147</v>
      </c>
      <c r="Y521" s="317" t="s">
        <v>3182</v>
      </c>
      <c r="Z521" s="315" t="s">
        <v>3163</v>
      </c>
      <c r="AA521" s="385">
        <v>11335</v>
      </c>
    </row>
    <row r="522" spans="17:27" ht="13.8">
      <c r="Q522" s="378">
        <f t="shared" si="8"/>
        <v>516</v>
      </c>
      <c r="R522" s="379" t="s">
        <v>2494</v>
      </c>
      <c r="S522" s="379" t="s">
        <v>2495</v>
      </c>
      <c r="T522" s="380" t="s">
        <v>983</v>
      </c>
      <c r="U522" s="378" t="s">
        <v>2496</v>
      </c>
      <c r="V522" s="378" t="s">
        <v>2495</v>
      </c>
      <c r="W522" s="379" t="s">
        <v>3070</v>
      </c>
      <c r="X522" s="317" t="s">
        <v>3146</v>
      </c>
      <c r="Y522" s="317" t="s">
        <v>3183</v>
      </c>
      <c r="Z522" s="315" t="s">
        <v>3165</v>
      </c>
      <c r="AA522" s="385">
        <v>16</v>
      </c>
    </row>
    <row r="523" spans="17:27" ht="13.8">
      <c r="Q523" s="378">
        <f t="shared" si="8"/>
        <v>517</v>
      </c>
      <c r="R523" s="379" t="s">
        <v>2497</v>
      </c>
      <c r="S523" s="379" t="s">
        <v>2498</v>
      </c>
      <c r="T523" s="380" t="s">
        <v>1092</v>
      </c>
      <c r="U523" s="378" t="s">
        <v>2499</v>
      </c>
      <c r="V523" s="378" t="s">
        <v>2872</v>
      </c>
      <c r="W523" s="379" t="s">
        <v>2872</v>
      </c>
      <c r="X523" s="317" t="s">
        <v>3147</v>
      </c>
      <c r="Y523" s="317" t="s">
        <v>3182</v>
      </c>
      <c r="Z523" s="315" t="s">
        <v>3163</v>
      </c>
      <c r="AA523" s="385">
        <v>11116</v>
      </c>
    </row>
    <row r="524" spans="17:27" ht="13.8">
      <c r="Q524" s="378">
        <f t="shared" si="8"/>
        <v>518</v>
      </c>
      <c r="R524" s="379" t="s">
        <v>2500</v>
      </c>
      <c r="S524" s="379" t="s">
        <v>2501</v>
      </c>
      <c r="T524" s="380" t="s">
        <v>983</v>
      </c>
      <c r="U524" s="378" t="s">
        <v>2502</v>
      </c>
      <c r="V524" s="378" t="s">
        <v>2501</v>
      </c>
      <c r="W524" s="379" t="s">
        <v>3071</v>
      </c>
      <c r="X524" s="317" t="s">
        <v>3146</v>
      </c>
      <c r="Y524" s="317" t="s">
        <v>3183</v>
      </c>
      <c r="Z524" s="315" t="s">
        <v>3165</v>
      </c>
      <c r="AA524" s="385">
        <v>11358</v>
      </c>
    </row>
    <row r="525" spans="17:27" ht="13.8">
      <c r="Q525" s="378">
        <f t="shared" si="8"/>
        <v>519</v>
      </c>
      <c r="R525" s="379" t="s">
        <v>2503</v>
      </c>
      <c r="S525" s="379" t="s">
        <v>2504</v>
      </c>
      <c r="T525" s="380" t="s">
        <v>1040</v>
      </c>
      <c r="U525" s="378" t="s">
        <v>2505</v>
      </c>
      <c r="V525" s="378" t="s">
        <v>2504</v>
      </c>
      <c r="W525" s="379" t="s">
        <v>976</v>
      </c>
      <c r="X525" s="317" t="s">
        <v>3146</v>
      </c>
      <c r="Y525" s="317" t="s">
        <v>3183</v>
      </c>
      <c r="Z525" s="315" t="s">
        <v>3168</v>
      </c>
      <c r="AA525" s="385">
        <v>15311</v>
      </c>
    </row>
    <row r="526" spans="17:27" ht="13.8">
      <c r="Q526" s="378">
        <f t="shared" si="8"/>
        <v>520</v>
      </c>
      <c r="R526" s="379" t="s">
        <v>2506</v>
      </c>
      <c r="S526" s="379" t="s">
        <v>2507</v>
      </c>
      <c r="T526" s="380" t="s">
        <v>976</v>
      </c>
      <c r="U526" s="378" t="s">
        <v>2508</v>
      </c>
      <c r="V526" s="378" t="s">
        <v>2873</v>
      </c>
      <c r="W526" s="379" t="s">
        <v>2873</v>
      </c>
      <c r="X526" s="317" t="s">
        <v>3147</v>
      </c>
      <c r="Y526" s="317" t="s">
        <v>3182</v>
      </c>
      <c r="Z526" s="315" t="s">
        <v>3163</v>
      </c>
      <c r="AA526" s="385">
        <v>6461</v>
      </c>
    </row>
    <row r="527" spans="17:27" ht="13.8">
      <c r="Q527" s="378">
        <f t="shared" si="8"/>
        <v>521</v>
      </c>
      <c r="R527" s="379" t="s">
        <v>2509</v>
      </c>
      <c r="S527" s="379" t="s">
        <v>2510</v>
      </c>
      <c r="T527" s="380" t="s">
        <v>962</v>
      </c>
      <c r="U527" s="378" t="s">
        <v>2511</v>
      </c>
      <c r="V527" s="378" t="s">
        <v>2510</v>
      </c>
      <c r="W527" s="379" t="s">
        <v>2873</v>
      </c>
      <c r="X527" s="317" t="s">
        <v>3146</v>
      </c>
      <c r="Y527" s="317" t="s">
        <v>3182</v>
      </c>
      <c r="Z527" s="315" t="s">
        <v>3171</v>
      </c>
      <c r="AA527" s="385">
        <v>9102</v>
      </c>
    </row>
    <row r="528" spans="17:27" ht="13.8">
      <c r="Q528" s="378">
        <f t="shared" si="8"/>
        <v>522</v>
      </c>
      <c r="R528" s="379" t="s">
        <v>2512</v>
      </c>
      <c r="S528" s="379" t="s">
        <v>2510</v>
      </c>
      <c r="T528" s="380" t="s">
        <v>1023</v>
      </c>
      <c r="U528" s="378" t="s">
        <v>2513</v>
      </c>
      <c r="V528" s="378" t="s">
        <v>2510</v>
      </c>
      <c r="W528" s="379" t="s">
        <v>2873</v>
      </c>
      <c r="X528" s="317" t="s">
        <v>3146</v>
      </c>
      <c r="Y528" s="317" t="s">
        <v>3183</v>
      </c>
      <c r="Z528" s="315" t="s">
        <v>3165</v>
      </c>
      <c r="AA528" s="385">
        <v>687</v>
      </c>
    </row>
    <row r="529" spans="17:27" ht="13.8">
      <c r="Q529" s="378">
        <f t="shared" si="8"/>
        <v>523</v>
      </c>
      <c r="R529" s="379" t="s">
        <v>2514</v>
      </c>
      <c r="S529" s="379" t="s">
        <v>2510</v>
      </c>
      <c r="T529" s="380" t="s">
        <v>1217</v>
      </c>
      <c r="U529" s="378" t="s">
        <v>2515</v>
      </c>
      <c r="V529" s="378" t="s">
        <v>2510</v>
      </c>
      <c r="W529" s="379" t="s">
        <v>2873</v>
      </c>
      <c r="X529" s="317" t="s">
        <v>3146</v>
      </c>
      <c r="Y529" s="317" t="s">
        <v>3182</v>
      </c>
      <c r="Z529" s="315" t="s">
        <v>3171</v>
      </c>
      <c r="AA529" s="385">
        <v>48559</v>
      </c>
    </row>
    <row r="530" spans="17:27" ht="13.8">
      <c r="Q530" s="378">
        <f t="shared" si="8"/>
        <v>524</v>
      </c>
      <c r="R530" s="379" t="s">
        <v>2516</v>
      </c>
      <c r="S530" s="379" t="s">
        <v>2510</v>
      </c>
      <c r="T530" s="380" t="s">
        <v>1102</v>
      </c>
      <c r="U530" s="378" t="s">
        <v>2517</v>
      </c>
      <c r="V530" s="378" t="s">
        <v>2510</v>
      </c>
      <c r="W530" s="379" t="s">
        <v>2873</v>
      </c>
      <c r="X530" s="317" t="s">
        <v>3146</v>
      </c>
      <c r="Y530" s="317" t="s">
        <v>3183</v>
      </c>
      <c r="Z530" s="315" t="s">
        <v>3168</v>
      </c>
      <c r="AA530" s="385">
        <v>18533</v>
      </c>
    </row>
    <row r="531" spans="17:27" ht="13.8">
      <c r="Q531" s="378">
        <f t="shared" si="8"/>
        <v>525</v>
      </c>
      <c r="R531" s="379" t="s">
        <v>2518</v>
      </c>
      <c r="S531" s="379" t="s">
        <v>2510</v>
      </c>
      <c r="T531" s="380" t="s">
        <v>976</v>
      </c>
      <c r="U531" s="378" t="s">
        <v>2519</v>
      </c>
      <c r="V531" s="378" t="s">
        <v>2510</v>
      </c>
      <c r="W531" s="379" t="s">
        <v>2873</v>
      </c>
      <c r="X531" s="317" t="s">
        <v>3146</v>
      </c>
      <c r="Y531" s="317" t="s">
        <v>3183</v>
      </c>
      <c r="Z531" s="315" t="s">
        <v>3168</v>
      </c>
      <c r="AA531" s="385">
        <v>6651</v>
      </c>
    </row>
    <row r="532" spans="17:27" ht="13.8">
      <c r="Q532" s="378">
        <f t="shared" si="8"/>
        <v>526</v>
      </c>
      <c r="R532" s="379" t="s">
        <v>2520</v>
      </c>
      <c r="S532" s="379" t="s">
        <v>2521</v>
      </c>
      <c r="T532" s="380" t="s">
        <v>1040</v>
      </c>
      <c r="U532" s="378" t="s">
        <v>2522</v>
      </c>
      <c r="V532" s="378" t="s">
        <v>2874</v>
      </c>
      <c r="W532" s="379" t="s">
        <v>2874</v>
      </c>
      <c r="X532" s="317" t="s">
        <v>3147</v>
      </c>
      <c r="Y532" s="317" t="s">
        <v>3182</v>
      </c>
      <c r="Z532" s="315" t="s">
        <v>3163</v>
      </c>
      <c r="AA532" s="385">
        <v>5801</v>
      </c>
    </row>
    <row r="533" spans="17:27" ht="13.8">
      <c r="Q533" s="378">
        <f t="shared" si="8"/>
        <v>527</v>
      </c>
      <c r="R533" s="379" t="s">
        <v>2523</v>
      </c>
      <c r="S533" s="379" t="s">
        <v>2524</v>
      </c>
      <c r="T533" s="380" t="s">
        <v>999</v>
      </c>
      <c r="U533" s="378" t="s">
        <v>2525</v>
      </c>
      <c r="V533" s="378" t="s">
        <v>2524</v>
      </c>
      <c r="W533" s="379" t="s">
        <v>3072</v>
      </c>
      <c r="X533" s="317" t="s">
        <v>3146</v>
      </c>
      <c r="Y533" s="317" t="s">
        <v>3183</v>
      </c>
      <c r="Z533" s="315" t="s">
        <v>3168</v>
      </c>
      <c r="AA533" s="385">
        <v>10649</v>
      </c>
    </row>
    <row r="534" spans="17:27" ht="13.8">
      <c r="Q534" s="378">
        <f t="shared" si="8"/>
        <v>528</v>
      </c>
      <c r="R534" s="379" t="s">
        <v>2526</v>
      </c>
      <c r="S534" s="379" t="s">
        <v>2527</v>
      </c>
      <c r="T534" s="380" t="s">
        <v>1092</v>
      </c>
      <c r="U534" s="378" t="s">
        <v>2528</v>
      </c>
      <c r="V534" s="378" t="s">
        <v>2527</v>
      </c>
      <c r="W534" s="379" t="s">
        <v>3073</v>
      </c>
      <c r="X534" s="317" t="s">
        <v>3146</v>
      </c>
      <c r="Y534" s="317" t="s">
        <v>3182</v>
      </c>
      <c r="Z534" s="315" t="s">
        <v>3170</v>
      </c>
      <c r="AA534" s="385">
        <v>54717</v>
      </c>
    </row>
    <row r="535" spans="17:27" ht="13.8">
      <c r="Q535" s="378">
        <f t="shared" si="8"/>
        <v>529</v>
      </c>
      <c r="R535" s="379" t="s">
        <v>2529</v>
      </c>
      <c r="S535" s="379" t="s">
        <v>2530</v>
      </c>
      <c r="T535" s="380" t="s">
        <v>1030</v>
      </c>
      <c r="U535" s="378" t="s">
        <v>2531</v>
      </c>
      <c r="V535" s="378" t="s">
        <v>2530</v>
      </c>
      <c r="W535" s="379" t="s">
        <v>3074</v>
      </c>
      <c r="X535" s="317" t="s">
        <v>3146</v>
      </c>
      <c r="Y535" s="317" t="s">
        <v>3182</v>
      </c>
      <c r="Z535" s="315" t="s">
        <v>3169</v>
      </c>
      <c r="AA535" s="385">
        <v>12554</v>
      </c>
    </row>
    <row r="536" spans="17:27" ht="13.8">
      <c r="Q536" s="378">
        <f t="shared" si="8"/>
        <v>530</v>
      </c>
      <c r="R536" s="379" t="s">
        <v>2532</v>
      </c>
      <c r="S536" s="379" t="s">
        <v>2533</v>
      </c>
      <c r="T536" s="380" t="s">
        <v>1217</v>
      </c>
      <c r="U536" s="378" t="s">
        <v>2534</v>
      </c>
      <c r="V536" s="378" t="s">
        <v>2875</v>
      </c>
      <c r="W536" s="379" t="s">
        <v>2875</v>
      </c>
      <c r="X536" s="317" t="s">
        <v>3147</v>
      </c>
      <c r="Y536" s="317" t="s">
        <v>3182</v>
      </c>
      <c r="Z536" s="315" t="s">
        <v>3163</v>
      </c>
      <c r="AA536" s="385">
        <v>2278</v>
      </c>
    </row>
    <row r="537" spans="17:27" ht="13.8">
      <c r="Q537" s="378">
        <f t="shared" si="8"/>
        <v>531</v>
      </c>
      <c r="R537" s="379" t="s">
        <v>2535</v>
      </c>
      <c r="S537" s="379" t="s">
        <v>2536</v>
      </c>
      <c r="T537" s="380" t="s">
        <v>1079</v>
      </c>
      <c r="U537" s="378" t="s">
        <v>2537</v>
      </c>
      <c r="V537" s="378" t="s">
        <v>2536</v>
      </c>
      <c r="W537" s="379" t="s">
        <v>3075</v>
      </c>
      <c r="X537" s="317" t="s">
        <v>3146</v>
      </c>
      <c r="Y537" s="317" t="s">
        <v>3183</v>
      </c>
      <c r="Z537" s="315" t="s">
        <v>3165</v>
      </c>
      <c r="AA537" s="385">
        <v>3840</v>
      </c>
    </row>
    <row r="538" spans="17:27" ht="13.8">
      <c r="Q538" s="378">
        <f t="shared" si="8"/>
        <v>532</v>
      </c>
      <c r="R538" s="379" t="s">
        <v>2538</v>
      </c>
      <c r="S538" s="379" t="s">
        <v>2539</v>
      </c>
      <c r="T538" s="380" t="s">
        <v>1044</v>
      </c>
      <c r="U538" s="378" t="s">
        <v>2540</v>
      </c>
      <c r="V538" s="378" t="s">
        <v>2539</v>
      </c>
      <c r="W538" s="379" t="s">
        <v>3076</v>
      </c>
      <c r="X538" s="317" t="s">
        <v>3146</v>
      </c>
      <c r="Y538" s="317" t="s">
        <v>3182</v>
      </c>
      <c r="Z538" s="315" t="s">
        <v>3163</v>
      </c>
      <c r="AA538" s="385">
        <v>10759</v>
      </c>
    </row>
    <row r="539" spans="17:27" ht="13.8">
      <c r="Q539" s="378">
        <f t="shared" si="8"/>
        <v>533</v>
      </c>
      <c r="R539" s="379" t="s">
        <v>86</v>
      </c>
      <c r="S539" s="379" t="s">
        <v>2541</v>
      </c>
      <c r="T539" s="380" t="s">
        <v>1006</v>
      </c>
      <c r="U539" s="378" t="s">
        <v>2542</v>
      </c>
      <c r="V539" s="378" t="s">
        <v>2876</v>
      </c>
      <c r="W539" s="379" t="s">
        <v>2876</v>
      </c>
      <c r="X539" s="317" t="s">
        <v>3147</v>
      </c>
      <c r="Y539" s="317" t="s">
        <v>3184</v>
      </c>
      <c r="Z539" s="315" t="s">
        <v>3167</v>
      </c>
      <c r="AA539" s="385">
        <v>1024</v>
      </c>
    </row>
    <row r="540" spans="17:27" ht="13.8">
      <c r="Q540" s="378">
        <f t="shared" si="8"/>
        <v>534</v>
      </c>
      <c r="R540" s="379" t="s">
        <v>2543</v>
      </c>
      <c r="S540" s="379" t="s">
        <v>2544</v>
      </c>
      <c r="T540" s="380" t="s">
        <v>1217</v>
      </c>
      <c r="U540" s="378" t="s">
        <v>2545</v>
      </c>
      <c r="V540" s="378" t="s">
        <v>2544</v>
      </c>
      <c r="W540" s="379" t="s">
        <v>3077</v>
      </c>
      <c r="X540" s="317" t="s">
        <v>3146</v>
      </c>
      <c r="Y540" s="317" t="s">
        <v>3183</v>
      </c>
      <c r="Z540" s="315" t="s">
        <v>3168</v>
      </c>
      <c r="AA540" s="385">
        <v>21677</v>
      </c>
    </row>
    <row r="541" spans="17:27" ht="13.8">
      <c r="Q541" s="378">
        <f t="shared" si="8"/>
        <v>535</v>
      </c>
      <c r="R541" s="379" t="s">
        <v>2546</v>
      </c>
      <c r="S541" s="379" t="s">
        <v>2547</v>
      </c>
      <c r="T541" s="380" t="s">
        <v>954</v>
      </c>
      <c r="U541" s="378" t="s">
        <v>2548</v>
      </c>
      <c r="V541" s="378" t="s">
        <v>2877</v>
      </c>
      <c r="W541" s="379" t="s">
        <v>2877</v>
      </c>
      <c r="X541" s="317" t="s">
        <v>3147</v>
      </c>
      <c r="Y541" s="317" t="s">
        <v>3182</v>
      </c>
      <c r="Z541" s="315" t="s">
        <v>3163</v>
      </c>
      <c r="AA541" s="385">
        <v>8097</v>
      </c>
    </row>
    <row r="542" spans="17:27" ht="13.8">
      <c r="Q542" s="378">
        <f t="shared" si="8"/>
        <v>536</v>
      </c>
      <c r="R542" s="379" t="s">
        <v>2549</v>
      </c>
      <c r="S542" s="379" t="s">
        <v>2550</v>
      </c>
      <c r="T542" s="380" t="s">
        <v>1092</v>
      </c>
      <c r="U542" s="378" t="s">
        <v>2551</v>
      </c>
      <c r="V542" s="378" t="s">
        <v>2550</v>
      </c>
      <c r="W542" s="379" t="s">
        <v>3078</v>
      </c>
      <c r="X542" s="317" t="s">
        <v>3146</v>
      </c>
      <c r="Y542" s="317" t="s">
        <v>3182</v>
      </c>
      <c r="Z542" s="315" t="s">
        <v>3163</v>
      </c>
      <c r="AA542" s="385">
        <v>25850</v>
      </c>
    </row>
    <row r="543" spans="17:27" ht="13.8">
      <c r="Q543" s="378">
        <f t="shared" si="8"/>
        <v>537</v>
      </c>
      <c r="R543" s="379" t="s">
        <v>2552</v>
      </c>
      <c r="S543" s="379" t="s">
        <v>2553</v>
      </c>
      <c r="T543" s="380" t="s">
        <v>1030</v>
      </c>
      <c r="U543" s="378" t="s">
        <v>2554</v>
      </c>
      <c r="V543" s="378" t="s">
        <v>3139</v>
      </c>
      <c r="W543" s="379" t="s">
        <v>3139</v>
      </c>
      <c r="X543" s="317" t="s">
        <v>2640</v>
      </c>
      <c r="Y543" s="317" t="s">
        <v>3184</v>
      </c>
      <c r="Z543" s="315" t="s">
        <v>3178</v>
      </c>
      <c r="AA543" s="385">
        <v>49708</v>
      </c>
    </row>
    <row r="544" spans="17:27" ht="13.8">
      <c r="Q544" s="378">
        <f t="shared" si="8"/>
        <v>538</v>
      </c>
      <c r="R544" s="379" t="s">
        <v>2555</v>
      </c>
      <c r="S544" s="379" t="s">
        <v>2556</v>
      </c>
      <c r="T544" s="380" t="s">
        <v>1044</v>
      </c>
      <c r="U544" s="378" t="s">
        <v>2557</v>
      </c>
      <c r="V544" s="378" t="s">
        <v>2556</v>
      </c>
      <c r="W544" s="379" t="s">
        <v>3079</v>
      </c>
      <c r="X544" s="317" t="s">
        <v>3146</v>
      </c>
      <c r="Y544" s="317" t="s">
        <v>3182</v>
      </c>
      <c r="Z544" s="315" t="s">
        <v>3171</v>
      </c>
      <c r="AA544" s="385">
        <v>46207</v>
      </c>
    </row>
    <row r="545" spans="17:27" ht="13.8">
      <c r="Q545" s="378">
        <f t="shared" si="8"/>
        <v>539</v>
      </c>
      <c r="R545" s="379" t="s">
        <v>2558</v>
      </c>
      <c r="S545" s="379" t="s">
        <v>2559</v>
      </c>
      <c r="T545" s="380" t="s">
        <v>1006</v>
      </c>
      <c r="U545" s="378" t="s">
        <v>2560</v>
      </c>
      <c r="V545" s="378" t="s">
        <v>2878</v>
      </c>
      <c r="W545" s="379" t="s">
        <v>2878</v>
      </c>
      <c r="X545" s="317" t="s">
        <v>3147</v>
      </c>
      <c r="Y545" s="317" t="s">
        <v>3184</v>
      </c>
      <c r="Z545" s="315" t="s">
        <v>3167</v>
      </c>
      <c r="AA545" s="385">
        <v>603</v>
      </c>
    </row>
    <row r="546" spans="17:27" ht="13.8">
      <c r="Q546" s="378">
        <f t="shared" si="8"/>
        <v>540</v>
      </c>
      <c r="R546" s="379" t="s">
        <v>2561</v>
      </c>
      <c r="S546" s="379" t="s">
        <v>2562</v>
      </c>
      <c r="T546" s="380" t="s">
        <v>1323</v>
      </c>
      <c r="U546" s="378" t="s">
        <v>2563</v>
      </c>
      <c r="V546" s="378" t="s">
        <v>2562</v>
      </c>
      <c r="W546" s="379" t="s">
        <v>3080</v>
      </c>
      <c r="X546" s="317" t="s">
        <v>3146</v>
      </c>
      <c r="Y546" s="317" t="s">
        <v>3182</v>
      </c>
      <c r="Z546" s="315" t="s">
        <v>3171</v>
      </c>
      <c r="AA546" s="385">
        <v>27165</v>
      </c>
    </row>
    <row r="547" spans="17:27" ht="13.8">
      <c r="Q547" s="378">
        <f t="shared" si="8"/>
        <v>541</v>
      </c>
      <c r="R547" s="379" t="s">
        <v>2564</v>
      </c>
      <c r="S547" s="379" t="s">
        <v>2565</v>
      </c>
      <c r="T547" s="380" t="s">
        <v>1023</v>
      </c>
      <c r="U547" s="378" t="s">
        <v>2566</v>
      </c>
      <c r="V547" s="378" t="s">
        <v>2565</v>
      </c>
      <c r="W547" s="379" t="s">
        <v>3081</v>
      </c>
      <c r="X547" s="317" t="s">
        <v>3146</v>
      </c>
      <c r="Y547" s="317" t="s">
        <v>3183</v>
      </c>
      <c r="Z547" s="315" t="s">
        <v>3168</v>
      </c>
      <c r="AA547" s="385">
        <v>8813</v>
      </c>
    </row>
    <row r="548" spans="17:27" ht="13.8">
      <c r="Q548" s="378">
        <f t="shared" si="8"/>
        <v>542</v>
      </c>
      <c r="R548" s="379" t="s">
        <v>2567</v>
      </c>
      <c r="S548" s="379" t="s">
        <v>2568</v>
      </c>
      <c r="T548" s="380" t="s">
        <v>1060</v>
      </c>
      <c r="U548" s="378" t="s">
        <v>2569</v>
      </c>
      <c r="V548" s="378" t="s">
        <v>3140</v>
      </c>
      <c r="W548" s="379" t="s">
        <v>3140</v>
      </c>
      <c r="X548" s="317" t="s">
        <v>2640</v>
      </c>
      <c r="Y548" s="317" t="s">
        <v>3182</v>
      </c>
      <c r="Z548" s="315" t="s">
        <v>3176</v>
      </c>
      <c r="AA548" s="385">
        <v>30316</v>
      </c>
    </row>
    <row r="549" spans="17:27" ht="13.8">
      <c r="Q549" s="378">
        <f t="shared" si="8"/>
        <v>543</v>
      </c>
      <c r="R549" s="379" t="s">
        <v>2570</v>
      </c>
      <c r="S549" s="379" t="s">
        <v>2571</v>
      </c>
      <c r="T549" s="380" t="s">
        <v>1217</v>
      </c>
      <c r="U549" s="378" t="s">
        <v>2572</v>
      </c>
      <c r="V549" s="378" t="s">
        <v>2879</v>
      </c>
      <c r="W549" s="379" t="s">
        <v>2879</v>
      </c>
      <c r="X549" s="317" t="s">
        <v>3147</v>
      </c>
      <c r="Y549" s="317" t="s">
        <v>3182</v>
      </c>
      <c r="Z549" s="315" t="s">
        <v>3163</v>
      </c>
      <c r="AA549" s="385">
        <v>4288</v>
      </c>
    </row>
    <row r="550" spans="17:27" ht="13.8">
      <c r="Q550" s="378">
        <f t="shared" si="8"/>
        <v>544</v>
      </c>
      <c r="R550" s="379" t="s">
        <v>2573</v>
      </c>
      <c r="S550" s="379" t="s">
        <v>2574</v>
      </c>
      <c r="T550" s="380" t="s">
        <v>962</v>
      </c>
      <c r="U550" s="378" t="s">
        <v>2575</v>
      </c>
      <c r="V550" s="378" t="s">
        <v>2880</v>
      </c>
      <c r="W550" s="379" t="s">
        <v>2880</v>
      </c>
      <c r="X550" s="317" t="s">
        <v>3147</v>
      </c>
      <c r="Y550" s="317" t="s">
        <v>3182</v>
      </c>
      <c r="Z550" s="315" t="s">
        <v>3163</v>
      </c>
      <c r="AA550" s="385">
        <v>10908</v>
      </c>
    </row>
    <row r="551" spans="17:27" ht="13.8">
      <c r="Q551" s="378">
        <f t="shared" si="8"/>
        <v>545</v>
      </c>
      <c r="R551" s="379" t="s">
        <v>2576</v>
      </c>
      <c r="S551" s="379" t="s">
        <v>2577</v>
      </c>
      <c r="T551" s="380" t="s">
        <v>958</v>
      </c>
      <c r="U551" s="378" t="s">
        <v>2578</v>
      </c>
      <c r="V551" s="378" t="s">
        <v>2577</v>
      </c>
      <c r="W551" s="379" t="s">
        <v>3082</v>
      </c>
      <c r="X551" s="317" t="s">
        <v>3146</v>
      </c>
      <c r="Y551" s="317" t="s">
        <v>3183</v>
      </c>
      <c r="Z551" s="315" t="s">
        <v>3165</v>
      </c>
      <c r="AA551" s="385">
        <v>2715</v>
      </c>
    </row>
    <row r="552" spans="17:27" ht="13.8">
      <c r="Q552" s="378">
        <f t="shared" si="8"/>
        <v>546</v>
      </c>
      <c r="R552" s="379" t="s">
        <v>2579</v>
      </c>
      <c r="S552" s="379" t="s">
        <v>2580</v>
      </c>
      <c r="T552" s="380" t="s">
        <v>1102</v>
      </c>
      <c r="U552" s="378" t="s">
        <v>2581</v>
      </c>
      <c r="V552" s="378" t="s">
        <v>2881</v>
      </c>
      <c r="W552" s="379" t="s">
        <v>2881</v>
      </c>
      <c r="X552" s="317" t="s">
        <v>3147</v>
      </c>
      <c r="Y552" s="317" t="s">
        <v>3182</v>
      </c>
      <c r="Z552" s="315" t="s">
        <v>3163</v>
      </c>
      <c r="AA552" s="385">
        <v>6522</v>
      </c>
    </row>
    <row r="553" spans="17:27" ht="13.8">
      <c r="Q553" s="378">
        <f t="shared" si="8"/>
        <v>547</v>
      </c>
      <c r="R553" s="379" t="s">
        <v>2582</v>
      </c>
      <c r="S553" s="379" t="s">
        <v>2583</v>
      </c>
      <c r="T553" s="380" t="s">
        <v>976</v>
      </c>
      <c r="U553" s="378" t="s">
        <v>2584</v>
      </c>
      <c r="V553" s="378" t="s">
        <v>2583</v>
      </c>
      <c r="W553" s="379" t="s">
        <v>3083</v>
      </c>
      <c r="X553" s="317" t="s">
        <v>3146</v>
      </c>
      <c r="Y553" s="317" t="s">
        <v>3183</v>
      </c>
      <c r="Z553" s="315" t="s">
        <v>3165</v>
      </c>
      <c r="AA553" s="385">
        <v>4882</v>
      </c>
    </row>
    <row r="554" spans="17:27" ht="13.8">
      <c r="Q554" s="378">
        <f t="shared" si="8"/>
        <v>548</v>
      </c>
      <c r="R554" s="379" t="s">
        <v>2585</v>
      </c>
      <c r="S554" s="379" t="s">
        <v>2586</v>
      </c>
      <c r="T554" s="380" t="s">
        <v>1006</v>
      </c>
      <c r="U554" s="378" t="s">
        <v>2587</v>
      </c>
      <c r="V554" s="378" t="s">
        <v>3127</v>
      </c>
      <c r="W554" s="379" t="s">
        <v>3127</v>
      </c>
      <c r="X554" s="317" t="s">
        <v>3148</v>
      </c>
      <c r="Y554" s="317" t="s">
        <v>3184</v>
      </c>
      <c r="Z554" s="315" t="s">
        <v>3167</v>
      </c>
      <c r="AA554" s="385">
        <v>5325</v>
      </c>
    </row>
    <row r="555" spans="17:27" ht="13.8">
      <c r="Q555" s="378">
        <f t="shared" si="8"/>
        <v>549</v>
      </c>
      <c r="R555" s="379" t="s">
        <v>2588</v>
      </c>
      <c r="S555" s="379" t="s">
        <v>2589</v>
      </c>
      <c r="T555" s="380" t="s">
        <v>1006</v>
      </c>
      <c r="U555" s="378" t="s">
        <v>2590</v>
      </c>
      <c r="V555" s="378" t="s">
        <v>2882</v>
      </c>
      <c r="W555" s="379" t="s">
        <v>2882</v>
      </c>
      <c r="X555" s="317" t="s">
        <v>3147</v>
      </c>
      <c r="Y555" s="317" t="s">
        <v>3184</v>
      </c>
      <c r="Z555" s="315" t="s">
        <v>3167</v>
      </c>
      <c r="AA555" s="385">
        <v>3270</v>
      </c>
    </row>
    <row r="556" spans="17:27" ht="13.8">
      <c r="Q556" s="378">
        <f t="shared" si="8"/>
        <v>550</v>
      </c>
      <c r="R556" s="379" t="s">
        <v>2591</v>
      </c>
      <c r="S556" s="379" t="s">
        <v>2592</v>
      </c>
      <c r="T556" s="380" t="s">
        <v>1023</v>
      </c>
      <c r="U556" s="378" t="s">
        <v>2593</v>
      </c>
      <c r="V556" s="378" t="s">
        <v>2592</v>
      </c>
      <c r="W556" s="379" t="s">
        <v>3084</v>
      </c>
      <c r="X556" s="317" t="s">
        <v>3146</v>
      </c>
      <c r="Y556" s="317" t="s">
        <v>3182</v>
      </c>
      <c r="Z556" s="315" t="s">
        <v>3169</v>
      </c>
      <c r="AA556" s="385">
        <v>31629</v>
      </c>
    </row>
    <row r="557" spans="17:27" ht="13.8">
      <c r="Q557" s="378">
        <f t="shared" si="8"/>
        <v>551</v>
      </c>
      <c r="R557" s="379" t="s">
        <v>2594</v>
      </c>
      <c r="S557" s="379" t="s">
        <v>2595</v>
      </c>
      <c r="T557" s="380" t="s">
        <v>1060</v>
      </c>
      <c r="U557" s="378" t="s">
        <v>2596</v>
      </c>
      <c r="V557" s="378" t="s">
        <v>2595</v>
      </c>
      <c r="W557" s="379" t="s">
        <v>3085</v>
      </c>
      <c r="X557" s="317" t="s">
        <v>3146</v>
      </c>
      <c r="Y557" s="317" t="s">
        <v>3183</v>
      </c>
      <c r="Z557" s="315" t="s">
        <v>3165</v>
      </c>
      <c r="AA557" s="385">
        <v>1471</v>
      </c>
    </row>
    <row r="558" spans="17:27" ht="13.8">
      <c r="Q558" s="378">
        <f t="shared" si="8"/>
        <v>552</v>
      </c>
      <c r="R558" s="379" t="s">
        <v>2597</v>
      </c>
      <c r="S558" s="379" t="s">
        <v>2598</v>
      </c>
      <c r="T558" s="380" t="s">
        <v>999</v>
      </c>
      <c r="U558" s="378" t="s">
        <v>2599</v>
      </c>
      <c r="V558" s="378" t="s">
        <v>2598</v>
      </c>
      <c r="W558" s="379" t="s">
        <v>3086</v>
      </c>
      <c r="X558" s="317" t="s">
        <v>3146</v>
      </c>
      <c r="Y558" s="317" t="s">
        <v>3183</v>
      </c>
      <c r="Z558" s="315" t="s">
        <v>3181</v>
      </c>
      <c r="AA558" s="385">
        <v>39499</v>
      </c>
    </row>
    <row r="559" spans="17:27" ht="13.8">
      <c r="Q559" s="378">
        <f t="shared" si="8"/>
        <v>553</v>
      </c>
      <c r="R559" s="379" t="s">
        <v>2600</v>
      </c>
      <c r="S559" s="379" t="s">
        <v>2601</v>
      </c>
      <c r="T559" s="380" t="s">
        <v>1006</v>
      </c>
      <c r="U559" s="378" t="s">
        <v>2602</v>
      </c>
      <c r="V559" s="378" t="s">
        <v>2883</v>
      </c>
      <c r="W559" s="379" t="s">
        <v>2883</v>
      </c>
      <c r="X559" s="317" t="s">
        <v>3147</v>
      </c>
      <c r="Y559" s="317" t="s">
        <v>3182</v>
      </c>
      <c r="Z559" s="315" t="s">
        <v>3163</v>
      </c>
      <c r="AA559" s="385">
        <v>2472</v>
      </c>
    </row>
    <row r="560" spans="17:27" ht="13.8">
      <c r="Q560" s="378">
        <f t="shared" si="8"/>
        <v>554</v>
      </c>
      <c r="R560" s="379" t="s">
        <v>2603</v>
      </c>
      <c r="S560" s="379" t="s">
        <v>2604</v>
      </c>
      <c r="T560" s="380" t="s">
        <v>1183</v>
      </c>
      <c r="U560" s="378" t="s">
        <v>2605</v>
      </c>
      <c r="V560" s="378" t="s">
        <v>2604</v>
      </c>
      <c r="W560" s="379" t="s">
        <v>3087</v>
      </c>
      <c r="X560" s="317" t="s">
        <v>3146</v>
      </c>
      <c r="Y560" s="317" t="s">
        <v>3182</v>
      </c>
      <c r="Z560" s="315" t="s">
        <v>3170</v>
      </c>
      <c r="AA560" s="385">
        <v>99585</v>
      </c>
    </row>
    <row r="561" spans="17:27" ht="13.8">
      <c r="Q561" s="378">
        <f t="shared" si="8"/>
        <v>555</v>
      </c>
      <c r="R561" s="379" t="s">
        <v>2606</v>
      </c>
      <c r="S561" s="379" t="s">
        <v>2607</v>
      </c>
      <c r="T561" s="380" t="s">
        <v>1217</v>
      </c>
      <c r="U561" s="378" t="s">
        <v>2608</v>
      </c>
      <c r="V561" s="378" t="s">
        <v>3128</v>
      </c>
      <c r="W561" s="379" t="s">
        <v>3128</v>
      </c>
      <c r="X561" s="317" t="s">
        <v>3148</v>
      </c>
      <c r="Y561" s="317" t="s">
        <v>3182</v>
      </c>
      <c r="Z561" s="315" t="s">
        <v>3170</v>
      </c>
      <c r="AA561" s="385">
        <v>10174</v>
      </c>
    </row>
    <row r="562" spans="17:27" ht="13.8">
      <c r="Q562" s="378">
        <f t="shared" si="8"/>
        <v>556</v>
      </c>
      <c r="R562" s="379" t="s">
        <v>2609</v>
      </c>
      <c r="S562" s="379" t="s">
        <v>2610</v>
      </c>
      <c r="T562" s="380" t="s">
        <v>1217</v>
      </c>
      <c r="U562" s="378" t="s">
        <v>2611</v>
      </c>
      <c r="V562" s="378" t="s">
        <v>2884</v>
      </c>
      <c r="W562" s="379" t="s">
        <v>2884</v>
      </c>
      <c r="X562" s="317" t="s">
        <v>3147</v>
      </c>
      <c r="Y562" s="317" t="s">
        <v>3182</v>
      </c>
      <c r="Z562" s="315" t="s">
        <v>3163</v>
      </c>
      <c r="AA562" s="385">
        <v>3055</v>
      </c>
    </row>
    <row r="563" spans="17:27" ht="13.8">
      <c r="Q563" s="378">
        <f t="shared" si="8"/>
        <v>557</v>
      </c>
      <c r="R563" s="379" t="s">
        <v>2612</v>
      </c>
      <c r="S563" s="379" t="s">
        <v>2613</v>
      </c>
      <c r="T563" s="380" t="s">
        <v>962</v>
      </c>
      <c r="U563" s="378" t="s">
        <v>2614</v>
      </c>
      <c r="V563" s="378" t="s">
        <v>2885</v>
      </c>
      <c r="W563" s="379" t="s">
        <v>2885</v>
      </c>
      <c r="X563" s="317" t="s">
        <v>3147</v>
      </c>
      <c r="Y563" s="317" t="s">
        <v>3182</v>
      </c>
      <c r="Z563" s="315" t="s">
        <v>3163</v>
      </c>
      <c r="AA563" s="385">
        <v>5730</v>
      </c>
    </row>
    <row r="564" spans="17:27" ht="13.8">
      <c r="Q564" s="378">
        <f t="shared" si="8"/>
        <v>558</v>
      </c>
      <c r="R564" s="379" t="s">
        <v>2615</v>
      </c>
      <c r="S564" s="379" t="s">
        <v>2616</v>
      </c>
      <c r="T564" s="380" t="s">
        <v>1092</v>
      </c>
      <c r="U564" s="378" t="s">
        <v>2617</v>
      </c>
      <c r="V564" s="378" t="s">
        <v>2886</v>
      </c>
      <c r="W564" s="379" t="s">
        <v>2886</v>
      </c>
      <c r="X564" s="317" t="s">
        <v>3147</v>
      </c>
      <c r="Y564" s="317" t="s">
        <v>3182</v>
      </c>
      <c r="Z564" s="315" t="s">
        <v>3163</v>
      </c>
      <c r="AA564" s="385">
        <v>11819</v>
      </c>
    </row>
    <row r="565" spans="17:27" ht="13.8">
      <c r="Q565" s="378">
        <f t="shared" si="8"/>
        <v>559</v>
      </c>
      <c r="R565" s="379" t="s">
        <v>2618</v>
      </c>
      <c r="S565" s="379" t="s">
        <v>2619</v>
      </c>
      <c r="T565" s="380" t="s">
        <v>1023</v>
      </c>
      <c r="U565" s="378" t="s">
        <v>2620</v>
      </c>
      <c r="V565" s="378" t="s">
        <v>2619</v>
      </c>
      <c r="W565" s="379" t="s">
        <v>3088</v>
      </c>
      <c r="X565" s="317" t="s">
        <v>3146</v>
      </c>
      <c r="Y565" s="317" t="s">
        <v>3183</v>
      </c>
      <c r="Z565" s="315" t="s">
        <v>3165</v>
      </c>
      <c r="AA565" s="385">
        <v>1788</v>
      </c>
    </row>
    <row r="566" spans="17:27" ht="13.8">
      <c r="Q566" s="378">
        <f t="shared" si="8"/>
        <v>560</v>
      </c>
      <c r="R566" s="379" t="s">
        <v>2621</v>
      </c>
      <c r="S566" s="379" t="s">
        <v>2622</v>
      </c>
      <c r="T566" s="380" t="s">
        <v>999</v>
      </c>
      <c r="U566" s="378" t="s">
        <v>2623</v>
      </c>
      <c r="V566" s="378" t="s">
        <v>2887</v>
      </c>
      <c r="W566" s="379" t="s">
        <v>2887</v>
      </c>
      <c r="X566" s="317" t="s">
        <v>3147</v>
      </c>
      <c r="Y566" s="317" t="s">
        <v>3182</v>
      </c>
      <c r="Z566" s="315" t="s">
        <v>3163</v>
      </c>
      <c r="AA566" s="385">
        <v>2978</v>
      </c>
    </row>
    <row r="567" spans="17:27" ht="13.8">
      <c r="Q567" s="378">
        <f t="shared" si="8"/>
        <v>561</v>
      </c>
      <c r="R567" s="379" t="s">
        <v>2624</v>
      </c>
      <c r="S567" s="379" t="s">
        <v>2625</v>
      </c>
      <c r="T567" s="380" t="s">
        <v>962</v>
      </c>
      <c r="U567" s="378" t="s">
        <v>2626</v>
      </c>
      <c r="V567" s="378" t="s">
        <v>2888</v>
      </c>
      <c r="W567" s="379" t="s">
        <v>2888</v>
      </c>
      <c r="X567" s="317" t="s">
        <v>3147</v>
      </c>
      <c r="Y567" s="317" t="s">
        <v>3182</v>
      </c>
      <c r="Z567" s="315" t="s">
        <v>3163</v>
      </c>
      <c r="AA567" s="385">
        <v>7626</v>
      </c>
    </row>
    <row r="568" spans="17:27" ht="13.8">
      <c r="Q568" s="378">
        <f t="shared" si="8"/>
        <v>562</v>
      </c>
      <c r="R568" s="379" t="s">
        <v>2627</v>
      </c>
      <c r="S568" s="379" t="s">
        <v>2628</v>
      </c>
      <c r="T568" s="380" t="s">
        <v>972</v>
      </c>
      <c r="U568" s="378" t="s">
        <v>2629</v>
      </c>
      <c r="V568" s="378" t="s">
        <v>2889</v>
      </c>
      <c r="W568" s="379" t="s">
        <v>2889</v>
      </c>
      <c r="X568" s="317" t="s">
        <v>3147</v>
      </c>
      <c r="Y568" s="317" t="s">
        <v>3182</v>
      </c>
      <c r="Z568" s="315" t="s">
        <v>3163</v>
      </c>
      <c r="AA568" s="385">
        <v>3505</v>
      </c>
    </row>
    <row r="569" spans="17:27" ht="13.8">
      <c r="Q569" s="378">
        <f t="shared" si="8"/>
        <v>563</v>
      </c>
      <c r="R569" s="379" t="s">
        <v>2630</v>
      </c>
      <c r="S569" s="379" t="s">
        <v>2631</v>
      </c>
      <c r="T569" s="380" t="s">
        <v>1217</v>
      </c>
      <c r="U569" s="378" t="s">
        <v>2632</v>
      </c>
      <c r="V569" s="378" t="s">
        <v>2631</v>
      </c>
      <c r="W569" s="379" t="s">
        <v>3089</v>
      </c>
      <c r="X569" s="317" t="s">
        <v>3146</v>
      </c>
      <c r="Y569" s="317" t="s">
        <v>3183</v>
      </c>
      <c r="Z569" s="315" t="s">
        <v>3168</v>
      </c>
      <c r="AA569" s="385">
        <v>10200</v>
      </c>
    </row>
    <row r="570" spans="17:27" ht="13.8">
      <c r="Q570" s="378">
        <f t="shared" si="8"/>
        <v>564</v>
      </c>
      <c r="R570" s="379" t="s">
        <v>2633</v>
      </c>
      <c r="S570" s="379" t="s">
        <v>2634</v>
      </c>
      <c r="T570" s="380" t="s">
        <v>1023</v>
      </c>
      <c r="U570" s="378" t="s">
        <v>2635</v>
      </c>
      <c r="V570" s="378" t="s">
        <v>2890</v>
      </c>
      <c r="W570" s="379" t="s">
        <v>2890</v>
      </c>
      <c r="X570" s="317" t="s">
        <v>3147</v>
      </c>
      <c r="Y570" s="317" t="s">
        <v>3182</v>
      </c>
      <c r="Z570" s="315" t="s">
        <v>3163</v>
      </c>
      <c r="AA570" s="385">
        <v>802</v>
      </c>
    </row>
    <row r="571" spans="17:27" ht="13.8">
      <c r="Q571" s="378">
        <f t="shared" si="8"/>
        <v>565</v>
      </c>
      <c r="R571" s="379" t="s">
        <v>2636</v>
      </c>
      <c r="S571" s="379" t="s">
        <v>2637</v>
      </c>
      <c r="T571" s="380" t="s">
        <v>962</v>
      </c>
      <c r="U571" s="378" t="s">
        <v>2638</v>
      </c>
      <c r="V571" s="378" t="s">
        <v>2637</v>
      </c>
      <c r="W571" s="379" t="s">
        <v>3090</v>
      </c>
      <c r="X571" s="317" t="s">
        <v>3146</v>
      </c>
      <c r="Y571" s="317" t="s">
        <v>3183</v>
      </c>
      <c r="Z571" s="315" t="s">
        <v>3168</v>
      </c>
      <c r="AA571" s="385">
        <v>16696</v>
      </c>
    </row>
    <row r="572" spans="17:27" ht="13.8">
      <c r="Q572" s="378">
        <f t="shared" si="8"/>
        <v>566</v>
      </c>
      <c r="R572" s="931" t="s">
        <v>3473</v>
      </c>
      <c r="S572" s="379" t="s">
        <v>3497</v>
      </c>
      <c r="T572" t="s">
        <v>958</v>
      </c>
      <c r="U572" s="378" t="s">
        <v>3518</v>
      </c>
      <c r="V572" s="378" t="s">
        <v>958</v>
      </c>
      <c r="W572" s="379" t="s">
        <v>958</v>
      </c>
      <c r="X572" s="317" t="s">
        <v>371</v>
      </c>
      <c r="Y572" s="317" t="s">
        <v>3592</v>
      </c>
      <c r="AA572" s="385">
        <v>274549</v>
      </c>
    </row>
    <row r="573" spans="17:27" ht="13.8">
      <c r="Q573" s="378">
        <f t="shared" si="8"/>
        <v>567</v>
      </c>
      <c r="R573" s="931" t="s">
        <v>3474</v>
      </c>
      <c r="S573" s="379" t="s">
        <v>3498</v>
      </c>
      <c r="T573" t="s">
        <v>962</v>
      </c>
      <c r="U573" s="378" t="s">
        <v>3519</v>
      </c>
      <c r="V573" s="378" t="s">
        <v>962</v>
      </c>
      <c r="W573" s="379" t="s">
        <v>962</v>
      </c>
      <c r="X573" s="317" t="s">
        <v>371</v>
      </c>
      <c r="Y573" s="317" t="s">
        <v>3592</v>
      </c>
      <c r="AA573" s="385">
        <v>905116</v>
      </c>
    </row>
    <row r="574" spans="17:27" ht="13.8">
      <c r="Q574" s="378">
        <f t="shared" si="8"/>
        <v>568</v>
      </c>
      <c r="R574" s="931" t="s">
        <v>3475</v>
      </c>
      <c r="S574" s="379" t="s">
        <v>3499</v>
      </c>
      <c r="T574" t="s">
        <v>1023</v>
      </c>
      <c r="U574" s="378" t="s">
        <v>3520</v>
      </c>
      <c r="V574" s="378" t="s">
        <v>1023</v>
      </c>
      <c r="W574" s="379" t="s">
        <v>1023</v>
      </c>
      <c r="X574" s="317" t="s">
        <v>371</v>
      </c>
      <c r="Y574" s="317" t="s">
        <v>3592</v>
      </c>
      <c r="AA574" s="385">
        <v>448734</v>
      </c>
    </row>
    <row r="575" spans="17:27" ht="13.8">
      <c r="Q575" s="378">
        <f t="shared" si="8"/>
        <v>569</v>
      </c>
      <c r="R575" s="931" t="s">
        <v>3476</v>
      </c>
      <c r="S575" s="379" t="s">
        <v>3500</v>
      </c>
      <c r="T575" t="s">
        <v>999</v>
      </c>
      <c r="U575" s="378" t="s">
        <v>3521</v>
      </c>
      <c r="V575" s="378" t="s">
        <v>999</v>
      </c>
      <c r="W575" s="379" t="s">
        <v>999</v>
      </c>
      <c r="X575" s="317" t="s">
        <v>371</v>
      </c>
      <c r="Y575" s="317" t="s">
        <v>3592</v>
      </c>
      <c r="AA575" s="385">
        <v>513657</v>
      </c>
    </row>
    <row r="576" spans="17:27" ht="13.8">
      <c r="Q576" s="378">
        <f t="shared" si="8"/>
        <v>570</v>
      </c>
      <c r="R576" s="931" t="s">
        <v>3477</v>
      </c>
      <c r="S576" s="379" t="s">
        <v>3501</v>
      </c>
      <c r="T576" t="s">
        <v>1006</v>
      </c>
      <c r="U576" s="378" t="s">
        <v>3522</v>
      </c>
      <c r="V576" s="378" t="s">
        <v>1006</v>
      </c>
      <c r="W576" s="379" t="s">
        <v>1006</v>
      </c>
      <c r="X576" s="317" t="s">
        <v>371</v>
      </c>
      <c r="Y576" s="317" t="s">
        <v>3592</v>
      </c>
      <c r="AA576" s="385">
        <v>97265</v>
      </c>
    </row>
    <row r="577" spans="17:27" ht="13.8">
      <c r="Q577" s="378">
        <f t="shared" si="8"/>
        <v>571</v>
      </c>
      <c r="R577" s="931" t="s">
        <v>3478</v>
      </c>
      <c r="S577" s="379" t="s">
        <v>3502</v>
      </c>
      <c r="T577" t="s">
        <v>1130</v>
      </c>
      <c r="U577" s="378" t="s">
        <v>3523</v>
      </c>
      <c r="V577" s="378" t="s">
        <v>1130</v>
      </c>
      <c r="W577" s="379" t="s">
        <v>1130</v>
      </c>
      <c r="X577" s="317" t="s">
        <v>371</v>
      </c>
      <c r="Y577" s="317" t="s">
        <v>3592</v>
      </c>
      <c r="AA577" s="385">
        <v>156898</v>
      </c>
    </row>
    <row r="578" spans="17:27" ht="13.8">
      <c r="Q578" s="378">
        <f t="shared" si="8"/>
        <v>572</v>
      </c>
      <c r="R578" s="931" t="s">
        <v>3479</v>
      </c>
      <c r="S578" s="379" t="s">
        <v>3503</v>
      </c>
      <c r="T578" t="s">
        <v>1044</v>
      </c>
      <c r="U578" s="378" t="s">
        <v>3524</v>
      </c>
      <c r="V578" s="378" t="s">
        <v>1044</v>
      </c>
      <c r="W578" s="379" t="s">
        <v>1044</v>
      </c>
      <c r="X578" s="317" t="s">
        <v>371</v>
      </c>
      <c r="Y578" s="317" t="s">
        <v>3592</v>
      </c>
      <c r="AA578" s="385">
        <v>783969</v>
      </c>
    </row>
    <row r="579" spans="17:27" ht="13.8">
      <c r="Q579" s="378">
        <f t="shared" si="8"/>
        <v>573</v>
      </c>
      <c r="R579" s="931" t="s">
        <v>3480</v>
      </c>
      <c r="S579" s="379" t="s">
        <v>3504</v>
      </c>
      <c r="T579" t="s">
        <v>1217</v>
      </c>
      <c r="U579" s="378" t="s">
        <v>3525</v>
      </c>
      <c r="V579" s="378" t="s">
        <v>1217</v>
      </c>
      <c r="W579" s="379" t="s">
        <v>1217</v>
      </c>
      <c r="X579" s="317" t="s">
        <v>371</v>
      </c>
      <c r="Y579" s="317" t="s">
        <v>3592</v>
      </c>
      <c r="AA579" s="385">
        <v>288288</v>
      </c>
    </row>
    <row r="580" spans="17:27" ht="13.8">
      <c r="Q580" s="378">
        <f t="shared" si="8"/>
        <v>574</v>
      </c>
      <c r="R580" s="931" t="s">
        <v>3481</v>
      </c>
      <c r="S580" s="379" t="s">
        <v>3505</v>
      </c>
      <c r="T580" t="s">
        <v>1030</v>
      </c>
      <c r="U580" s="378" t="s">
        <v>3526</v>
      </c>
      <c r="V580" s="378" t="s">
        <v>1030</v>
      </c>
      <c r="W580" s="379" t="s">
        <v>1030</v>
      </c>
      <c r="X580" s="317" t="s">
        <v>371</v>
      </c>
      <c r="Y580" s="317" t="s">
        <v>3592</v>
      </c>
      <c r="AA580" s="385">
        <v>634266</v>
      </c>
    </row>
    <row r="581" spans="17:27" ht="13.8">
      <c r="Q581" s="378">
        <f t="shared" si="8"/>
        <v>575</v>
      </c>
      <c r="R581" s="931" t="s">
        <v>3482</v>
      </c>
      <c r="S581" s="379" t="s">
        <v>3506</v>
      </c>
      <c r="T581" t="s">
        <v>1079</v>
      </c>
      <c r="U581" s="378" t="s">
        <v>3527</v>
      </c>
      <c r="V581" s="378" t="s">
        <v>1079</v>
      </c>
      <c r="W581" s="379" t="s">
        <v>1079</v>
      </c>
      <c r="X581" s="317" t="s">
        <v>371</v>
      </c>
      <c r="Y581" s="317" t="s">
        <v>3592</v>
      </c>
      <c r="AA581" s="385">
        <v>128349</v>
      </c>
    </row>
    <row r="582" spans="17:27" ht="13.8">
      <c r="Q582" s="378">
        <f t="shared" si="8"/>
        <v>576</v>
      </c>
      <c r="R582" s="931" t="s">
        <v>3483</v>
      </c>
      <c r="S582" s="379" t="s">
        <v>3507</v>
      </c>
      <c r="T582" t="s">
        <v>1323</v>
      </c>
      <c r="U582" s="378" t="s">
        <v>3528</v>
      </c>
      <c r="V582" s="378" t="s">
        <v>1323</v>
      </c>
      <c r="W582" s="379" t="s">
        <v>1323</v>
      </c>
      <c r="X582" s="317" t="s">
        <v>371</v>
      </c>
      <c r="Y582" s="317" t="s">
        <v>3592</v>
      </c>
      <c r="AA582" s="385">
        <v>350248</v>
      </c>
    </row>
    <row r="583" spans="17:27" ht="13.8">
      <c r="Q583" s="378">
        <f t="shared" si="8"/>
        <v>577</v>
      </c>
      <c r="R583" s="931" t="s">
        <v>3484</v>
      </c>
      <c r="S583" s="379" t="s">
        <v>3508</v>
      </c>
      <c r="T583" t="s">
        <v>1183</v>
      </c>
      <c r="U583" s="378" t="s">
        <v>3529</v>
      </c>
      <c r="V583" s="378" t="s">
        <v>1183</v>
      </c>
      <c r="W583" s="379" t="s">
        <v>1183</v>
      </c>
      <c r="X583" s="317" t="s">
        <v>371</v>
      </c>
      <c r="Y583" s="317" t="s">
        <v>3592</v>
      </c>
      <c r="AA583" s="385">
        <v>809858</v>
      </c>
    </row>
    <row r="584" spans="17:27" ht="13.8">
      <c r="Q584" s="378">
        <f t="shared" si="8"/>
        <v>578</v>
      </c>
      <c r="R584" s="931" t="s">
        <v>3485</v>
      </c>
      <c r="S584" s="379" t="s">
        <v>3509</v>
      </c>
      <c r="T584" t="s">
        <v>954</v>
      </c>
      <c r="U584" s="378" t="s">
        <v>3530</v>
      </c>
      <c r="V584" s="378" t="s">
        <v>954</v>
      </c>
      <c r="W584" s="379" t="s">
        <v>954</v>
      </c>
      <c r="X584" s="317" t="s">
        <v>371</v>
      </c>
      <c r="Y584" s="317" t="s">
        <v>3592</v>
      </c>
      <c r="AA584" s="385">
        <v>630380</v>
      </c>
    </row>
    <row r="585" spans="17:27" ht="13.8">
      <c r="Q585" s="378">
        <f t="shared" ref="Q585:Q592" si="9">Q584+1</f>
        <v>579</v>
      </c>
      <c r="R585" s="931" t="s">
        <v>3486</v>
      </c>
      <c r="S585" s="379" t="s">
        <v>3510</v>
      </c>
      <c r="T585" t="s">
        <v>1102</v>
      </c>
      <c r="U585" s="378" t="s">
        <v>3531</v>
      </c>
      <c r="V585" s="378" t="s">
        <v>1102</v>
      </c>
      <c r="W585" s="379" t="s">
        <v>1102</v>
      </c>
      <c r="X585" s="317" t="s">
        <v>371</v>
      </c>
      <c r="Y585" s="317" t="s">
        <v>3592</v>
      </c>
      <c r="AA585" s="385">
        <v>492276</v>
      </c>
    </row>
    <row r="586" spans="17:27" ht="13.8">
      <c r="Q586" s="378">
        <f t="shared" si="9"/>
        <v>580</v>
      </c>
      <c r="R586" s="931" t="s">
        <v>3487</v>
      </c>
      <c r="S586" s="379" t="s">
        <v>3511</v>
      </c>
      <c r="T586" t="s">
        <v>1013</v>
      </c>
      <c r="U586" s="378" t="s">
        <v>3532</v>
      </c>
      <c r="V586" s="378" t="s">
        <v>1013</v>
      </c>
      <c r="W586" s="379" t="s">
        <v>1013</v>
      </c>
      <c r="X586" s="317" t="s">
        <v>371</v>
      </c>
      <c r="Y586" s="317" t="s">
        <v>3592</v>
      </c>
      <c r="AA586" s="385">
        <v>576567</v>
      </c>
    </row>
    <row r="587" spans="17:27" ht="13.8">
      <c r="Q587" s="378">
        <f t="shared" si="9"/>
        <v>581</v>
      </c>
      <c r="R587" s="931" t="s">
        <v>3488</v>
      </c>
      <c r="S587" s="379" t="s">
        <v>3512</v>
      </c>
      <c r="T587" t="s">
        <v>1092</v>
      </c>
      <c r="U587" s="378" t="s">
        <v>3533</v>
      </c>
      <c r="V587" s="378" t="s">
        <v>1092</v>
      </c>
      <c r="W587" s="379" t="s">
        <v>1092</v>
      </c>
      <c r="X587" s="317" t="s">
        <v>371</v>
      </c>
      <c r="Y587" s="317" t="s">
        <v>3592</v>
      </c>
      <c r="AA587" s="385">
        <v>501226</v>
      </c>
    </row>
    <row r="588" spans="17:27" ht="13.8">
      <c r="Q588" s="378">
        <f t="shared" si="9"/>
        <v>582</v>
      </c>
      <c r="R588" s="931" t="s">
        <v>3489</v>
      </c>
      <c r="S588" s="379" t="s">
        <v>3513</v>
      </c>
      <c r="T588" t="s">
        <v>972</v>
      </c>
      <c r="U588" s="378" t="s">
        <v>3534</v>
      </c>
      <c r="V588" s="378" t="s">
        <v>972</v>
      </c>
      <c r="W588" s="379" t="s">
        <v>972</v>
      </c>
      <c r="X588" s="317" t="s">
        <v>371</v>
      </c>
      <c r="Y588" s="317" t="s">
        <v>3592</v>
      </c>
      <c r="AA588" s="385">
        <v>66083</v>
      </c>
    </row>
    <row r="589" spans="17:27" ht="13.8">
      <c r="Q589" s="378">
        <f t="shared" si="9"/>
        <v>583</v>
      </c>
      <c r="R589" s="931" t="s">
        <v>3490</v>
      </c>
      <c r="S589" s="379" t="s">
        <v>3514</v>
      </c>
      <c r="T589" t="s">
        <v>1040</v>
      </c>
      <c r="U589" s="378" t="s">
        <v>3535</v>
      </c>
      <c r="V589" s="378" t="s">
        <v>1040</v>
      </c>
      <c r="W589" s="379" t="s">
        <v>1040</v>
      </c>
      <c r="X589" s="317" t="s">
        <v>371</v>
      </c>
      <c r="Y589" s="317" t="s">
        <v>3592</v>
      </c>
      <c r="AA589" s="385">
        <v>323444</v>
      </c>
    </row>
    <row r="590" spans="17:27" ht="13.8">
      <c r="Q590" s="378">
        <f t="shared" si="9"/>
        <v>584</v>
      </c>
      <c r="R590" s="931" t="s">
        <v>3491</v>
      </c>
      <c r="S590" s="379" t="s">
        <v>3515</v>
      </c>
      <c r="T590" t="s">
        <v>983</v>
      </c>
      <c r="U590" s="378" t="s">
        <v>3536</v>
      </c>
      <c r="V590" s="378" t="s">
        <v>983</v>
      </c>
      <c r="W590" s="379" t="s">
        <v>983</v>
      </c>
      <c r="X590" s="317" t="s">
        <v>371</v>
      </c>
      <c r="Y590" s="317" t="s">
        <v>3592</v>
      </c>
      <c r="AA590" s="385">
        <v>149265</v>
      </c>
    </row>
    <row r="591" spans="17:27" ht="13.8">
      <c r="Q591" s="378">
        <f t="shared" si="9"/>
        <v>585</v>
      </c>
      <c r="R591" s="931" t="s">
        <v>3492</v>
      </c>
      <c r="S591" s="379" t="s">
        <v>3516</v>
      </c>
      <c r="T591" t="s">
        <v>1060</v>
      </c>
      <c r="U591" s="378" t="s">
        <v>3537</v>
      </c>
      <c r="V591" s="378" t="s">
        <v>1060</v>
      </c>
      <c r="W591" s="379" t="s">
        <v>1060</v>
      </c>
      <c r="X591" s="317" t="s">
        <v>371</v>
      </c>
      <c r="Y591" s="317" t="s">
        <v>3592</v>
      </c>
      <c r="AA591" s="385">
        <v>536499</v>
      </c>
    </row>
    <row r="592" spans="17:27" ht="13.8">
      <c r="Q592" s="378">
        <f t="shared" si="9"/>
        <v>586</v>
      </c>
      <c r="R592" s="931" t="s">
        <v>3493</v>
      </c>
      <c r="S592" s="379" t="s">
        <v>3517</v>
      </c>
      <c r="T592" t="s">
        <v>976</v>
      </c>
      <c r="U592" s="378" t="s">
        <v>3538</v>
      </c>
      <c r="V592" s="378" t="s">
        <v>976</v>
      </c>
      <c r="W592" s="379" t="s">
        <v>976</v>
      </c>
      <c r="X592" s="317" t="s">
        <v>371</v>
      </c>
      <c r="Y592" s="317" t="s">
        <v>3592</v>
      </c>
      <c r="AA592" s="385">
        <v>108692</v>
      </c>
    </row>
  </sheetData>
  <sheetProtection algorithmName="SHA-512" hashValue="Giq+uUauNAG055CCdtFdfMb/3bAC9jvXLszaE5/t1/R/oqrIRN/tzNIRfNw5UMX8J5w/vS7y6xih7yHcGh/K7g==" saltValue="hj6UjQLL/AQyX6ZTztksdg==" spinCount="100000" sheet="1" objects="1" scenarios="1"/>
  <mergeCells count="2">
    <mergeCell ref="D6:E6"/>
    <mergeCell ref="C2:E2"/>
  </mergeCells>
  <phoneticPr fontId="0" type="noConversion"/>
  <pageMargins left="0.5" right="0.5" top="0.5" bottom="0.5" header="0.5" footer="0.5"/>
  <pageSetup paperSize="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937" r:id="rId4" name="Drop Down 1">
              <controlPr defaultSize="0" autoLine="0" autoPict="0">
                <anchor moveWithCells="1">
                  <from>
                    <xdr:col>3</xdr:col>
                    <xdr:colOff>22860</xdr:colOff>
                    <xdr:row>7</xdr:row>
                    <xdr:rowOff>7620</xdr:rowOff>
                  </from>
                  <to>
                    <xdr:col>4</xdr:col>
                    <xdr:colOff>0</xdr:colOff>
                    <xdr:row>7</xdr:row>
                    <xdr:rowOff>251460</xdr:rowOff>
                  </to>
                </anchor>
              </controlPr>
            </control>
          </mc:Choice>
        </mc:AlternateContent>
        <mc:AlternateContent xmlns:mc="http://schemas.openxmlformats.org/markup-compatibility/2006">
          <mc:Choice Requires="x14">
            <control shapeId="39939" r:id="rId5" name="Button 3">
              <controlPr defaultSize="0" print="0" autoFill="0" autoPict="0" macro="[0]!Convert_to_Standard_Template">
                <anchor moveWithCells="1" sizeWithCells="1">
                  <from>
                    <xdr:col>6</xdr:col>
                    <xdr:colOff>0</xdr:colOff>
                    <xdr:row>6</xdr:row>
                    <xdr:rowOff>213360</xdr:rowOff>
                  </from>
                  <to>
                    <xdr:col>10</xdr:col>
                    <xdr:colOff>594360</xdr:colOff>
                    <xdr:row>7</xdr:row>
                    <xdr:rowOff>251460</xdr:rowOff>
                  </to>
                </anchor>
              </controlPr>
            </control>
          </mc:Choice>
        </mc:AlternateContent>
        <mc:AlternateContent xmlns:mc="http://schemas.openxmlformats.org/markup-compatibility/2006">
          <mc:Choice Requires="x14">
            <control shapeId="39940" r:id="rId6" name="Button 4">
              <controlPr defaultSize="0" print="0" autoFill="0" autoPict="0" macro="[0]!Convert_to_Expanded_Template">
                <anchor moveWithCells="1" sizeWithCells="1">
                  <from>
                    <xdr:col>5</xdr:col>
                    <xdr:colOff>754380</xdr:colOff>
                    <xdr:row>8</xdr:row>
                    <xdr:rowOff>198120</xdr:rowOff>
                  </from>
                  <to>
                    <xdr:col>10</xdr:col>
                    <xdr:colOff>594360</xdr:colOff>
                    <xdr:row>10</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C000"/>
  </sheetPr>
  <dimension ref="A1:E56"/>
  <sheetViews>
    <sheetView zoomScale="130" zoomScaleNormal="130" workbookViewId="0">
      <pane ySplit="2" topLeftCell="A42" activePane="bottomLeft" state="frozen"/>
      <selection pane="bottomLeft" activeCell="F24" sqref="F24"/>
    </sheetView>
  </sheetViews>
  <sheetFormatPr defaultRowHeight="13.2"/>
  <cols>
    <col min="1" max="1" width="3" customWidth="1"/>
    <col min="2" max="2" width="52.33203125" customWidth="1"/>
    <col min="3" max="3" width="13" bestFit="1" customWidth="1"/>
  </cols>
  <sheetData>
    <row r="1" spans="1:4" s="315" customFormat="1">
      <c r="B1" s="116" t="s">
        <v>370</v>
      </c>
      <c r="C1" s="116" t="s">
        <v>371</v>
      </c>
      <c r="D1" s="116" t="s">
        <v>3589</v>
      </c>
    </row>
    <row r="2" spans="1:4">
      <c r="B2" t="str">
        <f>'KEY INPUTS'!D9</f>
        <v>BOROUGH OF WENONAH</v>
      </c>
      <c r="C2" t="str">
        <f>'KEY INPUTS'!D10</f>
        <v>GLOUCESTER</v>
      </c>
      <c r="D2" t="str">
        <f>'KEY INPUTS'!D39</f>
        <v>0819</v>
      </c>
    </row>
    <row r="3" spans="1:4" s="315" customFormat="1">
      <c r="B3" s="116"/>
      <c r="C3" s="116"/>
      <c r="D3" s="116"/>
    </row>
    <row r="4" spans="1:4">
      <c r="A4" s="82" t="s">
        <v>3585</v>
      </c>
      <c r="B4" s="316"/>
      <c r="C4" s="316"/>
      <c r="D4" s="316"/>
    </row>
    <row r="5" spans="1:4">
      <c r="B5" s="317" t="s">
        <v>3235</v>
      </c>
      <c r="C5" s="318">
        <f>'21-Current Fund Surplus'!L7</f>
        <v>977287.91</v>
      </c>
    </row>
    <row r="6" spans="1:4" s="315" customFormat="1" ht="6.75" customHeight="1">
      <c r="B6" s="317"/>
      <c r="C6" s="318"/>
    </row>
    <row r="7" spans="1:4">
      <c r="B7" s="317" t="s">
        <v>3236</v>
      </c>
      <c r="C7" s="318">
        <f>'21-Current Fund Surplus'!K14</f>
        <v>969116.08000000007</v>
      </c>
    </row>
    <row r="8" spans="1:4" s="315" customFormat="1" ht="6.75" customHeight="1">
      <c r="B8" s="317"/>
      <c r="C8" s="318"/>
    </row>
    <row r="9" spans="1:4" s="315" customFormat="1">
      <c r="B9" s="317" t="s">
        <v>3590</v>
      </c>
      <c r="C9" s="318">
        <f>'19-Results of Op-Cur Fnd'!H45</f>
        <v>620188.35</v>
      </c>
    </row>
    <row r="10" spans="1:4" ht="6.75" customHeight="1"/>
    <row r="11" spans="1:4">
      <c r="B11" s="317" t="s">
        <v>3237</v>
      </c>
      <c r="C11" s="318">
        <f>'21-Current Fund Surplus'!L23</f>
        <v>2528099.85</v>
      </c>
    </row>
    <row r="12" spans="1:4" s="315" customFormat="1" ht="6.75" customHeight="1">
      <c r="B12" s="317"/>
      <c r="C12" s="318"/>
    </row>
    <row r="13" spans="1:4" s="315" customFormat="1">
      <c r="B13" s="317" t="s">
        <v>3580</v>
      </c>
      <c r="C13" s="318">
        <f>'21-Current Fund Surplus'!L28</f>
        <v>969116.07999999961</v>
      </c>
    </row>
    <row r="14" spans="1:4" s="315" customFormat="1" ht="6.75" customHeight="1">
      <c r="B14" s="317"/>
      <c r="C14" s="318"/>
    </row>
    <row r="15" spans="1:4" s="315" customFormat="1">
      <c r="B15" s="317" t="s">
        <v>3238</v>
      </c>
      <c r="C15" s="318">
        <f>'21-Current Fund Surplus'!L24</f>
        <v>0</v>
      </c>
    </row>
    <row r="16" spans="1:4" s="315" customFormat="1" ht="6.75" customHeight="1">
      <c r="B16" s="317"/>
      <c r="C16" s="318"/>
    </row>
    <row r="17" spans="1:4">
      <c r="B17" s="317" t="s">
        <v>3245</v>
      </c>
      <c r="C17" s="318">
        <f>'21-Current Fund Surplus'!L27</f>
        <v>1558983.7700000005</v>
      </c>
    </row>
    <row r="18" spans="1:4" s="315" customFormat="1" ht="6.75" customHeight="1">
      <c r="B18" s="317"/>
      <c r="C18" s="318"/>
    </row>
    <row r="19" spans="1:4" s="315" customFormat="1">
      <c r="B19" s="317" t="s">
        <v>3582</v>
      </c>
      <c r="C19" s="318">
        <f>'27-Foreclosed Property'!K6</f>
        <v>162500</v>
      </c>
    </row>
    <row r="20" spans="1:4" s="315" customFormat="1" ht="6.75" customHeight="1">
      <c r="B20" s="317"/>
      <c r="C20" s="318"/>
    </row>
    <row r="21" spans="1:4" s="315" customFormat="1">
      <c r="B21" s="317" t="s">
        <v>3583</v>
      </c>
      <c r="C21" s="318">
        <f>'27-Foreclosed Property'!L20</f>
        <v>162500</v>
      </c>
    </row>
    <row r="22" spans="1:4" s="315" customFormat="1">
      <c r="B22" s="317"/>
      <c r="C22" s="318"/>
    </row>
    <row r="23" spans="1:4">
      <c r="A23" s="82" t="s">
        <v>3587</v>
      </c>
      <c r="B23" s="316"/>
      <c r="C23" s="316"/>
      <c r="D23" s="316"/>
    </row>
    <row r="24" spans="1:4">
      <c r="B24" s="317" t="s">
        <v>3246</v>
      </c>
      <c r="C24" s="318">
        <f>'17-Budget Revenues'!I22</f>
        <v>2860189.26</v>
      </c>
    </row>
    <row r="25" spans="1:4" s="315" customFormat="1" ht="6.75" customHeight="1">
      <c r="B25" s="317"/>
      <c r="C25" s="318"/>
    </row>
    <row r="26" spans="1:4">
      <c r="B26" s="317" t="s">
        <v>173</v>
      </c>
      <c r="C26" s="318">
        <f>'17-Budget Revenues'!I6</f>
        <v>390000</v>
      </c>
    </row>
    <row r="27" spans="1:4" s="315" customFormat="1" ht="6.75" customHeight="1">
      <c r="B27" s="317"/>
      <c r="C27" s="318"/>
    </row>
    <row r="28" spans="1:4" s="315" customFormat="1">
      <c r="B28" s="317" t="s">
        <v>3577</v>
      </c>
      <c r="C28" s="318">
        <f>'17-Budget Revenues'!I8</f>
        <v>0</v>
      </c>
    </row>
    <row r="29" spans="1:4" s="315" customFormat="1" ht="6.75" customHeight="1">
      <c r="B29" s="317"/>
      <c r="C29" s="318"/>
    </row>
    <row r="30" spans="1:4">
      <c r="B30" s="317" t="s">
        <v>275</v>
      </c>
      <c r="C30" s="318">
        <f>'17-Budget Revenues'!I21</f>
        <v>1702590.4999999998</v>
      </c>
    </row>
    <row r="31" spans="1:4" s="315" customFormat="1" ht="6.75" customHeight="1">
      <c r="B31" s="317"/>
      <c r="C31" s="318"/>
    </row>
    <row r="32" spans="1:4">
      <c r="B32" s="317" t="s">
        <v>854</v>
      </c>
      <c r="C32" s="318">
        <f>'17-Budget Revenues'!I14</f>
        <v>641575.82999999996</v>
      </c>
    </row>
    <row r="33" spans="1:5" s="315" customFormat="1" ht="6.75" customHeight="1">
      <c r="B33" s="317"/>
      <c r="C33" s="318"/>
    </row>
    <row r="34" spans="1:5">
      <c r="B34" s="317" t="s">
        <v>855</v>
      </c>
      <c r="C34" s="318">
        <f>'17-Budget Revenues'!I15</f>
        <v>126022.93</v>
      </c>
    </row>
    <row r="35" spans="1:5" s="315" customFormat="1" ht="6.75" customHeight="1">
      <c r="B35" s="317"/>
      <c r="C35" s="318"/>
    </row>
    <row r="36" spans="1:5" s="315" customFormat="1">
      <c r="B36" s="317" t="s">
        <v>3578</v>
      </c>
      <c r="C36" s="318">
        <f>IFERROR('22-CY Levy'!H38,"-")</f>
        <v>0.98729999999999996</v>
      </c>
    </row>
    <row r="37" spans="1:5" s="315" customFormat="1" ht="6.75" customHeight="1">
      <c r="B37" s="317"/>
      <c r="C37" s="318"/>
    </row>
    <row r="38" spans="1:5" s="315" customFormat="1">
      <c r="B38" s="317" t="s">
        <v>3581</v>
      </c>
      <c r="C38" s="318">
        <f>'26-Delinquent Taxes and Liens'!M28</f>
        <v>109620.21999999881</v>
      </c>
    </row>
    <row r="39" spans="1:5" s="315" customFormat="1">
      <c r="B39" s="317"/>
      <c r="C39" s="318"/>
    </row>
    <row r="40" spans="1:5" s="315" customFormat="1">
      <c r="A40" s="82" t="s">
        <v>3586</v>
      </c>
      <c r="B40" s="316"/>
      <c r="C40" s="316"/>
      <c r="D40" s="316"/>
    </row>
    <row r="41" spans="1:5">
      <c r="B41" s="317" t="s">
        <v>3239</v>
      </c>
      <c r="C41" s="318">
        <f>'18-Budget Appropriations'!J17</f>
        <v>2548384.0399999996</v>
      </c>
    </row>
    <row r="42" spans="1:5" s="315" customFormat="1" ht="6.75" customHeight="1">
      <c r="B42" s="317"/>
      <c r="C42" s="318"/>
    </row>
    <row r="43" spans="1:5" s="315" customFormat="1">
      <c r="B43" s="317" t="s">
        <v>3579</v>
      </c>
      <c r="C43" s="1502">
        <f>'46-Utility1'!K23+'46-Utility1'!K24+'46-Utility2 '!K23+'46-Utility2 '!K24+'46-Utility3'!K23+'46-Utility3'!K24+'46-Utility4'!K23+'46-Utility4'!K24+'46-Utility5'!K23+'46-Utility5'!K24+'46-Utility6'!K23+'46-Utility6'!K24</f>
        <v>30000</v>
      </c>
    </row>
    <row r="44" spans="1:5" s="315" customFormat="1" ht="6.75" customHeight="1">
      <c r="B44" s="317"/>
      <c r="C44" s="318"/>
      <c r="E44" s="318"/>
    </row>
    <row r="45" spans="1:5" s="315" customFormat="1">
      <c r="B45" s="317" t="s">
        <v>3584</v>
      </c>
      <c r="C45" s="318">
        <f>'28-Deferred Charges'!N25</f>
        <v>0</v>
      </c>
    </row>
    <row r="46" spans="1:5" s="315" customFormat="1">
      <c r="B46" s="317"/>
      <c r="C46" s="318"/>
    </row>
    <row r="47" spans="1:5">
      <c r="A47" s="82" t="s">
        <v>3588</v>
      </c>
      <c r="B47" s="316"/>
      <c r="C47" s="316"/>
      <c r="D47" s="316"/>
    </row>
    <row r="48" spans="1:5">
      <c r="B48" s="317" t="s">
        <v>3240</v>
      </c>
      <c r="C48" s="318">
        <f>'31-Capital Bond Schedule'!G12+'31-Capital Bond Schedule'!G23+'32-Bond Schedule'!G11+'32-Bond Schedule'!G22</f>
        <v>2310000</v>
      </c>
    </row>
    <row r="49" spans="2:3" s="315" customFormat="1" ht="6.75" customHeight="1">
      <c r="B49" s="317"/>
      <c r="C49" s="318"/>
    </row>
    <row r="50" spans="2:3" s="315" customFormat="1">
      <c r="B50" s="317" t="s">
        <v>3243</v>
      </c>
      <c r="C50" s="318">
        <f>'31A-Loan Schedule'!G12+'31A-Loan Schedule'!G23+'31A.1-Loan Schedule'!G12+'31A.1-Loan Schedule'!G23+'31A.2-Loan Schedule'!G12+'31A.2-Loan Schedule'!G23</f>
        <v>0</v>
      </c>
    </row>
    <row r="51" spans="2:3" s="315" customFormat="1" ht="6.75" customHeight="1">
      <c r="B51" s="317"/>
      <c r="C51" s="318"/>
    </row>
    <row r="52" spans="2:3">
      <c r="B52" s="317" t="s">
        <v>3241</v>
      </c>
      <c r="C52" s="318">
        <f>'33 Totals-Note Debt Service'!G23+'34-Assmt Note Debt Service'!G23</f>
        <v>0</v>
      </c>
    </row>
    <row r="53" spans="2:3" s="315" customFormat="1" ht="6.75" customHeight="1">
      <c r="B53" s="317"/>
      <c r="C53" s="318"/>
    </row>
    <row r="54" spans="2:3">
      <c r="B54" s="317" t="s">
        <v>3242</v>
      </c>
      <c r="C54" s="318">
        <f>'34a-Cap Lease Program Oblg'!G23</f>
        <v>0</v>
      </c>
    </row>
    <row r="55" spans="2:3" ht="5.25" customHeight="1"/>
    <row r="56" spans="2:3">
      <c r="B56" t="s">
        <v>3591</v>
      </c>
      <c r="C56" s="318">
        <f>'32-Bond Schedule'!G11+'32-Bond Schedule'!G22</f>
        <v>0</v>
      </c>
    </row>
  </sheetData>
  <pageMargins left="0.7" right="0.7" top="0.75" bottom="0.75" header="0.3" footer="0.3"/>
  <pageSetup paperSize="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Y63"/>
  <sheetViews>
    <sheetView topLeftCell="B25" zoomScaleNormal="100" zoomScaleSheetLayoutView="80" workbookViewId="0">
      <selection activeCell="P59" sqref="P59"/>
    </sheetView>
  </sheetViews>
  <sheetFormatPr defaultRowHeight="13.2"/>
  <cols>
    <col min="1" max="4" width="4.6640625" customWidth="1"/>
    <col min="5" max="5" width="7.88671875" customWidth="1"/>
    <col min="6" max="6" width="8.5546875" customWidth="1"/>
    <col min="7" max="7" width="5.6640625" customWidth="1"/>
    <col min="8" max="9" width="4.6640625" customWidth="1"/>
    <col min="11" max="11" width="11.33203125" customWidth="1"/>
    <col min="12" max="12" width="10" customWidth="1"/>
    <col min="13" max="13" width="8.33203125" customWidth="1"/>
    <col min="14" max="14" width="7.44140625" customWidth="1"/>
    <col min="15" max="15" width="5.109375" customWidth="1"/>
    <col min="16" max="16" width="11" bestFit="1" customWidth="1"/>
    <col min="18" max="18" width="12.33203125" hidden="1" customWidth="1"/>
    <col min="25" max="25" width="0" hidden="1" customWidth="1"/>
  </cols>
  <sheetData>
    <row r="2" spans="2:19" ht="20.399999999999999">
      <c r="B2" s="1546" t="str">
        <f>"ANNUAL  FINANCIAL  STATEMENT  FOR  THE  YEAR  "&amp;TEXT('KEY INPUTS'!D34,"0")</f>
        <v>ANNUAL  FINANCIAL  STATEMENT  FOR  THE  YEAR  2020</v>
      </c>
      <c r="C2" s="1546"/>
      <c r="D2" s="1546"/>
      <c r="E2" s="1546"/>
      <c r="F2" s="1546"/>
      <c r="G2" s="1546"/>
      <c r="H2" s="1546"/>
      <c r="I2" s="1546"/>
      <c r="J2" s="1546"/>
      <c r="K2" s="1546"/>
      <c r="L2" s="1546"/>
      <c r="M2" s="1546"/>
      <c r="N2" s="1546"/>
      <c r="O2" s="1546"/>
    </row>
    <row r="3" spans="2:19" ht="20.399999999999999">
      <c r="B3" s="1546" t="s">
        <v>780</v>
      </c>
      <c r="C3" s="1546"/>
      <c r="D3" s="1546"/>
      <c r="E3" s="1546"/>
      <c r="F3" s="1546"/>
      <c r="G3" s="1546"/>
      <c r="H3" s="1546"/>
      <c r="I3" s="1546"/>
      <c r="J3" s="1546"/>
      <c r="K3" s="1546"/>
      <c r="L3" s="1546"/>
      <c r="M3" s="1546"/>
      <c r="N3" s="1546"/>
      <c r="O3" s="1546"/>
    </row>
    <row r="5" spans="2:19">
      <c r="J5" s="38" t="s">
        <v>781</v>
      </c>
      <c r="K5" s="1565">
        <f>'KEY INPUTS'!D37</f>
        <v>2278</v>
      </c>
      <c r="L5" s="1566"/>
    </row>
    <row r="6" spans="2:19">
      <c r="J6" s="38" t="str">
        <f>'KEY INPUTS'!C38</f>
        <v>NET  VALUATION  TAXABLE  2020</v>
      </c>
      <c r="K6" s="1569">
        <f>'KEY INPUTS'!D38</f>
        <v>218200300</v>
      </c>
      <c r="L6" s="1569"/>
      <c r="M6" s="272"/>
      <c r="P6" s="245"/>
      <c r="R6" s="245"/>
      <c r="S6" s="245"/>
    </row>
    <row r="7" spans="2:19">
      <c r="J7" s="38" t="s">
        <v>85</v>
      </c>
      <c r="K7" s="1567" t="str">
        <f>'KEY INPUTS'!D39</f>
        <v>0819</v>
      </c>
      <c r="L7" s="1568"/>
    </row>
    <row r="8" spans="2:19">
      <c r="B8" s="1549" t="s">
        <v>782</v>
      </c>
      <c r="C8" s="1549"/>
      <c r="D8" s="1549"/>
      <c r="E8" s="1549"/>
      <c r="F8" s="1549"/>
      <c r="G8" s="1549"/>
      <c r="H8" s="1549"/>
      <c r="I8" s="1549"/>
      <c r="J8" s="1549"/>
      <c r="K8" s="1549"/>
      <c r="L8" s="1549"/>
      <c r="M8" s="1549"/>
      <c r="N8" s="1549"/>
      <c r="O8" s="1549"/>
    </row>
    <row r="9" spans="2:19">
      <c r="B9" s="1564" t="str">
        <f>'KEY INPUTS'!D42</f>
        <v>COUNTIES  - JANUARY  26, 2021</v>
      </c>
      <c r="C9" s="1549"/>
      <c r="D9" s="1549"/>
      <c r="E9" s="1549"/>
      <c r="F9" s="1549"/>
      <c r="G9" s="1549"/>
      <c r="H9" s="1549"/>
      <c r="I9" s="1549"/>
      <c r="J9" s="1549"/>
      <c r="K9" s="1549"/>
      <c r="L9" s="1549"/>
      <c r="M9" s="1549"/>
      <c r="N9" s="1549"/>
      <c r="O9" s="1549"/>
    </row>
    <row r="10" spans="2:19">
      <c r="B10" s="1564" t="str">
        <f>'KEY INPUTS'!D43</f>
        <v>MUNICIPALITIES  - FEBRUARY 10, 2021</v>
      </c>
      <c r="C10" s="1549"/>
      <c r="D10" s="1549"/>
      <c r="E10" s="1549"/>
      <c r="F10" s="1549"/>
      <c r="G10" s="1549"/>
      <c r="H10" s="1549"/>
      <c r="I10" s="1549"/>
      <c r="J10" s="1549"/>
      <c r="K10" s="1549"/>
      <c r="L10" s="1549"/>
      <c r="M10" s="1549"/>
      <c r="N10" s="1549"/>
      <c r="O10" s="1549"/>
    </row>
    <row r="12" spans="2:19" ht="13.8">
      <c r="B12" s="92" t="s">
        <v>783</v>
      </c>
    </row>
    <row r="13" spans="2:19" ht="13.8">
      <c r="B13" s="92" t="s">
        <v>784</v>
      </c>
    </row>
    <row r="14" spans="2:19" ht="13.8">
      <c r="B14" s="92" t="s">
        <v>785</v>
      </c>
    </row>
    <row r="15" spans="2:19" ht="13.8">
      <c r="B15" s="92" t="s">
        <v>786</v>
      </c>
    </row>
    <row r="17" spans="2:15">
      <c r="B17" s="1556" t="str">
        <f>+'KEY INPUTS'!D12</f>
        <v>BOROUGH</v>
      </c>
      <c r="C17" s="1556"/>
      <c r="D17" s="1556"/>
      <c r="E17" s="1556"/>
      <c r="F17" s="1556"/>
      <c r="G17" s="1" t="s">
        <v>570</v>
      </c>
      <c r="H17" s="1556" t="str">
        <f>+'KEY INPUTS'!D11</f>
        <v>WENONAH</v>
      </c>
      <c r="I17" s="1556"/>
      <c r="J17" s="1556"/>
      <c r="K17" s="1556"/>
      <c r="L17" t="s">
        <v>787</v>
      </c>
      <c r="M17" s="1556" t="str">
        <f>+'KEY INPUTS'!D10</f>
        <v>GLOUCESTER</v>
      </c>
      <c r="N17" s="1556"/>
      <c r="O17" s="1556"/>
    </row>
    <row r="19" spans="2:15">
      <c r="B19" s="1563" t="s">
        <v>788</v>
      </c>
      <c r="C19" s="1563"/>
      <c r="D19" s="1563"/>
      <c r="E19" s="1563"/>
      <c r="F19" s="1563"/>
      <c r="G19" s="1563"/>
      <c r="H19" s="1563"/>
      <c r="I19" s="1563"/>
      <c r="J19" s="1563"/>
      <c r="K19" s="1563"/>
      <c r="L19" s="1563"/>
      <c r="M19" s="1563"/>
      <c r="N19" s="1563"/>
      <c r="O19" s="1563"/>
    </row>
    <row r="20" spans="2:15">
      <c r="B20" s="1563" t="s">
        <v>789</v>
      </c>
      <c r="C20" s="1563"/>
      <c r="D20" s="1563"/>
      <c r="E20" s="1563"/>
      <c r="F20" s="1563"/>
      <c r="G20" s="1563"/>
      <c r="H20" s="1563"/>
      <c r="I20" s="1563"/>
      <c r="J20" s="1563"/>
      <c r="K20" s="1563"/>
      <c r="L20" s="1563"/>
      <c r="M20" s="1563"/>
      <c r="N20" s="1563"/>
      <c r="O20" s="1563"/>
    </row>
    <row r="22" spans="2:15" ht="24.9" customHeight="1">
      <c r="E22" s="185"/>
      <c r="F22" s="187" t="s">
        <v>18</v>
      </c>
      <c r="G22" s="1554" t="s">
        <v>792</v>
      </c>
      <c r="H22" s="1554"/>
      <c r="I22" s="1554"/>
      <c r="J22" s="1554"/>
      <c r="K22" s="1554"/>
      <c r="L22" s="1554"/>
      <c r="M22" s="1554"/>
    </row>
    <row r="23" spans="2:15" ht="24.9" customHeight="1">
      <c r="E23" s="186" t="s">
        <v>790</v>
      </c>
      <c r="F23" s="817"/>
      <c r="G23" s="1557"/>
      <c r="H23" s="1558"/>
      <c r="I23" s="1558"/>
      <c r="J23" s="1558"/>
      <c r="K23" s="1554" t="s">
        <v>793</v>
      </c>
      <c r="L23" s="1554"/>
      <c r="M23" s="1554"/>
    </row>
    <row r="24" spans="2:15" ht="24.9" customHeight="1">
      <c r="E24" s="186" t="s">
        <v>791</v>
      </c>
      <c r="F24" s="817"/>
      <c r="G24" s="1557"/>
      <c r="H24" s="1558"/>
      <c r="I24" s="1558"/>
      <c r="J24" s="1558"/>
      <c r="K24" s="1554" t="s">
        <v>794</v>
      </c>
      <c r="L24" s="1554"/>
      <c r="M24" s="1554"/>
    </row>
    <row r="26" spans="2:15">
      <c r="B26" s="188" t="s">
        <v>946</v>
      </c>
    </row>
    <row r="27" spans="2:15">
      <c r="B27" s="188" t="s">
        <v>947</v>
      </c>
    </row>
    <row r="28" spans="2:15">
      <c r="B28" s="188" t="s">
        <v>948</v>
      </c>
    </row>
    <row r="29" spans="2:15" ht="20.100000000000001" customHeight="1">
      <c r="K29" s="38" t="s">
        <v>795</v>
      </c>
      <c r="L29" s="1559" t="s">
        <v>3625</v>
      </c>
      <c r="M29" s="1560"/>
      <c r="N29" s="1560"/>
    </row>
    <row r="30" spans="2:15" ht="20.100000000000001" customHeight="1">
      <c r="K30" s="38" t="s">
        <v>329</v>
      </c>
      <c r="L30" s="1561" t="s">
        <v>129</v>
      </c>
      <c r="M30" s="1562"/>
      <c r="N30" s="1562"/>
    </row>
    <row r="32" spans="2:15">
      <c r="B32" s="235" t="s">
        <v>796</v>
      </c>
    </row>
    <row r="35" spans="2:25" ht="13.8">
      <c r="B35" s="92" t="s">
        <v>797</v>
      </c>
    </row>
    <row r="36" spans="2:25" ht="3" customHeight="1">
      <c r="B36" s="30"/>
      <c r="C36" s="30"/>
      <c r="D36" s="30"/>
      <c r="E36" s="30"/>
      <c r="F36" s="30"/>
      <c r="G36" s="30"/>
      <c r="H36" s="30"/>
      <c r="I36" s="30"/>
      <c r="J36" s="30"/>
      <c r="K36" s="30"/>
      <c r="L36" s="30"/>
      <c r="M36" s="30"/>
      <c r="N36" s="30"/>
      <c r="O36" s="30"/>
    </row>
    <row r="38" spans="2:25">
      <c r="B38" s="282" t="str">
        <f>"I hereby certify that I am responsible for filing this verified Annual Financial Statement,"</f>
        <v>I hereby certify that I am responsible for filing this verified Annual Financial Statement,</v>
      </c>
      <c r="C38" s="34"/>
      <c r="D38" s="34"/>
      <c r="E38" s="34"/>
      <c r="F38" s="34"/>
      <c r="G38" s="34"/>
      <c r="H38" s="34"/>
      <c r="I38" s="34"/>
      <c r="J38" s="34"/>
      <c r="K38" s="34"/>
      <c r="L38" s="282" t="str">
        <f>Y43</f>
        <v>(which I have prepared)</v>
      </c>
      <c r="M38" s="34"/>
      <c r="N38" s="282" t="s">
        <v>398</v>
      </c>
      <c r="O38" s="34"/>
    </row>
    <row r="39" spans="2:25">
      <c r="B39" s="100" t="str">
        <f>Y44</f>
        <v>(which I have not prepared)</v>
      </c>
      <c r="C39" s="34"/>
      <c r="D39" s="34"/>
      <c r="E39" s="34"/>
      <c r="F39" s="188" t="str">
        <f>Y45</f>
        <v>[eliminate one]</v>
      </c>
      <c r="G39" s="34"/>
      <c r="H39" s="282" t="str">
        <f>" and information required also included herein and that this Statement is an"</f>
        <v xml:space="preserve"> and information required also included herein and that this Statement is an</v>
      </c>
      <c r="I39" s="34"/>
      <c r="J39" s="34"/>
      <c r="K39" s="34"/>
      <c r="L39" s="34"/>
      <c r="M39" s="34"/>
      <c r="N39" s="34"/>
      <c r="O39" s="34"/>
      <c r="R39" s="701" t="s">
        <v>3406</v>
      </c>
    </row>
    <row r="40" spans="2:25">
      <c r="B40" s="100" t="s">
        <v>450</v>
      </c>
      <c r="C40" s="34"/>
      <c r="D40" s="34"/>
      <c r="E40" s="34"/>
      <c r="F40" s="34"/>
      <c r="G40" s="34"/>
      <c r="H40" s="34"/>
      <c r="I40" s="34"/>
      <c r="J40" s="34"/>
      <c r="K40" s="34"/>
      <c r="L40" s="34"/>
      <c r="M40" s="34"/>
      <c r="N40" s="34"/>
      <c r="O40" s="34"/>
      <c r="Q40" s="315"/>
    </row>
    <row r="41" spans="2:25">
      <c r="B41" s="100" t="s">
        <v>336</v>
      </c>
      <c r="C41" s="34"/>
      <c r="D41" s="34"/>
      <c r="E41" s="34"/>
      <c r="F41" s="34"/>
      <c r="G41" s="34"/>
      <c r="H41" s="34"/>
      <c r="I41" s="34"/>
      <c r="J41" s="34"/>
      <c r="K41" s="34"/>
      <c r="L41" s="34"/>
      <c r="M41" s="34"/>
      <c r="N41" s="34"/>
      <c r="O41" s="34"/>
      <c r="Q41" s="116" t="s">
        <v>3436</v>
      </c>
    </row>
    <row r="42" spans="2:25">
      <c r="B42" s="100" t="s">
        <v>893</v>
      </c>
      <c r="C42" s="34"/>
      <c r="D42" s="34"/>
      <c r="E42" s="34"/>
      <c r="F42" s="34"/>
      <c r="G42" s="34"/>
      <c r="H42" s="34"/>
      <c r="I42" s="34"/>
      <c r="J42" s="34"/>
      <c r="K42" s="34"/>
      <c r="L42" s="34"/>
      <c r="M42" s="34"/>
      <c r="N42" s="34"/>
      <c r="O42" s="34"/>
      <c r="Q42" s="818" t="s">
        <v>3626</v>
      </c>
    </row>
    <row r="43" spans="2:25">
      <c r="B43" s="100" t="s">
        <v>385</v>
      </c>
      <c r="C43" s="34"/>
      <c r="D43" s="34"/>
      <c r="E43" s="34"/>
      <c r="F43" s="34"/>
      <c r="G43" s="34"/>
      <c r="H43" s="34"/>
      <c r="I43" s="34"/>
      <c r="J43" s="34"/>
      <c r="K43" s="34"/>
      <c r="L43" s="34"/>
      <c r="M43" s="34"/>
      <c r="N43" s="34"/>
      <c r="O43" s="34"/>
      <c r="Y43" s="317" t="s">
        <v>3437</v>
      </c>
    </row>
    <row r="44" spans="2:25">
      <c r="Y44" s="317" t="s">
        <v>3438</v>
      </c>
    </row>
    <row r="45" spans="2:25">
      <c r="B45" s="100" t="s">
        <v>495</v>
      </c>
      <c r="G45" s="1556" t="str">
        <f>IF('KEY INPUTS'!D21=0,"NO ENTRY",'KEY INPUTS'!D21)</f>
        <v>Robert E. Scharle</v>
      </c>
      <c r="H45" s="1556"/>
      <c r="I45" s="1556"/>
      <c r="J45" s="1556"/>
      <c r="K45" s="1556"/>
      <c r="L45" s="1556"/>
      <c r="M45" s="100" t="s">
        <v>23</v>
      </c>
      <c r="Y45" s="317" t="s">
        <v>3439</v>
      </c>
    </row>
    <row r="46" spans="2:25">
      <c r="B46" s="100" t="s">
        <v>798</v>
      </c>
      <c r="E46" s="1556" t="str">
        <f>IF('KEY INPUTS'!E21=0,"NO ENTRY",'KEY INPUTS'!E21)</f>
        <v>N 0497</v>
      </c>
      <c r="F46" s="1556"/>
      <c r="G46" s="100" t="s">
        <v>24</v>
      </c>
      <c r="H46" s="1556" t="str">
        <f>+'KEY INPUTS'!D12</f>
        <v>BOROUGH</v>
      </c>
      <c r="I46" s="1556"/>
      <c r="J46" s="1556"/>
      <c r="K46" s="1556"/>
      <c r="L46" s="1556"/>
      <c r="M46" s="1556"/>
      <c r="N46" s="100" t="s">
        <v>570</v>
      </c>
    </row>
    <row r="47" spans="2:25">
      <c r="B47" s="1555" t="str">
        <f>+'KEY INPUTS'!D11</f>
        <v>WENONAH</v>
      </c>
      <c r="C47" s="1555"/>
      <c r="D47" s="1555"/>
      <c r="E47" s="1555"/>
      <c r="F47" s="1555"/>
      <c r="G47" s="100" t="s">
        <v>494</v>
      </c>
      <c r="I47" s="1556" t="str">
        <f>+'KEY INPUTS'!D10</f>
        <v>GLOUCESTER</v>
      </c>
      <c r="J47" s="1556"/>
      <c r="K47" s="1556"/>
      <c r="L47" s="1556"/>
      <c r="M47" s="1556"/>
      <c r="N47" s="100" t="s">
        <v>493</v>
      </c>
    </row>
    <row r="48" spans="2:25">
      <c r="B48" s="100" t="s">
        <v>22</v>
      </c>
    </row>
    <row r="49" spans="2:15">
      <c r="B49" s="282" t="str">
        <f>"December 31, "&amp;TEXT('KEY INPUTS'!D34,"0")&amp;", completely in compliance with N.J.S. 40A:5-12, as amended. I also give complete assurance as"</f>
        <v>December 31, 2020, completely in compliance with N.J.S. 40A:5-12, as amended. I also give complete assurance as</v>
      </c>
    </row>
    <row r="50" spans="2:15">
      <c r="B50" s="100" t="s">
        <v>58</v>
      </c>
    </row>
    <row r="51" spans="2:15">
      <c r="B51" s="282" t="str">
        <f>"Services, including the verification of cash balances as of December 31, "&amp;TEXT('KEY INPUTS'!D34,"0")&amp;"."</f>
        <v>Services, including the verification of cash balances as of December 31, 2020.</v>
      </c>
    </row>
    <row r="52" spans="2:15">
      <c r="F52" s="42"/>
      <c r="G52" s="42"/>
      <c r="H52" s="42"/>
      <c r="I52" s="42"/>
      <c r="J52" s="42"/>
      <c r="K52" s="42"/>
      <c r="L52" s="42"/>
    </row>
    <row r="53" spans="2:15" ht="20.100000000000001" customHeight="1">
      <c r="D53" t="s">
        <v>795</v>
      </c>
      <c r="F53" s="1551" t="s">
        <v>3625</v>
      </c>
      <c r="G53" s="1551"/>
      <c r="H53" s="1551"/>
      <c r="I53" s="1551"/>
      <c r="J53" s="1551"/>
      <c r="K53" s="1551"/>
      <c r="L53" s="1551"/>
    </row>
    <row r="54" spans="2:15" ht="20.100000000000001" customHeight="1">
      <c r="D54" t="s">
        <v>329</v>
      </c>
      <c r="F54" s="1551" t="s">
        <v>3627</v>
      </c>
      <c r="G54" s="1551"/>
      <c r="H54" s="1551"/>
      <c r="I54" s="1551"/>
      <c r="J54" s="1551"/>
      <c r="K54" s="1551"/>
      <c r="L54" s="1551"/>
    </row>
    <row r="55" spans="2:15" ht="20.100000000000001" customHeight="1">
      <c r="D55" t="s">
        <v>59</v>
      </c>
      <c r="F55" s="1552" t="str">
        <f>IF('KEY INPUTS'!D16=0,"NO ENTRY",'KEY INPUTS'!D16)</f>
        <v>1 Southwest Avenue</v>
      </c>
      <c r="G55" s="1552"/>
      <c r="H55" s="1552"/>
      <c r="I55" s="1552"/>
      <c r="J55" s="1552"/>
      <c r="K55" s="1552"/>
      <c r="L55" s="1552"/>
    </row>
    <row r="56" spans="2:15" ht="20.100000000000001" customHeight="1">
      <c r="D56" t="s">
        <v>60</v>
      </c>
      <c r="G56" s="5"/>
      <c r="H56" s="1553" t="str">
        <f>IF('KEY INPUTS'!D18=0,"NO ENTRY",'KEY INPUTS'!D18)</f>
        <v>856-468-5228</v>
      </c>
      <c r="I56" s="1553"/>
      <c r="J56" s="1553"/>
      <c r="K56" s="5"/>
      <c r="L56" s="5"/>
    </row>
    <row r="57" spans="2:15" ht="20.100000000000001" customHeight="1">
      <c r="D57" t="s">
        <v>87</v>
      </c>
      <c r="G57" s="5"/>
      <c r="H57" s="1553" t="str">
        <f>IF('KEY INPUTS'!D19=0,"NO ENTRY",'KEY INPUTS'!D19)</f>
        <v>856-468-0390</v>
      </c>
      <c r="I57" s="1553"/>
      <c r="J57" s="1553"/>
      <c r="K57" s="5"/>
      <c r="L57" s="5"/>
    </row>
    <row r="59" spans="2:15">
      <c r="D59" t="s">
        <v>490</v>
      </c>
    </row>
    <row r="60" spans="2:15">
      <c r="D60" t="s">
        <v>62</v>
      </c>
    </row>
    <row r="61" spans="2:15">
      <c r="D61" t="s">
        <v>491</v>
      </c>
    </row>
    <row r="62" spans="2:15">
      <c r="D62" t="s">
        <v>492</v>
      </c>
    </row>
    <row r="63" spans="2:15" ht="13.8">
      <c r="B63" s="1545" t="s">
        <v>61</v>
      </c>
      <c r="C63" s="1545"/>
      <c r="D63" s="1545"/>
      <c r="E63" s="1545"/>
      <c r="F63" s="1545"/>
      <c r="G63" s="1545"/>
      <c r="H63" s="1545"/>
      <c r="I63" s="1545"/>
      <c r="J63" s="1545"/>
      <c r="K63" s="1545"/>
      <c r="L63" s="1545"/>
      <c r="M63" s="1545"/>
      <c r="N63" s="1545"/>
      <c r="O63" s="1545"/>
    </row>
  </sheetData>
  <sheetProtection password="CAF9" sheet="1" objects="1" scenarios="1"/>
  <mergeCells count="31">
    <mergeCell ref="B19:O19"/>
    <mergeCell ref="B20:O20"/>
    <mergeCell ref="B2:O2"/>
    <mergeCell ref="B3:O3"/>
    <mergeCell ref="B8:O8"/>
    <mergeCell ref="B9:O9"/>
    <mergeCell ref="K5:L5"/>
    <mergeCell ref="K7:L7"/>
    <mergeCell ref="K6:L6"/>
    <mergeCell ref="B10:O10"/>
    <mergeCell ref="M17:O17"/>
    <mergeCell ref="H17:K17"/>
    <mergeCell ref="B17:F17"/>
    <mergeCell ref="F53:L53"/>
    <mergeCell ref="G22:M22"/>
    <mergeCell ref="K23:M23"/>
    <mergeCell ref="B47:F47"/>
    <mergeCell ref="I47:M47"/>
    <mergeCell ref="H46:M46"/>
    <mergeCell ref="G24:J24"/>
    <mergeCell ref="G23:J23"/>
    <mergeCell ref="K24:M24"/>
    <mergeCell ref="L29:N29"/>
    <mergeCell ref="L30:N30"/>
    <mergeCell ref="G45:L45"/>
    <mergeCell ref="E46:F46"/>
    <mergeCell ref="F54:L54"/>
    <mergeCell ref="F55:L55"/>
    <mergeCell ref="B63:O63"/>
    <mergeCell ref="H56:J56"/>
    <mergeCell ref="H57:J57"/>
  </mergeCells>
  <phoneticPr fontId="0" type="noConversion"/>
  <conditionalFormatting sqref="Y43">
    <cfRule type="expression" dxfId="18" priority="8">
      <formula>UPPER($Q$42)="N"</formula>
    </cfRule>
    <cfRule type="expression" dxfId="17" priority="9">
      <formula>UPPER($Q$42)="N"</formula>
    </cfRule>
  </conditionalFormatting>
  <conditionalFormatting sqref="L38">
    <cfRule type="expression" dxfId="16" priority="7">
      <formula>UPPER($Q$42)="N"</formula>
    </cfRule>
  </conditionalFormatting>
  <conditionalFormatting sqref="F39">
    <cfRule type="expression" dxfId="15" priority="3">
      <formula>UPPER($Q$42)="Y"</formula>
    </cfRule>
    <cfRule type="expression" dxfId="14" priority="6">
      <formula>UPPER($Q$42)="N"</formula>
    </cfRule>
  </conditionalFormatting>
  <conditionalFormatting sqref="Y45">
    <cfRule type="expression" dxfId="13" priority="1">
      <formula>UPPER($Q$42)="Y"</formula>
    </cfRule>
    <cfRule type="expression" dxfId="12" priority="5">
      <formula>UPPER($Q$42)="N"</formula>
    </cfRule>
  </conditionalFormatting>
  <conditionalFormatting sqref="B39">
    <cfRule type="expression" dxfId="11" priority="4">
      <formula>UPPER($Q$42)="Y"</formula>
    </cfRule>
  </conditionalFormatting>
  <conditionalFormatting sqref="Y44">
    <cfRule type="expression" dxfId="10" priority="2">
      <formula>UPPER($Q$42)="Y"</formula>
    </cfRule>
  </conditionalFormatting>
  <pageMargins left="0.25" right="0.25" top="0.5" bottom="0.5" header="0.25" footer="0.25"/>
  <pageSetup paperSize="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3:Y70"/>
  <sheetViews>
    <sheetView topLeftCell="A22" zoomScaleNormal="100" workbookViewId="0">
      <selection activeCell="B1" sqref="B1"/>
    </sheetView>
  </sheetViews>
  <sheetFormatPr defaultRowHeight="13.2"/>
  <cols>
    <col min="2" max="2" width="4" customWidth="1"/>
    <col min="3" max="3" width="5.44140625" customWidth="1"/>
    <col min="4" max="4" width="3.6640625" customWidth="1"/>
    <col min="5" max="5" width="8.33203125" customWidth="1"/>
    <col min="6" max="6" width="6.5546875" customWidth="1"/>
    <col min="7" max="7" width="10.5546875" customWidth="1"/>
    <col min="8" max="8" width="5.33203125" customWidth="1"/>
    <col min="12" max="12" width="10.88671875" customWidth="1"/>
    <col min="14" max="14" width="1.44140625" customWidth="1"/>
    <col min="17" max="17" width="0" hidden="1" customWidth="1"/>
    <col min="25" max="25" width="0" hidden="1" customWidth="1"/>
  </cols>
  <sheetData>
    <row r="3" spans="2:14" ht="17.399999999999999">
      <c r="B3" s="182" t="s">
        <v>4</v>
      </c>
      <c r="C3" s="182"/>
      <c r="D3" s="182"/>
      <c r="E3" s="182"/>
      <c r="F3" s="182"/>
      <c r="G3" s="182"/>
      <c r="H3" s="182"/>
      <c r="I3" s="182"/>
      <c r="J3" s="182"/>
      <c r="K3" s="182"/>
      <c r="L3" s="182"/>
      <c r="M3" s="182"/>
      <c r="N3" s="182"/>
    </row>
    <row r="5" spans="2:14">
      <c r="B5" s="37" t="s">
        <v>280</v>
      </c>
    </row>
    <row r="8" spans="2:14" ht="13.8">
      <c r="B8" s="93" t="s">
        <v>679</v>
      </c>
    </row>
    <row r="9" spans="2:14" ht="13.8">
      <c r="B9" s="93" t="s">
        <v>540</v>
      </c>
    </row>
    <row r="10" spans="2:14" ht="13.8">
      <c r="B10" s="93" t="s">
        <v>869</v>
      </c>
      <c r="C10" s="93"/>
      <c r="D10" s="93"/>
      <c r="E10" s="93"/>
      <c r="F10" s="1572" t="str">
        <f>+'KEY INPUTS'!D12</f>
        <v>BOROUGH</v>
      </c>
      <c r="G10" s="1572"/>
      <c r="H10" s="181" t="s">
        <v>570</v>
      </c>
      <c r="I10" s="1572" t="str">
        <f>+'KEY INPUTS'!D11</f>
        <v>WENONAH</v>
      </c>
      <c r="J10" s="1572"/>
      <c r="K10" s="1572"/>
      <c r="L10" s="1572"/>
      <c r="M10" s="93"/>
      <c r="N10" s="93"/>
    </row>
    <row r="11" spans="2:14" ht="13.8">
      <c r="B11" s="93" t="s">
        <v>606</v>
      </c>
      <c r="C11" s="93"/>
      <c r="D11" s="93"/>
      <c r="E11" s="93"/>
      <c r="F11" s="184">
        <f>'KEY INPUTS'!D34</f>
        <v>2020</v>
      </c>
      <c r="G11" s="183" t="s">
        <v>776</v>
      </c>
      <c r="H11" s="93"/>
      <c r="I11" s="93"/>
      <c r="J11" s="93"/>
      <c r="K11" s="93"/>
      <c r="L11" s="93"/>
      <c r="M11" s="93"/>
    </row>
    <row r="12" spans="2:14" ht="13.8">
      <c r="B12" s="93" t="s">
        <v>297</v>
      </c>
      <c r="C12" s="93"/>
      <c r="D12" s="93"/>
      <c r="E12" s="93"/>
      <c r="F12" s="93"/>
      <c r="G12" s="93"/>
      <c r="H12" s="93"/>
      <c r="I12" s="93"/>
      <c r="J12" s="93"/>
      <c r="K12" s="93"/>
      <c r="L12" s="93"/>
      <c r="M12" s="93"/>
    </row>
    <row r="13" spans="2:14" ht="13.8">
      <c r="B13" s="93" t="s">
        <v>298</v>
      </c>
      <c r="C13" s="93"/>
      <c r="D13" s="93"/>
      <c r="E13" s="93"/>
      <c r="F13" s="93"/>
      <c r="G13" s="93"/>
      <c r="H13" s="93"/>
      <c r="I13" s="93"/>
      <c r="J13" s="93"/>
      <c r="K13" s="93"/>
      <c r="L13" s="93"/>
      <c r="M13" s="93"/>
    </row>
    <row r="14" spans="2:14" ht="13.8">
      <c r="B14" s="93" t="s">
        <v>300</v>
      </c>
      <c r="C14" s="93"/>
      <c r="D14" s="93"/>
      <c r="E14" s="93"/>
      <c r="F14" s="93"/>
      <c r="G14" s="93"/>
      <c r="H14" s="93"/>
      <c r="I14" s="93"/>
      <c r="J14" s="93"/>
      <c r="K14" s="93"/>
      <c r="L14" s="93"/>
      <c r="M14" s="93"/>
    </row>
    <row r="17" spans="2:25" ht="13.8">
      <c r="B17" s="93" t="s">
        <v>301</v>
      </c>
      <c r="C17" s="93"/>
      <c r="D17" s="93"/>
      <c r="E17" s="93"/>
      <c r="F17" s="93"/>
      <c r="G17" s="93"/>
      <c r="H17" s="93"/>
      <c r="I17" s="93"/>
      <c r="J17" s="93"/>
      <c r="K17" s="93"/>
      <c r="L17" s="93"/>
      <c r="M17" s="93"/>
    </row>
    <row r="18" spans="2:25" ht="13.8">
      <c r="B18" s="93" t="s">
        <v>302</v>
      </c>
      <c r="C18" s="93"/>
      <c r="D18" s="93"/>
      <c r="E18" s="93"/>
      <c r="F18" s="93"/>
      <c r="G18" s="93"/>
      <c r="H18" s="93"/>
      <c r="I18" s="93"/>
      <c r="J18" s="93"/>
      <c r="K18" s="93"/>
      <c r="L18" s="93"/>
      <c r="M18" s="93"/>
    </row>
    <row r="19" spans="2:25" ht="13.8">
      <c r="B19" s="93" t="s">
        <v>762</v>
      </c>
      <c r="C19" s="93"/>
      <c r="D19" s="93"/>
      <c r="E19" s="93"/>
      <c r="F19" s="93"/>
      <c r="G19" s="93"/>
      <c r="H19" s="93"/>
      <c r="I19" s="93"/>
      <c r="J19" s="93"/>
      <c r="K19" s="93"/>
      <c r="L19" s="93"/>
      <c r="M19" s="93"/>
    </row>
    <row r="20" spans="2:25" ht="13.8">
      <c r="B20" s="93" t="s">
        <v>3443</v>
      </c>
      <c r="C20" s="93"/>
      <c r="D20" s="93"/>
      <c r="E20" s="93"/>
      <c r="F20" s="93"/>
      <c r="G20" s="93" t="s">
        <v>3444</v>
      </c>
      <c r="H20" s="93"/>
      <c r="I20" s="93"/>
      <c r="J20" s="93"/>
      <c r="K20" s="93"/>
      <c r="L20" s="93"/>
      <c r="M20" s="93" t="s">
        <v>398</v>
      </c>
      <c r="Q20" s="701" t="s">
        <v>3408</v>
      </c>
    </row>
    <row r="21" spans="2:25" ht="13.8">
      <c r="B21" s="93" t="s">
        <v>3441</v>
      </c>
      <c r="C21" s="93"/>
      <c r="D21" s="93"/>
      <c r="E21" s="92" t="s">
        <v>3445</v>
      </c>
      <c r="F21" s="93"/>
      <c r="G21" s="281" t="s">
        <v>3446</v>
      </c>
      <c r="I21" s="93"/>
      <c r="J21" s="93"/>
      <c r="K21" s="93"/>
      <c r="L21" s="93"/>
      <c r="M21" s="93"/>
      <c r="P21" s="116" t="s">
        <v>3460</v>
      </c>
    </row>
    <row r="22" spans="2:25" ht="13.8">
      <c r="B22" s="93" t="s">
        <v>777</v>
      </c>
      <c r="C22" s="93"/>
      <c r="D22" s="93"/>
      <c r="E22" s="93"/>
      <c r="F22" s="93"/>
      <c r="G22" s="93"/>
      <c r="H22" s="1574" t="str">
        <f>'KEY INPUTS'!D46</f>
        <v>Dec. 31, 2020</v>
      </c>
      <c r="I22" s="1572"/>
      <c r="J22" s="93" t="s">
        <v>773</v>
      </c>
      <c r="K22" s="93"/>
      <c r="L22" s="93"/>
      <c r="M22" s="93"/>
      <c r="P22" s="116" t="s">
        <v>3442</v>
      </c>
      <c r="Y22" s="317" t="s">
        <v>3440</v>
      </c>
    </row>
    <row r="23" spans="2:25" ht="13.8">
      <c r="B23" s="93" t="s">
        <v>772</v>
      </c>
      <c r="C23" s="93"/>
      <c r="D23" s="93"/>
      <c r="E23" s="93"/>
      <c r="F23" s="93"/>
      <c r="G23" s="93"/>
      <c r="H23" s="93"/>
      <c r="I23" s="93"/>
      <c r="J23" s="93"/>
      <c r="K23" s="93"/>
      <c r="L23" s="93"/>
      <c r="M23" s="93"/>
      <c r="P23" s="818"/>
      <c r="Y23" s="317" t="s">
        <v>3441</v>
      </c>
    </row>
    <row r="24" spans="2:25" ht="13.8">
      <c r="B24" s="93" t="s">
        <v>699</v>
      </c>
      <c r="C24" s="93"/>
      <c r="D24" s="93"/>
      <c r="E24" s="93"/>
      <c r="F24" s="93"/>
      <c r="G24" s="93"/>
      <c r="H24" s="93"/>
      <c r="I24" s="93"/>
      <c r="J24" s="93"/>
      <c r="K24" s="93"/>
      <c r="L24" s="93"/>
      <c r="M24" s="93"/>
      <c r="Y24" s="317" t="s">
        <v>3439</v>
      </c>
    </row>
    <row r="25" spans="2:25" ht="13.8">
      <c r="B25" s="93" t="s">
        <v>700</v>
      </c>
      <c r="C25" s="93"/>
      <c r="D25" s="93"/>
      <c r="E25" s="93"/>
      <c r="F25" s="93"/>
      <c r="G25" s="93"/>
      <c r="H25" s="93"/>
      <c r="I25" s="93"/>
      <c r="J25" s="93"/>
      <c r="K25" s="93"/>
      <c r="L25" s="93"/>
      <c r="M25" s="93"/>
    </row>
    <row r="26" spans="2:25" ht="13.8">
      <c r="B26" s="93" t="s">
        <v>704</v>
      </c>
      <c r="C26" s="93"/>
      <c r="D26" s="93"/>
      <c r="E26" s="93"/>
      <c r="F26" s="93"/>
      <c r="G26" s="93"/>
      <c r="H26" s="93"/>
      <c r="I26" s="93"/>
      <c r="J26" s="93"/>
      <c r="K26" s="93"/>
      <c r="L26" s="93"/>
      <c r="M26" s="93"/>
    </row>
    <row r="27" spans="2:25" ht="13.8">
      <c r="B27" s="93" t="s">
        <v>705</v>
      </c>
      <c r="C27" s="93"/>
      <c r="D27" s="93"/>
      <c r="E27" s="93"/>
      <c r="F27" s="93"/>
      <c r="G27" s="93"/>
      <c r="H27" s="93"/>
      <c r="I27" s="93"/>
      <c r="J27" s="93"/>
      <c r="K27" s="93"/>
      <c r="L27" s="93"/>
      <c r="M27" s="93"/>
    </row>
    <row r="28" spans="2:25" ht="13.8">
      <c r="B28" s="93" t="s">
        <v>304</v>
      </c>
      <c r="C28" s="93"/>
      <c r="D28" s="93"/>
      <c r="E28" s="93"/>
      <c r="F28" s="93"/>
      <c r="G28" s="93"/>
      <c r="H28" s="93"/>
      <c r="I28" s="93"/>
      <c r="J28" s="93"/>
      <c r="K28" s="93"/>
      <c r="L28" s="93"/>
      <c r="M28" s="93"/>
    </row>
    <row r="29" spans="2:25" ht="13.8">
      <c r="B29" s="93" t="s">
        <v>778</v>
      </c>
      <c r="C29" s="93"/>
      <c r="D29" s="93"/>
      <c r="E29" s="93"/>
      <c r="F29" s="93"/>
      <c r="G29" s="93"/>
      <c r="H29" s="93"/>
      <c r="I29" s="93"/>
      <c r="J29" s="93"/>
      <c r="K29" s="93"/>
      <c r="L29" s="93"/>
      <c r="M29" s="93"/>
    </row>
    <row r="31" spans="2:25" ht="13.8">
      <c r="B31" s="93" t="s">
        <v>541</v>
      </c>
    </row>
    <row r="32" spans="2:25" ht="13.8">
      <c r="B32" s="93" t="s">
        <v>779</v>
      </c>
    </row>
    <row r="33" spans="2:19">
      <c r="B33" s="273"/>
      <c r="C33" s="273"/>
      <c r="D33" s="273"/>
      <c r="E33" s="273"/>
      <c r="F33" s="273"/>
      <c r="G33" s="273"/>
      <c r="H33" s="273"/>
      <c r="I33" s="273"/>
      <c r="J33" s="273"/>
      <c r="K33" s="273"/>
      <c r="L33" s="273"/>
      <c r="M33" s="273"/>
      <c r="N33" s="273"/>
      <c r="O33" s="273"/>
    </row>
    <row r="34" spans="2:19" ht="13.8">
      <c r="B34" s="819"/>
      <c r="C34" s="819"/>
      <c r="D34" s="819"/>
      <c r="E34" s="819"/>
      <c r="F34" s="819"/>
      <c r="G34" s="819"/>
      <c r="H34" s="819"/>
      <c r="I34" s="819"/>
      <c r="J34" s="819"/>
      <c r="K34" s="819"/>
      <c r="L34" s="819"/>
      <c r="M34" s="819"/>
      <c r="N34" s="281"/>
      <c r="O34" s="281"/>
    </row>
    <row r="35" spans="2:19" ht="13.8">
      <c r="B35" s="819"/>
      <c r="C35" s="819"/>
      <c r="D35" s="819"/>
      <c r="E35" s="819"/>
      <c r="F35" s="819"/>
      <c r="G35" s="819"/>
      <c r="H35" s="819"/>
      <c r="I35" s="819"/>
      <c r="J35" s="819"/>
      <c r="K35" s="819"/>
      <c r="L35" s="819"/>
      <c r="M35" s="819"/>
      <c r="N35" s="281"/>
      <c r="O35" s="281"/>
    </row>
    <row r="36" spans="2:19" ht="13.8">
      <c r="B36" s="820"/>
      <c r="C36" s="820"/>
      <c r="D36" s="821"/>
      <c r="E36" s="820"/>
      <c r="F36" s="819"/>
      <c r="G36" s="819"/>
      <c r="H36" s="819"/>
      <c r="I36" s="819"/>
      <c r="J36" s="819"/>
      <c r="K36" s="819"/>
      <c r="L36" s="819"/>
      <c r="M36" s="819"/>
      <c r="N36" s="281"/>
      <c r="O36" s="281"/>
    </row>
    <row r="37" spans="2:19" ht="13.8">
      <c r="B37" s="820"/>
      <c r="C37" s="820"/>
      <c r="D37" s="820"/>
      <c r="E37" s="820"/>
      <c r="F37" s="819"/>
      <c r="G37" s="819"/>
      <c r="H37" s="819"/>
      <c r="I37" s="819"/>
      <c r="J37" s="819"/>
      <c r="K37" s="819"/>
      <c r="L37" s="819"/>
      <c r="M37" s="819"/>
      <c r="N37" s="281"/>
      <c r="O37" s="281"/>
    </row>
    <row r="38" spans="2:19" ht="13.8">
      <c r="B38" s="820"/>
      <c r="C38" s="820"/>
      <c r="D38" s="821"/>
      <c r="E38" s="820"/>
      <c r="F38" s="819"/>
      <c r="G38" s="819"/>
      <c r="H38" s="819"/>
      <c r="I38" s="819"/>
      <c r="J38" s="819"/>
      <c r="K38" s="819"/>
      <c r="L38" s="819"/>
      <c r="M38" s="819"/>
      <c r="N38" s="281"/>
      <c r="O38" s="281"/>
    </row>
    <row r="39" spans="2:19" s="273" customFormat="1" ht="13.8">
      <c r="B39" s="820"/>
      <c r="C39" s="820"/>
      <c r="D39" s="821"/>
      <c r="E39" s="820"/>
      <c r="F39" s="819"/>
      <c r="G39" s="819"/>
      <c r="H39" s="819"/>
      <c r="I39" s="819"/>
      <c r="J39" s="819"/>
      <c r="K39" s="819"/>
      <c r="L39" s="819"/>
      <c r="M39" s="819"/>
      <c r="N39" s="281"/>
      <c r="O39" s="281"/>
      <c r="S39"/>
    </row>
    <row r="40" spans="2:19" s="273" customFormat="1" ht="13.8">
      <c r="B40" s="820"/>
      <c r="C40" s="820"/>
      <c r="D40" s="820"/>
      <c r="E40" s="820"/>
      <c r="F40" s="819"/>
      <c r="G40" s="819"/>
      <c r="H40" s="819"/>
      <c r="I40" s="819"/>
      <c r="J40" s="819"/>
      <c r="K40" s="819"/>
      <c r="L40" s="819"/>
      <c r="M40" s="819"/>
      <c r="N40" s="281"/>
      <c r="O40" s="281"/>
    </row>
    <row r="41" spans="2:19" ht="13.8">
      <c r="B41" s="820"/>
      <c r="C41" s="822"/>
      <c r="D41" s="821"/>
      <c r="E41" s="820"/>
      <c r="F41" s="819"/>
      <c r="G41" s="819"/>
      <c r="H41" s="819"/>
      <c r="I41" s="819"/>
      <c r="J41" s="819"/>
      <c r="K41" s="819"/>
      <c r="L41" s="819"/>
      <c r="M41" s="819"/>
      <c r="N41" s="281"/>
      <c r="O41" s="281"/>
    </row>
    <row r="42" spans="2:19" ht="13.8">
      <c r="B42" s="820"/>
      <c r="C42" s="820"/>
      <c r="D42" s="821"/>
      <c r="E42" s="820"/>
      <c r="F42" s="819"/>
      <c r="G42" s="819"/>
      <c r="H42" s="819"/>
      <c r="I42" s="819"/>
      <c r="J42" s="819"/>
      <c r="K42" s="819"/>
      <c r="L42" s="819"/>
      <c r="M42" s="819"/>
      <c r="N42" s="281"/>
      <c r="O42" s="281"/>
    </row>
    <row r="43" spans="2:19" ht="13.8">
      <c r="B43" s="820"/>
      <c r="C43" s="820"/>
      <c r="D43" s="820"/>
      <c r="E43" s="820"/>
      <c r="F43" s="819"/>
      <c r="G43" s="819"/>
      <c r="H43" s="819"/>
      <c r="I43" s="819"/>
      <c r="J43" s="819"/>
      <c r="K43" s="819"/>
      <c r="L43" s="819"/>
      <c r="M43" s="819"/>
      <c r="N43" s="281"/>
      <c r="O43" s="281"/>
    </row>
    <row r="44" spans="2:19" ht="13.8">
      <c r="B44" s="820"/>
      <c r="C44" s="820"/>
      <c r="D44" s="821"/>
      <c r="E44" s="820"/>
      <c r="F44" s="819"/>
      <c r="G44" s="819"/>
      <c r="H44" s="819"/>
      <c r="I44" s="819"/>
      <c r="J44" s="819"/>
      <c r="K44" s="819"/>
      <c r="L44" s="819"/>
      <c r="M44" s="819"/>
      <c r="N44" s="281"/>
      <c r="O44" s="281"/>
    </row>
    <row r="45" spans="2:19" ht="13.8">
      <c r="B45" s="820"/>
      <c r="C45" s="820"/>
      <c r="D45" s="821"/>
      <c r="E45" s="820"/>
      <c r="F45" s="819"/>
      <c r="G45" s="819"/>
      <c r="H45" s="819"/>
      <c r="I45" s="819"/>
      <c r="J45" s="819"/>
      <c r="K45" s="819"/>
      <c r="L45" s="819"/>
      <c r="M45" s="819"/>
      <c r="N45" s="281"/>
      <c r="O45" s="281"/>
    </row>
    <row r="46" spans="2:19" ht="13.8">
      <c r="B46" s="820"/>
      <c r="C46" s="820"/>
      <c r="D46" s="820"/>
      <c r="E46" s="820"/>
      <c r="F46" s="819"/>
      <c r="G46" s="819"/>
      <c r="H46" s="819"/>
      <c r="I46" s="819"/>
      <c r="J46" s="819"/>
      <c r="K46" s="819"/>
      <c r="L46" s="819"/>
      <c r="M46" s="819"/>
      <c r="N46" s="281"/>
      <c r="O46" s="281"/>
    </row>
    <row r="47" spans="2:19" ht="13.8">
      <c r="B47" s="820"/>
      <c r="C47" s="820"/>
      <c r="D47" s="820"/>
      <c r="E47" s="820"/>
      <c r="F47" s="819"/>
      <c r="G47" s="819"/>
      <c r="H47" s="819"/>
      <c r="I47" s="819"/>
      <c r="J47" s="819"/>
      <c r="K47" s="819"/>
      <c r="L47" s="819"/>
      <c r="M47" s="819"/>
      <c r="N47" s="281"/>
      <c r="O47" s="281"/>
    </row>
    <row r="48" spans="2:19" ht="13.8">
      <c r="B48" s="820"/>
      <c r="C48" s="820"/>
      <c r="D48" s="820"/>
      <c r="E48" s="820"/>
      <c r="F48" s="819"/>
      <c r="G48" s="819"/>
      <c r="H48" s="819"/>
      <c r="I48" s="819"/>
      <c r="J48" s="819"/>
      <c r="K48" s="819"/>
      <c r="L48" s="819"/>
      <c r="M48" s="819"/>
      <c r="N48" s="281"/>
      <c r="O48" s="281"/>
    </row>
    <row r="49" spans="2:13">
      <c r="B49" s="306"/>
      <c r="C49" s="306"/>
      <c r="D49" s="306"/>
      <c r="E49" s="306"/>
    </row>
    <row r="50" spans="2:13">
      <c r="I50" s="1566" t="str">
        <f>IF('KEY INPUTS'!D22=0,"NO ENTRY",'KEY INPUTS'!D22)</f>
        <v>NO ENTRY</v>
      </c>
      <c r="J50" s="1566"/>
      <c r="K50" s="1566"/>
      <c r="L50" s="1566"/>
      <c r="M50" s="1566"/>
    </row>
    <row r="51" spans="2:13">
      <c r="I51" s="1571" t="s">
        <v>683</v>
      </c>
      <c r="J51" s="1571"/>
      <c r="K51" s="1571"/>
      <c r="L51" s="1571"/>
      <c r="M51" s="1571"/>
    </row>
    <row r="53" spans="2:13">
      <c r="I53" s="1570"/>
      <c r="J53" s="1570"/>
      <c r="K53" s="1570"/>
      <c r="L53" s="1570"/>
      <c r="M53" s="1570"/>
    </row>
    <row r="54" spans="2:13">
      <c r="I54" s="1571" t="s">
        <v>684</v>
      </c>
      <c r="J54" s="1571"/>
      <c r="K54" s="1571"/>
      <c r="L54" s="1571"/>
      <c r="M54" s="1571"/>
    </row>
    <row r="56" spans="2:13">
      <c r="I56" s="1570"/>
      <c r="J56" s="1570"/>
      <c r="K56" s="1570"/>
      <c r="L56" s="1570"/>
      <c r="M56" s="1570"/>
    </row>
    <row r="57" spans="2:13">
      <c r="I57" s="1571" t="s">
        <v>685</v>
      </c>
      <c r="J57" s="1571"/>
      <c r="K57" s="1571"/>
      <c r="L57" s="1571"/>
      <c r="M57" s="1571"/>
    </row>
    <row r="59" spans="2:13">
      <c r="B59" t="s">
        <v>680</v>
      </c>
      <c r="I59" s="1570"/>
      <c r="J59" s="1570"/>
      <c r="K59" s="1570"/>
      <c r="L59" s="1570"/>
      <c r="M59" s="1570"/>
    </row>
    <row r="60" spans="2:13">
      <c r="I60" s="1571" t="s">
        <v>685</v>
      </c>
      <c r="J60" s="1571"/>
      <c r="K60" s="1571"/>
      <c r="L60" s="1571"/>
      <c r="M60" s="1571"/>
    </row>
    <row r="61" spans="2:13">
      <c r="B61" t="s">
        <v>681</v>
      </c>
      <c r="C61" s="702"/>
      <c r="D61" t="s">
        <v>682</v>
      </c>
      <c r="E61" s="1573"/>
      <c r="F61" s="1570"/>
      <c r="G61" s="1570"/>
      <c r="H61" s="278" t="str">
        <f>","&amp;TEXT('KEY INPUTS'!D33,"0")</f>
        <v>,2021</v>
      </c>
    </row>
    <row r="62" spans="2:13">
      <c r="C62" s="130"/>
      <c r="E62" s="130"/>
      <c r="F62" s="130"/>
      <c r="G62" s="130"/>
      <c r="I62" s="42"/>
      <c r="J62" s="1570"/>
      <c r="K62" s="1570"/>
      <c r="L62" s="1570"/>
      <c r="M62" s="42"/>
    </row>
    <row r="63" spans="2:13">
      <c r="I63" s="1575" t="s">
        <v>686</v>
      </c>
      <c r="J63" s="1571"/>
      <c r="K63" s="1571"/>
      <c r="L63" s="1571"/>
      <c r="M63" s="1575"/>
    </row>
    <row r="65" spans="1:14">
      <c r="I65" s="42"/>
      <c r="J65" s="1570"/>
      <c r="K65" s="1570"/>
      <c r="L65" s="1570"/>
      <c r="M65" s="42"/>
    </row>
    <row r="66" spans="1:14">
      <c r="I66" s="1575" t="s">
        <v>88</v>
      </c>
      <c r="J66" s="1571"/>
      <c r="K66" s="1571"/>
      <c r="L66" s="1571"/>
      <c r="M66" s="1575"/>
    </row>
    <row r="70" spans="1:14" ht="13.8">
      <c r="A70" s="1545" t="s">
        <v>868</v>
      </c>
      <c r="B70" s="1545"/>
      <c r="C70" s="1545"/>
      <c r="D70" s="1545"/>
      <c r="E70" s="1545"/>
      <c r="F70" s="1545"/>
      <c r="G70" s="1545"/>
      <c r="H70" s="1545"/>
      <c r="I70" s="1545"/>
      <c r="J70" s="1545"/>
      <c r="K70" s="1545"/>
      <c r="L70" s="1545"/>
      <c r="M70" s="1545"/>
      <c r="N70" s="1545"/>
    </row>
  </sheetData>
  <sheetProtection password="CAF9" sheet="1" objects="1" scenarios="1"/>
  <mergeCells count="17">
    <mergeCell ref="A70:N70"/>
    <mergeCell ref="I60:M60"/>
    <mergeCell ref="J62:L62"/>
    <mergeCell ref="I56:M56"/>
    <mergeCell ref="I57:M57"/>
    <mergeCell ref="J65:L65"/>
    <mergeCell ref="I63:M63"/>
    <mergeCell ref="I66:M66"/>
    <mergeCell ref="I59:M59"/>
    <mergeCell ref="I53:M53"/>
    <mergeCell ref="I54:M54"/>
    <mergeCell ref="I10:L10"/>
    <mergeCell ref="F10:G10"/>
    <mergeCell ref="E61:G61"/>
    <mergeCell ref="H22:I22"/>
    <mergeCell ref="I50:M50"/>
    <mergeCell ref="I51:M51"/>
  </mergeCells>
  <phoneticPr fontId="0" type="noConversion"/>
  <conditionalFormatting sqref="G20">
    <cfRule type="expression" dxfId="9" priority="4">
      <formula>UPPER($P$23)="N"</formula>
    </cfRule>
  </conditionalFormatting>
  <conditionalFormatting sqref="B21">
    <cfRule type="expression" dxfId="8" priority="3">
      <formula>UPPER($P$23)="Y"</formula>
    </cfRule>
  </conditionalFormatting>
  <conditionalFormatting sqref="E21">
    <cfRule type="expression" dxfId="7" priority="1">
      <formula>UPPER($P$23)="N"</formula>
    </cfRule>
    <cfRule type="expression" dxfId="6" priority="2">
      <formula>UPPER($P$23)="Y"</formula>
    </cfRule>
  </conditionalFormatting>
  <pageMargins left="0.25" right="0.25" top="0.5" bottom="0.5" header="0.25" footer="0.25"/>
  <pageSetup paperSize="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C4:P67"/>
  <sheetViews>
    <sheetView topLeftCell="A27" zoomScaleNormal="100" workbookViewId="0">
      <selection activeCell="H50" sqref="H50:L50"/>
    </sheetView>
  </sheetViews>
  <sheetFormatPr defaultRowHeight="13.2"/>
  <cols>
    <col min="1" max="5" width="4.6640625" customWidth="1"/>
    <col min="13" max="13" width="11.109375" customWidth="1"/>
  </cols>
  <sheetData>
    <row r="4" spans="3:13" ht="15.6">
      <c r="C4" s="1576" t="s">
        <v>689</v>
      </c>
      <c r="D4" s="1576"/>
      <c r="E4" s="1576"/>
      <c r="F4" s="1576"/>
      <c r="G4" s="1576"/>
      <c r="H4" s="1576"/>
      <c r="I4" s="1576"/>
      <c r="J4" s="1576"/>
      <c r="K4" s="1576"/>
      <c r="L4" s="1576"/>
      <c r="M4" s="1576"/>
    </row>
    <row r="5" spans="3:13" ht="15.6">
      <c r="C5" s="1576" t="s">
        <v>690</v>
      </c>
      <c r="D5" s="1576"/>
      <c r="E5" s="1576"/>
      <c r="F5" s="1576"/>
      <c r="G5" s="1576"/>
      <c r="H5" s="1576"/>
      <c r="I5" s="1576"/>
      <c r="J5" s="1576"/>
      <c r="K5" s="1576"/>
      <c r="L5" s="1576"/>
      <c r="M5" s="1576"/>
    </row>
    <row r="6" spans="3:13" ht="15.6">
      <c r="C6" s="1576" t="s">
        <v>691</v>
      </c>
      <c r="D6" s="1576"/>
      <c r="E6" s="1576"/>
      <c r="F6" s="1576"/>
      <c r="G6" s="1576"/>
      <c r="H6" s="1576"/>
      <c r="I6" s="1576"/>
      <c r="J6" s="1576"/>
      <c r="K6" s="1576"/>
      <c r="L6" s="1576"/>
      <c r="M6" s="1576"/>
    </row>
    <row r="9" spans="3:13">
      <c r="D9" s="169" t="s">
        <v>692</v>
      </c>
    </row>
    <row r="10" spans="3:13">
      <c r="D10" s="169" t="s">
        <v>693</v>
      </c>
    </row>
    <row r="11" spans="3:13" ht="13.8" thickBot="1"/>
    <row r="12" spans="3:13">
      <c r="C12" s="170"/>
      <c r="D12" s="171"/>
      <c r="E12" s="171"/>
      <c r="F12" s="171"/>
      <c r="G12" s="171"/>
      <c r="H12" s="171"/>
      <c r="I12" s="171"/>
      <c r="J12" s="171"/>
      <c r="K12" s="171"/>
      <c r="L12" s="171"/>
      <c r="M12" s="172"/>
    </row>
    <row r="13" spans="3:13">
      <c r="C13" s="173"/>
      <c r="D13" s="1577" t="s">
        <v>694</v>
      </c>
      <c r="E13" s="1577"/>
      <c r="F13" s="1577"/>
      <c r="G13" s="1577"/>
      <c r="H13" s="1577"/>
      <c r="I13" s="1577"/>
      <c r="J13" s="1577"/>
      <c r="K13" s="1577"/>
      <c r="L13" s="1577"/>
      <c r="M13" s="174"/>
    </row>
    <row r="14" spans="3:13">
      <c r="C14" s="173"/>
      <c r="D14" s="42"/>
      <c r="E14" s="42"/>
      <c r="F14" s="42"/>
      <c r="G14" s="42"/>
      <c r="H14" s="42"/>
      <c r="I14" s="42"/>
      <c r="J14" s="42"/>
      <c r="K14" s="42"/>
      <c r="L14" s="42"/>
      <c r="M14" s="174"/>
    </row>
    <row r="15" spans="3:13">
      <c r="C15" s="173"/>
      <c r="D15" s="175" t="s">
        <v>308</v>
      </c>
      <c r="E15" s="42"/>
      <c r="F15" s="42" t="s">
        <v>695</v>
      </c>
      <c r="G15" s="42"/>
      <c r="H15" s="42"/>
      <c r="I15" s="42"/>
      <c r="J15" s="42"/>
      <c r="K15" s="42"/>
      <c r="L15" s="42"/>
      <c r="M15" s="174"/>
    </row>
    <row r="16" spans="3:13">
      <c r="C16" s="173"/>
      <c r="D16" s="175"/>
      <c r="E16" s="42"/>
      <c r="F16" s="42"/>
      <c r="G16" s="42"/>
      <c r="H16" s="42"/>
      <c r="I16" s="42"/>
      <c r="J16" s="42"/>
      <c r="K16" s="42"/>
      <c r="L16" s="42"/>
      <c r="M16" s="174"/>
    </row>
    <row r="17" spans="3:16">
      <c r="C17" s="173"/>
      <c r="D17" s="175" t="s">
        <v>309</v>
      </c>
      <c r="E17" s="42"/>
      <c r="F17" s="42" t="s">
        <v>697</v>
      </c>
      <c r="G17" s="42"/>
      <c r="H17" s="42"/>
      <c r="I17" s="42"/>
      <c r="J17" s="42"/>
      <c r="K17" s="42"/>
      <c r="L17" s="42"/>
      <c r="M17" s="174"/>
    </row>
    <row r="18" spans="3:16">
      <c r="C18" s="173"/>
      <c r="D18" s="175"/>
      <c r="E18" s="42"/>
      <c r="F18" s="42" t="s">
        <v>696</v>
      </c>
      <c r="G18" s="42"/>
      <c r="H18" s="42"/>
      <c r="I18" s="42"/>
      <c r="J18" s="42"/>
      <c r="K18" s="42"/>
      <c r="L18" s="42"/>
      <c r="M18" s="174"/>
    </row>
    <row r="19" spans="3:16">
      <c r="C19" s="173"/>
      <c r="D19" s="175"/>
      <c r="E19" s="42"/>
      <c r="F19" s="42"/>
      <c r="G19" s="42"/>
      <c r="H19" s="42"/>
      <c r="I19" s="42"/>
      <c r="J19" s="42"/>
      <c r="K19" s="42"/>
      <c r="L19" s="42"/>
      <c r="M19" s="174"/>
    </row>
    <row r="20" spans="3:16">
      <c r="C20" s="173"/>
      <c r="D20" s="175" t="s">
        <v>310</v>
      </c>
      <c r="E20" s="42"/>
      <c r="F20" s="42" t="s">
        <v>665</v>
      </c>
      <c r="G20" s="42"/>
      <c r="H20" s="42"/>
      <c r="I20" s="42"/>
      <c r="J20" s="42"/>
      <c r="K20" s="42"/>
      <c r="L20" s="42"/>
      <c r="M20" s="174"/>
    </row>
    <row r="21" spans="3:16">
      <c r="C21" s="173"/>
      <c r="D21" s="175"/>
      <c r="E21" s="42"/>
      <c r="F21" s="42"/>
      <c r="G21" s="42"/>
      <c r="H21" s="42"/>
      <c r="I21" s="42"/>
      <c r="J21" s="42"/>
      <c r="K21" s="42"/>
      <c r="L21" s="42"/>
      <c r="M21" s="174"/>
    </row>
    <row r="22" spans="3:16">
      <c r="C22" s="173"/>
      <c r="D22" s="175" t="s">
        <v>311</v>
      </c>
      <c r="E22" s="42"/>
      <c r="F22" s="42" t="s">
        <v>870</v>
      </c>
      <c r="G22" s="42"/>
      <c r="H22" s="42"/>
      <c r="I22" s="42"/>
      <c r="J22" s="42"/>
      <c r="K22" s="42"/>
      <c r="L22" s="42"/>
      <c r="M22" s="174"/>
    </row>
    <row r="23" spans="3:16">
      <c r="C23" s="173"/>
      <c r="D23" s="175"/>
      <c r="E23" s="42"/>
      <c r="F23" s="42"/>
      <c r="G23" s="42"/>
      <c r="H23" s="42"/>
      <c r="I23" s="42"/>
      <c r="J23" s="42"/>
      <c r="K23" s="42"/>
      <c r="L23" s="42"/>
      <c r="M23" s="174"/>
    </row>
    <row r="24" spans="3:16">
      <c r="C24" s="173"/>
      <c r="D24" s="175" t="s">
        <v>312</v>
      </c>
      <c r="E24" s="42"/>
      <c r="F24" s="42" t="s">
        <v>77</v>
      </c>
      <c r="G24" s="42"/>
      <c r="H24" s="42"/>
      <c r="I24" s="42"/>
      <c r="J24" s="42"/>
      <c r="K24" s="42"/>
      <c r="L24" s="42"/>
      <c r="M24" s="174"/>
    </row>
    <row r="25" spans="3:16">
      <c r="C25" s="173"/>
      <c r="D25" s="175"/>
      <c r="E25" s="42"/>
      <c r="F25" s="42" t="s">
        <v>871</v>
      </c>
      <c r="G25" s="42"/>
      <c r="H25" s="42"/>
      <c r="I25" s="42"/>
      <c r="J25" s="42"/>
      <c r="K25" s="42"/>
      <c r="L25" s="42"/>
      <c r="M25" s="174"/>
    </row>
    <row r="26" spans="3:16">
      <c r="C26" s="173"/>
      <c r="D26" s="175"/>
      <c r="E26" s="42"/>
      <c r="F26" s="42"/>
      <c r="G26" s="42"/>
      <c r="H26" s="42"/>
      <c r="I26" s="42"/>
      <c r="J26" s="42"/>
      <c r="K26" s="42"/>
      <c r="L26" s="42"/>
      <c r="M26" s="174"/>
    </row>
    <row r="27" spans="3:16">
      <c r="C27" s="173"/>
      <c r="D27" s="175" t="s">
        <v>313</v>
      </c>
      <c r="E27" s="42"/>
      <c r="F27" s="42" t="s">
        <v>78</v>
      </c>
      <c r="G27" s="42"/>
      <c r="H27" s="42"/>
      <c r="I27" s="42"/>
      <c r="J27" s="42"/>
      <c r="K27" s="42"/>
      <c r="L27" s="42"/>
      <c r="M27" s="174"/>
    </row>
    <row r="28" spans="3:16">
      <c r="C28" s="173"/>
      <c r="D28" s="175"/>
      <c r="E28" s="42"/>
      <c r="F28" s="42"/>
      <c r="G28" s="42"/>
      <c r="H28" s="42"/>
      <c r="I28" s="42"/>
      <c r="J28" s="42"/>
      <c r="K28" s="42"/>
      <c r="L28" s="42"/>
      <c r="M28" s="174"/>
    </row>
    <row r="29" spans="3:16">
      <c r="C29" s="173"/>
      <c r="D29" s="175" t="s">
        <v>314</v>
      </c>
      <c r="E29" s="42"/>
      <c r="F29" s="358" t="s">
        <v>3607</v>
      </c>
      <c r="G29" s="42"/>
      <c r="H29" s="42"/>
      <c r="I29" s="42"/>
      <c r="J29" s="42"/>
      <c r="K29" s="42"/>
      <c r="L29" s="42"/>
      <c r="M29" s="174"/>
      <c r="P29" s="370"/>
    </row>
    <row r="30" spans="3:16">
      <c r="C30" s="173"/>
      <c r="D30" s="175"/>
      <c r="E30" s="42"/>
      <c r="F30" s="42" t="s">
        <v>93</v>
      </c>
      <c r="G30" s="42"/>
      <c r="H30" s="42"/>
      <c r="I30" s="42"/>
      <c r="J30" s="42"/>
      <c r="K30" s="42"/>
      <c r="L30" s="42"/>
      <c r="M30" s="174"/>
    </row>
    <row r="31" spans="3:16">
      <c r="C31" s="173"/>
      <c r="D31" s="175"/>
      <c r="E31" s="42"/>
      <c r="F31" s="42"/>
      <c r="G31" s="42"/>
      <c r="H31" s="42"/>
      <c r="I31" s="42"/>
      <c r="J31" s="42"/>
      <c r="K31" s="42"/>
      <c r="L31" s="42"/>
      <c r="M31" s="174"/>
    </row>
    <row r="32" spans="3:16">
      <c r="C32" s="173"/>
      <c r="D32" s="175" t="s">
        <v>409</v>
      </c>
      <c r="E32" s="42"/>
      <c r="F32" s="358" t="s">
        <v>3608</v>
      </c>
      <c r="G32" s="42"/>
      <c r="H32" s="42"/>
      <c r="I32" s="42"/>
      <c r="J32" s="42"/>
      <c r="K32" s="42"/>
      <c r="L32" s="42"/>
      <c r="M32" s="174"/>
    </row>
    <row r="33" spans="3:13">
      <c r="C33" s="173"/>
      <c r="D33" s="175"/>
      <c r="E33" s="42"/>
      <c r="F33" s="42" t="s">
        <v>512</v>
      </c>
      <c r="G33" s="42"/>
      <c r="H33" s="42"/>
      <c r="I33" s="42"/>
      <c r="J33" s="42"/>
      <c r="K33" s="42"/>
      <c r="L33" s="42"/>
      <c r="M33" s="174"/>
    </row>
    <row r="34" spans="3:13">
      <c r="C34" s="173"/>
      <c r="D34" s="175"/>
      <c r="E34" s="42"/>
      <c r="F34" s="42"/>
      <c r="G34" s="42"/>
      <c r="H34" s="42"/>
      <c r="I34" s="42"/>
      <c r="J34" s="42"/>
      <c r="K34" s="42"/>
      <c r="L34" s="42"/>
      <c r="M34" s="174"/>
    </row>
    <row r="35" spans="3:13">
      <c r="C35" s="173"/>
      <c r="D35" s="175" t="s">
        <v>410</v>
      </c>
      <c r="E35" s="42"/>
      <c r="F35" s="358" t="s">
        <v>3606</v>
      </c>
      <c r="G35" s="42"/>
      <c r="H35" s="42"/>
      <c r="I35" s="42"/>
      <c r="J35" s="42"/>
      <c r="K35" s="42"/>
      <c r="L35" s="42"/>
      <c r="M35" s="174"/>
    </row>
    <row r="36" spans="3:13">
      <c r="C36" s="173"/>
      <c r="D36" s="175"/>
      <c r="E36" s="42"/>
      <c r="F36" s="42"/>
      <c r="G36" s="42"/>
      <c r="H36" s="42"/>
      <c r="I36" s="42"/>
      <c r="J36" s="42"/>
      <c r="K36" s="42"/>
      <c r="L36" s="42"/>
      <c r="M36" s="174"/>
    </row>
    <row r="37" spans="3:13">
      <c r="C37" s="173"/>
      <c r="D37" s="175" t="s">
        <v>411</v>
      </c>
      <c r="E37" s="42"/>
      <c r="F37" s="279" t="str">
        <f>"The municipality has not applied for Transitional Aid for "&amp;TEXT('KEY INPUTS'!D33,"0")&amp;"."</f>
        <v>The municipality has not applied for Transitional Aid for 2021.</v>
      </c>
      <c r="G37" s="42"/>
      <c r="H37" s="42"/>
      <c r="I37" s="42"/>
      <c r="J37" s="42"/>
      <c r="K37" s="42"/>
      <c r="L37" s="42"/>
      <c r="M37" s="174"/>
    </row>
    <row r="38" spans="3:13" s="315" customFormat="1">
      <c r="C38" s="173"/>
      <c r="D38" s="175"/>
      <c r="E38" s="279"/>
      <c r="F38" s="279"/>
      <c r="G38" s="279"/>
      <c r="H38" s="279"/>
      <c r="I38" s="279"/>
      <c r="J38" s="279"/>
      <c r="K38" s="279"/>
      <c r="L38" s="279"/>
      <c r="M38" s="174"/>
    </row>
    <row r="39" spans="3:13" s="315" customFormat="1">
      <c r="C39" s="173"/>
      <c r="D39" s="175" t="s">
        <v>234</v>
      </c>
      <c r="E39" s="279"/>
      <c r="F39" s="358" t="s">
        <v>3605</v>
      </c>
      <c r="G39" s="279"/>
      <c r="H39" s="279"/>
      <c r="I39" s="279"/>
      <c r="J39" s="279"/>
      <c r="K39" s="279"/>
      <c r="L39" s="279"/>
      <c r="M39" s="174"/>
    </row>
    <row r="40" spans="3:13" s="315" customFormat="1">
      <c r="C40" s="173"/>
      <c r="D40" s="175"/>
      <c r="E40" s="279"/>
      <c r="F40" s="358" t="s">
        <v>3604</v>
      </c>
      <c r="G40" s="279"/>
      <c r="H40" s="279"/>
      <c r="I40" s="279"/>
      <c r="J40" s="279"/>
      <c r="K40" s="279"/>
      <c r="L40" s="279"/>
      <c r="M40" s="174"/>
    </row>
    <row r="41" spans="3:13">
      <c r="C41" s="173"/>
      <c r="D41" s="175"/>
      <c r="E41" s="42"/>
      <c r="F41" s="42"/>
      <c r="G41" s="42"/>
      <c r="H41" s="42"/>
      <c r="I41" s="42"/>
      <c r="J41" s="42"/>
      <c r="K41" s="42"/>
      <c r="L41" s="42"/>
      <c r="M41" s="174"/>
    </row>
    <row r="42" spans="3:13">
      <c r="C42" s="173"/>
      <c r="D42" s="42" t="s">
        <v>164</v>
      </c>
      <c r="E42" s="42"/>
      <c r="F42" s="42"/>
      <c r="G42" s="42"/>
      <c r="H42" s="42"/>
      <c r="I42" s="42"/>
      <c r="J42" s="42"/>
      <c r="K42" s="42"/>
      <c r="L42" s="42"/>
      <c r="M42" s="174"/>
    </row>
    <row r="43" spans="3:13">
      <c r="C43" s="173"/>
      <c r="D43" s="180" t="s">
        <v>810</v>
      </c>
      <c r="E43" s="42"/>
      <c r="F43" s="42"/>
      <c r="G43" s="42"/>
      <c r="H43" s="42"/>
      <c r="I43" s="42"/>
      <c r="J43" s="42"/>
      <c r="K43" s="42"/>
      <c r="L43" s="42"/>
      <c r="M43" s="174"/>
    </row>
    <row r="44" spans="3:13">
      <c r="C44" s="173"/>
      <c r="D44" s="42" t="s">
        <v>811</v>
      </c>
      <c r="E44" s="42"/>
      <c r="F44" s="42"/>
      <c r="G44" s="42"/>
      <c r="H44" s="42"/>
      <c r="I44" s="42"/>
      <c r="J44" s="42"/>
      <c r="K44" s="42"/>
      <c r="L44" s="42"/>
      <c r="M44" s="174"/>
    </row>
    <row r="45" spans="3:13">
      <c r="C45" s="173"/>
      <c r="D45" s="175"/>
      <c r="E45" s="42"/>
      <c r="F45" s="42"/>
      <c r="G45" s="42"/>
      <c r="H45" s="42"/>
      <c r="I45" s="42"/>
      <c r="J45" s="42"/>
      <c r="K45" s="42"/>
      <c r="L45" s="42"/>
      <c r="M45" s="174"/>
    </row>
    <row r="46" spans="3:13" ht="21" customHeight="1">
      <c r="C46" s="173"/>
      <c r="D46" s="179" t="s">
        <v>79</v>
      </c>
      <c r="E46" s="42"/>
      <c r="F46" s="42"/>
      <c r="G46" s="42"/>
      <c r="H46" s="1579" t="str">
        <f>'KEY INPUTS'!D9</f>
        <v>BOROUGH OF WENONAH</v>
      </c>
      <c r="I46" s="1579"/>
      <c r="J46" s="1579"/>
      <c r="K46" s="1579"/>
      <c r="L46" s="1579"/>
      <c r="M46" s="174"/>
    </row>
    <row r="47" spans="3:13" ht="21" customHeight="1">
      <c r="C47" s="173"/>
      <c r="D47" s="179" t="s">
        <v>80</v>
      </c>
      <c r="E47" s="42"/>
      <c r="F47" s="42"/>
      <c r="G47" s="42"/>
      <c r="H47" s="1561" t="s">
        <v>3622</v>
      </c>
      <c r="I47" s="1562"/>
      <c r="J47" s="1562"/>
      <c r="K47" s="1562"/>
      <c r="L47" s="1562"/>
      <c r="M47" s="174"/>
    </row>
    <row r="48" spans="3:13" ht="21" customHeight="1">
      <c r="C48" s="173"/>
      <c r="D48" s="179" t="s">
        <v>122</v>
      </c>
      <c r="E48" s="42"/>
      <c r="F48" s="42"/>
      <c r="G48" s="42"/>
      <c r="H48" s="1561" t="s">
        <v>3625</v>
      </c>
      <c r="I48" s="1562"/>
      <c r="J48" s="1562"/>
      <c r="K48" s="1562"/>
      <c r="L48" s="1562"/>
      <c r="M48" s="174"/>
    </row>
    <row r="49" spans="3:15" ht="21" customHeight="1">
      <c r="C49" s="173"/>
      <c r="D49" s="149" t="s">
        <v>81</v>
      </c>
      <c r="E49" s="42"/>
      <c r="F49" s="42"/>
      <c r="G49" s="42"/>
      <c r="H49" s="1561" t="s">
        <v>3623</v>
      </c>
      <c r="I49" s="1562"/>
      <c r="J49" s="1562"/>
      <c r="K49" s="1562"/>
      <c r="L49" s="1562"/>
      <c r="M49" s="174"/>
    </row>
    <row r="50" spans="3:15" ht="21" customHeight="1">
      <c r="C50" s="173"/>
      <c r="D50" s="149" t="s">
        <v>687</v>
      </c>
      <c r="E50" s="42"/>
      <c r="F50" s="42"/>
      <c r="G50" s="42"/>
      <c r="H50" s="1578">
        <v>44219</v>
      </c>
      <c r="I50" s="1561"/>
      <c r="J50" s="1561"/>
      <c r="K50" s="1561"/>
      <c r="L50" s="1561"/>
      <c r="M50" s="174"/>
    </row>
    <row r="51" spans="3:15" ht="13.8" thickBot="1">
      <c r="C51" s="176"/>
      <c r="D51" s="177"/>
      <c r="E51" s="177"/>
      <c r="F51" s="177"/>
      <c r="G51" s="177"/>
      <c r="H51" s="177"/>
      <c r="I51" s="177"/>
      <c r="J51" s="177"/>
      <c r="K51" s="177"/>
      <c r="L51" s="177"/>
      <c r="M51" s="178"/>
    </row>
    <row r="52" spans="3:15" ht="13.8" thickBot="1">
      <c r="O52" s="751"/>
    </row>
    <row r="53" spans="3:15">
      <c r="C53" s="170"/>
      <c r="D53" s="171"/>
      <c r="E53" s="171"/>
      <c r="F53" s="171"/>
      <c r="G53" s="171"/>
      <c r="H53" s="171"/>
      <c r="I53" s="171"/>
      <c r="J53" s="171"/>
      <c r="K53" s="171"/>
      <c r="L53" s="171"/>
      <c r="M53" s="172"/>
    </row>
    <row r="54" spans="3:15">
      <c r="C54" s="173"/>
      <c r="D54" s="1577" t="s">
        <v>872</v>
      </c>
      <c r="E54" s="1577"/>
      <c r="F54" s="1577"/>
      <c r="G54" s="1577"/>
      <c r="H54" s="1577"/>
      <c r="I54" s="1577"/>
      <c r="J54" s="1577"/>
      <c r="K54" s="1577"/>
      <c r="L54" s="1577"/>
      <c r="M54" s="174"/>
    </row>
    <row r="55" spans="3:15">
      <c r="C55" s="173"/>
      <c r="D55" s="42"/>
      <c r="E55" s="42"/>
      <c r="F55" s="42"/>
      <c r="G55" s="42"/>
      <c r="H55" s="42"/>
      <c r="I55" s="42"/>
      <c r="J55" s="42"/>
      <c r="K55" s="42"/>
      <c r="L55" s="42"/>
      <c r="M55" s="174"/>
    </row>
    <row r="56" spans="3:15">
      <c r="C56" s="173"/>
      <c r="D56" s="42" t="s">
        <v>3407</v>
      </c>
      <c r="E56" s="42"/>
      <c r="F56" s="42"/>
      <c r="G56" s="42"/>
      <c r="H56" s="42"/>
      <c r="I56" s="42"/>
      <c r="J56" s="42"/>
      <c r="K56" s="42"/>
      <c r="L56" s="42"/>
      <c r="M56" s="174"/>
    </row>
    <row r="57" spans="3:15">
      <c r="C57" s="173"/>
      <c r="D57" s="657"/>
      <c r="E57" s="657"/>
      <c r="F57" s="657"/>
      <c r="G57" s="180" t="s">
        <v>3543</v>
      </c>
      <c r="H57" s="42"/>
      <c r="I57" s="42"/>
      <c r="J57" s="42"/>
      <c r="K57" s="42"/>
      <c r="L57" s="42"/>
      <c r="M57" s="174"/>
    </row>
    <row r="58" spans="3:15">
      <c r="C58" s="173"/>
      <c r="D58" s="42" t="s">
        <v>124</v>
      </c>
      <c r="E58" s="42"/>
      <c r="F58" s="42"/>
      <c r="G58" s="42"/>
      <c r="H58" s="42"/>
      <c r="I58" s="42"/>
      <c r="J58" s="42"/>
      <c r="K58" s="42"/>
      <c r="L58" s="42"/>
      <c r="M58" s="174"/>
    </row>
    <row r="59" spans="3:15">
      <c r="C59" s="173"/>
      <c r="D59" s="42"/>
      <c r="E59" s="42"/>
      <c r="F59" s="42"/>
      <c r="G59" s="42"/>
      <c r="H59" s="42"/>
      <c r="I59" s="42"/>
      <c r="J59" s="42"/>
      <c r="K59" s="42"/>
      <c r="L59" s="42"/>
      <c r="M59" s="174"/>
    </row>
    <row r="60" spans="3:15">
      <c r="C60" s="173"/>
      <c r="D60" s="42"/>
      <c r="E60" s="42"/>
      <c r="F60" s="42"/>
      <c r="G60" s="42"/>
      <c r="H60" s="42"/>
      <c r="I60" s="42"/>
      <c r="J60" s="42"/>
      <c r="K60" s="42"/>
      <c r="L60" s="42"/>
      <c r="M60" s="174"/>
    </row>
    <row r="61" spans="3:15" ht="21" customHeight="1">
      <c r="C61" s="173"/>
      <c r="D61" s="179" t="s">
        <v>79</v>
      </c>
      <c r="E61" s="42"/>
      <c r="F61" s="42"/>
      <c r="G61" s="42"/>
      <c r="H61" s="1580" t="str">
        <f>+'KEY INPUTS'!D9</f>
        <v>BOROUGH OF WENONAH</v>
      </c>
      <c r="I61" s="1580"/>
      <c r="J61" s="1580"/>
      <c r="K61" s="1580"/>
      <c r="L61" s="1580"/>
      <c r="M61" s="174"/>
    </row>
    <row r="62" spans="3:15" ht="21" customHeight="1">
      <c r="C62" s="173"/>
      <c r="D62" s="179" t="s">
        <v>80</v>
      </c>
      <c r="E62" s="42"/>
      <c r="F62" s="42"/>
      <c r="G62" s="42"/>
      <c r="H62" s="1562"/>
      <c r="I62" s="1562"/>
      <c r="J62" s="1562"/>
      <c r="K62" s="1562"/>
      <c r="L62" s="1562"/>
      <c r="M62" s="174"/>
      <c r="O62" s="751"/>
    </row>
    <row r="63" spans="3:15" ht="21" customHeight="1">
      <c r="C63" s="173"/>
      <c r="D63" s="179" t="s">
        <v>122</v>
      </c>
      <c r="E63" s="42"/>
      <c r="F63" s="42"/>
      <c r="G63" s="42"/>
      <c r="H63" s="1562"/>
      <c r="I63" s="1562"/>
      <c r="J63" s="1562"/>
      <c r="K63" s="1562"/>
      <c r="L63" s="1562"/>
      <c r="M63" s="174"/>
    </row>
    <row r="64" spans="3:15" ht="21" customHeight="1">
      <c r="C64" s="173"/>
      <c r="D64" s="149" t="s">
        <v>81</v>
      </c>
      <c r="E64" s="42"/>
      <c r="F64" s="42"/>
      <c r="G64" s="42"/>
      <c r="H64" s="1562"/>
      <c r="I64" s="1562"/>
      <c r="J64" s="1562"/>
      <c r="K64" s="1562"/>
      <c r="L64" s="1562"/>
      <c r="M64" s="174"/>
    </row>
    <row r="65" spans="3:13" ht="21" customHeight="1">
      <c r="C65" s="173"/>
      <c r="D65" s="149" t="s">
        <v>687</v>
      </c>
      <c r="E65" s="42"/>
      <c r="F65" s="42"/>
      <c r="G65" s="42"/>
      <c r="H65" s="1562"/>
      <c r="I65" s="1562"/>
      <c r="J65" s="1562"/>
      <c r="K65" s="1562"/>
      <c r="L65" s="1562"/>
      <c r="M65" s="174"/>
    </row>
    <row r="66" spans="3:13" ht="13.8" thickBot="1">
      <c r="C66" s="176"/>
      <c r="D66" s="177"/>
      <c r="E66" s="177"/>
      <c r="F66" s="177"/>
      <c r="G66" s="177"/>
      <c r="H66" s="177"/>
      <c r="I66" s="177"/>
      <c r="J66" s="177"/>
      <c r="K66" s="177"/>
      <c r="L66" s="177"/>
      <c r="M66" s="178"/>
    </row>
    <row r="67" spans="3:13" ht="13.8">
      <c r="C67" s="1545" t="s">
        <v>688</v>
      </c>
      <c r="D67" s="1545"/>
      <c r="E67" s="1545"/>
      <c r="F67" s="1545"/>
      <c r="G67" s="1545"/>
      <c r="H67" s="1545"/>
      <c r="I67" s="1545"/>
      <c r="J67" s="1545"/>
      <c r="K67" s="1545"/>
      <c r="L67" s="1545"/>
      <c r="M67" s="1545"/>
    </row>
  </sheetData>
  <sheetProtection algorithmName="SHA-512" hashValue="PExi7pZ03xQdrYISYtA6TPlMDEkjXJelSnbTyrOIF/VwiLtO85qIPKJSt3qwuy/83eo6eDf0IFt+EKbEMDTvbg==" saltValue="aZC4vQQKISymkIcP8BoIFg==" spinCount="100000" sheet="1" objects="1" scenarios="1"/>
  <mergeCells count="16">
    <mergeCell ref="C67:M67"/>
    <mergeCell ref="D54:L54"/>
    <mergeCell ref="H46:L46"/>
    <mergeCell ref="H47:L47"/>
    <mergeCell ref="H49:L49"/>
    <mergeCell ref="H62:L62"/>
    <mergeCell ref="H61:L61"/>
    <mergeCell ref="H65:L65"/>
    <mergeCell ref="C4:M4"/>
    <mergeCell ref="C5:M5"/>
    <mergeCell ref="C6:M6"/>
    <mergeCell ref="D13:L13"/>
    <mergeCell ref="H64:L64"/>
    <mergeCell ref="H48:L48"/>
    <mergeCell ref="H63:L63"/>
    <mergeCell ref="H50:L50"/>
  </mergeCells>
  <phoneticPr fontId="0" type="noConversion"/>
  <pageMargins left="0.25" right="0.25" top="0.5" bottom="0.5" header="0.25" footer="0.25"/>
  <pageSetup paperSize="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4:P71"/>
  <sheetViews>
    <sheetView topLeftCell="A25" zoomScaleNormal="100" workbookViewId="0">
      <selection activeCell="K61" sqref="K61"/>
    </sheetView>
  </sheetViews>
  <sheetFormatPr defaultRowHeight="13.2"/>
  <cols>
    <col min="1" max="1" width="4" customWidth="1"/>
    <col min="2" max="2" width="5.44140625" customWidth="1"/>
    <col min="3" max="3" width="2.6640625" customWidth="1"/>
    <col min="4" max="4" width="12.6640625" customWidth="1"/>
    <col min="5" max="5" width="15.44140625" bestFit="1" customWidth="1"/>
    <col min="6" max="6" width="1.6640625" customWidth="1"/>
    <col min="7" max="7" width="4.6640625" customWidth="1"/>
    <col min="8" max="8" width="12.6640625" customWidth="1"/>
    <col min="9" max="9" width="4.5546875" customWidth="1"/>
    <col min="10" max="10" width="1.6640625" customWidth="1"/>
    <col min="11" max="11" width="16.6640625" customWidth="1"/>
    <col min="13" max="13" width="9.44140625" customWidth="1"/>
    <col min="14" max="14" width="12.88671875" bestFit="1" customWidth="1"/>
    <col min="16" max="16" width="11.88671875" hidden="1" customWidth="1"/>
  </cols>
  <sheetData>
    <row r="4" spans="2:13">
      <c r="B4" s="1566" t="str">
        <f>IF('KEY INPUTS'!D13=0,"NO ENTRY",'KEY INPUTS'!D13)</f>
        <v>21-6001345</v>
      </c>
      <c r="C4" s="1566"/>
      <c r="D4" s="1566"/>
      <c r="E4" s="1566"/>
    </row>
    <row r="5" spans="2:13">
      <c r="B5" s="1581" t="s">
        <v>369</v>
      </c>
      <c r="C5" s="1581"/>
      <c r="D5" s="1581"/>
      <c r="E5" s="1581"/>
    </row>
    <row r="8" spans="2:13">
      <c r="B8" s="1566" t="str">
        <f>+'KEY INPUTS'!D9</f>
        <v>BOROUGH OF WENONAH</v>
      </c>
      <c r="C8" s="1566"/>
      <c r="D8" s="1566"/>
      <c r="E8" s="1566"/>
    </row>
    <row r="9" spans="2:13">
      <c r="B9" s="1581" t="s">
        <v>370</v>
      </c>
      <c r="C9" s="1581"/>
      <c r="D9" s="1581"/>
      <c r="E9" s="1581"/>
    </row>
    <row r="12" spans="2:13">
      <c r="B12" s="1566" t="str">
        <f>+'KEY INPUTS'!D10</f>
        <v>GLOUCESTER</v>
      </c>
      <c r="C12" s="1566"/>
      <c r="D12" s="1566"/>
      <c r="E12" s="1566"/>
    </row>
    <row r="13" spans="2:13">
      <c r="B13" s="1581" t="s">
        <v>371</v>
      </c>
      <c r="C13" s="1581"/>
      <c r="D13" s="1581"/>
      <c r="E13" s="1581"/>
    </row>
    <row r="16" spans="2:13" ht="17.100000000000001" customHeight="1">
      <c r="B16" s="1545" t="s">
        <v>372</v>
      </c>
      <c r="C16" s="1545"/>
      <c r="D16" s="1545"/>
      <c r="E16" s="1545"/>
      <c r="F16" s="1545"/>
      <c r="G16" s="1545"/>
      <c r="H16" s="1545"/>
      <c r="I16" s="1545"/>
      <c r="J16" s="1545"/>
      <c r="K16" s="1545"/>
      <c r="L16" s="1545"/>
      <c r="M16" s="1545"/>
    </row>
    <row r="17" spans="2:16" ht="17.100000000000001" customHeight="1">
      <c r="B17" s="1545" t="s">
        <v>373</v>
      </c>
      <c r="C17" s="1545"/>
      <c r="D17" s="1545"/>
      <c r="E17" s="1545"/>
      <c r="F17" s="1545"/>
      <c r="G17" s="1545"/>
      <c r="H17" s="1545"/>
      <c r="I17" s="1545"/>
      <c r="J17" s="1545"/>
      <c r="K17" s="1545"/>
      <c r="L17" s="1545"/>
      <c r="M17" s="1545"/>
    </row>
    <row r="20" spans="2:16">
      <c r="G20" t="s">
        <v>374</v>
      </c>
      <c r="I20" s="1582">
        <f>+'KEY INPUTS'!D29</f>
        <v>44196</v>
      </c>
      <c r="J20" s="1582"/>
      <c r="K20" s="1582"/>
    </row>
    <row r="23" spans="2:16">
      <c r="E23" s="242" t="s">
        <v>520</v>
      </c>
      <c r="G23" s="1583" t="s">
        <v>763</v>
      </c>
      <c r="H23" s="1583"/>
      <c r="I23" s="85"/>
      <c r="K23" s="85" t="s">
        <v>149</v>
      </c>
    </row>
    <row r="24" spans="2:16">
      <c r="E24" s="1" t="s">
        <v>814</v>
      </c>
      <c r="I24" s="1"/>
    </row>
    <row r="25" spans="2:16">
      <c r="E25" s="1" t="s">
        <v>246</v>
      </c>
      <c r="G25" s="1584" t="s">
        <v>764</v>
      </c>
      <c r="H25" s="1584"/>
      <c r="I25" s="1"/>
      <c r="K25" s="1" t="s">
        <v>815</v>
      </c>
    </row>
    <row r="26" spans="2:16">
      <c r="E26" s="1" t="s">
        <v>529</v>
      </c>
      <c r="G26" s="1584" t="s">
        <v>816</v>
      </c>
      <c r="H26" s="1584"/>
      <c r="K26" s="1" t="s">
        <v>816</v>
      </c>
    </row>
    <row r="27" spans="2:16">
      <c r="E27" s="1" t="s">
        <v>817</v>
      </c>
      <c r="G27" s="1584" t="s">
        <v>246</v>
      </c>
      <c r="H27" s="1584"/>
      <c r="K27" s="1" t="s">
        <v>246</v>
      </c>
    </row>
    <row r="29" spans="2:16">
      <c r="B29" s="1584" t="s">
        <v>834</v>
      </c>
      <c r="C29" s="1584"/>
      <c r="D29" s="38" t="s">
        <v>397</v>
      </c>
      <c r="E29" s="369" t="s">
        <v>3190</v>
      </c>
      <c r="F29" t="s">
        <v>397</v>
      </c>
      <c r="G29" s="1585">
        <v>9031.5499999999993</v>
      </c>
      <c r="H29" s="1585"/>
      <c r="J29" t="s">
        <v>397</v>
      </c>
      <c r="K29" s="369" t="s">
        <v>3190</v>
      </c>
      <c r="N29" s="221"/>
      <c r="P29" s="305" t="e">
        <f>+#REF!-G29</f>
        <v>#REF!</v>
      </c>
    </row>
    <row r="30" spans="2:16">
      <c r="H30" s="189"/>
      <c r="K30" s="221"/>
    </row>
    <row r="32" spans="2:16" ht="21" customHeight="1">
      <c r="G32" s="314" t="s">
        <v>934</v>
      </c>
      <c r="H32" s="317"/>
      <c r="I32" s="317"/>
      <c r="J32" s="317"/>
      <c r="K32" s="317"/>
      <c r="L32" s="317"/>
      <c r="M32" s="317"/>
    </row>
    <row r="33" spans="2:15" s="311" customFormat="1" ht="21" customHeight="1">
      <c r="G33" s="314" t="s">
        <v>935</v>
      </c>
      <c r="H33" s="317"/>
      <c r="I33" s="317"/>
      <c r="J33" s="317"/>
      <c r="K33" s="317"/>
      <c r="L33" s="317"/>
      <c r="M33" s="317"/>
    </row>
    <row r="34" spans="2:15" ht="21" customHeight="1">
      <c r="G34" s="702" t="s">
        <v>3190</v>
      </c>
      <c r="H34" t="s">
        <v>835</v>
      </c>
    </row>
    <row r="35" spans="2:15" ht="21" customHeight="1">
      <c r="G35" s="707" t="s">
        <v>3190</v>
      </c>
      <c r="H35" t="s">
        <v>836</v>
      </c>
    </row>
    <row r="36" spans="2:15" ht="21" customHeight="1">
      <c r="G36" s="702" t="s">
        <v>3190</v>
      </c>
      <c r="H36" t="s">
        <v>837</v>
      </c>
    </row>
    <row r="37" spans="2:15">
      <c r="H37" t="s">
        <v>838</v>
      </c>
    </row>
    <row r="40" spans="2:15">
      <c r="B40" t="s">
        <v>757</v>
      </c>
      <c r="D40" s="324" t="s">
        <v>936</v>
      </c>
      <c r="E40" s="324"/>
      <c r="F40" s="324"/>
      <c r="G40" s="324"/>
      <c r="H40" s="315"/>
      <c r="I40" s="315"/>
      <c r="J40" s="315"/>
      <c r="K40" s="315"/>
      <c r="L40" s="315"/>
      <c r="M40" s="315"/>
      <c r="N40" s="315"/>
      <c r="O40" s="315"/>
    </row>
    <row r="41" spans="2:15">
      <c r="D41" s="324" t="s">
        <v>937</v>
      </c>
      <c r="E41" s="324"/>
      <c r="F41" s="324"/>
      <c r="G41" s="324"/>
      <c r="H41" s="315"/>
      <c r="I41" s="315"/>
      <c r="J41" s="315"/>
      <c r="K41" s="315"/>
      <c r="L41" s="315"/>
      <c r="M41" s="315"/>
      <c r="N41" s="315"/>
      <c r="O41" s="315"/>
    </row>
    <row r="42" spans="2:15">
      <c r="D42" s="326" t="s">
        <v>938</v>
      </c>
      <c r="E42" s="324"/>
      <c r="F42" s="324"/>
      <c r="G42" s="324"/>
      <c r="H42" s="315"/>
      <c r="I42" s="315"/>
      <c r="J42" s="315"/>
      <c r="K42" s="315"/>
      <c r="L42" s="315"/>
      <c r="M42" s="315"/>
      <c r="N42" s="315"/>
      <c r="O42" s="315"/>
    </row>
    <row r="43" spans="2:15">
      <c r="D43" s="326" t="s">
        <v>939</v>
      </c>
      <c r="E43" s="324"/>
      <c r="F43" s="324"/>
      <c r="G43" s="324"/>
      <c r="H43" s="315"/>
      <c r="I43" s="315"/>
      <c r="J43" s="315"/>
      <c r="K43" s="315"/>
      <c r="L43" s="315"/>
      <c r="M43" s="315"/>
      <c r="N43" s="315"/>
      <c r="O43" s="315"/>
    </row>
    <row r="44" spans="2:15">
      <c r="D44" s="326" t="s">
        <v>940</v>
      </c>
      <c r="E44" s="324"/>
      <c r="F44" s="324"/>
      <c r="G44" s="324"/>
      <c r="H44" s="315"/>
      <c r="I44" s="315"/>
      <c r="J44" s="315"/>
      <c r="K44" s="315"/>
      <c r="L44" s="315"/>
      <c r="M44" s="315"/>
      <c r="N44" s="315"/>
      <c r="O44" s="315"/>
    </row>
    <row r="45" spans="2:15">
      <c r="D45" s="326" t="s">
        <v>941</v>
      </c>
      <c r="E45" s="324"/>
      <c r="F45" s="324"/>
      <c r="G45" s="324"/>
      <c r="H45" s="315"/>
      <c r="I45" s="315"/>
      <c r="J45" s="315"/>
      <c r="K45" s="315"/>
      <c r="L45" s="315"/>
      <c r="M45" s="315"/>
      <c r="N45" s="315"/>
      <c r="O45" s="315"/>
    </row>
    <row r="46" spans="2:15" s="315" customFormat="1">
      <c r="D46" s="326"/>
      <c r="E46" s="324"/>
      <c r="F46" s="324"/>
      <c r="G46" s="324"/>
    </row>
    <row r="47" spans="2:15">
      <c r="B47" s="85" t="s">
        <v>520</v>
      </c>
      <c r="D47" t="s">
        <v>530</v>
      </c>
    </row>
    <row r="48" spans="2:15">
      <c r="D48" t="s">
        <v>818</v>
      </c>
    </row>
    <row r="49" spans="2:11">
      <c r="D49" t="s">
        <v>819</v>
      </c>
    </row>
    <row r="51" spans="2:11">
      <c r="B51" s="85" t="s">
        <v>763</v>
      </c>
      <c r="D51" t="s">
        <v>531</v>
      </c>
    </row>
    <row r="52" spans="2:11">
      <c r="D52" t="s">
        <v>114</v>
      </c>
    </row>
    <row r="53" spans="2:11">
      <c r="D53" s="116" t="s">
        <v>115</v>
      </c>
    </row>
    <row r="55" spans="2:11">
      <c r="B55" s="85" t="s">
        <v>149</v>
      </c>
      <c r="D55" t="s">
        <v>116</v>
      </c>
    </row>
    <row r="56" spans="2:11">
      <c r="D56" t="s">
        <v>117</v>
      </c>
    </row>
    <row r="60" spans="2:11">
      <c r="C60" s="1573" t="s">
        <v>3625</v>
      </c>
      <c r="D60" s="1570"/>
      <c r="E60" s="1570"/>
      <c r="F60" s="1570"/>
      <c r="K60" s="1540">
        <v>44219</v>
      </c>
    </row>
    <row r="61" spans="2:11">
      <c r="C61" s="1581" t="s">
        <v>833</v>
      </c>
      <c r="D61" s="1581"/>
      <c r="E61" s="1581"/>
      <c r="F61" s="1581"/>
      <c r="K61" s="1" t="s">
        <v>18</v>
      </c>
    </row>
    <row r="71" spans="2:13" ht="13.8">
      <c r="B71" s="1545" t="s">
        <v>82</v>
      </c>
      <c r="C71" s="1545"/>
      <c r="D71" s="1545"/>
      <c r="E71" s="1545"/>
      <c r="F71" s="1545"/>
      <c r="G71" s="1545"/>
      <c r="H71" s="1545"/>
      <c r="I71" s="1545"/>
      <c r="J71" s="1545"/>
      <c r="K71" s="1545"/>
      <c r="L71" s="1545"/>
      <c r="M71" s="1545"/>
    </row>
  </sheetData>
  <sheetProtection password="CAF9" sheet="1" objects="1" scenarios="1"/>
  <mergeCells count="18">
    <mergeCell ref="B71:M71"/>
    <mergeCell ref="I20:K20"/>
    <mergeCell ref="G23:H23"/>
    <mergeCell ref="G26:H26"/>
    <mergeCell ref="G27:H27"/>
    <mergeCell ref="G25:H25"/>
    <mergeCell ref="C60:F60"/>
    <mergeCell ref="C61:F61"/>
    <mergeCell ref="B29:C29"/>
    <mergeCell ref="G29:H29"/>
    <mergeCell ref="B16:M16"/>
    <mergeCell ref="B17:M17"/>
    <mergeCell ref="B4:E4"/>
    <mergeCell ref="B5:E5"/>
    <mergeCell ref="B8:E8"/>
    <mergeCell ref="B9:E9"/>
    <mergeCell ref="B12:E12"/>
    <mergeCell ref="B13:E13"/>
  </mergeCells>
  <phoneticPr fontId="0" type="noConversion"/>
  <pageMargins left="0.25" right="0.25" top="0.5" bottom="0.5" header="0.25" footer="0.25"/>
  <pageSetup paperSize="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2:P59"/>
  <sheetViews>
    <sheetView topLeftCell="A22" zoomScaleNormal="100" workbookViewId="0">
      <selection activeCell="P59" sqref="P59"/>
    </sheetView>
  </sheetViews>
  <sheetFormatPr defaultRowHeight="13.2"/>
  <cols>
    <col min="1" max="1" width="7.5546875" customWidth="1"/>
    <col min="2" max="2" width="4.5546875" customWidth="1"/>
    <col min="3" max="4" width="4.6640625" customWidth="1"/>
    <col min="5" max="5" width="18.6640625" customWidth="1"/>
    <col min="6" max="6" width="8.33203125" customWidth="1"/>
    <col min="7" max="7" width="6.33203125" customWidth="1"/>
    <col min="8" max="8" width="7" customWidth="1"/>
    <col min="9" max="9" width="4.33203125" customWidth="1"/>
    <col min="10" max="10" width="12.88671875" customWidth="1"/>
    <col min="13" max="13" width="1.5546875" customWidth="1"/>
  </cols>
  <sheetData>
    <row r="2" spans="2:16" ht="22.8">
      <c r="B2" s="1586" t="s">
        <v>648</v>
      </c>
      <c r="C2" s="1586"/>
      <c r="D2" s="1586"/>
      <c r="E2" s="1586"/>
      <c r="F2" s="1586"/>
      <c r="G2" s="1586"/>
      <c r="H2" s="1586"/>
      <c r="I2" s="1586"/>
      <c r="J2" s="1586"/>
      <c r="K2" s="1586"/>
      <c r="L2" s="1586"/>
      <c r="M2" s="1586"/>
    </row>
    <row r="4" spans="2:16" ht="20.399999999999999">
      <c r="B4" s="1546" t="s">
        <v>649</v>
      </c>
      <c r="C4" s="1546"/>
      <c r="D4" s="1546"/>
      <c r="E4" s="1546"/>
      <c r="F4" s="1546"/>
      <c r="G4" s="1546"/>
      <c r="H4" s="1546"/>
      <c r="I4" s="1546"/>
      <c r="J4" s="1546"/>
      <c r="K4" s="1546"/>
      <c r="L4" s="1546"/>
      <c r="M4" s="1546"/>
    </row>
    <row r="7" spans="2:16" ht="17.399999999999999">
      <c r="B7" s="117" t="s">
        <v>650</v>
      </c>
    </row>
    <row r="9" spans="2:16" ht="21" customHeight="1">
      <c r="C9" s="93" t="s">
        <v>651</v>
      </c>
    </row>
    <row r="10" spans="2:16" ht="21" customHeight="1">
      <c r="B10" s="93" t="s">
        <v>165</v>
      </c>
    </row>
    <row r="13" spans="2:16" ht="21" customHeight="1">
      <c r="B13" s="93"/>
      <c r="C13" s="93" t="s">
        <v>319</v>
      </c>
    </row>
    <row r="14" spans="2:16" ht="21" customHeight="1">
      <c r="B14" s="93" t="s">
        <v>321</v>
      </c>
      <c r="C14" s="93"/>
      <c r="P14" s="370"/>
    </row>
    <row r="15" spans="2:16" ht="21" customHeight="1">
      <c r="B15" s="93" t="s">
        <v>322</v>
      </c>
      <c r="C15" s="93"/>
    </row>
    <row r="17" spans="2:13" ht="17.399999999999999">
      <c r="B17" s="117" t="s">
        <v>323</v>
      </c>
    </row>
    <row r="19" spans="2:13" ht="21" customHeight="1">
      <c r="C19" t="s">
        <v>324</v>
      </c>
    </row>
    <row r="20" spans="2:13" ht="21" customHeight="1">
      <c r="B20" t="s">
        <v>91</v>
      </c>
      <c r="F20" s="1556" t="str">
        <f>+'KEY INPUTS'!D12</f>
        <v>BOROUGH</v>
      </c>
      <c r="G20" s="1556"/>
      <c r="H20" s="1556"/>
      <c r="I20" t="s">
        <v>570</v>
      </c>
      <c r="J20" s="1556" t="str">
        <f>+'KEY INPUTS'!D11</f>
        <v>WENONAH</v>
      </c>
      <c r="K20" s="1556"/>
      <c r="L20" s="1556"/>
      <c r="M20" t="s">
        <v>326</v>
      </c>
    </row>
    <row r="21" spans="2:13" ht="21" customHeight="1">
      <c r="B21" t="s">
        <v>325</v>
      </c>
      <c r="D21" s="1556" t="str">
        <f>+'KEY INPUTS'!D10</f>
        <v>GLOUCESTER</v>
      </c>
      <c r="E21" s="1556"/>
      <c r="F21" s="273" t="str">
        <f>"during the year "&amp;TEXT('KEY INPUTS'!D34,"0")&amp;" and that sheets 40 to 68 are unnecessary."</f>
        <v>during the year 2020 and that sheets 40 to 68 are unnecessary.</v>
      </c>
    </row>
    <row r="22" spans="2:13" ht="13.5" customHeight="1"/>
    <row r="23" spans="2:13" ht="21" customHeight="1">
      <c r="C23" t="s">
        <v>327</v>
      </c>
    </row>
    <row r="25" spans="2:13" ht="21" customHeight="1">
      <c r="H25" t="s">
        <v>328</v>
      </c>
      <c r="I25" s="1570"/>
      <c r="J25" s="1570"/>
      <c r="K25" s="1570"/>
      <c r="L25" s="1570"/>
    </row>
    <row r="26" spans="2:13" ht="21" customHeight="1">
      <c r="H26" t="s">
        <v>329</v>
      </c>
      <c r="I26" s="1570"/>
      <c r="J26" s="1570"/>
      <c r="K26" s="1570"/>
      <c r="L26" s="1570"/>
    </row>
    <row r="28" spans="2:13" ht="21" customHeight="1">
      <c r="C28" t="s">
        <v>330</v>
      </c>
    </row>
    <row r="29" spans="2:13" ht="21" customHeight="1">
      <c r="B29" t="s">
        <v>331</v>
      </c>
    </row>
    <row r="32" spans="2:13">
      <c r="B32" t="s">
        <v>332</v>
      </c>
    </row>
    <row r="34" spans="2:13" ht="21" customHeight="1">
      <c r="C34" t="s">
        <v>333</v>
      </c>
    </row>
    <row r="35" spans="2:13" ht="21" customHeight="1">
      <c r="B35" t="s">
        <v>362</v>
      </c>
    </row>
    <row r="38" spans="2:13" ht="4.5" customHeight="1">
      <c r="B38" s="30"/>
      <c r="C38" s="30"/>
      <c r="D38" s="30"/>
      <c r="E38" s="30"/>
      <c r="F38" s="30"/>
      <c r="G38" s="30"/>
      <c r="H38" s="30"/>
      <c r="I38" s="30"/>
      <c r="J38" s="30"/>
      <c r="K38" s="30"/>
      <c r="L38" s="30"/>
      <c r="M38" s="30"/>
    </row>
    <row r="39" spans="2:13" ht="3" customHeight="1" thickBot="1">
      <c r="B39" s="28"/>
      <c r="C39" s="28"/>
      <c r="D39" s="28"/>
      <c r="E39" s="28"/>
      <c r="F39" s="28"/>
      <c r="G39" s="28"/>
      <c r="H39" s="28"/>
      <c r="I39" s="28"/>
      <c r="J39" s="28"/>
      <c r="K39" s="28"/>
      <c r="L39" s="28"/>
      <c r="M39" s="28"/>
    </row>
    <row r="40" spans="2:13" ht="3" customHeight="1" thickTop="1">
      <c r="B40" s="30"/>
      <c r="C40" s="30"/>
      <c r="D40" s="30"/>
      <c r="E40" s="30"/>
      <c r="F40" s="30"/>
      <c r="G40" s="30"/>
      <c r="H40" s="30"/>
      <c r="I40" s="30"/>
      <c r="J40" s="30"/>
      <c r="K40" s="30"/>
      <c r="L40" s="30"/>
      <c r="M40" s="30"/>
    </row>
    <row r="43" spans="2:13" ht="13.8">
      <c r="B43" s="1587" t="str">
        <f>"MUNICIPAL  CERTIFICATION  OF  TAXABLE  PROPERTY  AS  OF  OCTOBER  1,  "&amp;TEXT('KEY INPUTS'!D34,"0")</f>
        <v>MUNICIPAL  CERTIFICATION  OF  TAXABLE  PROPERTY  AS  OF  OCTOBER  1,  2020</v>
      </c>
      <c r="C43" s="1587"/>
      <c r="D43" s="1587"/>
      <c r="E43" s="1587"/>
      <c r="F43" s="1587"/>
      <c r="G43" s="1587"/>
      <c r="H43" s="1587"/>
      <c r="I43" s="1587"/>
      <c r="J43" s="1587"/>
      <c r="K43" s="1587"/>
      <c r="L43" s="1587"/>
      <c r="M43" s="1587"/>
    </row>
    <row r="45" spans="2:13" ht="21" customHeight="1">
      <c r="D45" t="s">
        <v>363</v>
      </c>
    </row>
    <row r="46" spans="2:13" ht="21" customHeight="1">
      <c r="C46" s="273" t="str">
        <f>"the tax year "&amp;TEXT('KEY INPUTS'!D33,"0")&amp;" and filed with the County Board of Taxation on January 10, "&amp;TEXT('KEY INPUTS'!D33,"0")&amp;" in accordance"</f>
        <v>the tax year 2021 and filed with the County Board of Taxation on January 10, 2021 in accordance</v>
      </c>
    </row>
    <row r="47" spans="2:13" ht="21" customHeight="1">
      <c r="C47" t="s">
        <v>364</v>
      </c>
      <c r="J47" s="1588">
        <v>218647100</v>
      </c>
      <c r="K47" s="1588"/>
      <c r="L47" s="1588"/>
    </row>
    <row r="50" spans="2:13">
      <c r="I50" s="30"/>
      <c r="J50" s="1573" t="s">
        <v>3628</v>
      </c>
      <c r="K50" s="1573"/>
      <c r="L50" s="1573"/>
    </row>
    <row r="51" spans="2:13">
      <c r="I51" s="1581" t="s">
        <v>365</v>
      </c>
      <c r="J51" s="1581"/>
      <c r="K51" s="1581"/>
      <c r="L51" s="1581"/>
    </row>
    <row r="53" spans="2:13">
      <c r="I53" s="1556" t="str">
        <f>+'KEY INPUTS'!D9</f>
        <v>BOROUGH OF WENONAH</v>
      </c>
      <c r="J53" s="1556"/>
      <c r="K53" s="1556"/>
      <c r="L53" s="1556"/>
    </row>
    <row r="54" spans="2:13">
      <c r="I54" s="1581" t="s">
        <v>366</v>
      </c>
      <c r="J54" s="1581"/>
      <c r="K54" s="1581"/>
      <c r="L54" s="1581"/>
    </row>
    <row r="56" spans="2:13">
      <c r="I56" s="1556" t="str">
        <f>+'KEY INPUTS'!D10</f>
        <v>GLOUCESTER</v>
      </c>
      <c r="J56" s="1556"/>
      <c r="K56" s="1556"/>
      <c r="L56" s="1556"/>
    </row>
    <row r="57" spans="2:13">
      <c r="I57" s="1581" t="s">
        <v>367</v>
      </c>
      <c r="J57" s="1581"/>
      <c r="K57" s="1581"/>
      <c r="L57" s="1581"/>
    </row>
    <row r="58" spans="2:13">
      <c r="I58" s="130"/>
      <c r="J58" s="130"/>
      <c r="K58" s="130"/>
      <c r="L58" s="130"/>
    </row>
    <row r="59" spans="2:13" ht="13.8">
      <c r="B59" s="1545" t="s">
        <v>368</v>
      </c>
      <c r="C59" s="1545"/>
      <c r="D59" s="1545"/>
      <c r="E59" s="1545"/>
      <c r="F59" s="1545"/>
      <c r="G59" s="1545"/>
      <c r="H59" s="1545"/>
      <c r="I59" s="1545"/>
      <c r="J59" s="1545"/>
      <c r="K59" s="1545"/>
      <c r="L59" s="1545"/>
      <c r="M59" s="1545"/>
    </row>
  </sheetData>
  <sheetProtection algorithmName="SHA-512" hashValue="/d/LAXJosxa49Ad02DCPX3bklkFAdpvmFNiPuEGKgJEKcWRfeVP0neQmTK6fnj9PsBo60CT765OgZsKylE83Ig==" saltValue="/garWzr5cNF7zUTLhJec0Q==" spinCount="100000" sheet="1" objects="1" scenarios="1"/>
  <mergeCells count="16">
    <mergeCell ref="B2:M2"/>
    <mergeCell ref="B4:M4"/>
    <mergeCell ref="B43:M43"/>
    <mergeCell ref="J20:L20"/>
    <mergeCell ref="I51:L51"/>
    <mergeCell ref="D21:E21"/>
    <mergeCell ref="J47:L47"/>
    <mergeCell ref="F20:H20"/>
    <mergeCell ref="J50:L50"/>
    <mergeCell ref="I25:L25"/>
    <mergeCell ref="I26:L26"/>
    <mergeCell ref="B59:M59"/>
    <mergeCell ref="I54:L54"/>
    <mergeCell ref="I56:L56"/>
    <mergeCell ref="I53:L53"/>
    <mergeCell ref="I57:L57"/>
  </mergeCells>
  <phoneticPr fontId="0" type="noConversion"/>
  <pageMargins left="0.25" right="0.25" top="0.5" bottom="0.5" header="0.25" footer="0.25"/>
  <pageSetup paperSize="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2:P51"/>
  <sheetViews>
    <sheetView zoomScaleNormal="100" zoomScaleSheetLayoutView="90" workbookViewId="0">
      <selection activeCell="G26" sqref="G26"/>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7" width="16.6640625" style="270" customWidth="1"/>
    <col min="8" max="8" width="16.6640625" customWidth="1"/>
    <col min="9" max="9" width="12.88671875" bestFit="1" customWidth="1"/>
  </cols>
  <sheetData>
    <row r="2" spans="2:16">
      <c r="B2" s="1591" t="s">
        <v>105</v>
      </c>
      <c r="C2" s="1591"/>
      <c r="D2" s="1591"/>
      <c r="E2" s="1591"/>
      <c r="F2" s="1591"/>
      <c r="G2" s="1591"/>
      <c r="H2" s="1591"/>
    </row>
    <row r="4" spans="2:16" ht="22.8">
      <c r="B4" s="1586" t="s">
        <v>451</v>
      </c>
      <c r="C4" s="1586"/>
      <c r="D4" s="1586"/>
      <c r="E4" s="1586"/>
      <c r="F4" s="1586"/>
      <c r="G4" s="1586"/>
      <c r="H4" s="1586"/>
    </row>
    <row r="5" spans="2:16" ht="22.8">
      <c r="B5" s="1586" t="s">
        <v>589</v>
      </c>
      <c r="C5" s="1586"/>
      <c r="D5" s="1586"/>
      <c r="E5" s="1586"/>
      <c r="F5" s="1586"/>
      <c r="G5" s="1586"/>
      <c r="H5" s="1586"/>
    </row>
    <row r="6" spans="2:16" ht="15.6">
      <c r="B6" s="1592" t="str">
        <f>'KEY INPUTS'!D44</f>
        <v>AS  AT  DECEMBER  31, 2020</v>
      </c>
      <c r="C6" s="1547"/>
      <c r="D6" s="1547"/>
      <c r="E6" s="1547"/>
      <c r="F6" s="1547"/>
      <c r="G6" s="1547"/>
      <c r="H6" s="1547"/>
    </row>
    <row r="8" spans="2:16" ht="15" customHeight="1" thickBot="1">
      <c r="B8" s="1593" t="s">
        <v>99</v>
      </c>
      <c r="C8" s="1593"/>
      <c r="D8" s="1593"/>
      <c r="E8" s="1593"/>
      <c r="F8" s="1593"/>
      <c r="G8" s="1593"/>
      <c r="H8" s="1593"/>
    </row>
    <row r="9" spans="2:16" ht="36" customHeight="1" thickTop="1" thickBot="1">
      <c r="B9" s="1589" t="s">
        <v>100</v>
      </c>
      <c r="C9" s="1589"/>
      <c r="D9" s="1589"/>
      <c r="E9" s="1589"/>
      <c r="F9" s="1590"/>
      <c r="G9" s="252" t="s">
        <v>101</v>
      </c>
      <c r="H9" s="3" t="s">
        <v>102</v>
      </c>
    </row>
    <row r="10" spans="2:16" ht="21" customHeight="1" thickTop="1">
      <c r="G10" s="354"/>
      <c r="H10" s="223"/>
    </row>
    <row r="11" spans="2:16" ht="21" customHeight="1">
      <c r="B11" s="5"/>
      <c r="C11" s="5" t="s">
        <v>375</v>
      </c>
      <c r="D11" s="5"/>
      <c r="E11" s="5"/>
      <c r="F11" s="5"/>
      <c r="G11" s="330">
        <f>+'9-Cash Reconciliation'!I6</f>
        <v>2528099.85</v>
      </c>
      <c r="H11" s="708"/>
      <c r="I11" s="305"/>
    </row>
    <row r="12" spans="2:16" s="315" customFormat="1" ht="21" customHeight="1">
      <c r="B12" s="316"/>
      <c r="C12" s="319" t="s">
        <v>3251</v>
      </c>
      <c r="D12" s="316"/>
      <c r="E12" s="316"/>
      <c r="F12" s="316"/>
      <c r="G12" s="365"/>
      <c r="H12" s="581"/>
      <c r="I12" s="318"/>
    </row>
    <row r="13" spans="2:16" ht="21" customHeight="1">
      <c r="B13" s="5"/>
      <c r="C13" s="319" t="s">
        <v>3250</v>
      </c>
      <c r="D13" s="5"/>
      <c r="E13" s="5"/>
      <c r="F13" s="5"/>
      <c r="G13" s="330">
        <f>'23-SCVet Deductions'!J21</f>
        <v>0</v>
      </c>
      <c r="H13" s="708">
        <f>'23-SCVet Deductions'!I22</f>
        <v>786.25</v>
      </c>
      <c r="I13" s="705"/>
      <c r="J13" s="270"/>
      <c r="K13" s="270"/>
      <c r="L13" s="270"/>
      <c r="M13" s="270"/>
      <c r="N13" s="270"/>
      <c r="O13" s="270"/>
      <c r="P13" s="270"/>
    </row>
    <row r="14" spans="2:16" ht="21" customHeight="1">
      <c r="B14" s="5"/>
      <c r="C14" s="559"/>
      <c r="D14" s="559"/>
      <c r="E14" s="559"/>
      <c r="F14" s="559"/>
      <c r="G14" s="365"/>
      <c r="H14" s="581"/>
    </row>
    <row r="15" spans="2:16" ht="21" customHeight="1">
      <c r="B15" s="316"/>
      <c r="C15" s="559"/>
      <c r="D15" s="559"/>
      <c r="E15" s="559"/>
      <c r="F15" s="559"/>
      <c r="G15" s="587"/>
      <c r="H15" s="587"/>
    </row>
    <row r="16" spans="2:16" ht="21" customHeight="1">
      <c r="B16" s="116" t="s">
        <v>3278</v>
      </c>
      <c r="G16" s="734"/>
      <c r="H16" s="735"/>
      <c r="I16" s="318"/>
    </row>
    <row r="17" spans="2:9" ht="21" customHeight="1" thickBot="1">
      <c r="B17" s="5"/>
      <c r="C17" s="5" t="s">
        <v>376</v>
      </c>
      <c r="D17" s="5"/>
      <c r="E17" s="5"/>
      <c r="F17" s="7"/>
      <c r="G17" s="330"/>
      <c r="H17" s="212"/>
      <c r="I17" s="318"/>
    </row>
    <row r="18" spans="2:9" ht="21" customHeight="1">
      <c r="B18" s="5"/>
      <c r="C18" s="5" t="s">
        <v>377</v>
      </c>
      <c r="D18" s="5"/>
      <c r="E18" s="5"/>
      <c r="F18" s="743">
        <f>+'26-Delinquent Taxes and Liens'!I29-'3-Trial Bal-Current Fund'!F19</f>
        <v>0</v>
      </c>
      <c r="G18" s="713"/>
      <c r="H18" s="708"/>
      <c r="I18" s="305"/>
    </row>
    <row r="19" spans="2:9" ht="21" customHeight="1" thickBot="1">
      <c r="B19" s="316"/>
      <c r="C19" s="316" t="s">
        <v>378</v>
      </c>
      <c r="D19" s="316"/>
      <c r="E19" s="316"/>
      <c r="F19" s="744">
        <f>+'22-CY Levy'!N35</f>
        <v>109620.21999999881</v>
      </c>
      <c r="G19" s="714"/>
      <c r="H19" s="708"/>
      <c r="I19" s="305"/>
    </row>
    <row r="20" spans="2:9" ht="21" customHeight="1">
      <c r="B20" s="316"/>
      <c r="C20" s="316"/>
      <c r="D20" s="316" t="s">
        <v>379</v>
      </c>
      <c r="E20" s="316"/>
      <c r="F20" s="277"/>
      <c r="G20" s="330">
        <f>+F19+F18</f>
        <v>109620.21999999881</v>
      </c>
      <c r="H20" s="708"/>
      <c r="I20" s="305"/>
    </row>
    <row r="21" spans="2:9" ht="21" customHeight="1">
      <c r="B21" s="316"/>
      <c r="C21" s="316" t="s">
        <v>380</v>
      </c>
      <c r="D21" s="316"/>
      <c r="E21" s="316"/>
      <c r="F21" s="316"/>
      <c r="G21" s="330">
        <f>+'26-Delinquent Taxes and Liens'!I30</f>
        <v>0</v>
      </c>
      <c r="H21" s="708"/>
    </row>
    <row r="22" spans="2:9" ht="21" customHeight="1">
      <c r="B22" s="316"/>
      <c r="C22" s="316" t="s">
        <v>381</v>
      </c>
      <c r="D22" s="316"/>
      <c r="E22" s="316"/>
      <c r="F22" s="316"/>
      <c r="G22" s="330">
        <f>+'27-Foreclosed Property'!L20</f>
        <v>162500</v>
      </c>
      <c r="H22" s="708"/>
    </row>
    <row r="23" spans="2:9" ht="21" customHeight="1">
      <c r="B23" s="316"/>
      <c r="C23" s="723" t="s">
        <v>3279</v>
      </c>
      <c r="D23" s="715"/>
      <c r="E23" s="715"/>
      <c r="F23" s="715"/>
      <c r="G23" s="721">
        <f>'27-Foreclosed Property'!L30</f>
        <v>0</v>
      </c>
      <c r="H23" s="212"/>
      <c r="I23" s="266"/>
    </row>
    <row r="24" spans="2:9" ht="21" customHeight="1">
      <c r="B24" s="316"/>
      <c r="C24" s="723" t="s">
        <v>3280</v>
      </c>
      <c r="D24" s="715"/>
      <c r="E24" s="715"/>
      <c r="F24" s="715"/>
      <c r="G24" s="721">
        <f>'27-Foreclosed Property'!L40</f>
        <v>0</v>
      </c>
      <c r="H24" s="212"/>
      <c r="I24" s="318"/>
    </row>
    <row r="25" spans="2:9" ht="21" customHeight="1">
      <c r="B25" s="5"/>
      <c r="C25" s="559" t="s">
        <v>3674</v>
      </c>
      <c r="D25" s="756"/>
      <c r="E25" s="757"/>
      <c r="F25" s="559"/>
      <c r="G25" s="365">
        <v>16.239999999999998</v>
      </c>
      <c r="H25" s="581"/>
    </row>
    <row r="26" spans="2:9" ht="21" customHeight="1">
      <c r="B26" s="5"/>
      <c r="C26" s="559"/>
      <c r="D26" s="757"/>
      <c r="E26" s="757"/>
      <c r="F26" s="559"/>
      <c r="G26" s="365"/>
      <c r="H26" s="581"/>
    </row>
    <row r="27" spans="2:9" ht="21" customHeight="1">
      <c r="B27" s="5"/>
      <c r="C27" s="559"/>
      <c r="D27" s="757"/>
      <c r="E27" s="757"/>
      <c r="F27" s="559"/>
      <c r="G27" s="365"/>
      <c r="H27" s="581"/>
      <c r="I27" s="305"/>
    </row>
    <row r="28" spans="2:9" ht="21" customHeight="1">
      <c r="B28" s="5"/>
      <c r="C28" s="559"/>
      <c r="D28" s="757"/>
      <c r="E28" s="757"/>
      <c r="F28" s="559"/>
      <c r="G28" s="365"/>
      <c r="H28" s="581"/>
      <c r="I28" s="305"/>
    </row>
    <row r="29" spans="2:9" ht="21" customHeight="1">
      <c r="B29" s="5"/>
      <c r="C29" s="559"/>
      <c r="D29" s="757"/>
      <c r="E29" s="757"/>
      <c r="F29" s="559"/>
      <c r="G29" s="365"/>
      <c r="H29" s="581"/>
      <c r="I29" s="318"/>
    </row>
    <row r="30" spans="2:9" ht="21" customHeight="1">
      <c r="B30" s="316"/>
      <c r="C30" s="560"/>
      <c r="D30" s="757"/>
      <c r="E30" s="757"/>
      <c r="F30" s="559"/>
      <c r="G30" s="365"/>
      <c r="H30" s="581"/>
      <c r="I30" s="317"/>
    </row>
    <row r="31" spans="2:9" ht="21" customHeight="1">
      <c r="B31" s="316"/>
      <c r="C31" s="559"/>
      <c r="D31" s="757"/>
      <c r="E31" s="757"/>
      <c r="F31" s="559"/>
      <c r="G31" s="365"/>
      <c r="H31" s="581"/>
      <c r="I31" s="317"/>
    </row>
    <row r="32" spans="2:9" ht="21" customHeight="1">
      <c r="B32" s="316"/>
      <c r="C32" s="559"/>
      <c r="D32" s="757"/>
      <c r="E32" s="757"/>
      <c r="F32" s="559"/>
      <c r="G32" s="365"/>
      <c r="H32" s="581"/>
      <c r="I32" s="317"/>
    </row>
    <row r="33" spans="2:9" ht="21" customHeight="1">
      <c r="B33" s="319"/>
      <c r="C33" s="560"/>
      <c r="D33" s="757"/>
      <c r="E33" s="757"/>
      <c r="F33" s="559"/>
      <c r="G33" s="365"/>
      <c r="H33" s="581"/>
      <c r="I33" s="317"/>
    </row>
    <row r="34" spans="2:9" ht="21" customHeight="1">
      <c r="B34" s="316"/>
      <c r="C34" s="368"/>
      <c r="D34" s="757"/>
      <c r="E34" s="757"/>
      <c r="F34" s="559"/>
      <c r="G34" s="365"/>
      <c r="H34" s="581"/>
      <c r="I34" s="317"/>
    </row>
    <row r="35" spans="2:9" ht="21" customHeight="1">
      <c r="B35" s="316"/>
      <c r="C35" s="368"/>
      <c r="D35" s="757"/>
      <c r="E35" s="757"/>
      <c r="F35" s="559"/>
      <c r="G35" s="365"/>
      <c r="H35" s="581"/>
    </row>
    <row r="36" spans="2:9" s="315" customFormat="1" ht="21" customHeight="1">
      <c r="B36" s="316"/>
      <c r="C36" s="368"/>
      <c r="D36" s="806"/>
      <c r="E36" s="816"/>
      <c r="F36" s="559"/>
      <c r="G36" s="365"/>
      <c r="H36" s="581"/>
    </row>
    <row r="37" spans="2:9" ht="21" customHeight="1">
      <c r="B37" s="5"/>
      <c r="C37" s="316" t="s">
        <v>839</v>
      </c>
      <c r="D37" s="316"/>
      <c r="E37" s="316"/>
      <c r="F37" s="316"/>
      <c r="G37" s="366"/>
      <c r="H37" s="212"/>
    </row>
    <row r="38" spans="2:9" ht="21" customHeight="1">
      <c r="B38" s="5"/>
      <c r="C38" s="316"/>
      <c r="D38" s="342" t="s">
        <v>479</v>
      </c>
      <c r="E38" s="342"/>
      <c r="F38" s="316"/>
      <c r="G38" s="365"/>
      <c r="H38" s="709"/>
      <c r="I38" s="732"/>
    </row>
    <row r="39" spans="2:9" ht="21" customHeight="1">
      <c r="B39" s="5"/>
      <c r="C39" s="5"/>
      <c r="D39" s="342" t="s">
        <v>840</v>
      </c>
      <c r="E39" s="342"/>
      <c r="F39" s="5"/>
      <c r="G39" s="897">
        <f>+'29-Special Emergency'!L$24+'30-Special Emergency'!L24</f>
        <v>0</v>
      </c>
      <c r="H39" s="581"/>
      <c r="I39" s="732"/>
    </row>
    <row r="40" spans="2:9" ht="21" customHeight="1">
      <c r="B40" s="5"/>
      <c r="C40" s="5"/>
      <c r="D40" s="342" t="s">
        <v>945</v>
      </c>
      <c r="E40" s="342"/>
      <c r="F40" s="5"/>
      <c r="G40" s="712">
        <f>'19-Results of Op-Cur Fnd'!I43</f>
        <v>0</v>
      </c>
      <c r="H40" s="581"/>
      <c r="I40" s="317"/>
    </row>
    <row r="41" spans="2:9" s="315" customFormat="1" ht="21" customHeight="1">
      <c r="B41" s="316"/>
      <c r="C41" s="368"/>
      <c r="D41" s="806"/>
      <c r="E41" s="816"/>
      <c r="F41" s="559"/>
      <c r="G41" s="365"/>
      <c r="H41" s="581"/>
    </row>
    <row r="42" spans="2:9" s="315" customFormat="1" ht="21" customHeight="1">
      <c r="B42" s="316"/>
      <c r="C42" s="368"/>
      <c r="D42" s="806"/>
      <c r="E42" s="816"/>
      <c r="F42" s="559"/>
      <c r="G42" s="365"/>
      <c r="H42" s="581"/>
    </row>
    <row r="43" spans="2:9" s="315" customFormat="1" ht="21" customHeight="1">
      <c r="B43" s="316"/>
      <c r="C43" s="368"/>
      <c r="D43" s="806"/>
      <c r="E43" s="816"/>
      <c r="F43" s="559"/>
      <c r="G43" s="365"/>
      <c r="H43" s="581"/>
    </row>
    <row r="44" spans="2:9" ht="21" customHeight="1">
      <c r="B44" s="5"/>
      <c r="C44" s="368"/>
      <c r="D44" s="806"/>
      <c r="E44" s="806"/>
      <c r="F44" s="559"/>
      <c r="G44" s="365"/>
      <c r="H44" s="581"/>
    </row>
    <row r="45" spans="2:9" ht="21" customHeight="1">
      <c r="B45" s="5"/>
      <c r="C45" s="368"/>
      <c r="D45" s="806"/>
      <c r="E45" s="806"/>
      <c r="F45" s="559"/>
      <c r="G45" s="365"/>
      <c r="H45" s="581"/>
    </row>
    <row r="46" spans="2:9" ht="21" customHeight="1">
      <c r="B46" s="5"/>
      <c r="C46" s="5"/>
      <c r="D46" s="5"/>
      <c r="E46" s="5" t="s">
        <v>841</v>
      </c>
      <c r="F46" s="5"/>
      <c r="G46" s="330">
        <f>SUM(G10:G45)</f>
        <v>2800236.3099999991</v>
      </c>
      <c r="H46" s="212">
        <f>SUM(H10:H45)</f>
        <v>786.25</v>
      </c>
    </row>
    <row r="47" spans="2:9">
      <c r="B47" s="1549" t="s">
        <v>103</v>
      </c>
      <c r="C47" s="1549"/>
      <c r="D47" s="1549"/>
      <c r="E47" s="1549"/>
      <c r="F47" s="1549"/>
      <c r="G47" s="1549"/>
      <c r="H47" s="1549"/>
    </row>
    <row r="48" spans="2:9" ht="13.8">
      <c r="B48" s="1545" t="s">
        <v>104</v>
      </c>
      <c r="C48" s="1545"/>
      <c r="D48" s="1545"/>
      <c r="E48" s="1545"/>
      <c r="F48" s="1545"/>
      <c r="G48" s="1545"/>
      <c r="H48" s="1545"/>
    </row>
    <row r="51" spans="7:7">
      <c r="G51" s="320"/>
    </row>
  </sheetData>
  <sheetProtection password="CAF9" sheet="1" objects="1" scenarios="1"/>
  <mergeCells count="8">
    <mergeCell ref="B47:H47"/>
    <mergeCell ref="B48:H48"/>
    <mergeCell ref="B9:F9"/>
    <mergeCell ref="B2:H2"/>
    <mergeCell ref="B4:H4"/>
    <mergeCell ref="B5:H5"/>
    <mergeCell ref="B6:H6"/>
    <mergeCell ref="B8:H8"/>
  </mergeCells>
  <phoneticPr fontId="0" type="noConversion"/>
  <pageMargins left="0.25" right="0.25" top="0.5" bottom="0.5" header="0.25" footer="0.25"/>
  <pageSetup paperSize="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2:K57"/>
  <sheetViews>
    <sheetView topLeftCell="A23" zoomScaleNormal="100" zoomScaleSheetLayoutView="80" workbookViewId="0">
      <selection activeCell="H17" sqref="H17"/>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16.6640625" style="270" customWidth="1"/>
    <col min="9" max="9" width="3.6640625" bestFit="1" customWidth="1"/>
    <col min="10" max="10" width="13.5546875" bestFit="1" customWidth="1"/>
    <col min="11" max="11" width="11.109375" bestFit="1" customWidth="1"/>
  </cols>
  <sheetData>
    <row r="2" spans="2:11">
      <c r="B2" s="1591" t="s">
        <v>105</v>
      </c>
      <c r="C2" s="1591"/>
      <c r="D2" s="1591"/>
      <c r="E2" s="1591"/>
      <c r="F2" s="1591"/>
      <c r="G2" s="1591"/>
      <c r="H2" s="1591"/>
    </row>
    <row r="4" spans="2:11" ht="22.8">
      <c r="B4" s="1586" t="s">
        <v>451</v>
      </c>
      <c r="C4" s="1586"/>
      <c r="D4" s="1586"/>
      <c r="E4" s="1586"/>
      <c r="F4" s="1586"/>
      <c r="G4" s="1586"/>
      <c r="H4" s="1586"/>
    </row>
    <row r="5" spans="2:11" ht="22.8">
      <c r="B5" s="1586" t="s">
        <v>475</v>
      </c>
      <c r="C5" s="1586"/>
      <c r="D5" s="1586"/>
      <c r="E5" s="1586"/>
      <c r="F5" s="1586"/>
      <c r="G5" s="1586"/>
      <c r="H5" s="1586"/>
    </row>
    <row r="6" spans="2:11" ht="15.6">
      <c r="B6" s="1592" t="str">
        <f>'KEY INPUTS'!D44</f>
        <v>AS  AT  DECEMBER  31, 2020</v>
      </c>
      <c r="C6" s="1547"/>
      <c r="D6" s="1547"/>
      <c r="E6" s="1547"/>
      <c r="F6" s="1547"/>
      <c r="G6" s="1547"/>
      <c r="H6" s="1547"/>
    </row>
    <row r="8" spans="2:11" ht="15" customHeight="1" thickBot="1">
      <c r="B8" s="1593" t="s">
        <v>99</v>
      </c>
      <c r="C8" s="1593"/>
      <c r="D8" s="1593"/>
      <c r="E8" s="1593"/>
      <c r="F8" s="1593"/>
      <c r="G8" s="1593"/>
      <c r="H8" s="1593"/>
    </row>
    <row r="9" spans="2:11" ht="36" customHeight="1" thickTop="1" thickBot="1">
      <c r="B9" s="1589" t="s">
        <v>100</v>
      </c>
      <c r="C9" s="1589"/>
      <c r="D9" s="1589"/>
      <c r="E9" s="1589"/>
      <c r="F9" s="1590"/>
      <c r="G9" s="252" t="s">
        <v>101</v>
      </c>
      <c r="H9" s="253" t="s">
        <v>102</v>
      </c>
    </row>
    <row r="10" spans="2:11" s="315" customFormat="1" ht="21" customHeight="1" thickTop="1">
      <c r="B10" s="190" t="s">
        <v>3556</v>
      </c>
      <c r="C10" s="768"/>
      <c r="D10" s="768"/>
      <c r="E10" s="768"/>
      <c r="F10" s="728"/>
      <c r="G10" s="769">
        <f>+'3-Trial Bal-Current Fund'!G46</f>
        <v>2800236.3099999991</v>
      </c>
      <c r="H10" s="824">
        <f>+'3-Trial Bal-Current Fund'!H46</f>
        <v>786.25</v>
      </c>
    </row>
    <row r="11" spans="2:11" ht="21" customHeight="1">
      <c r="B11" s="869" t="s">
        <v>842</v>
      </c>
      <c r="C11" s="827"/>
      <c r="D11" s="828"/>
      <c r="E11" s="828"/>
      <c r="F11" s="829"/>
      <c r="G11" s="864"/>
      <c r="H11" s="825">
        <f>'18-Budget Appropriations'!I16</f>
        <v>115339.34</v>
      </c>
      <c r="J11" s="378"/>
    </row>
    <row r="12" spans="2:11" ht="21" customHeight="1">
      <c r="B12" s="560" t="s">
        <v>843</v>
      </c>
      <c r="C12" s="707"/>
      <c r="D12" s="804"/>
      <c r="E12" s="804"/>
      <c r="F12" s="811"/>
      <c r="G12" s="365"/>
      <c r="H12" s="581">
        <v>41440.76</v>
      </c>
      <c r="I12" s="116"/>
      <c r="J12" s="221"/>
      <c r="K12" s="221"/>
    </row>
    <row r="13" spans="2:11" ht="21" customHeight="1">
      <c r="B13" s="560" t="s">
        <v>3196</v>
      </c>
      <c r="C13" s="707"/>
      <c r="D13" s="804"/>
      <c r="E13" s="804"/>
      <c r="F13" s="811"/>
      <c r="G13" s="365"/>
      <c r="H13" s="581"/>
      <c r="I13" s="116"/>
      <c r="J13" s="221"/>
      <c r="K13" s="221"/>
    </row>
    <row r="14" spans="2:11" ht="21" customHeight="1">
      <c r="B14" s="560" t="s">
        <v>3252</v>
      </c>
      <c r="C14" s="707"/>
      <c r="D14" s="804"/>
      <c r="E14" s="804"/>
      <c r="F14" s="811"/>
      <c r="G14" s="365"/>
      <c r="H14" s="581">
        <v>68.06</v>
      </c>
      <c r="I14" s="116"/>
      <c r="J14" s="221"/>
      <c r="K14" s="221"/>
    </row>
    <row r="15" spans="2:11" ht="21" customHeight="1">
      <c r="B15" s="560" t="s">
        <v>3253</v>
      </c>
      <c r="C15" s="707"/>
      <c r="D15" s="804"/>
      <c r="E15" s="804"/>
      <c r="F15" s="811"/>
      <c r="G15" s="365"/>
      <c r="H15" s="581">
        <v>66799.81</v>
      </c>
      <c r="I15" s="116"/>
      <c r="J15" s="221"/>
      <c r="K15" s="221"/>
    </row>
    <row r="16" spans="2:11" ht="21" customHeight="1">
      <c r="B16" s="560" t="s">
        <v>3675</v>
      </c>
      <c r="C16" s="707"/>
      <c r="D16" s="804"/>
      <c r="E16" s="804"/>
      <c r="F16" s="811"/>
      <c r="G16" s="365"/>
      <c r="H16" s="581">
        <v>11073.4</v>
      </c>
      <c r="I16" s="116"/>
      <c r="J16" s="221"/>
      <c r="K16" s="221"/>
    </row>
    <row r="17" spans="2:11" ht="21" customHeight="1">
      <c r="B17" s="560"/>
      <c r="C17" s="707"/>
      <c r="D17" s="804"/>
      <c r="E17" s="804"/>
      <c r="F17" s="811"/>
      <c r="G17" s="365"/>
      <c r="H17" s="581"/>
      <c r="I17" s="116"/>
      <c r="J17" s="221"/>
      <c r="K17" s="221"/>
    </row>
    <row r="18" spans="2:11" ht="21" customHeight="1">
      <c r="B18" s="560" t="s">
        <v>3254</v>
      </c>
      <c r="C18" s="707"/>
      <c r="D18" s="804"/>
      <c r="E18" s="804"/>
      <c r="F18" s="811"/>
      <c r="G18" s="365"/>
      <c r="H18" s="581"/>
      <c r="I18" s="116"/>
      <c r="J18" s="318"/>
    </row>
    <row r="19" spans="2:11" ht="21" customHeight="1">
      <c r="B19" s="560" t="s">
        <v>3281</v>
      </c>
      <c r="C19" s="707"/>
      <c r="D19" s="804"/>
      <c r="E19" s="804"/>
      <c r="F19" s="811"/>
      <c r="G19" s="365"/>
      <c r="H19" s="581"/>
      <c r="I19" s="116"/>
      <c r="J19" s="318"/>
    </row>
    <row r="20" spans="2:11" ht="21" customHeight="1">
      <c r="B20" s="560" t="s">
        <v>3255</v>
      </c>
      <c r="C20" s="707"/>
      <c r="D20" s="804"/>
      <c r="E20" s="804"/>
      <c r="F20" s="811"/>
      <c r="G20" s="365"/>
      <c r="H20" s="581"/>
      <c r="I20" s="116"/>
      <c r="J20" s="221"/>
      <c r="K20" s="221"/>
    </row>
    <row r="21" spans="2:11" ht="21" customHeight="1">
      <c r="B21" s="560"/>
      <c r="C21" s="707"/>
      <c r="D21" s="804"/>
      <c r="E21" s="804"/>
      <c r="F21" s="811"/>
      <c r="G21" s="365"/>
      <c r="H21" s="581"/>
      <c r="I21" s="116"/>
      <c r="J21" s="221"/>
      <c r="K21" s="221"/>
    </row>
    <row r="22" spans="2:11" ht="21" customHeight="1">
      <c r="B22" s="826" t="s">
        <v>3282</v>
      </c>
      <c r="C22" s="827"/>
      <c r="D22" s="828"/>
      <c r="E22" s="828"/>
      <c r="F22" s="829"/>
      <c r="G22" s="864"/>
      <c r="H22" s="825">
        <f>MAX(0,'13-Other Taxes'!G16)</f>
        <v>0.52000000001862645</v>
      </c>
      <c r="I22" s="116"/>
    </row>
    <row r="23" spans="2:11" ht="21" customHeight="1">
      <c r="B23" s="826" t="s">
        <v>3283</v>
      </c>
      <c r="C23" s="827"/>
      <c r="D23" s="828"/>
      <c r="E23" s="828"/>
      <c r="F23" s="829"/>
      <c r="G23" s="864"/>
      <c r="H23" s="825">
        <f>MAX(0,'14-Other Taxes'!G17)</f>
        <v>0</v>
      </c>
      <c r="I23" s="116"/>
      <c r="J23" s="318"/>
    </row>
    <row r="24" spans="2:11" ht="21" customHeight="1">
      <c r="B24" s="826" t="s">
        <v>3284</v>
      </c>
      <c r="C24" s="827"/>
      <c r="D24" s="828"/>
      <c r="E24" s="828"/>
      <c r="F24" s="829"/>
      <c r="G24" s="864"/>
      <c r="H24" s="825">
        <f>MAX(0,'14-Other Taxes'!G38)</f>
        <v>1321291.2800000003</v>
      </c>
      <c r="I24" s="116"/>
      <c r="J24" s="221"/>
    </row>
    <row r="25" spans="2:11" ht="21" customHeight="1">
      <c r="B25" s="834" t="s">
        <v>3542</v>
      </c>
      <c r="C25" s="1234"/>
      <c r="D25" s="1235"/>
      <c r="E25" s="1235"/>
      <c r="F25" s="1236"/>
      <c r="G25" s="897"/>
      <c r="H25" s="904">
        <f>MAX(0,'15-Other Taxes'!I18)</f>
        <v>0</v>
      </c>
      <c r="I25" s="116"/>
      <c r="J25" s="221"/>
      <c r="K25" s="221"/>
    </row>
    <row r="26" spans="2:11" ht="21" customHeight="1">
      <c r="B26" s="826" t="s">
        <v>3285</v>
      </c>
      <c r="C26" s="827"/>
      <c r="D26" s="828"/>
      <c r="E26" s="828"/>
      <c r="F26" s="829"/>
      <c r="G26" s="864"/>
      <c r="H26" s="825">
        <f>MAX(0,'15-Other Taxes'!I19)</f>
        <v>2184.3500000000931</v>
      </c>
      <c r="I26" s="116"/>
      <c r="J26" s="221"/>
    </row>
    <row r="27" spans="2:11" ht="21" customHeight="1">
      <c r="B27" s="826" t="s">
        <v>3286</v>
      </c>
      <c r="C27" s="827"/>
      <c r="D27" s="828"/>
      <c r="E27" s="828"/>
      <c r="F27" s="829"/>
      <c r="G27" s="864"/>
      <c r="H27" s="825">
        <f>MAX(0,'15-Other Taxes'!I38)</f>
        <v>0</v>
      </c>
      <c r="I27" s="116"/>
      <c r="J27" s="221"/>
      <c r="K27" s="221"/>
    </row>
    <row r="28" spans="2:11" ht="21" customHeight="1">
      <c r="B28" s="826" t="s">
        <v>3287</v>
      </c>
      <c r="C28" s="827"/>
      <c r="D28" s="828"/>
      <c r="E28" s="828"/>
      <c r="F28" s="829"/>
      <c r="G28" s="864"/>
      <c r="H28" s="825">
        <f>MAX(0,'24-Reserves for Tax Appeals'!I17)</f>
        <v>0</v>
      </c>
      <c r="I28" s="116"/>
      <c r="J28" s="221"/>
      <c r="K28" s="221"/>
    </row>
    <row r="29" spans="2:11" ht="21" customHeight="1">
      <c r="B29" s="1594"/>
      <c r="C29" s="1594"/>
      <c r="D29" s="1594"/>
      <c r="E29" s="1594"/>
      <c r="F29" s="1595"/>
      <c r="G29" s="365"/>
      <c r="H29" s="581"/>
      <c r="I29" s="116"/>
      <c r="J29" s="221"/>
      <c r="K29" s="221"/>
    </row>
    <row r="30" spans="2:11" ht="21" customHeight="1">
      <c r="B30" s="1594"/>
      <c r="C30" s="1594"/>
      <c r="D30" s="1594"/>
      <c r="E30" s="1594"/>
      <c r="F30" s="1595"/>
      <c r="G30" s="365"/>
      <c r="H30" s="581"/>
      <c r="I30" s="116"/>
    </row>
    <row r="31" spans="2:11" ht="21" customHeight="1">
      <c r="B31" s="1594"/>
      <c r="C31" s="1594"/>
      <c r="D31" s="1594"/>
      <c r="E31" s="1594"/>
      <c r="F31" s="1595"/>
      <c r="G31" s="365"/>
      <c r="H31" s="581"/>
      <c r="I31" s="116"/>
      <c r="J31" s="221"/>
      <c r="K31" s="221"/>
    </row>
    <row r="32" spans="2:11" ht="21" customHeight="1">
      <c r="B32" s="1594"/>
      <c r="C32" s="1594"/>
      <c r="D32" s="1594"/>
      <c r="E32" s="1594"/>
      <c r="F32" s="1595"/>
      <c r="G32" s="365"/>
      <c r="H32" s="581"/>
      <c r="I32" s="116"/>
      <c r="J32" s="221"/>
      <c r="K32" s="221"/>
    </row>
    <row r="33" spans="2:11" ht="21" customHeight="1">
      <c r="B33" s="1594"/>
      <c r="C33" s="1594"/>
      <c r="D33" s="1594"/>
      <c r="E33" s="1594"/>
      <c r="F33" s="1595"/>
      <c r="G33" s="365"/>
      <c r="H33" s="581"/>
      <c r="I33" s="116"/>
      <c r="J33" s="221"/>
      <c r="K33" s="221"/>
    </row>
    <row r="34" spans="2:11" ht="21" customHeight="1">
      <c r="B34" s="1594"/>
      <c r="C34" s="1594"/>
      <c r="D34" s="1594"/>
      <c r="E34" s="1594"/>
      <c r="F34" s="1595"/>
      <c r="G34" s="365"/>
      <c r="H34" s="581"/>
      <c r="I34" s="116"/>
      <c r="J34" s="221"/>
      <c r="K34" s="221"/>
    </row>
    <row r="35" spans="2:11" ht="21" customHeight="1">
      <c r="B35" s="1594"/>
      <c r="C35" s="1594"/>
      <c r="D35" s="1594"/>
      <c r="E35" s="1594"/>
      <c r="F35" s="1595"/>
      <c r="G35" s="365"/>
      <c r="H35" s="652"/>
      <c r="I35" s="116"/>
      <c r="J35" s="221"/>
      <c r="K35" s="221"/>
    </row>
    <row r="36" spans="2:11" ht="21" customHeight="1">
      <c r="B36" s="1594"/>
      <c r="C36" s="1594"/>
      <c r="D36" s="1594"/>
      <c r="E36" s="1594"/>
      <c r="F36" s="1595"/>
      <c r="G36" s="365"/>
      <c r="H36" s="561"/>
      <c r="I36" s="116"/>
    </row>
    <row r="37" spans="2:11" ht="21" customHeight="1">
      <c r="B37" s="559"/>
      <c r="C37" s="559"/>
      <c r="D37" s="559"/>
      <c r="E37" s="559"/>
      <c r="F37" s="559"/>
      <c r="G37" s="365"/>
      <c r="H37" s="1468"/>
      <c r="I37" s="116"/>
      <c r="J37" s="701"/>
    </row>
    <row r="38" spans="2:11" ht="21" customHeight="1">
      <c r="B38" s="559"/>
      <c r="C38" s="559"/>
      <c r="D38" s="559"/>
      <c r="E38" s="559"/>
      <c r="F38" s="559"/>
      <c r="G38" s="365"/>
      <c r="H38" s="581"/>
      <c r="I38" s="116"/>
    </row>
    <row r="39" spans="2:11" ht="21" customHeight="1">
      <c r="B39" s="559"/>
      <c r="C39" s="559"/>
      <c r="D39" s="559"/>
      <c r="E39" s="559"/>
      <c r="F39" s="559"/>
      <c r="G39" s="365"/>
      <c r="H39" s="581"/>
      <c r="I39" s="116"/>
      <c r="J39" s="221"/>
      <c r="K39" s="221"/>
    </row>
    <row r="40" spans="2:11" ht="21" customHeight="1">
      <c r="B40" s="559"/>
      <c r="C40" s="559"/>
      <c r="D40" s="559"/>
      <c r="E40" s="559"/>
      <c r="F40" s="559"/>
      <c r="G40" s="365"/>
      <c r="H40" s="581"/>
      <c r="I40" s="116"/>
      <c r="J40" s="221"/>
      <c r="K40" s="221"/>
    </row>
    <row r="41" spans="2:11" ht="21" customHeight="1">
      <c r="B41" s="559"/>
      <c r="C41" s="559"/>
      <c r="D41" s="559"/>
      <c r="E41" s="559"/>
      <c r="F41" s="559"/>
      <c r="G41" s="365"/>
      <c r="H41" s="581"/>
      <c r="I41" s="116"/>
      <c r="J41" s="221"/>
      <c r="K41" s="221"/>
    </row>
    <row r="42" spans="2:11" ht="21" customHeight="1">
      <c r="B42" s="559"/>
      <c r="C42" s="559"/>
      <c r="D42" s="559"/>
      <c r="E42" s="559"/>
      <c r="F42" s="559"/>
      <c r="G42" s="365"/>
      <c r="H42" s="581"/>
      <c r="I42" s="116"/>
      <c r="J42" s="221"/>
      <c r="K42" s="221"/>
    </row>
    <row r="43" spans="2:11" ht="21" customHeight="1" thickBot="1">
      <c r="B43" s="559"/>
      <c r="C43" s="559"/>
      <c r="D43" s="559"/>
      <c r="E43" s="559"/>
      <c r="F43" s="559"/>
      <c r="G43" s="578"/>
      <c r="H43" s="1469"/>
      <c r="I43" s="116"/>
    </row>
    <row r="44" spans="2:11" ht="21" customHeight="1" thickBot="1">
      <c r="B44" s="5"/>
      <c r="C44" s="5"/>
      <c r="D44" s="5"/>
      <c r="E44" s="5"/>
      <c r="F44" s="319" t="s">
        <v>3316</v>
      </c>
      <c r="G44" s="355">
        <f>SUM(G10:G43)</f>
        <v>2800236.3099999991</v>
      </c>
      <c r="H44" s="263">
        <f>SUM(H10:H43)</f>
        <v>1558983.7700000005</v>
      </c>
      <c r="I44" s="116"/>
      <c r="J44" s="221"/>
    </row>
    <row r="45" spans="2:11" ht="21" customHeight="1" thickTop="1">
      <c r="B45" s="5"/>
      <c r="C45" s="5"/>
      <c r="D45" s="5"/>
      <c r="E45" s="5"/>
      <c r="F45" s="5"/>
      <c r="G45" s="302"/>
      <c r="H45" s="261"/>
    </row>
    <row r="46" spans="2:11" ht="21" customHeight="1">
      <c r="B46" s="5"/>
      <c r="C46" s="5"/>
      <c r="D46" s="5"/>
      <c r="E46" s="5"/>
      <c r="F46" s="5"/>
      <c r="G46" s="330"/>
      <c r="H46" s="304"/>
    </row>
    <row r="47" spans="2:11">
      <c r="B47" s="1549" t="s">
        <v>103</v>
      </c>
      <c r="C47" s="1549"/>
      <c r="D47" s="1549"/>
      <c r="E47" s="1549"/>
      <c r="F47" s="1549"/>
      <c r="G47" s="1549"/>
      <c r="H47" s="1549"/>
    </row>
    <row r="48" spans="2:11" ht="13.8">
      <c r="B48" s="1545" t="s">
        <v>106</v>
      </c>
      <c r="C48" s="1545"/>
      <c r="D48" s="1545"/>
      <c r="E48" s="1545"/>
      <c r="F48" s="1545"/>
      <c r="G48" s="1545"/>
      <c r="H48" s="1545"/>
    </row>
    <row r="49" spans="7:8">
      <c r="H49" s="320"/>
    </row>
    <row r="50" spans="7:8">
      <c r="G50" s="320"/>
      <c r="H50" s="320"/>
    </row>
    <row r="51" spans="7:8">
      <c r="H51" s="320"/>
    </row>
    <row r="52" spans="7:8">
      <c r="G52" s="320"/>
      <c r="H52" s="320"/>
    </row>
    <row r="53" spans="7:8">
      <c r="G53" s="320"/>
      <c r="H53" s="320"/>
    </row>
    <row r="54" spans="7:8">
      <c r="H54" s="320"/>
    </row>
    <row r="55" spans="7:8">
      <c r="G55" s="320"/>
    </row>
    <row r="57" spans="7:8">
      <c r="H57" s="320"/>
    </row>
  </sheetData>
  <sheetProtection algorithmName="SHA-512" hashValue="SEj5Hu5cgpSz4N417plLjhE9+oBaUnDHhuH1ng7c2e26f/GKkuD9N0VRBZMv8HN0NZCgmt9QXT3oi7fHX+dUpQ==" saltValue="GrtvvSuqjfkGADXDaXxTOg==" spinCount="100000" sheet="1" objects="1" scenarios="1"/>
  <mergeCells count="16">
    <mergeCell ref="B47:H47"/>
    <mergeCell ref="B48:H48"/>
    <mergeCell ref="B2:H2"/>
    <mergeCell ref="B4:H4"/>
    <mergeCell ref="B5:H5"/>
    <mergeCell ref="B6:H6"/>
    <mergeCell ref="B8:H8"/>
    <mergeCell ref="B9:F9"/>
    <mergeCell ref="B29:F29"/>
    <mergeCell ref="B30:F30"/>
    <mergeCell ref="B31:F31"/>
    <mergeCell ref="B32:F32"/>
    <mergeCell ref="B33:F33"/>
    <mergeCell ref="B34:F34"/>
    <mergeCell ref="B35:F35"/>
    <mergeCell ref="B36:F36"/>
  </mergeCells>
  <phoneticPr fontId="0" type="noConversion"/>
  <pageMargins left="0.25" right="0.25" top="0.5" bottom="0.5" header="0.25" footer="0.25"/>
  <pageSetup paperSize="5" scale="9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3"/>
  <dimension ref="B2:K57"/>
  <sheetViews>
    <sheetView topLeftCell="A16" zoomScaleNormal="100" zoomScaleSheetLayoutView="80" workbookViewId="0">
      <selection activeCell="H25" sqref="H25"/>
    </sheetView>
  </sheetViews>
  <sheetFormatPr defaultColWidth="9.109375" defaultRowHeight="13.2"/>
  <cols>
    <col min="1" max="1" width="4.6640625" style="315" customWidth="1"/>
    <col min="2" max="2" width="4.88671875" style="315" customWidth="1"/>
    <col min="3" max="4" width="4.6640625" style="315" customWidth="1"/>
    <col min="5" max="5" width="30.6640625" style="315" customWidth="1"/>
    <col min="6" max="6" width="15.6640625" style="315" customWidth="1"/>
    <col min="7" max="8" width="16.6640625" style="270" customWidth="1"/>
    <col min="9" max="9" width="3.6640625" style="315" bestFit="1" customWidth="1"/>
    <col min="10" max="10" width="13.5546875" style="315" bestFit="1" customWidth="1"/>
    <col min="11" max="11" width="11.109375" style="315" bestFit="1" customWidth="1"/>
    <col min="12" max="16384" width="9.109375" style="315"/>
  </cols>
  <sheetData>
    <row r="2" spans="2:11">
      <c r="B2" s="1591" t="s">
        <v>105</v>
      </c>
      <c r="C2" s="1591"/>
      <c r="D2" s="1591"/>
      <c r="E2" s="1591"/>
      <c r="F2" s="1591"/>
      <c r="G2" s="1591"/>
      <c r="H2" s="1591"/>
    </row>
    <row r="4" spans="2:11" ht="22.8">
      <c r="B4" s="1586" t="s">
        <v>451</v>
      </c>
      <c r="C4" s="1586"/>
      <c r="D4" s="1586"/>
      <c r="E4" s="1586"/>
      <c r="F4" s="1586"/>
      <c r="G4" s="1586"/>
      <c r="H4" s="1586"/>
    </row>
    <row r="5" spans="2:11" ht="22.8">
      <c r="B5" s="1586" t="s">
        <v>475</v>
      </c>
      <c r="C5" s="1586"/>
      <c r="D5" s="1586"/>
      <c r="E5" s="1586"/>
      <c r="F5" s="1586"/>
      <c r="G5" s="1586"/>
      <c r="H5" s="1586"/>
    </row>
    <row r="6" spans="2:11" ht="15.6">
      <c r="B6" s="1592" t="str">
        <f>'KEY INPUTS'!D44</f>
        <v>AS  AT  DECEMBER  31, 2020</v>
      </c>
      <c r="C6" s="1547"/>
      <c r="D6" s="1547"/>
      <c r="E6" s="1547"/>
      <c r="F6" s="1547"/>
      <c r="G6" s="1547"/>
      <c r="H6" s="1547"/>
    </row>
    <row r="8" spans="2:11" ht="15" customHeight="1" thickBot="1">
      <c r="B8" s="1593" t="s">
        <v>99</v>
      </c>
      <c r="C8" s="1593"/>
      <c r="D8" s="1593"/>
      <c r="E8" s="1593"/>
      <c r="F8" s="1593"/>
      <c r="G8" s="1593"/>
      <c r="H8" s="1593"/>
    </row>
    <row r="9" spans="2:11" ht="36" customHeight="1" thickTop="1" thickBot="1">
      <c r="B9" s="1589" t="s">
        <v>100</v>
      </c>
      <c r="C9" s="1589"/>
      <c r="D9" s="1589"/>
      <c r="E9" s="1589"/>
      <c r="F9" s="1590"/>
      <c r="G9" s="252" t="s">
        <v>101</v>
      </c>
      <c r="H9" s="253" t="s">
        <v>102</v>
      </c>
    </row>
    <row r="10" spans="2:11" ht="21" customHeight="1" thickTop="1">
      <c r="B10" s="190" t="s">
        <v>3555</v>
      </c>
      <c r="C10" s="768"/>
      <c r="D10" s="768"/>
      <c r="E10" s="768"/>
      <c r="F10" s="1464"/>
      <c r="G10" s="769">
        <f>'3a-Trial Bal-Current Fund'!G44</f>
        <v>2800236.3099999991</v>
      </c>
      <c r="H10" s="824">
        <f>'3a-Trial Bal-Current Fund'!H44</f>
        <v>1558983.7700000005</v>
      </c>
    </row>
    <row r="11" spans="2:11" ht="21" customHeight="1">
      <c r="B11" s="823"/>
      <c r="C11" s="1461"/>
      <c r="D11" s="1462"/>
      <c r="E11" s="1462"/>
      <c r="F11" s="1463"/>
      <c r="G11" s="365"/>
      <c r="H11" s="581"/>
      <c r="J11" s="378"/>
    </row>
    <row r="12" spans="2:11" ht="21" customHeight="1">
      <c r="B12" s="560"/>
      <c r="C12" s="1461"/>
      <c r="D12" s="1462"/>
      <c r="E12" s="1462"/>
      <c r="F12" s="1463"/>
      <c r="G12" s="365"/>
      <c r="H12" s="581"/>
      <c r="I12" s="116"/>
      <c r="J12" s="318"/>
      <c r="K12" s="318"/>
    </row>
    <row r="13" spans="2:11" ht="21" customHeight="1">
      <c r="B13" s="560"/>
      <c r="C13" s="1461"/>
      <c r="D13" s="1462"/>
      <c r="E13" s="1462"/>
      <c r="F13" s="1463"/>
      <c r="G13" s="365"/>
      <c r="H13" s="581"/>
      <c r="I13" s="116"/>
      <c r="J13" s="318"/>
      <c r="K13" s="318"/>
    </row>
    <row r="14" spans="2:11" ht="21" customHeight="1">
      <c r="B14" s="560"/>
      <c r="C14" s="1461"/>
      <c r="D14" s="1462"/>
      <c r="E14" s="1462"/>
      <c r="F14" s="1463"/>
      <c r="G14" s="365"/>
      <c r="H14" s="581"/>
      <c r="I14" s="116"/>
      <c r="J14" s="318"/>
      <c r="K14" s="318"/>
    </row>
    <row r="15" spans="2:11" ht="21" customHeight="1">
      <c r="B15" s="560"/>
      <c r="C15" s="1461"/>
      <c r="D15" s="1462"/>
      <c r="E15" s="1462"/>
      <c r="F15" s="1463"/>
      <c r="G15" s="365"/>
      <c r="H15" s="581"/>
      <c r="I15" s="116"/>
      <c r="J15" s="318"/>
      <c r="K15" s="318"/>
    </row>
    <row r="16" spans="2:11" ht="21" customHeight="1">
      <c r="B16" s="560"/>
      <c r="C16" s="1461"/>
      <c r="D16" s="1462"/>
      <c r="E16" s="1462"/>
      <c r="F16" s="1463"/>
      <c r="G16" s="365"/>
      <c r="H16" s="581"/>
      <c r="I16" s="116"/>
      <c r="J16" s="318"/>
      <c r="K16" s="318"/>
    </row>
    <row r="17" spans="2:11" ht="21" customHeight="1">
      <c r="B17" s="560"/>
      <c r="C17" s="1461"/>
      <c r="D17" s="1462"/>
      <c r="E17" s="1462"/>
      <c r="F17" s="1463"/>
      <c r="G17" s="365"/>
      <c r="H17" s="581"/>
      <c r="I17" s="116"/>
      <c r="J17" s="318"/>
      <c r="K17" s="318"/>
    </row>
    <row r="18" spans="2:11" ht="21" customHeight="1">
      <c r="B18" s="560"/>
      <c r="C18" s="1461"/>
      <c r="D18" s="1462"/>
      <c r="E18" s="1462"/>
      <c r="F18" s="1463"/>
      <c r="G18" s="365"/>
      <c r="H18" s="581"/>
      <c r="I18" s="116"/>
      <c r="J18" s="318"/>
    </row>
    <row r="19" spans="2:11" ht="21" customHeight="1">
      <c r="B19" s="560"/>
      <c r="C19" s="1461"/>
      <c r="D19" s="1462"/>
      <c r="E19" s="1462"/>
      <c r="F19" s="1463"/>
      <c r="G19" s="365"/>
      <c r="H19" s="581"/>
      <c r="I19" s="116"/>
      <c r="J19" s="318"/>
    </row>
    <row r="20" spans="2:11" ht="21" customHeight="1">
      <c r="B20" s="560"/>
      <c r="C20" s="1461"/>
      <c r="D20" s="1462"/>
      <c r="E20" s="1462"/>
      <c r="F20" s="1463"/>
      <c r="G20" s="365"/>
      <c r="H20" s="581"/>
      <c r="I20" s="116"/>
      <c r="J20" s="318"/>
      <c r="K20" s="318"/>
    </row>
    <row r="21" spans="2:11" ht="21" customHeight="1">
      <c r="B21" s="560"/>
      <c r="C21" s="1461"/>
      <c r="D21" s="1462"/>
      <c r="E21" s="1462"/>
      <c r="F21" s="1463"/>
      <c r="G21" s="365"/>
      <c r="H21" s="581"/>
      <c r="I21" s="116"/>
      <c r="J21" s="318"/>
      <c r="K21" s="318"/>
    </row>
    <row r="22" spans="2:11" ht="21" customHeight="1">
      <c r="B22" s="560"/>
      <c r="C22" s="1461"/>
      <c r="D22" s="1462"/>
      <c r="E22" s="1462"/>
      <c r="F22" s="1463"/>
      <c r="G22" s="365"/>
      <c r="H22" s="581"/>
      <c r="I22" s="116"/>
    </row>
    <row r="23" spans="2:11" ht="21" customHeight="1">
      <c r="B23" s="560"/>
      <c r="C23" s="1461"/>
      <c r="D23" s="1462"/>
      <c r="E23" s="1462"/>
      <c r="F23" s="1463"/>
      <c r="G23" s="365"/>
      <c r="H23" s="581"/>
      <c r="I23" s="116"/>
      <c r="J23" s="318"/>
    </row>
    <row r="24" spans="2:11" ht="21" customHeight="1" thickBot="1">
      <c r="B24" s="560"/>
      <c r="C24" s="1461"/>
      <c r="D24" s="1462"/>
      <c r="E24" s="1462"/>
      <c r="F24" s="1463"/>
      <c r="G24" s="578"/>
      <c r="H24" s="1469"/>
      <c r="I24" s="116"/>
      <c r="J24" s="318"/>
    </row>
    <row r="25" spans="2:11" ht="21" customHeight="1">
      <c r="B25" s="834"/>
      <c r="C25" s="1234"/>
      <c r="D25" s="1235"/>
      <c r="E25" s="1235"/>
      <c r="F25" s="631" t="s">
        <v>379</v>
      </c>
      <c r="G25" s="1470">
        <f>SUM(G10:G24)</f>
        <v>2800236.3099999991</v>
      </c>
      <c r="H25" s="1467">
        <f>SUM(H10:H24)</f>
        <v>1558983.7700000005</v>
      </c>
      <c r="I25" s="116" t="s">
        <v>844</v>
      </c>
      <c r="J25" s="318"/>
      <c r="K25" s="318"/>
    </row>
    <row r="26" spans="2:11" ht="21" customHeight="1">
      <c r="B26" s="560"/>
      <c r="C26" s="1461"/>
      <c r="D26" s="1462"/>
      <c r="E26" s="1462"/>
      <c r="F26" s="1463"/>
      <c r="G26" s="365"/>
      <c r="H26" s="581"/>
      <c r="I26" s="116"/>
      <c r="J26" s="318"/>
    </row>
    <row r="27" spans="2:11" ht="21" customHeight="1">
      <c r="B27" s="560"/>
      <c r="C27" s="1461"/>
      <c r="D27" s="1462"/>
      <c r="E27" s="1462"/>
      <c r="F27" s="1463"/>
      <c r="G27" s="365"/>
      <c r="H27" s="581"/>
      <c r="I27" s="116"/>
      <c r="J27" s="318"/>
      <c r="K27" s="318"/>
    </row>
    <row r="28" spans="2:11" ht="21" customHeight="1">
      <c r="B28" s="560"/>
      <c r="C28" s="1461"/>
      <c r="D28" s="1462"/>
      <c r="E28" s="1462"/>
      <c r="F28" s="1463"/>
      <c r="G28" s="365"/>
      <c r="H28" s="581"/>
      <c r="I28" s="116"/>
      <c r="J28" s="318"/>
      <c r="K28" s="318"/>
    </row>
    <row r="29" spans="2:11" ht="21" customHeight="1">
      <c r="B29" s="1594"/>
      <c r="C29" s="1594"/>
      <c r="D29" s="1594"/>
      <c r="E29" s="1594"/>
      <c r="F29" s="1595"/>
      <c r="G29" s="365"/>
      <c r="H29" s="581"/>
      <c r="I29" s="116"/>
      <c r="J29" s="318"/>
      <c r="K29" s="318"/>
    </row>
    <row r="30" spans="2:11" ht="21" customHeight="1">
      <c r="B30" s="1594"/>
      <c r="C30" s="1594"/>
      <c r="D30" s="1594"/>
      <c r="E30" s="1594"/>
      <c r="F30" s="1595"/>
      <c r="G30" s="365"/>
      <c r="H30" s="581"/>
      <c r="I30" s="116"/>
    </row>
    <row r="31" spans="2:11" ht="21" customHeight="1">
      <c r="B31" s="1594"/>
      <c r="C31" s="1594"/>
      <c r="D31" s="1594"/>
      <c r="E31" s="1594"/>
      <c r="F31" s="1595"/>
      <c r="G31" s="365"/>
      <c r="H31" s="581"/>
      <c r="I31" s="116"/>
      <c r="J31" s="318"/>
      <c r="K31" s="318"/>
    </row>
    <row r="32" spans="2:11" ht="21" customHeight="1">
      <c r="B32" s="1594"/>
      <c r="C32" s="1594"/>
      <c r="D32" s="1594"/>
      <c r="E32" s="1594"/>
      <c r="F32" s="1595"/>
      <c r="G32" s="365"/>
      <c r="H32" s="581"/>
      <c r="I32" s="116"/>
      <c r="J32" s="318"/>
      <c r="K32" s="318"/>
    </row>
    <row r="33" spans="2:11" ht="21" customHeight="1">
      <c r="B33" s="1594"/>
      <c r="C33" s="1594"/>
      <c r="D33" s="1594"/>
      <c r="E33" s="1594"/>
      <c r="F33" s="1595"/>
      <c r="G33" s="365"/>
      <c r="H33" s="581"/>
      <c r="I33" s="116"/>
      <c r="J33" s="318"/>
      <c r="K33" s="318"/>
    </row>
    <row r="34" spans="2:11" ht="21" customHeight="1">
      <c r="B34" s="1594"/>
      <c r="C34" s="1594"/>
      <c r="D34" s="1594"/>
      <c r="E34" s="1594"/>
      <c r="F34" s="1595"/>
      <c r="G34" s="365"/>
      <c r="H34" s="581"/>
      <c r="I34" s="116"/>
      <c r="J34" s="318"/>
      <c r="K34" s="318"/>
    </row>
    <row r="35" spans="2:11" ht="21" customHeight="1">
      <c r="B35" s="1594"/>
      <c r="C35" s="1594"/>
      <c r="D35" s="1594"/>
      <c r="E35" s="1594"/>
      <c r="F35" s="1595"/>
      <c r="G35" s="365"/>
      <c r="H35" s="652"/>
      <c r="I35" s="116"/>
      <c r="J35" s="318"/>
      <c r="K35" s="318"/>
    </row>
    <row r="36" spans="2:11" ht="21" customHeight="1">
      <c r="B36" s="1594"/>
      <c r="C36" s="1594"/>
      <c r="D36" s="1594"/>
      <c r="E36" s="1594"/>
      <c r="F36" s="1595"/>
      <c r="G36" s="365"/>
      <c r="H36" s="561"/>
      <c r="I36" s="116"/>
    </row>
    <row r="37" spans="2:11" ht="21" customHeight="1">
      <c r="B37" s="316"/>
      <c r="C37" s="316"/>
      <c r="D37" s="316"/>
      <c r="E37" s="316"/>
      <c r="F37" s="316"/>
      <c r="G37" s="330"/>
      <c r="H37" s="261"/>
      <c r="I37" s="116"/>
      <c r="J37" s="701"/>
    </row>
    <row r="38" spans="2:11" ht="21" customHeight="1">
      <c r="B38" s="316"/>
      <c r="C38" s="316"/>
      <c r="D38" s="316"/>
      <c r="E38" s="316"/>
      <c r="F38" s="316"/>
      <c r="G38" s="330"/>
      <c r="H38" s="304"/>
      <c r="I38" s="116"/>
    </row>
    <row r="39" spans="2:11" ht="21" customHeight="1">
      <c r="B39" s="316"/>
      <c r="C39" s="316" t="s">
        <v>845</v>
      </c>
      <c r="D39" s="316"/>
      <c r="E39" s="316"/>
      <c r="F39" s="316"/>
      <c r="G39" s="712"/>
      <c r="H39" s="304">
        <f>SUM('3-Trial Bal-Current Fund'!G17:G35)</f>
        <v>272136.4599999988</v>
      </c>
      <c r="I39" s="116"/>
      <c r="J39" s="318"/>
      <c r="K39" s="318"/>
    </row>
    <row r="40" spans="2:11" ht="21" customHeight="1">
      <c r="B40" s="316"/>
      <c r="C40" s="316" t="s">
        <v>125</v>
      </c>
      <c r="D40" s="316"/>
      <c r="E40" s="316"/>
      <c r="F40" s="316"/>
      <c r="G40" s="330">
        <f>+'13-Other Taxes'!G18+'14-Other Taxes'!G40+'14-Other Taxes'!G19</f>
        <v>238358.08</v>
      </c>
      <c r="H40" s="904"/>
      <c r="I40" s="116"/>
      <c r="J40" s="318"/>
      <c r="K40" s="318"/>
    </row>
    <row r="41" spans="2:11" ht="21" customHeight="1">
      <c r="B41" s="316"/>
      <c r="C41" s="316" t="s">
        <v>126</v>
      </c>
      <c r="D41" s="316"/>
      <c r="E41" s="316"/>
      <c r="F41" s="316"/>
      <c r="G41" s="897"/>
      <c r="H41" s="304">
        <f>+G40</f>
        <v>238358.08</v>
      </c>
      <c r="I41" s="116"/>
      <c r="J41" s="318"/>
      <c r="K41" s="318"/>
    </row>
    <row r="42" spans="2:11" ht="21" customHeight="1">
      <c r="B42" s="316"/>
      <c r="C42" s="316" t="s">
        <v>846</v>
      </c>
      <c r="D42" s="316"/>
      <c r="E42" s="316"/>
      <c r="F42" s="316"/>
      <c r="G42" s="712"/>
      <c r="H42" s="304">
        <f>+'21-Current Fund Surplus'!K14</f>
        <v>969116.08000000007</v>
      </c>
      <c r="I42" s="116"/>
      <c r="J42" s="318"/>
      <c r="K42" s="318"/>
    </row>
    <row r="43" spans="2:11" ht="21" customHeight="1" thickBot="1">
      <c r="B43" s="316"/>
      <c r="C43" s="316"/>
      <c r="D43" s="316"/>
      <c r="E43" s="316"/>
      <c r="F43" s="316"/>
      <c r="G43" s="307"/>
      <c r="H43" s="262"/>
      <c r="I43" s="116"/>
    </row>
    <row r="44" spans="2:11" ht="21" customHeight="1" thickBot="1">
      <c r="B44" s="316"/>
      <c r="C44" s="316"/>
      <c r="D44" s="316"/>
      <c r="E44" s="316"/>
      <c r="F44" s="316" t="s">
        <v>847</v>
      </c>
      <c r="G44" s="355">
        <f>SUM(G25:G43)</f>
        <v>3038594.3899999992</v>
      </c>
      <c r="H44" s="263">
        <f>SUM(H25:H42)</f>
        <v>3038594.3899999997</v>
      </c>
      <c r="I44" s="116"/>
      <c r="J44" s="318"/>
    </row>
    <row r="45" spans="2:11" ht="21" customHeight="1" thickTop="1">
      <c r="B45" s="316"/>
      <c r="C45" s="316"/>
      <c r="D45" s="316"/>
      <c r="E45" s="316"/>
      <c r="F45" s="316"/>
      <c r="G45" s="302"/>
      <c r="H45" s="261"/>
    </row>
    <row r="46" spans="2:11" ht="21" customHeight="1">
      <c r="B46" s="316"/>
      <c r="C46" s="316"/>
      <c r="D46" s="316"/>
      <c r="E46" s="316"/>
      <c r="F46" s="316"/>
      <c r="G46" s="330"/>
      <c r="H46" s="304"/>
    </row>
    <row r="47" spans="2:11">
      <c r="B47" s="1549" t="s">
        <v>103</v>
      </c>
      <c r="C47" s="1549"/>
      <c r="D47" s="1549"/>
      <c r="E47" s="1549"/>
      <c r="F47" s="1549"/>
      <c r="G47" s="1549"/>
      <c r="H47" s="1549"/>
    </row>
    <row r="48" spans="2:11" ht="13.8">
      <c r="B48" s="1545" t="s">
        <v>3554</v>
      </c>
      <c r="C48" s="1545"/>
      <c r="D48" s="1545"/>
      <c r="E48" s="1545"/>
      <c r="F48" s="1545"/>
      <c r="G48" s="1545"/>
      <c r="H48" s="1545"/>
    </row>
    <row r="49" spans="7:8">
      <c r="H49" s="320"/>
    </row>
    <row r="50" spans="7:8">
      <c r="G50" s="320"/>
      <c r="H50" s="320"/>
    </row>
    <row r="51" spans="7:8">
      <c r="H51" s="320"/>
    </row>
    <row r="52" spans="7:8">
      <c r="G52" s="320"/>
      <c r="H52" s="320"/>
    </row>
    <row r="53" spans="7:8">
      <c r="G53" s="320"/>
      <c r="H53" s="320"/>
    </row>
    <row r="54" spans="7:8">
      <c r="H54" s="320"/>
    </row>
    <row r="55" spans="7:8">
      <c r="G55" s="320"/>
    </row>
    <row r="57" spans="7:8">
      <c r="H57" s="320"/>
    </row>
  </sheetData>
  <sheetProtection password="CAF9" sheet="1" objects="1" scenarios="1"/>
  <mergeCells count="16">
    <mergeCell ref="B35:F35"/>
    <mergeCell ref="B36:F36"/>
    <mergeCell ref="B47:H47"/>
    <mergeCell ref="B48:H48"/>
    <mergeCell ref="B29:F29"/>
    <mergeCell ref="B30:F30"/>
    <mergeCell ref="B31:F31"/>
    <mergeCell ref="B32:F32"/>
    <mergeCell ref="B33:F33"/>
    <mergeCell ref="B34:F34"/>
    <mergeCell ref="B9:F9"/>
    <mergeCell ref="B2:H2"/>
    <mergeCell ref="B4:H4"/>
    <mergeCell ref="B5:H5"/>
    <mergeCell ref="B6:H6"/>
    <mergeCell ref="B8:H8"/>
  </mergeCells>
  <pageMargins left="0.25" right="0.25" top="0.5" bottom="0.5" header="0.25" footer="0.25"/>
  <pageSetup paperSize="5" scale="9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3:R46"/>
  <sheetViews>
    <sheetView zoomScaleNormal="100" workbookViewId="0">
      <selection activeCell="B10" sqref="B10"/>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16.6640625" customWidth="1"/>
  </cols>
  <sheetData>
    <row r="3" spans="2:18" ht="22.8">
      <c r="B3" s="1586" t="s">
        <v>451</v>
      </c>
      <c r="C3" s="1586"/>
      <c r="D3" s="1586"/>
      <c r="E3" s="1586"/>
      <c r="F3" s="1586"/>
      <c r="G3" s="1586"/>
      <c r="H3" s="1586"/>
    </row>
    <row r="4" spans="2:18" ht="22.8">
      <c r="B4" s="1586" t="s">
        <v>107</v>
      </c>
      <c r="C4" s="1586"/>
      <c r="D4" s="1586"/>
      <c r="E4" s="1586"/>
      <c r="F4" s="1586"/>
      <c r="G4" s="1586"/>
      <c r="H4" s="1586"/>
    </row>
    <row r="5" spans="2:18" ht="15.6">
      <c r="B5" s="1547" t="s">
        <v>653</v>
      </c>
      <c r="C5" s="1547"/>
      <c r="D5" s="1547"/>
      <c r="E5" s="1547"/>
      <c r="F5" s="1547"/>
      <c r="G5" s="1547"/>
      <c r="H5" s="1547"/>
    </row>
    <row r="6" spans="2:18" ht="15.6">
      <c r="B6" s="1592" t="str">
        <f>'KEY INPUTS'!D44</f>
        <v>AS  AT  DECEMBER  31, 2020</v>
      </c>
      <c r="C6" s="1547"/>
      <c r="D6" s="1547"/>
      <c r="E6" s="1547"/>
      <c r="F6" s="1547"/>
      <c r="G6" s="1547"/>
      <c r="H6" s="1547"/>
    </row>
    <row r="7" spans="2:18" ht="13.8" thickBot="1"/>
    <row r="8" spans="2:18" ht="36" customHeight="1" thickTop="1" thickBot="1">
      <c r="B8" s="1589" t="s">
        <v>100</v>
      </c>
      <c r="C8" s="1589"/>
      <c r="D8" s="1589"/>
      <c r="E8" s="1589"/>
      <c r="F8" s="1590"/>
      <c r="G8" s="4" t="s">
        <v>101</v>
      </c>
      <c r="H8" s="807" t="s">
        <v>102</v>
      </c>
      <c r="K8" s="315"/>
      <c r="L8" s="315"/>
      <c r="M8" s="315"/>
      <c r="N8" s="315"/>
      <c r="O8" s="315"/>
      <c r="P8" s="315"/>
      <c r="Q8" s="315"/>
      <c r="R8" s="315"/>
    </row>
    <row r="9" spans="2:18" ht="21" customHeight="1" thickTop="1">
      <c r="B9" s="823" t="s">
        <v>3699</v>
      </c>
      <c r="C9" s="390"/>
      <c r="D9" s="390"/>
      <c r="E9" s="390"/>
      <c r="F9" s="390"/>
      <c r="G9" s="653"/>
      <c r="H9" s="651"/>
      <c r="K9" s="315"/>
      <c r="L9" s="315"/>
      <c r="M9" s="315"/>
      <c r="N9" s="315"/>
      <c r="O9" s="315"/>
      <c r="P9" s="315"/>
      <c r="Q9" s="315"/>
      <c r="R9" s="315"/>
    </row>
    <row r="10" spans="2:18" ht="21" customHeight="1">
      <c r="B10" s="559"/>
      <c r="C10" s="559"/>
      <c r="D10" s="559"/>
      <c r="E10" s="559"/>
      <c r="F10" s="559"/>
      <c r="G10" s="367"/>
      <c r="H10" s="571"/>
      <c r="K10" s="370"/>
      <c r="L10" s="315"/>
      <c r="M10" s="315"/>
      <c r="N10" s="315"/>
      <c r="O10" s="315"/>
      <c r="P10" s="315"/>
      <c r="Q10" s="315"/>
      <c r="R10" s="315"/>
    </row>
    <row r="11" spans="2:18" ht="21" customHeight="1">
      <c r="B11" s="559"/>
      <c r="C11" s="559"/>
      <c r="D11" s="559"/>
      <c r="E11" s="559"/>
      <c r="F11" s="559"/>
      <c r="G11" s="367"/>
      <c r="H11" s="571"/>
      <c r="I11" s="221"/>
      <c r="K11" s="315"/>
      <c r="L11" s="315"/>
      <c r="M11" s="315"/>
      <c r="N11" s="315"/>
      <c r="O11" s="315"/>
      <c r="P11" s="315"/>
      <c r="Q11" s="315"/>
      <c r="R11" s="315"/>
    </row>
    <row r="12" spans="2:18" ht="21" customHeight="1">
      <c r="B12" s="559"/>
      <c r="C12" s="559"/>
      <c r="D12" s="559"/>
      <c r="E12" s="559"/>
      <c r="F12" s="559"/>
      <c r="G12" s="367"/>
      <c r="H12" s="571"/>
      <c r="K12" s="315"/>
      <c r="L12" s="315"/>
      <c r="M12" s="315"/>
      <c r="N12" s="315"/>
      <c r="O12" s="315"/>
      <c r="P12" s="315"/>
      <c r="Q12" s="315"/>
      <c r="R12" s="315"/>
    </row>
    <row r="13" spans="2:18" ht="21" customHeight="1">
      <c r="B13" s="559"/>
      <c r="C13" s="559"/>
      <c r="D13" s="559"/>
      <c r="E13" s="559"/>
      <c r="F13" s="559"/>
      <c r="G13" s="367"/>
      <c r="H13" s="571"/>
      <c r="K13" s="315"/>
      <c r="L13" s="315"/>
      <c r="M13" s="315"/>
      <c r="N13" s="315"/>
      <c r="O13" s="315"/>
      <c r="P13" s="315"/>
      <c r="Q13" s="315"/>
      <c r="R13" s="315"/>
    </row>
    <row r="14" spans="2:18" ht="21" customHeight="1">
      <c r="B14" s="559"/>
      <c r="C14" s="559"/>
      <c r="D14" s="559"/>
      <c r="E14" s="559"/>
      <c r="F14" s="559"/>
      <c r="G14" s="367"/>
      <c r="H14" s="571"/>
      <c r="K14" s="315"/>
      <c r="L14" s="315"/>
      <c r="M14" s="315"/>
      <c r="N14" s="315"/>
      <c r="O14" s="315"/>
      <c r="P14" s="315"/>
      <c r="Q14" s="315"/>
      <c r="R14" s="315"/>
    </row>
    <row r="15" spans="2:18" ht="21" customHeight="1">
      <c r="B15" s="559"/>
      <c r="C15" s="559"/>
      <c r="D15" s="559"/>
      <c r="E15" s="559"/>
      <c r="F15" s="559"/>
      <c r="G15" s="367"/>
      <c r="H15" s="571"/>
      <c r="K15" s="315"/>
      <c r="L15" s="315"/>
      <c r="M15" s="315"/>
      <c r="N15" s="315"/>
      <c r="O15" s="315"/>
      <c r="P15" s="315"/>
      <c r="Q15" s="315"/>
      <c r="R15" s="315"/>
    </row>
    <row r="16" spans="2:18" ht="21" customHeight="1">
      <c r="B16" s="559"/>
      <c r="C16" s="559"/>
      <c r="D16" s="559"/>
      <c r="E16" s="559"/>
      <c r="F16" s="559"/>
      <c r="G16" s="367"/>
      <c r="H16" s="571"/>
      <c r="K16" s="315"/>
      <c r="L16" s="315"/>
      <c r="M16" s="315"/>
      <c r="N16" s="315"/>
      <c r="O16" s="315"/>
      <c r="P16" s="315"/>
      <c r="Q16" s="315"/>
      <c r="R16" s="315"/>
    </row>
    <row r="17" spans="2:18" ht="21" customHeight="1">
      <c r="B17" s="559"/>
      <c r="C17" s="559"/>
      <c r="D17" s="559"/>
      <c r="E17" s="559"/>
      <c r="F17" s="559"/>
      <c r="G17" s="367"/>
      <c r="H17" s="571"/>
      <c r="K17" s="315"/>
      <c r="L17" s="315"/>
      <c r="M17" s="315"/>
      <c r="N17" s="315"/>
      <c r="O17" s="315"/>
      <c r="P17" s="315"/>
      <c r="Q17" s="315"/>
      <c r="R17" s="315"/>
    </row>
    <row r="18" spans="2:18" ht="21" customHeight="1">
      <c r="B18" s="559"/>
      <c r="C18" s="559"/>
      <c r="D18" s="559"/>
      <c r="E18" s="559"/>
      <c r="F18" s="559"/>
      <c r="G18" s="367"/>
      <c r="H18" s="571"/>
      <c r="K18" s="315"/>
      <c r="L18" s="315"/>
      <c r="M18" s="315"/>
      <c r="N18" s="315"/>
      <c r="O18" s="315"/>
      <c r="P18" s="315"/>
      <c r="Q18" s="315"/>
      <c r="R18" s="315"/>
    </row>
    <row r="19" spans="2:18" ht="21" customHeight="1">
      <c r="B19" s="559"/>
      <c r="C19" s="559"/>
      <c r="D19" s="559"/>
      <c r="E19" s="559"/>
      <c r="F19" s="559"/>
      <c r="G19" s="367"/>
      <c r="H19" s="571"/>
      <c r="K19" s="315"/>
      <c r="L19" s="315"/>
      <c r="M19" s="315"/>
      <c r="N19" s="315"/>
      <c r="O19" s="315"/>
      <c r="P19" s="315"/>
      <c r="Q19" s="315"/>
      <c r="R19" s="315"/>
    </row>
    <row r="20" spans="2:18" ht="21" customHeight="1">
      <c r="B20" s="559"/>
      <c r="C20" s="559"/>
      <c r="D20" s="559"/>
      <c r="E20" s="559"/>
      <c r="F20" s="559"/>
      <c r="G20" s="367"/>
      <c r="H20" s="571"/>
      <c r="K20" s="315"/>
      <c r="L20" s="315"/>
      <c r="M20" s="315"/>
      <c r="N20" s="315"/>
      <c r="O20" s="315"/>
      <c r="P20" s="315"/>
      <c r="Q20" s="315"/>
      <c r="R20" s="315"/>
    </row>
    <row r="21" spans="2:18" ht="21" customHeight="1">
      <c r="B21" s="559"/>
      <c r="C21" s="559"/>
      <c r="D21" s="559"/>
      <c r="E21" s="559"/>
      <c r="F21" s="559"/>
      <c r="G21" s="367"/>
      <c r="H21" s="571"/>
      <c r="K21" s="315"/>
      <c r="L21" s="315"/>
      <c r="M21" s="315"/>
      <c r="N21" s="315"/>
      <c r="O21" s="315"/>
      <c r="P21" s="315"/>
      <c r="Q21" s="315"/>
      <c r="R21" s="315"/>
    </row>
    <row r="22" spans="2:18" ht="21" customHeight="1">
      <c r="B22" s="559"/>
      <c r="C22" s="559"/>
      <c r="D22" s="559"/>
      <c r="E22" s="559"/>
      <c r="F22" s="559"/>
      <c r="G22" s="367"/>
      <c r="H22" s="571"/>
      <c r="K22" s="315"/>
      <c r="L22" s="315"/>
      <c r="M22" s="315"/>
      <c r="N22" s="315"/>
      <c r="O22" s="315"/>
      <c r="P22" s="315"/>
      <c r="Q22" s="315"/>
      <c r="R22" s="315"/>
    </row>
    <row r="23" spans="2:18" ht="21" customHeight="1">
      <c r="B23" s="559"/>
      <c r="C23" s="559"/>
      <c r="D23" s="559"/>
      <c r="E23" s="559"/>
      <c r="F23" s="559"/>
      <c r="G23" s="367"/>
      <c r="H23" s="571"/>
      <c r="K23" s="315"/>
      <c r="L23" s="315"/>
      <c r="M23" s="315"/>
      <c r="N23" s="315"/>
      <c r="O23" s="315"/>
      <c r="P23" s="315"/>
      <c r="Q23" s="315"/>
      <c r="R23" s="315"/>
    </row>
    <row r="24" spans="2:18" ht="21" customHeight="1">
      <c r="B24" s="559"/>
      <c r="C24" s="559"/>
      <c r="D24" s="559"/>
      <c r="E24" s="559"/>
      <c r="F24" s="559"/>
      <c r="G24" s="367"/>
      <c r="H24" s="571"/>
      <c r="K24" s="315"/>
      <c r="L24" s="315"/>
      <c r="M24" s="315"/>
      <c r="N24" s="315"/>
      <c r="O24" s="315"/>
      <c r="P24" s="315"/>
      <c r="Q24" s="315"/>
      <c r="R24" s="315"/>
    </row>
    <row r="25" spans="2:18" ht="21" customHeight="1">
      <c r="B25" s="559"/>
      <c r="C25" s="559"/>
      <c r="D25" s="559"/>
      <c r="E25" s="559"/>
      <c r="F25" s="559"/>
      <c r="G25" s="367"/>
      <c r="H25" s="571"/>
      <c r="K25" s="315"/>
      <c r="L25" s="315"/>
      <c r="M25" s="315"/>
      <c r="N25" s="315"/>
      <c r="O25" s="315"/>
      <c r="P25" s="315"/>
      <c r="Q25" s="315"/>
      <c r="R25" s="315"/>
    </row>
    <row r="26" spans="2:18" ht="21" customHeight="1">
      <c r="B26" s="559"/>
      <c r="C26" s="559"/>
      <c r="D26" s="559"/>
      <c r="E26" s="559"/>
      <c r="F26" s="559"/>
      <c r="G26" s="367"/>
      <c r="H26" s="571"/>
      <c r="K26" s="315"/>
      <c r="L26" s="315"/>
      <c r="M26" s="315"/>
      <c r="N26" s="315"/>
      <c r="O26" s="315"/>
      <c r="P26" s="315"/>
      <c r="Q26" s="315"/>
      <c r="R26" s="315"/>
    </row>
    <row r="27" spans="2:18" ht="21" customHeight="1">
      <c r="B27" s="559"/>
      <c r="C27" s="559"/>
      <c r="D27" s="559"/>
      <c r="E27" s="559"/>
      <c r="F27" s="559"/>
      <c r="G27" s="367"/>
      <c r="H27" s="571"/>
      <c r="K27" s="315"/>
      <c r="L27" s="315"/>
      <c r="M27" s="315"/>
      <c r="N27" s="315"/>
      <c r="O27" s="315"/>
      <c r="P27" s="315"/>
      <c r="Q27" s="315"/>
      <c r="R27" s="315"/>
    </row>
    <row r="28" spans="2:18" ht="21" customHeight="1">
      <c r="B28" s="559"/>
      <c r="C28" s="559"/>
      <c r="D28" s="559"/>
      <c r="E28" s="559"/>
      <c r="F28" s="559"/>
      <c r="G28" s="367"/>
      <c r="H28" s="571"/>
      <c r="K28" s="315"/>
      <c r="L28" s="315"/>
      <c r="M28" s="315"/>
      <c r="N28" s="315"/>
      <c r="O28" s="315"/>
      <c r="P28" s="315"/>
      <c r="Q28" s="315"/>
      <c r="R28" s="315"/>
    </row>
    <row r="29" spans="2:18" ht="21" customHeight="1">
      <c r="B29" s="559"/>
      <c r="C29" s="559"/>
      <c r="D29" s="559"/>
      <c r="E29" s="559"/>
      <c r="F29" s="559"/>
      <c r="G29" s="367"/>
      <c r="H29" s="571"/>
      <c r="K29" s="315"/>
      <c r="L29" s="315"/>
      <c r="M29" s="315"/>
      <c r="N29" s="315"/>
      <c r="O29" s="315"/>
      <c r="P29" s="315"/>
      <c r="Q29" s="315"/>
      <c r="R29" s="315"/>
    </row>
    <row r="30" spans="2:18" ht="21" customHeight="1">
      <c r="B30" s="559"/>
      <c r="C30" s="559"/>
      <c r="D30" s="559"/>
      <c r="E30" s="559"/>
      <c r="F30" s="559"/>
      <c r="G30" s="367"/>
      <c r="H30" s="571"/>
      <c r="K30" s="315"/>
      <c r="L30" s="315"/>
      <c r="M30" s="315"/>
      <c r="N30" s="315"/>
      <c r="O30" s="315"/>
      <c r="P30" s="315"/>
      <c r="Q30" s="315"/>
      <c r="R30" s="315"/>
    </row>
    <row r="31" spans="2:18" ht="21" customHeight="1">
      <c r="B31" s="559"/>
      <c r="C31" s="559"/>
      <c r="D31" s="559"/>
      <c r="E31" s="559"/>
      <c r="F31" s="559"/>
      <c r="G31" s="367"/>
      <c r="H31" s="571"/>
      <c r="K31" s="315"/>
      <c r="L31" s="315"/>
      <c r="M31" s="315"/>
      <c r="N31" s="315"/>
      <c r="O31" s="315"/>
      <c r="P31" s="315"/>
      <c r="Q31" s="315"/>
      <c r="R31" s="315"/>
    </row>
    <row r="32" spans="2:18" ht="21" customHeight="1">
      <c r="B32" s="559"/>
      <c r="C32" s="559"/>
      <c r="D32" s="559"/>
      <c r="E32" s="559"/>
      <c r="F32" s="559"/>
      <c r="G32" s="367"/>
      <c r="H32" s="571"/>
    </row>
    <row r="33" spans="2:8" ht="21" customHeight="1">
      <c r="B33" s="559"/>
      <c r="C33" s="559"/>
      <c r="D33" s="559"/>
      <c r="E33" s="559"/>
      <c r="F33" s="559"/>
      <c r="G33" s="367"/>
      <c r="H33" s="571"/>
    </row>
    <row r="34" spans="2:8" ht="21" customHeight="1">
      <c r="B34" s="559"/>
      <c r="C34" s="559"/>
      <c r="D34" s="559"/>
      <c r="E34" s="559"/>
      <c r="F34" s="559"/>
      <c r="G34" s="367"/>
      <c r="H34" s="571"/>
    </row>
    <row r="35" spans="2:8" ht="21" customHeight="1">
      <c r="B35" s="559"/>
      <c r="C35" s="559"/>
      <c r="D35" s="559"/>
      <c r="E35" s="559"/>
      <c r="F35" s="559"/>
      <c r="G35" s="367"/>
      <c r="H35" s="571"/>
    </row>
    <row r="36" spans="2:8" ht="21" customHeight="1">
      <c r="B36" s="559"/>
      <c r="C36" s="559"/>
      <c r="D36" s="559"/>
      <c r="E36" s="559"/>
      <c r="F36" s="559"/>
      <c r="G36" s="367"/>
      <c r="H36" s="571"/>
    </row>
    <row r="37" spans="2:8" ht="21" customHeight="1">
      <c r="B37" s="559"/>
      <c r="C37" s="559"/>
      <c r="D37" s="559"/>
      <c r="E37" s="559"/>
      <c r="F37" s="559"/>
      <c r="G37" s="367"/>
      <c r="H37" s="571"/>
    </row>
    <row r="38" spans="2:8" ht="21" customHeight="1">
      <c r="B38" s="559"/>
      <c r="C38" s="559"/>
      <c r="D38" s="559"/>
      <c r="E38" s="559"/>
      <c r="F38" s="559"/>
      <c r="G38" s="367"/>
      <c r="H38" s="571"/>
    </row>
    <row r="39" spans="2:8" ht="21" customHeight="1" thickBot="1">
      <c r="B39" s="559"/>
      <c r="C39" s="559"/>
      <c r="D39" s="559"/>
      <c r="E39" s="559"/>
      <c r="F39" s="559"/>
      <c r="G39" s="367"/>
      <c r="H39" s="571"/>
    </row>
    <row r="40" spans="2:8" ht="21" customHeight="1" thickBot="1">
      <c r="B40" s="316"/>
      <c r="C40" s="316"/>
      <c r="D40" s="316" t="s">
        <v>847</v>
      </c>
      <c r="E40" s="316"/>
      <c r="F40" s="316"/>
      <c r="G40" s="233">
        <f>SUM(G9:G39)</f>
        <v>0</v>
      </c>
      <c r="H40" s="234">
        <f>SUM(H9:H39)</f>
        <v>0</v>
      </c>
    </row>
    <row r="41" spans="2:8" ht="13.8" thickTop="1">
      <c r="B41" s="1549" t="s">
        <v>103</v>
      </c>
      <c r="C41" s="1549"/>
      <c r="D41" s="1549"/>
      <c r="E41" s="1549"/>
      <c r="F41" s="1549"/>
      <c r="G41" s="1549"/>
      <c r="H41" s="1549"/>
    </row>
    <row r="42" spans="2:8">
      <c r="B42" s="8" t="s">
        <v>109</v>
      </c>
      <c r="C42" s="9"/>
      <c r="D42" s="1"/>
      <c r="E42" s="1"/>
      <c r="F42" s="1"/>
      <c r="G42" s="1"/>
      <c r="H42" s="1"/>
    </row>
    <row r="43" spans="2:8">
      <c r="B43" s="9"/>
      <c r="C43" s="8" t="s">
        <v>654</v>
      </c>
      <c r="D43" s="1"/>
      <c r="E43" s="1"/>
      <c r="F43" s="1"/>
      <c r="G43" s="1"/>
      <c r="H43" s="1"/>
    </row>
    <row r="44" spans="2:8">
      <c r="B44" s="9"/>
      <c r="C44" s="8"/>
      <c r="D44" s="1"/>
      <c r="E44" s="1"/>
      <c r="F44" s="1"/>
      <c r="G44" s="1"/>
      <c r="H44" s="1"/>
    </row>
    <row r="45" spans="2:8">
      <c r="B45" s="1"/>
      <c r="C45" s="1"/>
      <c r="D45" s="1"/>
      <c r="E45" s="1"/>
      <c r="F45" s="1"/>
      <c r="G45" s="1"/>
      <c r="H45" s="1"/>
    </row>
    <row r="46" spans="2:8" ht="13.8">
      <c r="B46" s="1545" t="s">
        <v>108</v>
      </c>
      <c r="C46" s="1545"/>
      <c r="D46" s="1545"/>
      <c r="E46" s="1545"/>
      <c r="F46" s="1545"/>
      <c r="G46" s="1545"/>
      <c r="H46" s="1545"/>
    </row>
  </sheetData>
  <sheetProtection password="CAF9" sheet="1" objects="1" scenarios="1"/>
  <mergeCells count="7">
    <mergeCell ref="B8:F8"/>
    <mergeCell ref="B41:H41"/>
    <mergeCell ref="B46:H46"/>
    <mergeCell ref="B3:H3"/>
    <mergeCell ref="B4:H4"/>
    <mergeCell ref="B5:H5"/>
    <mergeCell ref="B6:H6"/>
  </mergeCells>
  <phoneticPr fontId="0" type="noConversion"/>
  <pageMargins left="0.25" right="0.25" top="0.5" bottom="0.5" header="0.25" footer="0.25"/>
  <pageSetup paperSize="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B3:Q48"/>
  <sheetViews>
    <sheetView topLeftCell="A16" zoomScaleNormal="100" workbookViewId="0">
      <selection activeCell="G22" sqref="G22"/>
    </sheetView>
  </sheetViews>
  <sheetFormatPr defaultRowHeight="13.2"/>
  <cols>
    <col min="1" max="1" width="4.6640625" customWidth="1"/>
    <col min="2" max="2" width="4.88671875" customWidth="1"/>
    <col min="3" max="4" width="4.6640625" customWidth="1"/>
    <col min="5" max="5" width="30.88671875" customWidth="1"/>
    <col min="6" max="6" width="15.6640625" customWidth="1"/>
    <col min="7" max="8" width="16.6640625" customWidth="1"/>
    <col min="9" max="9" width="12.109375" bestFit="1" customWidth="1"/>
  </cols>
  <sheetData>
    <row r="3" spans="2:17" ht="22.8">
      <c r="B3" s="1586" t="s">
        <v>110</v>
      </c>
      <c r="C3" s="1586"/>
      <c r="D3" s="1586"/>
      <c r="E3" s="1586"/>
      <c r="F3" s="1586"/>
      <c r="G3" s="1586"/>
      <c r="H3" s="1586"/>
    </row>
    <row r="4" spans="2:17" ht="22.8">
      <c r="B4" s="1586" t="s">
        <v>111</v>
      </c>
      <c r="C4" s="1586"/>
      <c r="D4" s="1586"/>
      <c r="E4" s="1586"/>
      <c r="F4" s="1586"/>
      <c r="G4" s="1586"/>
      <c r="H4" s="1586"/>
    </row>
    <row r="5" spans="2:17" ht="12.75" customHeight="1">
      <c r="B5" s="2"/>
      <c r="C5" s="2"/>
      <c r="D5" s="2"/>
      <c r="E5" s="2"/>
      <c r="F5" s="2"/>
      <c r="G5" s="2"/>
      <c r="H5" s="2"/>
    </row>
    <row r="6" spans="2:17" ht="15.6">
      <c r="B6" s="1592" t="str">
        <f>'KEY INPUTS'!D44</f>
        <v>AS  AT  DECEMBER  31, 2020</v>
      </c>
      <c r="C6" s="1547"/>
      <c r="D6" s="1547"/>
      <c r="E6" s="1547"/>
      <c r="F6" s="1547"/>
      <c r="G6" s="1547"/>
      <c r="H6" s="1547"/>
    </row>
    <row r="7" spans="2:17" ht="13.8" thickBot="1"/>
    <row r="8" spans="2:17" ht="36" customHeight="1" thickTop="1" thickBot="1">
      <c r="B8" s="1589" t="s">
        <v>100</v>
      </c>
      <c r="C8" s="1589"/>
      <c r="D8" s="1589"/>
      <c r="E8" s="1589"/>
      <c r="F8" s="1590"/>
      <c r="G8" s="4" t="s">
        <v>101</v>
      </c>
      <c r="H8" s="3" t="s">
        <v>102</v>
      </c>
      <c r="J8" s="315"/>
      <c r="K8" s="315"/>
      <c r="L8" s="315"/>
      <c r="M8" s="315"/>
      <c r="N8" s="315"/>
      <c r="O8" s="315"/>
      <c r="P8" s="315"/>
      <c r="Q8" s="315"/>
    </row>
    <row r="9" spans="2:17" ht="21" customHeight="1" thickTop="1">
      <c r="G9" s="163"/>
      <c r="H9" s="65"/>
      <c r="J9" s="315"/>
      <c r="K9" s="315"/>
      <c r="L9" s="315"/>
      <c r="M9" s="315"/>
      <c r="N9" s="315"/>
      <c r="O9" s="315"/>
      <c r="P9" s="315"/>
      <c r="Q9" s="315"/>
    </row>
    <row r="10" spans="2:17" s="315" customFormat="1" ht="21" customHeight="1">
      <c r="B10" s="316"/>
      <c r="C10" s="319" t="s">
        <v>375</v>
      </c>
      <c r="D10" s="316"/>
      <c r="E10" s="316"/>
      <c r="F10" s="316"/>
      <c r="G10" s="68">
        <f>+'9-Cash Reconciliation'!I7</f>
        <v>0</v>
      </c>
      <c r="H10" s="69"/>
    </row>
    <row r="11" spans="2:17" ht="21" customHeight="1">
      <c r="B11" s="5"/>
      <c r="C11" s="5" t="s">
        <v>587</v>
      </c>
      <c r="D11" s="5"/>
      <c r="E11" s="5"/>
      <c r="F11" s="5"/>
      <c r="G11" s="68">
        <f>'10 Totals Grants Receivable'!K27</f>
        <v>13500</v>
      </c>
      <c r="H11" s="571"/>
      <c r="I11" s="221"/>
      <c r="J11" s="370"/>
      <c r="K11" s="315"/>
      <c r="L11" s="315"/>
      <c r="M11" s="315"/>
      <c r="N11" s="315"/>
      <c r="O11" s="315"/>
      <c r="P11" s="315"/>
      <c r="Q11" s="315"/>
    </row>
    <row r="12" spans="2:17" ht="21" customHeight="1">
      <c r="B12" s="5"/>
      <c r="C12" s="559"/>
      <c r="D12" s="559"/>
      <c r="E12" s="559"/>
      <c r="F12" s="559"/>
      <c r="G12" s="367"/>
      <c r="H12" s="571"/>
      <c r="J12" s="315"/>
      <c r="K12" s="315"/>
      <c r="L12" s="315"/>
      <c r="M12" s="315"/>
      <c r="N12" s="315"/>
      <c r="O12" s="315"/>
      <c r="P12" s="315"/>
      <c r="Q12" s="315"/>
    </row>
    <row r="13" spans="2:17" s="315" customFormat="1" ht="21" customHeight="1">
      <c r="B13" s="316"/>
      <c r="C13" s="559"/>
      <c r="D13" s="559"/>
      <c r="E13" s="559"/>
      <c r="F13" s="559"/>
      <c r="G13" s="367"/>
      <c r="H13" s="571"/>
    </row>
    <row r="14" spans="2:17" s="315" customFormat="1" ht="21" customHeight="1">
      <c r="B14" s="316"/>
      <c r="C14" s="559"/>
      <c r="D14" s="559"/>
      <c r="E14" s="559"/>
      <c r="F14" s="559"/>
      <c r="G14" s="367"/>
      <c r="H14" s="571"/>
    </row>
    <row r="15" spans="2:17" s="315" customFormat="1" ht="21" customHeight="1">
      <c r="B15" s="316"/>
      <c r="C15" s="559"/>
      <c r="D15" s="559"/>
      <c r="E15" s="559"/>
      <c r="F15" s="559"/>
      <c r="G15" s="367"/>
      <c r="H15" s="571"/>
    </row>
    <row r="16" spans="2:17" s="315" customFormat="1" ht="21" customHeight="1">
      <c r="B16" s="316"/>
      <c r="C16" s="559"/>
      <c r="D16" s="559"/>
      <c r="E16" s="559"/>
      <c r="F16" s="559"/>
      <c r="G16" s="367"/>
      <c r="H16" s="571"/>
    </row>
    <row r="17" spans="2:17" s="315" customFormat="1" ht="21" customHeight="1">
      <c r="B17" s="316"/>
      <c r="C17" s="559"/>
      <c r="D17" s="559"/>
      <c r="E17" s="559"/>
      <c r="F17" s="559"/>
      <c r="G17" s="367"/>
      <c r="H17" s="571"/>
    </row>
    <row r="18" spans="2:17" s="315" customFormat="1" ht="21" customHeight="1">
      <c r="B18" s="316"/>
      <c r="C18" s="559"/>
      <c r="D18" s="559"/>
      <c r="E18" s="559"/>
      <c r="F18" s="559"/>
      <c r="G18" s="367"/>
      <c r="H18" s="571"/>
    </row>
    <row r="19" spans="2:17" s="273" customFormat="1" ht="21" customHeight="1">
      <c r="B19" s="274"/>
      <c r="C19" s="559"/>
      <c r="D19" s="559"/>
      <c r="E19" s="559"/>
      <c r="F19" s="559"/>
      <c r="G19" s="367"/>
      <c r="H19" s="571"/>
      <c r="I19" s="305"/>
      <c r="J19" s="315"/>
      <c r="K19" s="315"/>
      <c r="L19" s="315"/>
      <c r="M19" s="315"/>
      <c r="N19" s="315"/>
      <c r="O19" s="315"/>
      <c r="P19" s="315"/>
      <c r="Q19" s="315"/>
    </row>
    <row r="20" spans="2:17" s="273" customFormat="1" ht="21" customHeight="1">
      <c r="B20" s="274"/>
      <c r="C20" s="559"/>
      <c r="D20" s="559"/>
      <c r="E20" s="559"/>
      <c r="F20" s="559"/>
      <c r="G20" s="367"/>
      <c r="H20" s="571"/>
      <c r="J20" s="315"/>
      <c r="K20" s="315"/>
      <c r="L20" s="315"/>
      <c r="M20" s="315"/>
      <c r="N20" s="315"/>
      <c r="O20" s="315"/>
      <c r="P20" s="315"/>
      <c r="Q20" s="315"/>
    </row>
    <row r="21" spans="2:17" ht="21" customHeight="1">
      <c r="B21" s="5"/>
      <c r="C21" s="559" t="s">
        <v>133</v>
      </c>
      <c r="D21" s="559"/>
      <c r="E21" s="559"/>
      <c r="F21" s="559"/>
      <c r="G21" s="367">
        <v>11073.4</v>
      </c>
      <c r="H21" s="571"/>
      <c r="I21" s="221"/>
      <c r="J21" s="315"/>
      <c r="K21" s="315"/>
      <c r="L21" s="315"/>
      <c r="M21" s="315"/>
      <c r="N21" s="315"/>
      <c r="O21" s="315"/>
      <c r="P21" s="315"/>
      <c r="Q21" s="315"/>
    </row>
    <row r="22" spans="2:17" ht="21" customHeight="1">
      <c r="B22" s="5"/>
      <c r="C22" s="559"/>
      <c r="D22" s="559"/>
      <c r="E22" s="559"/>
      <c r="F22" s="559"/>
      <c r="G22" s="367"/>
      <c r="H22" s="571"/>
      <c r="J22" s="315"/>
      <c r="K22" s="315"/>
      <c r="L22" s="315"/>
      <c r="M22" s="315"/>
      <c r="N22" s="315"/>
      <c r="O22" s="315"/>
      <c r="P22" s="315"/>
      <c r="Q22" s="315"/>
    </row>
    <row r="23" spans="2:17" ht="21" customHeight="1">
      <c r="B23" s="5"/>
      <c r="C23" s="559"/>
      <c r="D23" s="559"/>
      <c r="E23" s="559"/>
      <c r="F23" s="559"/>
      <c r="G23" s="367"/>
      <c r="H23" s="571"/>
      <c r="I23" s="221"/>
      <c r="J23" s="315"/>
      <c r="K23" s="315"/>
      <c r="L23" s="315"/>
      <c r="M23" s="315"/>
      <c r="N23" s="315"/>
      <c r="O23" s="315"/>
      <c r="P23" s="315"/>
      <c r="Q23" s="315"/>
    </row>
    <row r="24" spans="2:17" ht="21" customHeight="1">
      <c r="B24" s="5"/>
      <c r="C24" s="559" t="s">
        <v>843</v>
      </c>
      <c r="D24" s="559"/>
      <c r="E24" s="559"/>
      <c r="F24" s="559"/>
      <c r="G24" s="367"/>
      <c r="H24" s="571"/>
      <c r="I24" s="305"/>
      <c r="J24" s="315"/>
      <c r="K24" s="315"/>
      <c r="L24" s="315"/>
      <c r="M24" s="315"/>
      <c r="N24" s="315"/>
      <c r="O24" s="315"/>
      <c r="P24" s="315"/>
      <c r="Q24" s="315"/>
    </row>
    <row r="25" spans="2:17" s="315" customFormat="1" ht="21" customHeight="1">
      <c r="B25" s="316"/>
      <c r="C25" s="559"/>
      <c r="D25" s="559"/>
      <c r="E25" s="559"/>
      <c r="F25" s="559"/>
      <c r="G25" s="367"/>
      <c r="H25" s="571"/>
      <c r="I25" s="318"/>
    </row>
    <row r="26" spans="2:17" s="315" customFormat="1" ht="21" customHeight="1">
      <c r="B26" s="316"/>
      <c r="C26" s="559"/>
      <c r="D26" s="559"/>
      <c r="E26" s="559"/>
      <c r="F26" s="559"/>
      <c r="G26" s="367"/>
      <c r="H26" s="571"/>
      <c r="I26" s="318"/>
    </row>
    <row r="27" spans="2:17" s="315" customFormat="1" ht="21" customHeight="1">
      <c r="B27" s="316"/>
      <c r="C27" s="559"/>
      <c r="D27" s="559"/>
      <c r="E27" s="559"/>
      <c r="F27" s="559"/>
      <c r="G27" s="367"/>
      <c r="H27" s="571"/>
      <c r="I27" s="318"/>
    </row>
    <row r="28" spans="2:17" s="315" customFormat="1" ht="21" customHeight="1">
      <c r="B28" s="316"/>
      <c r="C28" s="559"/>
      <c r="D28" s="559"/>
      <c r="E28" s="559"/>
      <c r="F28" s="559"/>
      <c r="G28" s="367"/>
      <c r="H28" s="571"/>
      <c r="I28" s="318"/>
    </row>
    <row r="29" spans="2:17" s="315" customFormat="1" ht="21" customHeight="1">
      <c r="B29" s="316"/>
      <c r="C29" s="559"/>
      <c r="D29" s="559"/>
      <c r="E29" s="559"/>
      <c r="F29" s="559"/>
      <c r="G29" s="367"/>
      <c r="H29" s="571"/>
      <c r="I29" s="318"/>
    </row>
    <row r="30" spans="2:17" s="315" customFormat="1" ht="21" customHeight="1">
      <c r="B30" s="316"/>
      <c r="C30" s="559"/>
      <c r="D30" s="559"/>
      <c r="E30" s="559"/>
      <c r="F30" s="559"/>
      <c r="G30" s="367"/>
      <c r="H30" s="571"/>
      <c r="I30" s="318"/>
    </row>
    <row r="31" spans="2:17" ht="21" customHeight="1">
      <c r="B31" s="5"/>
      <c r="C31" s="559"/>
      <c r="D31" s="559"/>
      <c r="E31" s="559"/>
      <c r="F31" s="559"/>
      <c r="G31" s="367"/>
      <c r="H31" s="571"/>
      <c r="J31" s="315"/>
      <c r="K31" s="315"/>
      <c r="L31" s="315"/>
      <c r="M31" s="315"/>
      <c r="N31" s="315"/>
      <c r="O31" s="315"/>
      <c r="P31" s="315"/>
      <c r="Q31" s="315"/>
    </row>
    <row r="32" spans="2:17" ht="21" customHeight="1">
      <c r="B32" s="5"/>
      <c r="C32" s="559"/>
      <c r="D32" s="559"/>
      <c r="E32" s="559"/>
      <c r="F32" s="559"/>
      <c r="G32" s="367"/>
      <c r="H32" s="571"/>
      <c r="J32" s="315"/>
      <c r="K32" s="315"/>
      <c r="L32" s="315"/>
      <c r="M32" s="315"/>
      <c r="N32" s="315"/>
      <c r="O32" s="315"/>
      <c r="P32" s="315"/>
      <c r="Q32" s="315"/>
    </row>
    <row r="33" spans="2:17" ht="21" customHeight="1">
      <c r="B33" s="5"/>
      <c r="C33" s="5" t="s">
        <v>299</v>
      </c>
      <c r="D33" s="5"/>
      <c r="E33" s="5"/>
      <c r="F33" s="5"/>
      <c r="G33" s="367"/>
      <c r="H33" s="654">
        <f>+'11- Totals Grants Approp Rsrv'!L27</f>
        <v>23510.980000000003</v>
      </c>
      <c r="I33" s="705"/>
      <c r="J33" s="315"/>
      <c r="K33" s="315"/>
      <c r="L33" s="315"/>
      <c r="M33" s="315"/>
      <c r="N33" s="315"/>
      <c r="O33" s="315"/>
      <c r="P33" s="315"/>
      <c r="Q33" s="315"/>
    </row>
    <row r="34" spans="2:17" ht="21" customHeight="1">
      <c r="B34" s="5"/>
      <c r="C34" s="5" t="s">
        <v>588</v>
      </c>
      <c r="D34" s="5"/>
      <c r="E34" s="5"/>
      <c r="F34" s="5"/>
      <c r="G34" s="367"/>
      <c r="H34" s="654">
        <f>+'12 Total-Grants Unappropriated'!K27</f>
        <v>1062.42</v>
      </c>
      <c r="I34" s="703"/>
      <c r="J34" s="315"/>
      <c r="K34" s="315"/>
      <c r="L34" s="315"/>
      <c r="M34" s="315"/>
      <c r="N34" s="315"/>
      <c r="O34" s="315"/>
      <c r="P34" s="315"/>
      <c r="Q34" s="315"/>
    </row>
    <row r="35" spans="2:17" ht="21" customHeight="1" thickBot="1">
      <c r="B35" s="5"/>
      <c r="C35" s="5"/>
      <c r="D35" s="5"/>
      <c r="E35" s="5"/>
      <c r="F35" s="5"/>
      <c r="G35" s="133"/>
      <c r="H35" s="73"/>
      <c r="J35" s="315"/>
      <c r="K35" s="315"/>
      <c r="L35" s="315"/>
      <c r="M35" s="315"/>
      <c r="N35" s="315"/>
      <c r="O35" s="315"/>
      <c r="P35" s="315"/>
      <c r="Q35" s="315"/>
    </row>
    <row r="36" spans="2:17" ht="21" customHeight="1" thickBot="1">
      <c r="B36" s="5"/>
      <c r="C36" s="5"/>
      <c r="D36" s="5" t="s">
        <v>847</v>
      </c>
      <c r="E36" s="5"/>
      <c r="F36" s="5"/>
      <c r="G36" s="233">
        <f>SUM(G9:G35)</f>
        <v>24573.4</v>
      </c>
      <c r="H36" s="234">
        <f>SUM(H9:H35)</f>
        <v>24573.4</v>
      </c>
      <c r="I36" s="221"/>
      <c r="J36" s="315"/>
      <c r="K36" s="315"/>
      <c r="L36" s="315"/>
      <c r="M36" s="315"/>
      <c r="N36" s="315"/>
      <c r="O36" s="315"/>
      <c r="P36" s="315"/>
      <c r="Q36" s="315"/>
    </row>
    <row r="37" spans="2:17" ht="21" customHeight="1" thickTop="1">
      <c r="B37" s="5"/>
      <c r="C37" s="5"/>
      <c r="D37" s="5"/>
      <c r="E37" s="5"/>
      <c r="F37" s="5"/>
      <c r="G37" s="66"/>
      <c r="H37" s="67"/>
      <c r="I37" s="221"/>
      <c r="J37" s="315"/>
      <c r="K37" s="315"/>
      <c r="L37" s="315"/>
      <c r="M37" s="315"/>
      <c r="N37" s="315"/>
      <c r="O37" s="315"/>
      <c r="P37" s="315"/>
      <c r="Q37" s="315"/>
    </row>
    <row r="38" spans="2:17" ht="21" customHeight="1">
      <c r="B38" s="5"/>
      <c r="C38" s="5"/>
      <c r="D38" s="5"/>
      <c r="E38" s="5"/>
      <c r="F38" s="5"/>
      <c r="G38" s="68"/>
      <c r="H38" s="69"/>
    </row>
    <row r="39" spans="2:17" ht="21" customHeight="1">
      <c r="B39" s="5"/>
      <c r="C39" s="5"/>
      <c r="D39" s="5"/>
      <c r="E39" s="5"/>
      <c r="F39" s="5"/>
      <c r="G39" s="68"/>
      <c r="H39" s="69"/>
    </row>
    <row r="40" spans="2:17" ht="21" customHeight="1">
      <c r="B40" s="5"/>
      <c r="C40" s="5"/>
      <c r="D40" s="5"/>
      <c r="E40" s="5"/>
      <c r="F40" s="5"/>
      <c r="G40" s="68"/>
      <c r="H40" s="69"/>
    </row>
    <row r="41" spans="2:17" ht="21" customHeight="1">
      <c r="B41" s="5"/>
      <c r="C41" s="5"/>
      <c r="D41" s="5"/>
      <c r="E41" s="5"/>
      <c r="F41" s="5"/>
      <c r="G41" s="68"/>
      <c r="H41" s="69"/>
    </row>
    <row r="42" spans="2:17" ht="21" customHeight="1">
      <c r="B42" s="5"/>
      <c r="C42" s="5"/>
      <c r="D42" s="5"/>
      <c r="E42" s="5"/>
      <c r="F42" s="5"/>
      <c r="G42" s="68"/>
      <c r="H42" s="69"/>
    </row>
    <row r="43" spans="2:17" ht="21" customHeight="1">
      <c r="B43" s="5"/>
      <c r="C43" s="5"/>
      <c r="D43" s="5"/>
      <c r="E43" s="5"/>
      <c r="F43" s="5"/>
      <c r="G43" s="68"/>
      <c r="H43" s="69"/>
    </row>
    <row r="44" spans="2:17" ht="21" customHeight="1">
      <c r="B44" s="5"/>
      <c r="C44" s="5"/>
      <c r="D44" s="5"/>
      <c r="E44" s="5"/>
      <c r="F44" s="5"/>
      <c r="G44" s="68"/>
      <c r="H44" s="69"/>
    </row>
    <row r="45" spans="2:17">
      <c r="B45" s="1549" t="s">
        <v>103</v>
      </c>
      <c r="C45" s="1549"/>
      <c r="D45" s="1549"/>
      <c r="E45" s="1549"/>
      <c r="F45" s="1549"/>
      <c r="G45" s="1549"/>
      <c r="H45" s="1549"/>
    </row>
    <row r="46" spans="2:17">
      <c r="B46" s="1"/>
      <c r="C46" s="1"/>
      <c r="D46" s="1"/>
      <c r="E46" s="1"/>
      <c r="F46" s="1"/>
      <c r="G46" s="1"/>
      <c r="H46" s="1"/>
    </row>
    <row r="48" spans="2:17" ht="13.8">
      <c r="B48" s="1545" t="s">
        <v>507</v>
      </c>
      <c r="C48" s="1545"/>
      <c r="D48" s="1545"/>
      <c r="E48" s="1545"/>
      <c r="F48" s="1545"/>
      <c r="G48" s="1545"/>
      <c r="H48" s="1545"/>
    </row>
  </sheetData>
  <sheetProtection password="CAF9" sheet="1" objects="1" scenarios="1"/>
  <mergeCells count="6">
    <mergeCell ref="B8:F8"/>
    <mergeCell ref="B45:H45"/>
    <mergeCell ref="B48:H48"/>
    <mergeCell ref="B3:H3"/>
    <mergeCell ref="B4:H4"/>
    <mergeCell ref="B6:H6"/>
  </mergeCells>
  <phoneticPr fontId="0" type="noConversion"/>
  <pageMargins left="0.25" right="0.25" top="0.5" bottom="0.5" header="0.25" footer="0.25"/>
  <pageSetup paperSize="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B3:Q47"/>
  <sheetViews>
    <sheetView topLeftCell="A25" zoomScaleNormal="100" zoomScaleSheetLayoutView="100" workbookViewId="0">
      <selection activeCell="H44" sqref="H44"/>
    </sheetView>
  </sheetViews>
  <sheetFormatPr defaultRowHeight="13.2"/>
  <cols>
    <col min="1" max="1" width="4.6640625" customWidth="1"/>
    <col min="2" max="2" width="4.88671875" customWidth="1"/>
    <col min="3" max="4" width="4.6640625" customWidth="1"/>
    <col min="5" max="5" width="31.5546875" customWidth="1"/>
    <col min="6" max="6" width="15.6640625" customWidth="1"/>
    <col min="7" max="7" width="16.6640625" style="239" customWidth="1"/>
    <col min="8" max="8" width="16.6640625" style="270" customWidth="1"/>
    <col min="9" max="9" width="13.5546875" style="736" bestFit="1" customWidth="1"/>
    <col min="10" max="10" width="10.88671875" style="736" bestFit="1" customWidth="1"/>
  </cols>
  <sheetData>
    <row r="3" spans="2:17" ht="22.8">
      <c r="B3" s="1586" t="s">
        <v>451</v>
      </c>
      <c r="C3" s="1586"/>
      <c r="D3" s="1586"/>
      <c r="E3" s="1586"/>
      <c r="F3" s="1586"/>
      <c r="G3" s="1586"/>
      <c r="H3" s="1586"/>
    </row>
    <row r="4" spans="2:17" ht="22.8">
      <c r="B4" s="1586" t="s">
        <v>508</v>
      </c>
      <c r="C4" s="1586"/>
      <c r="D4" s="1586"/>
      <c r="E4" s="1586"/>
      <c r="F4" s="1586"/>
      <c r="G4" s="1586"/>
      <c r="H4" s="1586"/>
    </row>
    <row r="5" spans="2:17" ht="17.399999999999999">
      <c r="B5" s="1596" t="s">
        <v>655</v>
      </c>
      <c r="C5" s="1596"/>
      <c r="D5" s="1596"/>
      <c r="E5" s="1596"/>
      <c r="F5" s="1596"/>
      <c r="G5" s="1596"/>
      <c r="H5" s="1596"/>
    </row>
    <row r="6" spans="2:17" ht="15.6">
      <c r="B6" s="1592" t="str">
        <f>'KEY INPUTS'!D44</f>
        <v>AS  AT  DECEMBER  31, 2020</v>
      </c>
      <c r="C6" s="1547"/>
      <c r="D6" s="1547"/>
      <c r="E6" s="1547"/>
      <c r="F6" s="1547"/>
      <c r="G6" s="1547"/>
      <c r="H6" s="1547"/>
    </row>
    <row r="7" spans="2:17" ht="13.8" thickBot="1"/>
    <row r="8" spans="2:17" ht="36" customHeight="1" thickTop="1" thickBot="1">
      <c r="B8" s="1589" t="s">
        <v>100</v>
      </c>
      <c r="C8" s="1589"/>
      <c r="D8" s="1589"/>
      <c r="E8" s="1589"/>
      <c r="F8" s="1590"/>
      <c r="G8" s="252" t="s">
        <v>101</v>
      </c>
      <c r="H8" s="253" t="s">
        <v>102</v>
      </c>
    </row>
    <row r="9" spans="2:17" ht="21" customHeight="1" thickTop="1">
      <c r="B9" s="830"/>
      <c r="C9" s="830"/>
      <c r="D9" s="830"/>
      <c r="E9" s="830"/>
      <c r="F9" s="830"/>
      <c r="G9" s="831"/>
      <c r="H9" s="832"/>
      <c r="K9" s="315"/>
      <c r="L9" s="315"/>
      <c r="M9" s="315"/>
      <c r="N9" s="315"/>
      <c r="O9" s="315"/>
      <c r="P9" s="315"/>
      <c r="Q9" s="315"/>
    </row>
    <row r="10" spans="2:17" ht="21" customHeight="1">
      <c r="B10" s="834" t="s">
        <v>3613</v>
      </c>
      <c r="C10" s="631"/>
      <c r="D10" s="631"/>
      <c r="E10" s="631"/>
      <c r="F10" s="631"/>
      <c r="G10" s="833"/>
      <c r="H10" s="654"/>
      <c r="K10" s="315"/>
      <c r="L10" s="370"/>
      <c r="M10" s="315"/>
      <c r="N10" s="315"/>
      <c r="O10" s="315"/>
      <c r="P10" s="315"/>
      <c r="Q10" s="315"/>
    </row>
    <row r="11" spans="2:17" ht="21" customHeight="1">
      <c r="B11" s="631"/>
      <c r="C11" s="834" t="s">
        <v>375</v>
      </c>
      <c r="D11" s="631"/>
      <c r="E11" s="631"/>
      <c r="F11" s="631"/>
      <c r="G11" s="833">
        <f>+'9-Cash Reconciliation'!I8</f>
        <v>3609.1</v>
      </c>
      <c r="H11" s="654"/>
      <c r="I11" s="737"/>
      <c r="K11" s="315"/>
      <c r="L11" s="315"/>
      <c r="M11" s="315"/>
      <c r="N11" s="315"/>
      <c r="O11" s="315"/>
      <c r="P11" s="315"/>
      <c r="Q11" s="315"/>
    </row>
    <row r="12" spans="2:17" ht="21" customHeight="1">
      <c r="B12" s="559"/>
      <c r="C12" s="560" t="s">
        <v>3257</v>
      </c>
      <c r="D12" s="559"/>
      <c r="E12" s="559"/>
      <c r="F12" s="559"/>
      <c r="G12" s="367"/>
      <c r="H12" s="571"/>
      <c r="K12" s="315"/>
      <c r="L12" s="315"/>
      <c r="M12" s="315"/>
      <c r="N12" s="315"/>
      <c r="O12" s="315"/>
      <c r="P12" s="315"/>
      <c r="Q12" s="315"/>
    </row>
    <row r="13" spans="2:17" ht="21" customHeight="1">
      <c r="B13" s="559"/>
      <c r="C13" s="560" t="s">
        <v>3288</v>
      </c>
      <c r="D13" s="559"/>
      <c r="E13" s="559"/>
      <c r="F13" s="559"/>
      <c r="G13" s="367"/>
      <c r="H13" s="571"/>
      <c r="K13" s="315"/>
      <c r="L13" s="315"/>
      <c r="M13" s="315"/>
      <c r="N13" s="315"/>
      <c r="O13" s="315"/>
      <c r="P13" s="315"/>
      <c r="Q13" s="315"/>
    </row>
    <row r="14" spans="2:17" ht="21" customHeight="1">
      <c r="B14" s="559"/>
      <c r="C14" s="560" t="s">
        <v>3614</v>
      </c>
      <c r="D14" s="559"/>
      <c r="E14" s="559"/>
      <c r="F14" s="559"/>
      <c r="G14" s="367"/>
      <c r="H14" s="571">
        <v>3609.1</v>
      </c>
      <c r="I14" s="738"/>
      <c r="K14" s="315"/>
      <c r="L14" s="315"/>
      <c r="M14" s="315"/>
      <c r="N14" s="315"/>
      <c r="O14" s="315"/>
      <c r="P14" s="315"/>
      <c r="Q14" s="315"/>
    </row>
    <row r="15" spans="2:17" ht="21" customHeight="1">
      <c r="B15" s="559"/>
      <c r="C15" s="559"/>
      <c r="D15" s="559"/>
      <c r="E15" s="559"/>
      <c r="F15" s="559"/>
      <c r="G15" s="589"/>
      <c r="H15" s="572"/>
      <c r="I15" s="738"/>
      <c r="K15" s="315"/>
      <c r="L15" s="315"/>
      <c r="M15" s="315"/>
      <c r="N15" s="315"/>
      <c r="O15" s="315"/>
      <c r="P15" s="315"/>
      <c r="Q15" s="315"/>
    </row>
    <row r="16" spans="2:17" ht="21" customHeight="1" thickBot="1">
      <c r="B16" s="559"/>
      <c r="C16" s="559"/>
      <c r="D16" s="559"/>
      <c r="E16" s="559"/>
      <c r="F16" s="559"/>
      <c r="G16" s="589"/>
      <c r="H16" s="752"/>
      <c r="K16" s="315"/>
      <c r="L16" s="315"/>
      <c r="M16" s="315"/>
      <c r="N16" s="315"/>
      <c r="O16" s="315"/>
      <c r="P16" s="315"/>
      <c r="Q16" s="315"/>
    </row>
    <row r="17" spans="2:17" ht="21" customHeight="1" thickTop="1" thickBot="1">
      <c r="B17" s="740"/>
      <c r="C17" s="826" t="s">
        <v>3289</v>
      </c>
      <c r="D17" s="836"/>
      <c r="E17" s="836"/>
      <c r="F17" s="836"/>
      <c r="G17" s="837">
        <f>SUM(G9:G16)</f>
        <v>3609.1</v>
      </c>
      <c r="H17" s="838">
        <f>SUM(H9:H16)</f>
        <v>3609.1</v>
      </c>
      <c r="I17" s="738"/>
      <c r="K17" s="315"/>
      <c r="L17" s="315"/>
      <c r="M17" s="315"/>
      <c r="N17" s="315"/>
      <c r="O17" s="315"/>
      <c r="P17" s="315"/>
      <c r="Q17" s="315"/>
    </row>
    <row r="18" spans="2:17" ht="21" customHeight="1" thickTop="1">
      <c r="B18" s="631"/>
      <c r="C18" s="631"/>
      <c r="D18" s="631"/>
      <c r="E18" s="631"/>
      <c r="F18" s="631"/>
      <c r="G18" s="839"/>
      <c r="H18" s="840"/>
      <c r="K18" s="315"/>
      <c r="L18" s="315"/>
      <c r="M18" s="315"/>
      <c r="N18" s="315"/>
      <c r="O18" s="315"/>
      <c r="P18" s="315"/>
      <c r="Q18" s="315"/>
    </row>
    <row r="19" spans="2:17" ht="21" customHeight="1">
      <c r="B19" s="834" t="s">
        <v>3291</v>
      </c>
      <c r="C19" s="631"/>
      <c r="D19" s="631"/>
      <c r="E19" s="631"/>
      <c r="F19" s="631"/>
      <c r="G19" s="833"/>
      <c r="H19" s="654"/>
      <c r="K19" s="315"/>
      <c r="L19" s="315"/>
      <c r="M19" s="315"/>
      <c r="N19" s="315"/>
      <c r="O19" s="315"/>
      <c r="P19" s="315"/>
      <c r="Q19" s="315"/>
    </row>
    <row r="20" spans="2:17" ht="21" customHeight="1">
      <c r="B20" s="631"/>
      <c r="C20" s="834" t="s">
        <v>375</v>
      </c>
      <c r="D20" s="631"/>
      <c r="E20" s="631"/>
      <c r="F20" s="631"/>
      <c r="G20" s="833">
        <f>+'9-Cash Reconciliation'!I9</f>
        <v>0</v>
      </c>
      <c r="H20" s="654"/>
      <c r="I20" s="737"/>
      <c r="K20" s="315"/>
      <c r="L20" s="315"/>
      <c r="M20" s="315"/>
      <c r="N20" s="315"/>
      <c r="O20" s="315"/>
      <c r="P20" s="315"/>
      <c r="Q20" s="315"/>
    </row>
    <row r="21" spans="2:17" ht="21" customHeight="1">
      <c r="B21" s="559"/>
      <c r="C21" s="560" t="s">
        <v>3257</v>
      </c>
      <c r="D21" s="559"/>
      <c r="E21" s="559"/>
      <c r="F21" s="559"/>
      <c r="G21" s="367"/>
      <c r="H21" s="571"/>
      <c r="K21" s="315"/>
      <c r="L21" s="315"/>
      <c r="M21" s="315"/>
      <c r="N21" s="315"/>
      <c r="O21" s="315"/>
      <c r="P21" s="315"/>
      <c r="Q21" s="315"/>
    </row>
    <row r="22" spans="2:17" ht="21" customHeight="1">
      <c r="B22" s="559"/>
      <c r="C22" s="559"/>
      <c r="D22" s="559"/>
      <c r="E22" s="559"/>
      <c r="F22" s="559"/>
      <c r="G22" s="367"/>
      <c r="H22" s="571"/>
      <c r="K22" s="315"/>
      <c r="L22" s="315"/>
      <c r="M22" s="315"/>
      <c r="N22" s="315"/>
      <c r="O22" s="315"/>
      <c r="P22" s="315"/>
      <c r="Q22" s="315"/>
    </row>
    <row r="23" spans="2:17" ht="21" customHeight="1">
      <c r="B23" s="559"/>
      <c r="C23" s="559"/>
      <c r="D23" s="559"/>
      <c r="E23" s="559"/>
      <c r="F23" s="559"/>
      <c r="G23" s="367"/>
      <c r="H23" s="571"/>
      <c r="I23" s="738"/>
      <c r="K23" s="315"/>
      <c r="L23" s="315"/>
      <c r="M23" s="315"/>
      <c r="N23" s="315"/>
      <c r="O23" s="315"/>
      <c r="P23" s="315"/>
      <c r="Q23" s="315"/>
    </row>
    <row r="24" spans="2:17" ht="21" customHeight="1">
      <c r="B24" s="559"/>
      <c r="C24" s="560" t="s">
        <v>3290</v>
      </c>
      <c r="D24" s="566"/>
      <c r="E24" s="559"/>
      <c r="F24" s="559"/>
      <c r="G24" s="367"/>
      <c r="H24" s="571"/>
      <c r="I24" s="741"/>
      <c r="K24" s="315"/>
      <c r="L24" s="315"/>
      <c r="M24" s="315"/>
      <c r="N24" s="315"/>
      <c r="O24" s="315"/>
      <c r="P24" s="315"/>
      <c r="Q24" s="315"/>
    </row>
    <row r="25" spans="2:17" ht="21" customHeight="1">
      <c r="B25" s="559"/>
      <c r="C25" s="560"/>
      <c r="D25" s="559"/>
      <c r="E25" s="559"/>
      <c r="F25" s="559"/>
      <c r="G25" s="367"/>
      <c r="H25" s="571"/>
      <c r="I25" s="738"/>
      <c r="K25" s="315"/>
      <c r="L25" s="315"/>
      <c r="M25" s="315"/>
      <c r="N25" s="315"/>
      <c r="O25" s="315"/>
      <c r="P25" s="315"/>
      <c r="Q25" s="315"/>
    </row>
    <row r="26" spans="2:17" ht="21" customHeight="1">
      <c r="B26" s="559"/>
      <c r="C26" s="559"/>
      <c r="D26" s="559"/>
      <c r="E26" s="559"/>
      <c r="F26" s="559"/>
      <c r="G26" s="367"/>
      <c r="H26" s="571"/>
      <c r="I26" s="738"/>
      <c r="K26" s="315"/>
      <c r="L26" s="315"/>
      <c r="M26" s="315"/>
      <c r="N26" s="315"/>
      <c r="O26" s="315"/>
      <c r="P26" s="315"/>
      <c r="Q26" s="315"/>
    </row>
    <row r="27" spans="2:17" s="315" customFormat="1" ht="21" customHeight="1" thickBot="1">
      <c r="B27" s="559"/>
      <c r="C27" s="559"/>
      <c r="D27" s="559"/>
      <c r="E27" s="559"/>
      <c r="F27" s="559"/>
      <c r="G27" s="589"/>
      <c r="H27" s="572"/>
      <c r="I27" s="738"/>
      <c r="J27" s="736"/>
    </row>
    <row r="28" spans="2:17" s="315" customFormat="1" ht="21" customHeight="1" thickTop="1" thickBot="1">
      <c r="B28" s="836"/>
      <c r="C28" s="826" t="s">
        <v>3289</v>
      </c>
      <c r="D28" s="836"/>
      <c r="E28" s="836"/>
      <c r="F28" s="836"/>
      <c r="G28" s="837">
        <f>SUM(G20:G27)</f>
        <v>0</v>
      </c>
      <c r="H28" s="838">
        <f>SUM(H20:H27)</f>
        <v>0</v>
      </c>
      <c r="I28" s="738"/>
      <c r="J28" s="736"/>
    </row>
    <row r="29" spans="2:17" ht="21" customHeight="1" thickTop="1">
      <c r="B29" s="631"/>
      <c r="C29" s="631"/>
      <c r="D29" s="631"/>
      <c r="E29" s="631"/>
      <c r="F29" s="631"/>
      <c r="G29" s="839"/>
      <c r="H29" s="840"/>
      <c r="I29" s="741"/>
      <c r="K29" s="315"/>
      <c r="L29" s="315"/>
      <c r="M29" s="315"/>
      <c r="N29" s="315"/>
      <c r="O29" s="315"/>
      <c r="P29" s="315"/>
      <c r="Q29" s="315"/>
    </row>
    <row r="30" spans="2:17" ht="21" customHeight="1">
      <c r="B30" s="834" t="s">
        <v>3292</v>
      </c>
      <c r="C30" s="631"/>
      <c r="D30" s="631"/>
      <c r="E30" s="631"/>
      <c r="F30" s="631"/>
      <c r="G30" s="833"/>
      <c r="H30" s="654"/>
      <c r="I30" s="738"/>
      <c r="K30" s="315"/>
      <c r="L30" s="315"/>
      <c r="M30" s="315"/>
      <c r="N30" s="315"/>
      <c r="O30" s="315"/>
      <c r="P30" s="315"/>
      <c r="Q30" s="315"/>
    </row>
    <row r="31" spans="2:17" s="315" customFormat="1" ht="21" customHeight="1">
      <c r="B31" s="631"/>
      <c r="C31" s="834" t="s">
        <v>375</v>
      </c>
      <c r="D31" s="631"/>
      <c r="E31" s="631"/>
      <c r="F31" s="631"/>
      <c r="G31" s="833">
        <f>+'9-Cash Reconciliation'!I10</f>
        <v>0</v>
      </c>
      <c r="H31" s="654"/>
      <c r="I31" s="738"/>
      <c r="J31" s="736"/>
    </row>
    <row r="32" spans="2:17" ht="21" customHeight="1">
      <c r="B32" s="559"/>
      <c r="C32" s="559"/>
      <c r="D32" s="559"/>
      <c r="E32" s="559"/>
      <c r="F32" s="559"/>
      <c r="G32" s="367"/>
      <c r="H32" s="571"/>
      <c r="I32" s="738"/>
    </row>
    <row r="33" spans="2:10" ht="21" customHeight="1">
      <c r="B33" s="559"/>
      <c r="C33" s="559"/>
      <c r="D33" s="559"/>
      <c r="E33" s="559"/>
      <c r="F33" s="559"/>
      <c r="G33" s="367"/>
      <c r="H33" s="571"/>
      <c r="I33" s="738"/>
    </row>
    <row r="34" spans="2:10" ht="21" customHeight="1">
      <c r="B34" s="559"/>
      <c r="C34" s="559"/>
      <c r="D34" s="559"/>
      <c r="E34" s="559"/>
      <c r="F34" s="559"/>
      <c r="G34" s="367"/>
      <c r="H34" s="571"/>
      <c r="I34" s="739"/>
    </row>
    <row r="35" spans="2:10" ht="21" customHeight="1">
      <c r="B35" s="559"/>
      <c r="C35" s="559"/>
      <c r="D35" s="559"/>
      <c r="E35" s="559"/>
      <c r="F35" s="559"/>
      <c r="G35" s="367"/>
      <c r="H35" s="571"/>
      <c r="I35" s="738"/>
    </row>
    <row r="36" spans="2:10" ht="21" customHeight="1">
      <c r="B36" s="559"/>
      <c r="C36" s="559"/>
      <c r="D36" s="559"/>
      <c r="E36" s="559"/>
      <c r="F36" s="559"/>
      <c r="G36" s="367"/>
      <c r="H36" s="571"/>
      <c r="I36" s="738"/>
    </row>
    <row r="37" spans="2:10" ht="21" customHeight="1" thickBot="1">
      <c r="B37" s="559"/>
      <c r="C37" s="559"/>
      <c r="D37" s="559"/>
      <c r="E37" s="559"/>
      <c r="F37" s="559"/>
      <c r="G37" s="589"/>
      <c r="H37" s="572"/>
    </row>
    <row r="38" spans="2:10" s="315" customFormat="1" ht="21" customHeight="1" thickTop="1" thickBot="1">
      <c r="B38" s="836"/>
      <c r="C38" s="826" t="s">
        <v>3289</v>
      </c>
      <c r="D38" s="836"/>
      <c r="E38" s="836"/>
      <c r="F38" s="836"/>
      <c r="G38" s="837">
        <f>SUM(G31:G37)</f>
        <v>0</v>
      </c>
      <c r="H38" s="838">
        <f>SUM(H31:H37)</f>
        <v>0</v>
      </c>
      <c r="I38" s="736"/>
      <c r="J38" s="736"/>
    </row>
    <row r="39" spans="2:10" s="315" customFormat="1" ht="21" customHeight="1" thickTop="1">
      <c r="B39" s="631"/>
      <c r="C39" s="631"/>
      <c r="D39" s="631"/>
      <c r="E39" s="631"/>
      <c r="F39" s="631"/>
      <c r="G39" s="839"/>
      <c r="H39" s="840"/>
      <c r="I39" s="736"/>
      <c r="J39" s="736"/>
    </row>
    <row r="40" spans="2:10" s="315" customFormat="1" ht="21" customHeight="1">
      <c r="B40" s="834" t="s">
        <v>3293</v>
      </c>
      <c r="C40" s="631"/>
      <c r="D40" s="631"/>
      <c r="E40" s="631"/>
      <c r="F40" s="631"/>
      <c r="G40" s="839"/>
      <c r="H40" s="840"/>
      <c r="I40" s="736"/>
      <c r="J40" s="736"/>
    </row>
    <row r="41" spans="2:10" s="315" customFormat="1" ht="21" customHeight="1">
      <c r="B41" s="631"/>
      <c r="C41" s="834" t="s">
        <v>375</v>
      </c>
      <c r="D41" s="631"/>
      <c r="E41" s="631"/>
      <c r="F41" s="631"/>
      <c r="G41" s="839">
        <f>+'9-Cash Reconciliation'!I11</f>
        <v>0</v>
      </c>
      <c r="H41" s="840"/>
      <c r="I41" s="736"/>
      <c r="J41" s="736"/>
    </row>
    <row r="42" spans="2:10" s="315" customFormat="1" ht="21" customHeight="1">
      <c r="B42" s="559"/>
      <c r="C42" s="560" t="s">
        <v>335</v>
      </c>
      <c r="D42" s="559"/>
      <c r="E42" s="559"/>
      <c r="F42" s="559"/>
      <c r="G42" s="367">
        <v>341554.46</v>
      </c>
      <c r="H42" s="571"/>
      <c r="I42" s="736"/>
      <c r="J42" s="736"/>
    </row>
    <row r="43" spans="2:10" s="315" customFormat="1" ht="21" customHeight="1">
      <c r="B43" s="559"/>
      <c r="C43" s="559" t="s">
        <v>3700</v>
      </c>
      <c r="D43" s="559"/>
      <c r="E43" s="559"/>
      <c r="F43" s="559"/>
      <c r="G43" s="367"/>
      <c r="H43" s="571">
        <v>341554.46</v>
      </c>
      <c r="I43" s="736"/>
      <c r="J43" s="736"/>
    </row>
    <row r="44" spans="2:10" s="315" customFormat="1" ht="21" customHeight="1" thickBot="1">
      <c r="B44" s="559"/>
      <c r="C44" s="559"/>
      <c r="D44" s="559"/>
      <c r="E44" s="559"/>
      <c r="F44" s="559"/>
      <c r="G44" s="589"/>
      <c r="H44" s="572"/>
      <c r="I44" s="736"/>
      <c r="J44" s="736"/>
    </row>
    <row r="45" spans="2:10" ht="21" customHeight="1" thickTop="1" thickBot="1">
      <c r="B45" s="836"/>
      <c r="C45" s="826" t="s">
        <v>3289</v>
      </c>
      <c r="D45" s="836"/>
      <c r="E45" s="836"/>
      <c r="F45" s="836"/>
      <c r="G45" s="837">
        <f>SUM(G41:G44)</f>
        <v>341554.46</v>
      </c>
      <c r="H45" s="838">
        <f>SUM(H41:H44)</f>
        <v>341554.46</v>
      </c>
    </row>
    <row r="46" spans="2:10" ht="13.8" thickTop="1">
      <c r="B46" s="1549" t="s">
        <v>103</v>
      </c>
      <c r="C46" s="1549"/>
      <c r="D46" s="1549"/>
      <c r="E46" s="1549"/>
      <c r="F46" s="1549"/>
      <c r="G46" s="1549"/>
      <c r="H46" s="1549"/>
    </row>
    <row r="47" spans="2:10" ht="13.8">
      <c r="B47" s="1545" t="s">
        <v>509</v>
      </c>
      <c r="C47" s="1545"/>
      <c r="D47" s="1545"/>
      <c r="E47" s="1545"/>
      <c r="F47" s="1545"/>
      <c r="G47" s="1545"/>
      <c r="H47" s="1545"/>
    </row>
  </sheetData>
  <sheetProtection algorithmName="SHA-512" hashValue="5TTUvDRLjJ4sPf1ZeGUu4XVebdgzhMUS9s8J3Nkl5bZA0g11FrBKHndop2PUnxZQInNOKH5fezW5ttRPQweJeA==" saltValue="9jfNiBlJfxGppxddk3ySBg==" spinCount="100000" sheet="1" objects="1" scenarios="1"/>
  <mergeCells count="7">
    <mergeCell ref="B8:F8"/>
    <mergeCell ref="B47:H47"/>
    <mergeCell ref="B3:H3"/>
    <mergeCell ref="B4:H4"/>
    <mergeCell ref="B6:H6"/>
    <mergeCell ref="B5:H5"/>
    <mergeCell ref="B46:H46"/>
  </mergeCells>
  <phoneticPr fontId="0" type="noConversion"/>
  <pageMargins left="0.25" right="0.25" top="0.5" bottom="0.5" header="0.25" footer="0.25"/>
  <pageSetup paperSize="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3:K48"/>
  <sheetViews>
    <sheetView topLeftCell="A22" zoomScaleNormal="100" workbookViewId="0">
      <selection activeCell="H42" sqref="H42"/>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16.6640625" customWidth="1"/>
  </cols>
  <sheetData>
    <row r="3" spans="2:9" ht="22.8">
      <c r="B3" s="1586" t="s">
        <v>451</v>
      </c>
      <c r="C3" s="1586"/>
      <c r="D3" s="1586"/>
      <c r="E3" s="1586"/>
      <c r="F3" s="1586"/>
      <c r="G3" s="1586"/>
      <c r="H3" s="1586"/>
    </row>
    <row r="4" spans="2:9" ht="22.8">
      <c r="B4" s="1586" t="s">
        <v>582</v>
      </c>
      <c r="C4" s="1586"/>
      <c r="D4" s="1586"/>
      <c r="E4" s="1586"/>
      <c r="F4" s="1586"/>
      <c r="G4" s="1586"/>
      <c r="H4" s="1586"/>
    </row>
    <row r="5" spans="2:9" ht="17.399999999999999">
      <c r="B5" s="1596" t="s">
        <v>655</v>
      </c>
      <c r="C5" s="1596"/>
      <c r="D5" s="1596"/>
      <c r="E5" s="1596"/>
      <c r="F5" s="1596"/>
      <c r="G5" s="1596"/>
      <c r="H5" s="1596"/>
    </row>
    <row r="6" spans="2:9" ht="15.6">
      <c r="B6" s="1592" t="str">
        <f>'KEY INPUTS'!D44</f>
        <v>AS  AT  DECEMBER  31, 2020</v>
      </c>
      <c r="C6" s="1547"/>
      <c r="D6" s="1547"/>
      <c r="E6" s="1547"/>
      <c r="F6" s="1547"/>
      <c r="G6" s="1547"/>
      <c r="H6" s="1547"/>
    </row>
    <row r="7" spans="2:9" ht="13.8" thickBot="1"/>
    <row r="8" spans="2:9" ht="36" customHeight="1" thickTop="1" thickBot="1">
      <c r="B8" s="1589" t="s">
        <v>100</v>
      </c>
      <c r="C8" s="1589"/>
      <c r="D8" s="1589"/>
      <c r="E8" s="1589"/>
      <c r="F8" s="1590"/>
      <c r="G8" s="4" t="s">
        <v>101</v>
      </c>
      <c r="H8" s="3" t="s">
        <v>102</v>
      </c>
    </row>
    <row r="9" spans="2:9" ht="21" customHeight="1" thickTop="1">
      <c r="B9" s="830"/>
      <c r="C9" s="830"/>
      <c r="D9" s="830"/>
      <c r="E9" s="830"/>
      <c r="F9" s="830"/>
      <c r="G9" s="831"/>
      <c r="H9" s="832"/>
      <c r="I9" s="732"/>
    </row>
    <row r="10" spans="2:9" ht="21" customHeight="1">
      <c r="B10" s="834" t="s">
        <v>3294</v>
      </c>
      <c r="C10" s="631"/>
      <c r="D10" s="631"/>
      <c r="E10" s="631"/>
      <c r="F10" s="631"/>
      <c r="G10" s="833"/>
      <c r="H10" s="654"/>
    </row>
    <row r="11" spans="2:9" ht="21" customHeight="1">
      <c r="B11" s="631"/>
      <c r="C11" s="834" t="s">
        <v>375</v>
      </c>
      <c r="D11" s="631"/>
      <c r="E11" s="631"/>
      <c r="F11" s="631"/>
      <c r="G11" s="833">
        <f>+'9-Cash Reconciliation'!I12</f>
        <v>0</v>
      </c>
      <c r="H11" s="654"/>
      <c r="I11" s="732"/>
    </row>
    <row r="12" spans="2:9" ht="21" customHeight="1">
      <c r="B12" s="559"/>
      <c r="C12" s="560" t="s">
        <v>3257</v>
      </c>
      <c r="D12" s="559"/>
      <c r="E12" s="559"/>
      <c r="F12" s="559"/>
      <c r="G12" s="367"/>
      <c r="H12" s="571"/>
    </row>
    <row r="13" spans="2:9" ht="21" customHeight="1">
      <c r="B13" s="1599"/>
      <c r="C13" s="1599"/>
      <c r="D13" s="1599"/>
      <c r="E13" s="1599"/>
      <c r="F13" s="1600"/>
      <c r="G13" s="367"/>
      <c r="H13" s="571"/>
    </row>
    <row r="14" spans="2:9" s="315" customFormat="1" ht="21" customHeight="1">
      <c r="B14" s="1531"/>
      <c r="C14" s="1531"/>
      <c r="D14" s="1531"/>
      <c r="E14" s="1531"/>
      <c r="F14" s="1532"/>
      <c r="G14" s="367"/>
      <c r="H14" s="571"/>
    </row>
    <row r="15" spans="2:9" s="315" customFormat="1" ht="21" customHeight="1">
      <c r="B15" s="1531"/>
      <c r="C15" s="1531"/>
      <c r="D15" s="1531"/>
      <c r="E15" s="1531"/>
      <c r="F15" s="1532"/>
      <c r="G15" s="367"/>
      <c r="H15" s="571"/>
    </row>
    <row r="16" spans="2:9" s="315" customFormat="1" ht="21" customHeight="1">
      <c r="B16" s="1531"/>
      <c r="C16" s="1531"/>
      <c r="D16" s="1531"/>
      <c r="E16" s="1531"/>
      <c r="F16" s="1532"/>
      <c r="G16" s="367"/>
      <c r="H16" s="571"/>
    </row>
    <row r="17" spans="2:11" ht="21" customHeight="1">
      <c r="B17" s="1599"/>
      <c r="C17" s="1599"/>
      <c r="D17" s="1599"/>
      <c r="E17" s="1599"/>
      <c r="F17" s="1600"/>
      <c r="G17" s="367"/>
      <c r="H17" s="571"/>
      <c r="K17" s="370"/>
    </row>
    <row r="18" spans="2:11" ht="21" customHeight="1">
      <c r="B18" s="1599"/>
      <c r="C18" s="1599"/>
      <c r="D18" s="1599"/>
      <c r="E18" s="1599"/>
      <c r="F18" s="1600"/>
      <c r="G18" s="367"/>
      <c r="H18" s="571"/>
    </row>
    <row r="19" spans="2:11" ht="21" customHeight="1" thickBot="1">
      <c r="B19" s="1599"/>
      <c r="C19" s="1599"/>
      <c r="D19" s="1599"/>
      <c r="E19" s="1599"/>
      <c r="F19" s="1600"/>
      <c r="G19" s="367"/>
      <c r="H19" s="571"/>
    </row>
    <row r="20" spans="2:11" ht="21" customHeight="1" thickTop="1" thickBot="1">
      <c r="B20" s="836"/>
      <c r="C20" s="826" t="s">
        <v>3289</v>
      </c>
      <c r="D20" s="836"/>
      <c r="E20" s="836"/>
      <c r="F20" s="836"/>
      <c r="G20" s="837">
        <f>SUM(G9:G19)</f>
        <v>0</v>
      </c>
      <c r="H20" s="841">
        <f>SUM(H9:H19)</f>
        <v>0</v>
      </c>
    </row>
    <row r="21" spans="2:11" ht="21" customHeight="1" thickTop="1">
      <c r="B21" s="631"/>
      <c r="C21" s="631"/>
      <c r="D21" s="631"/>
      <c r="E21" s="631"/>
      <c r="F21" s="631"/>
      <c r="G21" s="833"/>
      <c r="H21" s="654"/>
    </row>
    <row r="22" spans="2:11" ht="21" customHeight="1">
      <c r="B22" s="834" t="s">
        <v>3609</v>
      </c>
      <c r="C22" s="631"/>
      <c r="D22" s="631"/>
      <c r="E22" s="631"/>
      <c r="F22" s="631"/>
      <c r="G22" s="833"/>
      <c r="H22" s="654"/>
    </row>
    <row r="23" spans="2:11" ht="21" customHeight="1">
      <c r="B23" s="631"/>
      <c r="C23" s="834" t="s">
        <v>375</v>
      </c>
      <c r="D23" s="631"/>
      <c r="E23" s="631"/>
      <c r="F23" s="631"/>
      <c r="G23" s="833">
        <f>'9-Cash Reconciliation'!I14</f>
        <v>0</v>
      </c>
      <c r="H23" s="654"/>
    </row>
    <row r="24" spans="2:11" ht="21" customHeight="1">
      <c r="B24" s="559"/>
      <c r="C24" s="559"/>
      <c r="D24" s="559"/>
      <c r="E24" s="559"/>
      <c r="F24" s="559"/>
      <c r="G24" s="367"/>
      <c r="H24" s="571"/>
    </row>
    <row r="25" spans="2:11" ht="21" customHeight="1">
      <c r="B25" s="559"/>
      <c r="C25" s="559"/>
      <c r="D25" s="559"/>
      <c r="E25" s="559"/>
      <c r="F25" s="559"/>
      <c r="G25" s="367"/>
      <c r="H25" s="571"/>
    </row>
    <row r="26" spans="2:11" ht="21" customHeight="1">
      <c r="B26" s="559"/>
      <c r="C26" s="559"/>
      <c r="D26" s="559"/>
      <c r="E26" s="559"/>
      <c r="F26" s="559"/>
      <c r="G26" s="367"/>
      <c r="H26" s="571"/>
    </row>
    <row r="27" spans="2:11" ht="21" customHeight="1">
      <c r="B27" s="559"/>
      <c r="C27" s="559"/>
      <c r="D27" s="559"/>
      <c r="E27" s="559"/>
      <c r="F27" s="559"/>
      <c r="G27" s="367"/>
      <c r="H27" s="571"/>
    </row>
    <row r="28" spans="2:11" ht="21" customHeight="1">
      <c r="B28" s="559"/>
      <c r="C28" s="559"/>
      <c r="D28" s="559"/>
      <c r="E28" s="559"/>
      <c r="F28" s="559"/>
      <c r="G28" s="367"/>
      <c r="H28" s="571"/>
    </row>
    <row r="29" spans="2:11" ht="21" customHeight="1" thickBot="1">
      <c r="B29" s="559"/>
      <c r="C29" s="559"/>
      <c r="D29" s="559"/>
      <c r="E29" s="559"/>
      <c r="F29" s="559"/>
      <c r="G29" s="1510"/>
      <c r="H29" s="572"/>
    </row>
    <row r="30" spans="2:11" s="315" customFormat="1" ht="21" customHeight="1" thickTop="1" thickBot="1">
      <c r="B30" s="631"/>
      <c r="C30" s="631" t="s">
        <v>3289</v>
      </c>
      <c r="D30" s="631"/>
      <c r="E30" s="631"/>
      <c r="F30" s="631"/>
      <c r="G30" s="1533">
        <f>SUM(G23:G29)</f>
        <v>0</v>
      </c>
      <c r="H30" s="1534">
        <f>SUM(H23:H29)</f>
        <v>0</v>
      </c>
    </row>
    <row r="31" spans="2:11" s="315" customFormat="1" ht="21" customHeight="1" thickTop="1">
      <c r="B31" s="631"/>
      <c r="C31" s="631"/>
      <c r="D31" s="631"/>
      <c r="E31" s="631"/>
      <c r="F31" s="631"/>
      <c r="G31" s="839"/>
      <c r="H31" s="840"/>
    </row>
    <row r="32" spans="2:11" s="315" customFormat="1" ht="21" customHeight="1">
      <c r="B32" s="631" t="s">
        <v>3295</v>
      </c>
      <c r="C32" s="631"/>
      <c r="D32" s="631"/>
      <c r="E32" s="631"/>
      <c r="F32" s="631"/>
      <c r="G32" s="833"/>
      <c r="H32" s="654"/>
    </row>
    <row r="33" spans="2:8" s="315" customFormat="1" ht="21" customHeight="1">
      <c r="B33" s="631"/>
      <c r="C33" s="631" t="s">
        <v>375</v>
      </c>
      <c r="D33" s="631"/>
      <c r="E33" s="631"/>
      <c r="F33" s="631"/>
      <c r="G33" s="833">
        <f>'9-Cash Reconciliation'!I13</f>
        <v>86571.65</v>
      </c>
      <c r="H33" s="654"/>
    </row>
    <row r="34" spans="2:8" s="315" customFormat="1" ht="21" customHeight="1">
      <c r="B34" s="559"/>
      <c r="C34" s="559" t="s">
        <v>3701</v>
      </c>
      <c r="D34" s="559"/>
      <c r="E34" s="559"/>
      <c r="F34" s="559"/>
      <c r="G34" s="367"/>
      <c r="H34" s="571">
        <v>16.239999999999998</v>
      </c>
    </row>
    <row r="35" spans="2:8" ht="21" customHeight="1">
      <c r="B35" s="559"/>
      <c r="C35" s="559" t="s">
        <v>3702</v>
      </c>
      <c r="D35" s="559"/>
      <c r="E35" s="559"/>
      <c r="F35" s="559"/>
      <c r="G35" s="367"/>
      <c r="H35" s="571">
        <v>12628.21</v>
      </c>
    </row>
    <row r="36" spans="2:8" ht="21" customHeight="1">
      <c r="B36" s="559"/>
      <c r="C36" s="559" t="s">
        <v>3703</v>
      </c>
      <c r="D36" s="559"/>
      <c r="E36" s="559"/>
      <c r="F36" s="559"/>
      <c r="G36" s="367"/>
      <c r="H36" s="571">
        <v>25</v>
      </c>
    </row>
    <row r="37" spans="2:8" ht="21" customHeight="1">
      <c r="B37" s="559"/>
      <c r="C37" s="559" t="s">
        <v>3704</v>
      </c>
      <c r="D37" s="559"/>
      <c r="E37" s="559"/>
      <c r="F37" s="559"/>
      <c r="G37" s="367"/>
      <c r="H37" s="571">
        <v>30761.72</v>
      </c>
    </row>
    <row r="38" spans="2:8" ht="21" customHeight="1">
      <c r="B38" s="559"/>
      <c r="C38" s="559" t="s">
        <v>3705</v>
      </c>
      <c r="D38" s="559"/>
      <c r="E38" s="559"/>
      <c r="F38" s="559"/>
      <c r="G38" s="367"/>
      <c r="H38" s="571">
        <v>22118.68</v>
      </c>
    </row>
    <row r="39" spans="2:8" ht="21" customHeight="1">
      <c r="B39" s="559"/>
      <c r="C39" s="559" t="s">
        <v>3706</v>
      </c>
      <c r="D39" s="559"/>
      <c r="E39" s="559"/>
      <c r="F39" s="559"/>
      <c r="G39" s="367"/>
      <c r="H39" s="571">
        <v>110</v>
      </c>
    </row>
    <row r="40" spans="2:8" ht="21" customHeight="1">
      <c r="B40" s="559"/>
      <c r="C40" s="559" t="s">
        <v>3634</v>
      </c>
      <c r="D40" s="559"/>
      <c r="E40" s="559"/>
      <c r="F40" s="559"/>
      <c r="G40" s="367"/>
      <c r="H40" s="571">
        <v>20867</v>
      </c>
    </row>
    <row r="41" spans="2:8" ht="21" customHeight="1">
      <c r="B41" s="559"/>
      <c r="C41" s="559" t="s">
        <v>3635</v>
      </c>
      <c r="D41" s="559"/>
      <c r="E41" s="559"/>
      <c r="F41" s="559"/>
      <c r="G41" s="367"/>
      <c r="H41" s="571">
        <v>44.8</v>
      </c>
    </row>
    <row r="42" spans="2:8" ht="21" customHeight="1">
      <c r="B42" s="559"/>
      <c r="C42" s="559"/>
      <c r="D42" s="559"/>
      <c r="E42" s="559"/>
      <c r="F42" s="559"/>
      <c r="G42" s="367"/>
      <c r="H42" s="571"/>
    </row>
    <row r="43" spans="2:8" ht="21" customHeight="1">
      <c r="B43" s="559"/>
      <c r="C43" s="559"/>
      <c r="D43" s="559"/>
      <c r="E43" s="559"/>
      <c r="F43" s="559"/>
      <c r="G43" s="367"/>
      <c r="H43" s="571"/>
    </row>
    <row r="44" spans="2:8" ht="21" customHeight="1">
      <c r="B44" s="834" t="s">
        <v>3310</v>
      </c>
      <c r="C44" s="631"/>
      <c r="D44" s="631"/>
      <c r="E44" s="631"/>
      <c r="F44" s="631"/>
      <c r="G44" s="833">
        <f>SUM(G33:G43)</f>
        <v>86571.65</v>
      </c>
      <c r="H44" s="842">
        <f>SUM(H33:H43)</f>
        <v>86571.650000000009</v>
      </c>
    </row>
    <row r="45" spans="2:8">
      <c r="B45" s="1597" t="s">
        <v>103</v>
      </c>
      <c r="C45" s="1597"/>
      <c r="D45" s="1597"/>
      <c r="E45" s="1597"/>
      <c r="F45" s="1597"/>
      <c r="G45" s="1597"/>
      <c r="H45" s="1597"/>
    </row>
    <row r="46" spans="2:8">
      <c r="B46" s="843"/>
      <c r="C46" s="843"/>
      <c r="D46" s="843"/>
      <c r="E46" s="843"/>
      <c r="F46" s="843"/>
      <c r="G46" s="843"/>
      <c r="H46" s="843"/>
    </row>
    <row r="47" spans="2:8">
      <c r="B47" s="844"/>
      <c r="C47" s="844"/>
      <c r="D47" s="844"/>
      <c r="E47" s="844"/>
      <c r="F47" s="844"/>
      <c r="G47" s="844"/>
      <c r="H47" s="844"/>
    </row>
    <row r="48" spans="2:8" ht="13.8">
      <c r="B48" s="1598" t="s">
        <v>148</v>
      </c>
      <c r="C48" s="1598"/>
      <c r="D48" s="1598"/>
      <c r="E48" s="1598"/>
      <c r="F48" s="1598"/>
      <c r="G48" s="1598"/>
      <c r="H48" s="1598"/>
    </row>
  </sheetData>
  <sheetProtection algorithmName="SHA-512" hashValue="DOlm4L6DSTNC10sKj6AeAJmmYxoEZMpp7IexL5Exq2sKlf2h7/ygaSs8W/SI9fChcWIzV0rF4nF5duxSbkrKnA==" saltValue="6ylziweim7wRqdoTn6FlEA==" spinCount="100000" sheet="1" objects="1" scenarios="1"/>
  <mergeCells count="11">
    <mergeCell ref="B8:F8"/>
    <mergeCell ref="B45:H45"/>
    <mergeCell ref="B48:H48"/>
    <mergeCell ref="B3:H3"/>
    <mergeCell ref="B4:H4"/>
    <mergeCell ref="B6:H6"/>
    <mergeCell ref="B5:H5"/>
    <mergeCell ref="B13:F13"/>
    <mergeCell ref="B17:F17"/>
    <mergeCell ref="B18:F18"/>
    <mergeCell ref="B19:F19"/>
  </mergeCells>
  <phoneticPr fontId="0" type="noConversion"/>
  <pageMargins left="0.25" right="0.25" top="0.5" bottom="0.5" header="0.25" footer="0.25"/>
  <pageSetup paperSize="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3:M48"/>
  <sheetViews>
    <sheetView zoomScaleNormal="100" workbookViewId="0">
      <selection activeCell="G9" sqref="G9"/>
    </sheetView>
  </sheetViews>
  <sheetFormatPr defaultColWidth="9.109375" defaultRowHeight="13.2"/>
  <cols>
    <col min="1" max="1" width="4.6640625" style="315" customWidth="1"/>
    <col min="2" max="2" width="4.88671875" style="315" customWidth="1"/>
    <col min="3" max="4" width="4.6640625" style="315" customWidth="1"/>
    <col min="5" max="5" width="30.6640625" style="315" customWidth="1"/>
    <col min="6" max="6" width="15.6640625" style="315" customWidth="1"/>
    <col min="7" max="7" width="16.6640625" style="315" customWidth="1"/>
    <col min="8" max="8" width="16" style="315" customWidth="1"/>
    <col min="9" max="12" width="9.109375" style="315"/>
    <col min="13" max="13" width="10.33203125" style="315" bestFit="1" customWidth="1"/>
    <col min="14" max="16384" width="9.109375" style="315"/>
  </cols>
  <sheetData>
    <row r="3" spans="2:11" ht="22.8">
      <c r="B3" s="1586" t="s">
        <v>451</v>
      </c>
      <c r="C3" s="1586"/>
      <c r="D3" s="1586"/>
      <c r="E3" s="1586"/>
      <c r="F3" s="1586"/>
      <c r="G3" s="1586"/>
      <c r="H3" s="1586"/>
    </row>
    <row r="4" spans="2:11" ht="22.8">
      <c r="B4" s="1586" t="s">
        <v>582</v>
      </c>
      <c r="C4" s="1586"/>
      <c r="D4" s="1586"/>
      <c r="E4" s="1586"/>
      <c r="F4" s="1586"/>
      <c r="G4" s="1586"/>
      <c r="H4" s="1586"/>
    </row>
    <row r="5" spans="2:11" ht="17.399999999999999">
      <c r="B5" s="1596" t="s">
        <v>655</v>
      </c>
      <c r="C5" s="1596"/>
      <c r="D5" s="1596"/>
      <c r="E5" s="1596"/>
      <c r="F5" s="1596"/>
      <c r="G5" s="1596"/>
      <c r="H5" s="1596"/>
    </row>
    <row r="6" spans="2:11" ht="15.6">
      <c r="B6" s="1592" t="str">
        <f>'KEY INPUTS'!D44</f>
        <v>AS  AT  DECEMBER  31, 2020</v>
      </c>
      <c r="C6" s="1547"/>
      <c r="D6" s="1547"/>
      <c r="E6" s="1547"/>
      <c r="F6" s="1547"/>
      <c r="G6" s="1547"/>
      <c r="H6" s="1547"/>
    </row>
    <row r="7" spans="2:11" ht="13.8" thickBot="1"/>
    <row r="8" spans="2:11" ht="36" customHeight="1" thickTop="1" thickBot="1">
      <c r="B8" s="1589" t="s">
        <v>100</v>
      </c>
      <c r="C8" s="1589"/>
      <c r="D8" s="1589"/>
      <c r="E8" s="1589"/>
      <c r="F8" s="1590"/>
      <c r="G8" s="4" t="s">
        <v>101</v>
      </c>
      <c r="H8" s="725" t="s">
        <v>102</v>
      </c>
    </row>
    <row r="9" spans="2:11" ht="21" customHeight="1" thickTop="1">
      <c r="B9" s="845" t="s">
        <v>3309</v>
      </c>
      <c r="C9" s="830"/>
      <c r="D9" s="830"/>
      <c r="E9" s="830"/>
      <c r="F9" s="830"/>
      <c r="G9" s="831">
        <f>+'6.1-Trial Bal-Trust Fnds'!G44</f>
        <v>86571.65</v>
      </c>
      <c r="H9" s="832">
        <f>+'6.1-Trial Bal-Trust Fnds'!H44</f>
        <v>86571.650000000009</v>
      </c>
      <c r="I9" s="732"/>
    </row>
    <row r="10" spans="2:11" ht="21" customHeight="1">
      <c r="B10" s="834" t="s">
        <v>3308</v>
      </c>
      <c r="C10" s="631"/>
      <c r="D10" s="631"/>
      <c r="E10" s="631"/>
      <c r="F10" s="631"/>
      <c r="G10" s="833"/>
      <c r="H10" s="654"/>
    </row>
    <row r="11" spans="2:11" ht="21" customHeight="1">
      <c r="B11" s="559"/>
      <c r="C11" s="559"/>
      <c r="D11" s="559"/>
      <c r="E11" s="559"/>
      <c r="F11" s="559"/>
      <c r="G11" s="367"/>
      <c r="H11" s="571"/>
      <c r="I11" s="732"/>
    </row>
    <row r="12" spans="2:11" ht="21" customHeight="1">
      <c r="B12" s="559"/>
      <c r="C12" s="559"/>
      <c r="D12" s="559"/>
      <c r="E12" s="559"/>
      <c r="F12" s="559"/>
      <c r="G12" s="367"/>
      <c r="H12" s="571"/>
    </row>
    <row r="13" spans="2:11" ht="21" customHeight="1">
      <c r="B13" s="559"/>
      <c r="C13" s="559"/>
      <c r="D13" s="559"/>
      <c r="E13" s="559"/>
      <c r="F13" s="559"/>
      <c r="G13" s="367"/>
      <c r="H13" s="571"/>
    </row>
    <row r="14" spans="2:11" ht="21" customHeight="1">
      <c r="B14" s="559"/>
      <c r="C14" s="559"/>
      <c r="D14" s="559"/>
      <c r="E14" s="559"/>
      <c r="F14" s="559"/>
      <c r="G14" s="367"/>
      <c r="H14" s="571"/>
      <c r="K14" s="370"/>
    </row>
    <row r="15" spans="2:11" ht="21" customHeight="1">
      <c r="B15" s="559"/>
      <c r="C15" s="559"/>
      <c r="D15" s="559"/>
      <c r="E15" s="559"/>
      <c r="F15" s="559"/>
      <c r="G15" s="367"/>
      <c r="H15" s="571"/>
    </row>
    <row r="16" spans="2:11" ht="21" customHeight="1">
      <c r="B16" s="559"/>
      <c r="C16" s="559"/>
      <c r="D16" s="559"/>
      <c r="E16" s="559"/>
      <c r="F16" s="559"/>
      <c r="G16" s="367"/>
      <c r="H16" s="571"/>
    </row>
    <row r="17" spans="2:8" ht="21" customHeight="1">
      <c r="B17" s="559"/>
      <c r="C17" s="559"/>
      <c r="D17" s="559"/>
      <c r="E17" s="559"/>
      <c r="F17" s="559"/>
      <c r="G17" s="367"/>
      <c r="H17" s="571"/>
    </row>
    <row r="18" spans="2:8" ht="21" customHeight="1">
      <c r="B18" s="559"/>
      <c r="C18" s="559"/>
      <c r="D18" s="559"/>
      <c r="E18" s="559"/>
      <c r="F18" s="559"/>
      <c r="G18" s="367"/>
      <c r="H18" s="571"/>
    </row>
    <row r="19" spans="2:8" ht="21" customHeight="1">
      <c r="B19" s="559"/>
      <c r="C19" s="559"/>
      <c r="D19" s="559"/>
      <c r="E19" s="559"/>
      <c r="F19" s="559"/>
      <c r="G19" s="367"/>
      <c r="H19" s="571"/>
    </row>
    <row r="20" spans="2:8" ht="21" customHeight="1">
      <c r="B20" s="559"/>
      <c r="C20" s="559"/>
      <c r="D20" s="559"/>
      <c r="E20" s="559"/>
      <c r="F20" s="559"/>
      <c r="G20" s="367"/>
      <c r="H20" s="571"/>
    </row>
    <row r="21" spans="2:8" ht="21" customHeight="1">
      <c r="B21" s="559"/>
      <c r="C21" s="559"/>
      <c r="D21" s="559"/>
      <c r="E21" s="559"/>
      <c r="F21" s="559"/>
      <c r="G21" s="367"/>
      <c r="H21" s="571"/>
    </row>
    <row r="22" spans="2:8" ht="21" customHeight="1">
      <c r="B22" s="559"/>
      <c r="C22" s="559"/>
      <c r="D22" s="559"/>
      <c r="E22" s="559"/>
      <c r="F22" s="559"/>
      <c r="G22" s="367"/>
      <c r="H22" s="571"/>
    </row>
    <row r="23" spans="2:8" ht="21" customHeight="1">
      <c r="B23" s="559"/>
      <c r="C23" s="559"/>
      <c r="D23" s="559"/>
      <c r="E23" s="559"/>
      <c r="F23" s="559"/>
      <c r="G23" s="367"/>
      <c r="H23" s="571"/>
    </row>
    <row r="24" spans="2:8" ht="21" customHeight="1">
      <c r="B24" s="559"/>
      <c r="C24" s="559"/>
      <c r="D24" s="559"/>
      <c r="E24" s="559"/>
      <c r="F24" s="559"/>
      <c r="G24" s="367"/>
      <c r="H24" s="571"/>
    </row>
    <row r="25" spans="2:8" ht="21" customHeight="1">
      <c r="B25" s="559"/>
      <c r="C25" s="559"/>
      <c r="D25" s="559"/>
      <c r="E25" s="559"/>
      <c r="F25" s="559"/>
      <c r="G25" s="367"/>
      <c r="H25" s="571"/>
    </row>
    <row r="26" spans="2:8" ht="21" customHeight="1">
      <c r="B26" s="559"/>
      <c r="C26" s="559"/>
      <c r="D26" s="559"/>
      <c r="E26" s="559"/>
      <c r="F26" s="559"/>
      <c r="G26" s="367"/>
      <c r="H26" s="571"/>
    </row>
    <row r="27" spans="2:8" ht="21" customHeight="1">
      <c r="B27" s="559"/>
      <c r="C27" s="559"/>
      <c r="D27" s="559"/>
      <c r="E27" s="559"/>
      <c r="F27" s="559"/>
      <c r="G27" s="367"/>
      <c r="H27" s="571"/>
    </row>
    <row r="28" spans="2:8" ht="21" customHeight="1">
      <c r="B28" s="559"/>
      <c r="C28" s="559"/>
      <c r="D28" s="559"/>
      <c r="E28" s="559"/>
      <c r="F28" s="559"/>
      <c r="G28" s="367"/>
      <c r="H28" s="571"/>
    </row>
    <row r="29" spans="2:8" ht="21" customHeight="1">
      <c r="B29" s="559"/>
      <c r="C29" s="559"/>
      <c r="D29" s="559"/>
      <c r="E29" s="559"/>
      <c r="F29" s="559"/>
      <c r="G29" s="367"/>
      <c r="H29" s="571"/>
    </row>
    <row r="30" spans="2:8" ht="21" customHeight="1">
      <c r="B30" s="559"/>
      <c r="C30" s="559"/>
      <c r="D30" s="559"/>
      <c r="E30" s="559"/>
      <c r="F30" s="559"/>
      <c r="G30" s="367"/>
      <c r="H30" s="571"/>
    </row>
    <row r="31" spans="2:8" ht="21" customHeight="1">
      <c r="B31" s="559"/>
      <c r="C31" s="559"/>
      <c r="D31" s="559"/>
      <c r="E31" s="559"/>
      <c r="F31" s="559"/>
      <c r="G31" s="367"/>
      <c r="H31" s="571"/>
    </row>
    <row r="32" spans="2:8" ht="21" customHeight="1">
      <c r="B32" s="559"/>
      <c r="C32" s="559"/>
      <c r="D32" s="559"/>
      <c r="E32" s="559"/>
      <c r="F32" s="559"/>
      <c r="G32" s="367"/>
      <c r="H32" s="571"/>
    </row>
    <row r="33" spans="2:13" ht="21" customHeight="1">
      <c r="B33" s="559"/>
      <c r="C33" s="559"/>
      <c r="D33" s="559"/>
      <c r="E33" s="559"/>
      <c r="F33" s="559"/>
      <c r="G33" s="367"/>
      <c r="H33" s="571"/>
      <c r="M33" s="318"/>
    </row>
    <row r="34" spans="2:13" ht="21" customHeight="1">
      <c r="B34" s="559"/>
      <c r="C34" s="559"/>
      <c r="D34" s="559"/>
      <c r="E34" s="559"/>
      <c r="F34" s="559"/>
      <c r="G34" s="367"/>
      <c r="H34" s="571"/>
    </row>
    <row r="35" spans="2:13" ht="21" customHeight="1">
      <c r="B35" s="559"/>
      <c r="C35" s="559"/>
      <c r="D35" s="559"/>
      <c r="E35" s="559"/>
      <c r="F35" s="559"/>
      <c r="G35" s="367"/>
      <c r="H35" s="571"/>
    </row>
    <row r="36" spans="2:13" ht="21" customHeight="1">
      <c r="B36" s="559"/>
      <c r="C36" s="559"/>
      <c r="D36" s="559"/>
      <c r="E36" s="559"/>
      <c r="F36" s="559"/>
      <c r="G36" s="367"/>
      <c r="H36" s="571"/>
    </row>
    <row r="37" spans="2:13" ht="21" customHeight="1">
      <c r="B37" s="559"/>
      <c r="C37" s="559"/>
      <c r="D37" s="559"/>
      <c r="E37" s="559"/>
      <c r="F37" s="559"/>
      <c r="G37" s="367"/>
      <c r="H37" s="571"/>
    </row>
    <row r="38" spans="2:13" ht="21" customHeight="1">
      <c r="B38" s="559"/>
      <c r="C38" s="559"/>
      <c r="D38" s="559"/>
      <c r="E38" s="559"/>
      <c r="F38" s="559"/>
      <c r="G38" s="367"/>
      <c r="H38" s="571"/>
    </row>
    <row r="39" spans="2:13" ht="21" customHeight="1">
      <c r="B39" s="559"/>
      <c r="C39" s="559"/>
      <c r="D39" s="559"/>
      <c r="E39" s="559"/>
      <c r="F39" s="559"/>
      <c r="G39" s="367"/>
      <c r="H39" s="571"/>
    </row>
    <row r="40" spans="2:13" ht="21" customHeight="1">
      <c r="B40" s="559"/>
      <c r="C40" s="559"/>
      <c r="D40" s="559"/>
      <c r="E40" s="559"/>
      <c r="F40" s="559"/>
      <c r="G40" s="367"/>
      <c r="H40" s="571"/>
    </row>
    <row r="41" spans="2:13" ht="21" customHeight="1">
      <c r="B41" s="559"/>
      <c r="C41" s="559"/>
      <c r="D41" s="559"/>
      <c r="E41" s="559"/>
      <c r="F41" s="559"/>
      <c r="G41" s="367"/>
      <c r="H41" s="571"/>
    </row>
    <row r="42" spans="2:13" ht="21" customHeight="1">
      <c r="B42" s="559"/>
      <c r="C42" s="559"/>
      <c r="D42" s="559"/>
      <c r="E42" s="559"/>
      <c r="F42" s="559"/>
      <c r="G42" s="367"/>
      <c r="H42" s="571"/>
    </row>
    <row r="43" spans="2:13" ht="21" customHeight="1">
      <c r="B43" s="559"/>
      <c r="C43" s="559"/>
      <c r="D43" s="559"/>
      <c r="E43" s="559"/>
      <c r="F43" s="559"/>
      <c r="G43" s="367"/>
      <c r="H43" s="571"/>
    </row>
    <row r="44" spans="2:13" ht="21" customHeight="1">
      <c r="B44" s="834" t="s">
        <v>847</v>
      </c>
      <c r="C44" s="631"/>
      <c r="D44" s="631"/>
      <c r="E44" s="631"/>
      <c r="F44" s="631"/>
      <c r="G44" s="833">
        <f>SUM(G9:G43)</f>
        <v>86571.65</v>
      </c>
      <c r="H44" s="842">
        <f>SUM(H9:H43)</f>
        <v>86571.650000000009</v>
      </c>
    </row>
    <row r="45" spans="2:13">
      <c r="B45" s="1597" t="s">
        <v>103</v>
      </c>
      <c r="C45" s="1597"/>
      <c r="D45" s="1597"/>
      <c r="E45" s="1597"/>
      <c r="F45" s="1597"/>
      <c r="G45" s="1597"/>
      <c r="H45" s="1597"/>
    </row>
    <row r="46" spans="2:13">
      <c r="B46" s="951"/>
      <c r="C46" s="951"/>
      <c r="D46" s="951"/>
      <c r="E46" s="951"/>
      <c r="F46" s="951"/>
      <c r="G46" s="951"/>
      <c r="H46" s="951"/>
    </row>
    <row r="47" spans="2:13">
      <c r="B47" s="844"/>
      <c r="C47" s="844"/>
      <c r="D47" s="844"/>
      <c r="E47" s="844"/>
      <c r="F47" s="844"/>
      <c r="G47" s="844"/>
      <c r="H47" s="844"/>
    </row>
    <row r="48" spans="2:13" ht="13.8">
      <c r="B48" s="1598" t="s">
        <v>3311</v>
      </c>
      <c r="C48" s="1598"/>
      <c r="D48" s="1598"/>
      <c r="E48" s="1598"/>
      <c r="F48" s="1598"/>
      <c r="G48" s="1598"/>
      <c r="H48" s="1598"/>
    </row>
  </sheetData>
  <sheetProtection algorithmName="SHA-512" hashValue="zqAzMUQqXFbBXhT1xRg1PC11uVdpRRj+nQroaxnGsY82uGnfLnf868hf+idWmAWfJfFlenO8XyA4S8UsSK5z5w==" saltValue="yD9lypS4n64Wjj/xLwwalg=="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3:M48"/>
  <sheetViews>
    <sheetView zoomScaleNormal="100" workbookViewId="0">
      <selection activeCell="E7" sqref="E7"/>
    </sheetView>
  </sheetViews>
  <sheetFormatPr defaultColWidth="9.109375" defaultRowHeight="13.2"/>
  <cols>
    <col min="1" max="1" width="4.6640625" style="315" customWidth="1"/>
    <col min="2" max="2" width="4.88671875" style="315" customWidth="1"/>
    <col min="3" max="4" width="4.6640625" style="315" customWidth="1"/>
    <col min="5" max="5" width="30.6640625" style="315" customWidth="1"/>
    <col min="6" max="6" width="15.6640625" style="315" customWidth="1"/>
    <col min="7" max="8" width="16.6640625" style="315" customWidth="1"/>
    <col min="9" max="12" width="9.109375" style="315"/>
    <col min="13" max="13" width="10.33203125" style="315" bestFit="1" customWidth="1"/>
    <col min="14" max="16384" width="9.109375" style="315"/>
  </cols>
  <sheetData>
    <row r="3" spans="2:11" ht="22.8">
      <c r="B3" s="1586" t="s">
        <v>451</v>
      </c>
      <c r="C3" s="1586"/>
      <c r="D3" s="1586"/>
      <c r="E3" s="1586"/>
      <c r="F3" s="1586"/>
      <c r="G3" s="1586"/>
      <c r="H3" s="1586"/>
    </row>
    <row r="4" spans="2:11" ht="22.8">
      <c r="B4" s="1586" t="s">
        <v>582</v>
      </c>
      <c r="C4" s="1586"/>
      <c r="D4" s="1586"/>
      <c r="E4" s="1586"/>
      <c r="F4" s="1586"/>
      <c r="G4" s="1586"/>
      <c r="H4" s="1586"/>
    </row>
    <row r="5" spans="2:11" ht="17.399999999999999">
      <c r="B5" s="1596" t="s">
        <v>655</v>
      </c>
      <c r="C5" s="1596"/>
      <c r="D5" s="1596"/>
      <c r="E5" s="1596"/>
      <c r="F5" s="1596"/>
      <c r="G5" s="1596"/>
      <c r="H5" s="1596"/>
    </row>
    <row r="6" spans="2:11" ht="15.6">
      <c r="B6" s="1592" t="str">
        <f>'KEY INPUTS'!D44</f>
        <v>AS  AT  DECEMBER  31, 2020</v>
      </c>
      <c r="C6" s="1547"/>
      <c r="D6" s="1547"/>
      <c r="E6" s="1547"/>
      <c r="F6" s="1547"/>
      <c r="G6" s="1547"/>
      <c r="H6" s="1547"/>
    </row>
    <row r="7" spans="2:11" ht="13.8" thickBot="1"/>
    <row r="8" spans="2:11" ht="36" customHeight="1" thickTop="1" thickBot="1">
      <c r="B8" s="1589" t="s">
        <v>100</v>
      </c>
      <c r="C8" s="1589"/>
      <c r="D8" s="1589"/>
      <c r="E8" s="1589"/>
      <c r="F8" s="1590"/>
      <c r="G8" s="4" t="s">
        <v>101</v>
      </c>
      <c r="H8" s="725" t="s">
        <v>102</v>
      </c>
    </row>
    <row r="9" spans="2:11" ht="21" customHeight="1" thickTop="1">
      <c r="B9" s="845" t="s">
        <v>3309</v>
      </c>
      <c r="C9" s="830"/>
      <c r="D9" s="830"/>
      <c r="E9" s="830"/>
      <c r="F9" s="830"/>
      <c r="G9" s="831">
        <f>+'6.2-Trial Bal-Trust Fnds'!G44</f>
        <v>86571.65</v>
      </c>
      <c r="H9" s="832">
        <f>+'6.2-Trial Bal-Trust Fnds'!H44</f>
        <v>86571.650000000009</v>
      </c>
      <c r="I9" s="732"/>
    </row>
    <row r="10" spans="2:11" ht="21" customHeight="1">
      <c r="B10" s="834" t="s">
        <v>3308</v>
      </c>
      <c r="C10" s="631"/>
      <c r="D10" s="631"/>
      <c r="E10" s="631"/>
      <c r="F10" s="631"/>
      <c r="G10" s="833"/>
      <c r="H10" s="654"/>
    </row>
    <row r="11" spans="2:11" ht="21" customHeight="1">
      <c r="B11" s="559"/>
      <c r="C11" s="559"/>
      <c r="D11" s="559"/>
      <c r="E11" s="559"/>
      <c r="F11" s="559"/>
      <c r="G11" s="367"/>
      <c r="H11" s="571"/>
      <c r="I11" s="732"/>
    </row>
    <row r="12" spans="2:11" ht="21" customHeight="1">
      <c r="B12" s="559"/>
      <c r="C12" s="559"/>
      <c r="D12" s="559"/>
      <c r="E12" s="559"/>
      <c r="F12" s="559"/>
      <c r="G12" s="367"/>
      <c r="H12" s="571"/>
    </row>
    <row r="13" spans="2:11" ht="21" customHeight="1">
      <c r="B13" s="559"/>
      <c r="C13" s="559"/>
      <c r="D13" s="559"/>
      <c r="E13" s="559"/>
      <c r="F13" s="559"/>
      <c r="G13" s="367"/>
      <c r="H13" s="571"/>
    </row>
    <row r="14" spans="2:11" ht="21" customHeight="1">
      <c r="B14" s="559"/>
      <c r="C14" s="559"/>
      <c r="D14" s="559"/>
      <c r="E14" s="559"/>
      <c r="F14" s="559"/>
      <c r="G14" s="367"/>
      <c r="H14" s="571"/>
      <c r="K14" s="370"/>
    </row>
    <row r="15" spans="2:11" ht="21" customHeight="1">
      <c r="B15" s="559"/>
      <c r="C15" s="559"/>
      <c r="D15" s="559"/>
      <c r="E15" s="559"/>
      <c r="F15" s="559"/>
      <c r="G15" s="367"/>
      <c r="H15" s="571"/>
    </row>
    <row r="16" spans="2:11" ht="21" customHeight="1">
      <c r="B16" s="559"/>
      <c r="C16" s="559"/>
      <c r="D16" s="559"/>
      <c r="E16" s="559"/>
      <c r="F16" s="559"/>
      <c r="G16" s="367"/>
      <c r="H16" s="571"/>
    </row>
    <row r="17" spans="2:8" ht="21" customHeight="1">
      <c r="B17" s="559"/>
      <c r="C17" s="559"/>
      <c r="D17" s="559"/>
      <c r="E17" s="559"/>
      <c r="F17" s="559"/>
      <c r="G17" s="367"/>
      <c r="H17" s="571"/>
    </row>
    <row r="18" spans="2:8" ht="21" customHeight="1">
      <c r="B18" s="559"/>
      <c r="C18" s="559"/>
      <c r="D18" s="559"/>
      <c r="E18" s="559"/>
      <c r="F18" s="559"/>
      <c r="G18" s="367"/>
      <c r="H18" s="571"/>
    </row>
    <row r="19" spans="2:8" ht="21" customHeight="1">
      <c r="B19" s="559"/>
      <c r="C19" s="559"/>
      <c r="D19" s="559"/>
      <c r="E19" s="559"/>
      <c r="F19" s="559"/>
      <c r="G19" s="367"/>
      <c r="H19" s="571"/>
    </row>
    <row r="20" spans="2:8" ht="21" customHeight="1">
      <c r="B20" s="559"/>
      <c r="C20" s="559"/>
      <c r="D20" s="559"/>
      <c r="E20" s="559"/>
      <c r="F20" s="559"/>
      <c r="G20" s="367"/>
      <c r="H20" s="571"/>
    </row>
    <row r="21" spans="2:8" ht="21" customHeight="1">
      <c r="B21" s="559"/>
      <c r="C21" s="559"/>
      <c r="D21" s="559"/>
      <c r="E21" s="559"/>
      <c r="F21" s="559"/>
      <c r="G21" s="367"/>
      <c r="H21" s="571"/>
    </row>
    <row r="22" spans="2:8" ht="21" customHeight="1">
      <c r="B22" s="559"/>
      <c r="C22" s="559"/>
      <c r="D22" s="559"/>
      <c r="E22" s="559"/>
      <c r="F22" s="559"/>
      <c r="G22" s="367"/>
      <c r="H22" s="571"/>
    </row>
    <row r="23" spans="2:8" ht="21" customHeight="1">
      <c r="B23" s="559"/>
      <c r="C23" s="559"/>
      <c r="D23" s="559"/>
      <c r="E23" s="559"/>
      <c r="F23" s="559"/>
      <c r="G23" s="367"/>
      <c r="H23" s="571"/>
    </row>
    <row r="24" spans="2:8" ht="21" customHeight="1">
      <c r="B24" s="559"/>
      <c r="C24" s="559"/>
      <c r="D24" s="559"/>
      <c r="E24" s="559"/>
      <c r="F24" s="559"/>
      <c r="G24" s="367"/>
      <c r="H24" s="571"/>
    </row>
    <row r="25" spans="2:8" ht="21" customHeight="1">
      <c r="B25" s="559"/>
      <c r="C25" s="559"/>
      <c r="D25" s="559"/>
      <c r="E25" s="559"/>
      <c r="F25" s="559"/>
      <c r="G25" s="367"/>
      <c r="H25" s="571"/>
    </row>
    <row r="26" spans="2:8" ht="21" customHeight="1">
      <c r="B26" s="559"/>
      <c r="C26" s="559"/>
      <c r="D26" s="559"/>
      <c r="E26" s="559"/>
      <c r="F26" s="559"/>
      <c r="G26" s="367"/>
      <c r="H26" s="571"/>
    </row>
    <row r="27" spans="2:8" ht="21" customHeight="1">
      <c r="B27" s="559"/>
      <c r="C27" s="559"/>
      <c r="D27" s="559"/>
      <c r="E27" s="559"/>
      <c r="F27" s="559"/>
      <c r="G27" s="367"/>
      <c r="H27" s="571"/>
    </row>
    <row r="28" spans="2:8" ht="21" customHeight="1">
      <c r="B28" s="559"/>
      <c r="C28" s="559"/>
      <c r="D28" s="559"/>
      <c r="E28" s="559"/>
      <c r="F28" s="559"/>
      <c r="G28" s="367"/>
      <c r="H28" s="571"/>
    </row>
    <row r="29" spans="2:8" ht="21" customHeight="1">
      <c r="B29" s="559"/>
      <c r="C29" s="559"/>
      <c r="D29" s="559"/>
      <c r="E29" s="559"/>
      <c r="F29" s="559"/>
      <c r="G29" s="367"/>
      <c r="H29" s="571"/>
    </row>
    <row r="30" spans="2:8" ht="21" customHeight="1">
      <c r="B30" s="559"/>
      <c r="C30" s="559"/>
      <c r="D30" s="559"/>
      <c r="E30" s="559"/>
      <c r="F30" s="559"/>
      <c r="G30" s="367"/>
      <c r="H30" s="571"/>
    </row>
    <row r="31" spans="2:8" ht="21" customHeight="1">
      <c r="B31" s="559"/>
      <c r="C31" s="559"/>
      <c r="D31" s="559"/>
      <c r="E31" s="559"/>
      <c r="F31" s="559"/>
      <c r="G31" s="367"/>
      <c r="H31" s="571"/>
    </row>
    <row r="32" spans="2:8" ht="21" customHeight="1">
      <c r="B32" s="559"/>
      <c r="C32" s="559"/>
      <c r="D32" s="559"/>
      <c r="E32" s="559"/>
      <c r="F32" s="559"/>
      <c r="G32" s="367"/>
      <c r="H32" s="571"/>
    </row>
    <row r="33" spans="2:13" ht="21" customHeight="1">
      <c r="B33" s="559"/>
      <c r="C33" s="559"/>
      <c r="D33" s="559"/>
      <c r="E33" s="559"/>
      <c r="F33" s="559"/>
      <c r="G33" s="367"/>
      <c r="H33" s="571"/>
      <c r="M33" s="318"/>
    </row>
    <row r="34" spans="2:13" ht="21" customHeight="1">
      <c r="B34" s="559"/>
      <c r="C34" s="559"/>
      <c r="D34" s="559"/>
      <c r="E34" s="559"/>
      <c r="F34" s="559"/>
      <c r="G34" s="367"/>
      <c r="H34" s="571"/>
    </row>
    <row r="35" spans="2:13" ht="21" customHeight="1">
      <c r="B35" s="559"/>
      <c r="C35" s="559"/>
      <c r="D35" s="559"/>
      <c r="E35" s="559"/>
      <c r="F35" s="559"/>
      <c r="G35" s="367"/>
      <c r="H35" s="571"/>
    </row>
    <row r="36" spans="2:13" ht="21" customHeight="1">
      <c r="B36" s="559"/>
      <c r="C36" s="559"/>
      <c r="D36" s="559"/>
      <c r="E36" s="559"/>
      <c r="F36" s="559"/>
      <c r="G36" s="367"/>
      <c r="H36" s="571"/>
    </row>
    <row r="37" spans="2:13" ht="21" customHeight="1">
      <c r="B37" s="559"/>
      <c r="C37" s="559"/>
      <c r="D37" s="559"/>
      <c r="E37" s="559"/>
      <c r="F37" s="559"/>
      <c r="G37" s="367"/>
      <c r="H37" s="571"/>
    </row>
    <row r="38" spans="2:13" ht="21" customHeight="1">
      <c r="B38" s="559"/>
      <c r="C38" s="559"/>
      <c r="D38" s="559"/>
      <c r="E38" s="559"/>
      <c r="F38" s="559"/>
      <c r="G38" s="367"/>
      <c r="H38" s="571"/>
    </row>
    <row r="39" spans="2:13" ht="21" customHeight="1">
      <c r="B39" s="559"/>
      <c r="C39" s="559"/>
      <c r="D39" s="559"/>
      <c r="E39" s="559"/>
      <c r="F39" s="559"/>
      <c r="G39" s="367"/>
      <c r="H39" s="571"/>
    </row>
    <row r="40" spans="2:13" ht="21" customHeight="1">
      <c r="B40" s="559"/>
      <c r="C40" s="559"/>
      <c r="D40" s="559"/>
      <c r="E40" s="559"/>
      <c r="F40" s="559"/>
      <c r="G40" s="367"/>
      <c r="H40" s="571"/>
    </row>
    <row r="41" spans="2:13" ht="21" customHeight="1">
      <c r="B41" s="559"/>
      <c r="C41" s="559"/>
      <c r="D41" s="559"/>
      <c r="E41" s="559"/>
      <c r="F41" s="559"/>
      <c r="G41" s="367"/>
      <c r="H41" s="571"/>
    </row>
    <row r="42" spans="2:13" ht="21" customHeight="1">
      <c r="B42" s="559"/>
      <c r="C42" s="559"/>
      <c r="D42" s="559"/>
      <c r="E42" s="559"/>
      <c r="F42" s="559"/>
      <c r="G42" s="367"/>
      <c r="H42" s="571"/>
    </row>
    <row r="43" spans="2:13" ht="21" customHeight="1">
      <c r="B43" s="559"/>
      <c r="C43" s="559"/>
      <c r="D43" s="559"/>
      <c r="E43" s="559"/>
      <c r="F43" s="559"/>
      <c r="G43" s="367"/>
      <c r="H43" s="571"/>
    </row>
    <row r="44" spans="2:13" ht="21" customHeight="1">
      <c r="B44" s="834" t="s">
        <v>847</v>
      </c>
      <c r="C44" s="631"/>
      <c r="D44" s="631"/>
      <c r="E44" s="631"/>
      <c r="F44" s="631"/>
      <c r="G44" s="833">
        <f>SUM(G9:G43)</f>
        <v>86571.65</v>
      </c>
      <c r="H44" s="842">
        <f>SUM(H9:H43)</f>
        <v>86571.650000000009</v>
      </c>
    </row>
    <row r="45" spans="2:13">
      <c r="B45" s="1597" t="s">
        <v>103</v>
      </c>
      <c r="C45" s="1597"/>
      <c r="D45" s="1597"/>
      <c r="E45" s="1597"/>
      <c r="F45" s="1597"/>
      <c r="G45" s="1597"/>
      <c r="H45" s="1597"/>
    </row>
    <row r="46" spans="2:13">
      <c r="B46" s="951"/>
      <c r="C46" s="951"/>
      <c r="D46" s="951"/>
      <c r="E46" s="951"/>
      <c r="F46" s="951"/>
      <c r="G46" s="951"/>
      <c r="H46" s="951"/>
    </row>
    <row r="47" spans="2:13">
      <c r="B47" s="844"/>
      <c r="C47" s="844"/>
      <c r="D47" s="844"/>
      <c r="E47" s="844"/>
      <c r="F47" s="844"/>
      <c r="G47" s="844"/>
      <c r="H47" s="844"/>
    </row>
    <row r="48" spans="2:13" ht="13.8">
      <c r="B48" s="1598" t="s">
        <v>3312</v>
      </c>
      <c r="C48" s="1598"/>
      <c r="D48" s="1598"/>
      <c r="E48" s="1598"/>
      <c r="F48" s="1598"/>
      <c r="G48" s="1598"/>
      <c r="H48" s="1598"/>
    </row>
  </sheetData>
  <sheetProtection algorithmName="SHA-512" hashValue="wgVZFwwhGsomk7e64xfsqxGR/RG2b6CXt1+BTXINWfWfiBgA9Jh/XwYV1ltRMErgLI9cS12u6hhOGIrbTfvS5g==" saltValue="RYh20kgB2C7r2qQ/5xH6gg=="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B3:M48"/>
  <sheetViews>
    <sheetView zoomScaleNormal="100" workbookViewId="0">
      <selection activeCell="B1" sqref="B1"/>
    </sheetView>
  </sheetViews>
  <sheetFormatPr defaultColWidth="9.109375" defaultRowHeight="13.2"/>
  <cols>
    <col min="1" max="1" width="4.6640625" style="315" customWidth="1"/>
    <col min="2" max="2" width="4.88671875" style="315" customWidth="1"/>
    <col min="3" max="4" width="4.6640625" style="315" customWidth="1"/>
    <col min="5" max="5" width="30.6640625" style="315" customWidth="1"/>
    <col min="6" max="6" width="15.6640625" style="315" customWidth="1"/>
    <col min="7" max="8" width="16.6640625" style="315" customWidth="1"/>
    <col min="9" max="12" width="9.109375" style="315"/>
    <col min="13" max="13" width="10.33203125" style="315" bestFit="1" customWidth="1"/>
    <col min="14" max="16384" width="9.109375" style="315"/>
  </cols>
  <sheetData>
    <row r="3" spans="2:11" ht="22.8">
      <c r="B3" s="1601" t="s">
        <v>451</v>
      </c>
      <c r="C3" s="1601"/>
      <c r="D3" s="1601"/>
      <c r="E3" s="1601"/>
      <c r="F3" s="1601"/>
      <c r="G3" s="1601"/>
      <c r="H3" s="1601"/>
    </row>
    <row r="4" spans="2:11" ht="22.8">
      <c r="B4" s="1601" t="s">
        <v>582</v>
      </c>
      <c r="C4" s="1601"/>
      <c r="D4" s="1601"/>
      <c r="E4" s="1601"/>
      <c r="F4" s="1601"/>
      <c r="G4" s="1601"/>
      <c r="H4" s="1601"/>
    </row>
    <row r="5" spans="2:11" ht="17.399999999999999">
      <c r="B5" s="1602" t="s">
        <v>655</v>
      </c>
      <c r="C5" s="1602"/>
      <c r="D5" s="1602"/>
      <c r="E5" s="1602"/>
      <c r="F5" s="1602"/>
      <c r="G5" s="1602"/>
      <c r="H5" s="1602"/>
    </row>
    <row r="6" spans="2:11" ht="15.6">
      <c r="B6" s="1603" t="str">
        <f>'KEY INPUTS'!D44</f>
        <v>AS  AT  DECEMBER  31, 2020</v>
      </c>
      <c r="C6" s="1604"/>
      <c r="D6" s="1604"/>
      <c r="E6" s="1604"/>
      <c r="F6" s="1604"/>
      <c r="G6" s="1604"/>
      <c r="H6" s="1604"/>
    </row>
    <row r="7" spans="2:11" ht="13.8" thickBot="1">
      <c r="B7" s="844"/>
      <c r="C7" s="844"/>
      <c r="D7" s="844"/>
      <c r="E7" s="844"/>
      <c r="F7" s="844"/>
      <c r="G7" s="844"/>
      <c r="H7" s="844"/>
    </row>
    <row r="8" spans="2:11" ht="36" customHeight="1" thickTop="1" thickBot="1">
      <c r="B8" s="1605" t="s">
        <v>100</v>
      </c>
      <c r="C8" s="1606"/>
      <c r="D8" s="1606"/>
      <c r="E8" s="1606"/>
      <c r="F8" s="1607"/>
      <c r="G8" s="957" t="s">
        <v>101</v>
      </c>
      <c r="H8" s="958" t="s">
        <v>102</v>
      </c>
    </row>
    <row r="9" spans="2:11" ht="21" customHeight="1" thickTop="1">
      <c r="B9" s="845" t="s">
        <v>3309</v>
      </c>
      <c r="C9" s="830"/>
      <c r="D9" s="830"/>
      <c r="E9" s="830"/>
      <c r="F9" s="830"/>
      <c r="G9" s="831">
        <f>+'6.3-Trial Bal-Trust Fnds'!G44</f>
        <v>86571.65</v>
      </c>
      <c r="H9" s="832">
        <f>+'6.3-Trial Bal-Trust Fnds'!H44</f>
        <v>86571.650000000009</v>
      </c>
      <c r="I9" s="732"/>
    </row>
    <row r="10" spans="2:11" ht="21" customHeight="1">
      <c r="B10" s="834" t="s">
        <v>3308</v>
      </c>
      <c r="C10" s="631"/>
      <c r="D10" s="631"/>
      <c r="E10" s="631"/>
      <c r="F10" s="631"/>
      <c r="G10" s="833"/>
      <c r="H10" s="654"/>
    </row>
    <row r="11" spans="2:11" ht="21" customHeight="1">
      <c r="B11" s="559"/>
      <c r="C11" s="559"/>
      <c r="D11" s="559"/>
      <c r="E11" s="559"/>
      <c r="F11" s="559"/>
      <c r="G11" s="367"/>
      <c r="H11" s="571"/>
      <c r="I11" s="732"/>
    </row>
    <row r="12" spans="2:11" ht="21" customHeight="1">
      <c r="B12" s="559"/>
      <c r="C12" s="559"/>
      <c r="D12" s="559"/>
      <c r="E12" s="559"/>
      <c r="F12" s="559"/>
      <c r="G12" s="367"/>
      <c r="H12" s="571"/>
    </row>
    <row r="13" spans="2:11" ht="21" customHeight="1">
      <c r="B13" s="559"/>
      <c r="C13" s="559"/>
      <c r="D13" s="559"/>
      <c r="E13" s="559"/>
      <c r="F13" s="559"/>
      <c r="G13" s="367"/>
      <c r="H13" s="571"/>
    </row>
    <row r="14" spans="2:11" ht="21" customHeight="1">
      <c r="B14" s="559"/>
      <c r="C14" s="559"/>
      <c r="D14" s="559"/>
      <c r="E14" s="559"/>
      <c r="F14" s="559"/>
      <c r="G14" s="367"/>
      <c r="H14" s="571"/>
      <c r="K14" s="370"/>
    </row>
    <row r="15" spans="2:11" ht="21" customHeight="1">
      <c r="B15" s="559"/>
      <c r="C15" s="559"/>
      <c r="D15" s="559"/>
      <c r="E15" s="559"/>
      <c r="F15" s="559"/>
      <c r="G15" s="367"/>
      <c r="H15" s="571"/>
    </row>
    <row r="16" spans="2:11" ht="21" customHeight="1">
      <c r="B16" s="559"/>
      <c r="C16" s="559"/>
      <c r="D16" s="559"/>
      <c r="E16" s="559"/>
      <c r="F16" s="559"/>
      <c r="G16" s="367"/>
      <c r="H16" s="571"/>
    </row>
    <row r="17" spans="2:8" ht="21" customHeight="1">
      <c r="B17" s="559"/>
      <c r="C17" s="559"/>
      <c r="D17" s="559"/>
      <c r="E17" s="559"/>
      <c r="F17" s="559"/>
      <c r="G17" s="367"/>
      <c r="H17" s="571"/>
    </row>
    <row r="18" spans="2:8" ht="21" customHeight="1">
      <c r="B18" s="559"/>
      <c r="C18" s="559"/>
      <c r="D18" s="559"/>
      <c r="E18" s="559"/>
      <c r="F18" s="559"/>
      <c r="G18" s="367"/>
      <c r="H18" s="571"/>
    </row>
    <row r="19" spans="2:8" ht="21" customHeight="1">
      <c r="B19" s="559"/>
      <c r="C19" s="559"/>
      <c r="D19" s="559"/>
      <c r="E19" s="559"/>
      <c r="F19" s="559"/>
      <c r="G19" s="367"/>
      <c r="H19" s="571"/>
    </row>
    <row r="20" spans="2:8" ht="21" customHeight="1">
      <c r="B20" s="559"/>
      <c r="C20" s="559"/>
      <c r="D20" s="559"/>
      <c r="E20" s="559"/>
      <c r="F20" s="559"/>
      <c r="G20" s="367"/>
      <c r="H20" s="571"/>
    </row>
    <row r="21" spans="2:8" ht="21" customHeight="1">
      <c r="B21" s="559"/>
      <c r="C21" s="559"/>
      <c r="D21" s="559"/>
      <c r="E21" s="559"/>
      <c r="F21" s="559"/>
      <c r="G21" s="367"/>
      <c r="H21" s="571"/>
    </row>
    <row r="22" spans="2:8" ht="21" customHeight="1">
      <c r="B22" s="559"/>
      <c r="C22" s="559"/>
      <c r="D22" s="559"/>
      <c r="E22" s="559"/>
      <c r="F22" s="559"/>
      <c r="G22" s="367"/>
      <c r="H22" s="571"/>
    </row>
    <row r="23" spans="2:8" ht="21" customHeight="1">
      <c r="B23" s="559"/>
      <c r="C23" s="559"/>
      <c r="D23" s="559"/>
      <c r="E23" s="559"/>
      <c r="F23" s="559"/>
      <c r="G23" s="367"/>
      <c r="H23" s="571"/>
    </row>
    <row r="24" spans="2:8" ht="21" customHeight="1">
      <c r="B24" s="559"/>
      <c r="C24" s="559"/>
      <c r="D24" s="559"/>
      <c r="E24" s="559"/>
      <c r="F24" s="559"/>
      <c r="G24" s="367"/>
      <c r="H24" s="571"/>
    </row>
    <row r="25" spans="2:8" ht="21" customHeight="1">
      <c r="B25" s="559"/>
      <c r="C25" s="559"/>
      <c r="D25" s="559"/>
      <c r="E25" s="559"/>
      <c r="F25" s="559"/>
      <c r="G25" s="367"/>
      <c r="H25" s="571"/>
    </row>
    <row r="26" spans="2:8" ht="21" customHeight="1">
      <c r="B26" s="559"/>
      <c r="C26" s="559"/>
      <c r="D26" s="559"/>
      <c r="E26" s="559"/>
      <c r="F26" s="559"/>
      <c r="G26" s="367"/>
      <c r="H26" s="571"/>
    </row>
    <row r="27" spans="2:8" ht="21" customHeight="1">
      <c r="B27" s="559"/>
      <c r="C27" s="559"/>
      <c r="D27" s="559"/>
      <c r="E27" s="559"/>
      <c r="F27" s="559"/>
      <c r="G27" s="367"/>
      <c r="H27" s="571"/>
    </row>
    <row r="28" spans="2:8" ht="21" customHeight="1">
      <c r="B28" s="559"/>
      <c r="C28" s="559"/>
      <c r="D28" s="559"/>
      <c r="E28" s="559"/>
      <c r="F28" s="559"/>
      <c r="G28" s="367"/>
      <c r="H28" s="571"/>
    </row>
    <row r="29" spans="2:8" ht="21" customHeight="1">
      <c r="B29" s="559"/>
      <c r="C29" s="559"/>
      <c r="D29" s="559"/>
      <c r="E29" s="559"/>
      <c r="F29" s="559"/>
      <c r="G29" s="367"/>
      <c r="H29" s="571"/>
    </row>
    <row r="30" spans="2:8" ht="21" customHeight="1">
      <c r="B30" s="559"/>
      <c r="C30" s="559"/>
      <c r="D30" s="559"/>
      <c r="E30" s="559"/>
      <c r="F30" s="559"/>
      <c r="G30" s="367"/>
      <c r="H30" s="571"/>
    </row>
    <row r="31" spans="2:8" ht="21" customHeight="1">
      <c r="B31" s="559"/>
      <c r="C31" s="559"/>
      <c r="D31" s="559"/>
      <c r="E31" s="559"/>
      <c r="F31" s="559"/>
      <c r="G31" s="367"/>
      <c r="H31" s="571"/>
    </row>
    <row r="32" spans="2:8" ht="21" customHeight="1">
      <c r="B32" s="559"/>
      <c r="C32" s="559"/>
      <c r="D32" s="559"/>
      <c r="E32" s="559"/>
      <c r="F32" s="559"/>
      <c r="G32" s="367"/>
      <c r="H32" s="571"/>
    </row>
    <row r="33" spans="2:13" ht="21" customHeight="1">
      <c r="B33" s="559"/>
      <c r="C33" s="559"/>
      <c r="D33" s="559"/>
      <c r="E33" s="559"/>
      <c r="F33" s="559"/>
      <c r="G33" s="367"/>
      <c r="H33" s="571"/>
      <c r="M33" s="318"/>
    </row>
    <row r="34" spans="2:13" ht="21" customHeight="1">
      <c r="B34" s="559"/>
      <c r="C34" s="559"/>
      <c r="D34" s="559"/>
      <c r="E34" s="559"/>
      <c r="F34" s="559"/>
      <c r="G34" s="367"/>
      <c r="H34" s="571"/>
    </row>
    <row r="35" spans="2:13" ht="21" customHeight="1">
      <c r="B35" s="559"/>
      <c r="C35" s="559"/>
      <c r="D35" s="559"/>
      <c r="E35" s="559"/>
      <c r="F35" s="559"/>
      <c r="G35" s="367"/>
      <c r="H35" s="571"/>
    </row>
    <row r="36" spans="2:13" ht="21" customHeight="1">
      <c r="B36" s="559"/>
      <c r="C36" s="559"/>
      <c r="D36" s="559"/>
      <c r="E36" s="559"/>
      <c r="F36" s="559"/>
      <c r="G36" s="367"/>
      <c r="H36" s="571"/>
    </row>
    <row r="37" spans="2:13" ht="21" customHeight="1">
      <c r="B37" s="559"/>
      <c r="C37" s="559"/>
      <c r="D37" s="559"/>
      <c r="E37" s="559"/>
      <c r="F37" s="559"/>
      <c r="G37" s="367"/>
      <c r="H37" s="571"/>
    </row>
    <row r="38" spans="2:13" ht="21" customHeight="1">
      <c r="B38" s="559"/>
      <c r="C38" s="559"/>
      <c r="D38" s="559"/>
      <c r="E38" s="559"/>
      <c r="F38" s="559"/>
      <c r="G38" s="367"/>
      <c r="H38" s="571"/>
    </row>
    <row r="39" spans="2:13" ht="21" customHeight="1">
      <c r="B39" s="559"/>
      <c r="C39" s="559"/>
      <c r="D39" s="559"/>
      <c r="E39" s="559"/>
      <c r="F39" s="559"/>
      <c r="G39" s="367"/>
      <c r="H39" s="571"/>
    </row>
    <row r="40" spans="2:13" ht="21" customHeight="1">
      <c r="B40" s="559"/>
      <c r="C40" s="559"/>
      <c r="D40" s="559"/>
      <c r="E40" s="559"/>
      <c r="F40" s="559"/>
      <c r="G40" s="367"/>
      <c r="H40" s="571"/>
    </row>
    <row r="41" spans="2:13" ht="21" customHeight="1">
      <c r="B41" s="559"/>
      <c r="C41" s="559"/>
      <c r="D41" s="559"/>
      <c r="E41" s="559"/>
      <c r="F41" s="559"/>
      <c r="G41" s="367"/>
      <c r="H41" s="571"/>
    </row>
    <row r="42" spans="2:13" ht="21" customHeight="1">
      <c r="B42" s="559"/>
      <c r="C42" s="559"/>
      <c r="D42" s="559"/>
      <c r="E42" s="559"/>
      <c r="F42" s="559"/>
      <c r="G42" s="367"/>
      <c r="H42" s="571"/>
    </row>
    <row r="43" spans="2:13" ht="21" customHeight="1">
      <c r="B43" s="559"/>
      <c r="C43" s="559"/>
      <c r="D43" s="559"/>
      <c r="E43" s="559"/>
      <c r="F43" s="559"/>
      <c r="G43" s="367"/>
      <c r="H43" s="571"/>
    </row>
    <row r="44" spans="2:13" ht="21" customHeight="1">
      <c r="B44" s="834" t="s">
        <v>847</v>
      </c>
      <c r="C44" s="631"/>
      <c r="D44" s="631"/>
      <c r="E44" s="631"/>
      <c r="F44" s="631"/>
      <c r="G44" s="833">
        <f>SUM(G9:G43)</f>
        <v>86571.65</v>
      </c>
      <c r="H44" s="842">
        <f>SUM(H9:H43)</f>
        <v>86571.650000000009</v>
      </c>
    </row>
    <row r="45" spans="2:13">
      <c r="B45" s="1549" t="s">
        <v>103</v>
      </c>
      <c r="C45" s="1549"/>
      <c r="D45" s="1549"/>
      <c r="E45" s="1549"/>
      <c r="F45" s="1549"/>
      <c r="G45" s="1549"/>
      <c r="H45" s="1549"/>
    </row>
    <row r="46" spans="2:13">
      <c r="B46" s="953"/>
      <c r="C46" s="953"/>
      <c r="D46" s="953"/>
      <c r="E46" s="953"/>
      <c r="F46" s="953"/>
      <c r="G46" s="953"/>
      <c r="H46" s="953"/>
    </row>
    <row r="48" spans="2:13" ht="13.8">
      <c r="B48" s="1545" t="s">
        <v>3313</v>
      </c>
      <c r="C48" s="1545"/>
      <c r="D48" s="1545"/>
      <c r="E48" s="1545"/>
      <c r="F48" s="1545"/>
      <c r="G48" s="1545"/>
      <c r="H48" s="1545"/>
    </row>
  </sheetData>
  <sheetProtection algorithmName="SHA-512" hashValue="y5qXby7vbpEcT5qjn1i+gadI50kBQ8GKTqmrdY+Dn+Fi1wbq2wcQ4IJ+4KUv0RIVAbRVTON1UMso2YQfZPdeHQ==" saltValue="cnV+IVLDWX+JRmnRuJx+bw=="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B3:M55"/>
  <sheetViews>
    <sheetView zoomScaleNormal="100" workbookViewId="0">
      <selection activeCell="B1" sqref="B1"/>
    </sheetView>
  </sheetViews>
  <sheetFormatPr defaultColWidth="9.109375" defaultRowHeight="13.2"/>
  <cols>
    <col min="1" max="1" width="4.6640625" style="315" customWidth="1"/>
    <col min="2" max="2" width="4.88671875" style="315" customWidth="1"/>
    <col min="3" max="4" width="4.6640625" style="315" customWidth="1"/>
    <col min="5" max="5" width="30.6640625" style="315" customWidth="1"/>
    <col min="6" max="6" width="15.6640625" style="315" customWidth="1"/>
    <col min="7" max="8" width="16.6640625" style="315" customWidth="1"/>
    <col min="9" max="9" width="10.33203125" style="315" bestFit="1" customWidth="1"/>
    <col min="10" max="12" width="9.109375" style="315"/>
    <col min="13" max="13" width="10.33203125" style="315" bestFit="1" customWidth="1"/>
    <col min="14" max="16384" width="9.109375" style="315"/>
  </cols>
  <sheetData>
    <row r="3" spans="2:11" ht="22.8">
      <c r="B3" s="1586" t="s">
        <v>451</v>
      </c>
      <c r="C3" s="1586"/>
      <c r="D3" s="1586"/>
      <c r="E3" s="1586"/>
      <c r="F3" s="1586"/>
      <c r="G3" s="1586"/>
      <c r="H3" s="1586"/>
    </row>
    <row r="4" spans="2:11" ht="22.8">
      <c r="B4" s="1586" t="s">
        <v>582</v>
      </c>
      <c r="C4" s="1586"/>
      <c r="D4" s="1586"/>
      <c r="E4" s="1586"/>
      <c r="F4" s="1586"/>
      <c r="G4" s="1586"/>
      <c r="H4" s="1586"/>
    </row>
    <row r="5" spans="2:11" ht="17.399999999999999">
      <c r="B5" s="1596" t="s">
        <v>655</v>
      </c>
      <c r="C5" s="1596"/>
      <c r="D5" s="1596"/>
      <c r="E5" s="1596"/>
      <c r="F5" s="1596"/>
      <c r="G5" s="1596"/>
      <c r="H5" s="1596"/>
    </row>
    <row r="6" spans="2:11" ht="15.6">
      <c r="B6" s="1592" t="str">
        <f>'KEY INPUTS'!D44</f>
        <v>AS  AT  DECEMBER  31, 2020</v>
      </c>
      <c r="C6" s="1547"/>
      <c r="D6" s="1547"/>
      <c r="E6" s="1547"/>
      <c r="F6" s="1547"/>
      <c r="G6" s="1547"/>
      <c r="H6" s="1547"/>
    </row>
    <row r="7" spans="2:11" ht="13.8" thickBot="1"/>
    <row r="8" spans="2:11" ht="36" customHeight="1" thickTop="1" thickBot="1">
      <c r="B8" s="1589" t="s">
        <v>100</v>
      </c>
      <c r="C8" s="1589"/>
      <c r="D8" s="1589"/>
      <c r="E8" s="1589"/>
      <c r="F8" s="1590"/>
      <c r="G8" s="4" t="s">
        <v>101</v>
      </c>
      <c r="H8" s="954" t="s">
        <v>102</v>
      </c>
    </row>
    <row r="9" spans="2:11" ht="21" customHeight="1" thickTop="1">
      <c r="B9" s="845" t="s">
        <v>3309</v>
      </c>
      <c r="C9" s="830"/>
      <c r="D9" s="830"/>
      <c r="E9" s="830"/>
      <c r="F9" s="830"/>
      <c r="G9" s="831">
        <f>+'6.4-Trial Bal-Trust Fnds'!G44</f>
        <v>86571.65</v>
      </c>
      <c r="H9" s="832">
        <f>+'6.4-Trial Bal-Trust Fnds'!H44</f>
        <v>86571.650000000009</v>
      </c>
      <c r="I9" s="732"/>
    </row>
    <row r="10" spans="2:11" ht="21" customHeight="1">
      <c r="B10" s="834" t="s">
        <v>3308</v>
      </c>
      <c r="C10" s="631"/>
      <c r="D10" s="631"/>
      <c r="E10" s="631"/>
      <c r="F10" s="631"/>
      <c r="G10" s="833"/>
      <c r="H10" s="654"/>
    </row>
    <row r="11" spans="2:11" ht="21" customHeight="1">
      <c r="B11" s="559"/>
      <c r="C11" s="559"/>
      <c r="D11" s="559"/>
      <c r="E11" s="559"/>
      <c r="F11" s="559"/>
      <c r="G11" s="367"/>
      <c r="H11" s="571"/>
      <c r="I11" s="732"/>
    </row>
    <row r="12" spans="2:11" ht="21" customHeight="1">
      <c r="B12" s="559"/>
      <c r="C12" s="559"/>
      <c r="D12" s="559"/>
      <c r="E12" s="559"/>
      <c r="F12" s="559"/>
      <c r="G12" s="367"/>
      <c r="H12" s="571"/>
    </row>
    <row r="13" spans="2:11" ht="21" customHeight="1">
      <c r="B13" s="559"/>
      <c r="C13" s="559"/>
      <c r="D13" s="559"/>
      <c r="E13" s="559"/>
      <c r="F13" s="559"/>
      <c r="G13" s="367"/>
      <c r="H13" s="571"/>
    </row>
    <row r="14" spans="2:11" ht="21" customHeight="1">
      <c r="B14" s="559"/>
      <c r="C14" s="559"/>
      <c r="D14" s="559"/>
      <c r="E14" s="559"/>
      <c r="F14" s="559"/>
      <c r="G14" s="367"/>
      <c r="H14" s="571"/>
      <c r="K14" s="370"/>
    </row>
    <row r="15" spans="2:11" ht="21" customHeight="1">
      <c r="B15" s="559"/>
      <c r="C15" s="559"/>
      <c r="D15" s="559"/>
      <c r="E15" s="559"/>
      <c r="F15" s="559"/>
      <c r="G15" s="367"/>
      <c r="H15" s="571"/>
    </row>
    <row r="16" spans="2:11" ht="21" customHeight="1">
      <c r="B16" s="559"/>
      <c r="C16" s="559"/>
      <c r="D16" s="559"/>
      <c r="E16" s="559"/>
      <c r="F16" s="559"/>
      <c r="G16" s="367"/>
      <c r="H16" s="571"/>
    </row>
    <row r="17" spans="2:8" ht="21" customHeight="1">
      <c r="B17" s="559"/>
      <c r="C17" s="559"/>
      <c r="D17" s="559"/>
      <c r="E17" s="559"/>
      <c r="F17" s="559"/>
      <c r="G17" s="367"/>
      <c r="H17" s="571"/>
    </row>
    <row r="18" spans="2:8" ht="21" customHeight="1">
      <c r="B18" s="559"/>
      <c r="C18" s="559"/>
      <c r="D18" s="559"/>
      <c r="E18" s="559"/>
      <c r="F18" s="559"/>
      <c r="G18" s="367"/>
      <c r="H18" s="571"/>
    </row>
    <row r="19" spans="2:8" ht="21" customHeight="1">
      <c r="B19" s="559"/>
      <c r="C19" s="559"/>
      <c r="D19" s="559"/>
      <c r="E19" s="559"/>
      <c r="F19" s="559"/>
      <c r="G19" s="367"/>
      <c r="H19" s="571"/>
    </row>
    <row r="20" spans="2:8" ht="21" customHeight="1">
      <c r="B20" s="559"/>
      <c r="C20" s="559"/>
      <c r="D20" s="559"/>
      <c r="E20" s="559"/>
      <c r="F20" s="559"/>
      <c r="G20" s="367"/>
      <c r="H20" s="571"/>
    </row>
    <row r="21" spans="2:8" ht="21" customHeight="1">
      <c r="B21" s="559"/>
      <c r="C21" s="559"/>
      <c r="D21" s="559"/>
      <c r="E21" s="559"/>
      <c r="F21" s="559"/>
      <c r="G21" s="367"/>
      <c r="H21" s="571"/>
    </row>
    <row r="22" spans="2:8" ht="21" customHeight="1">
      <c r="B22" s="559"/>
      <c r="C22" s="559"/>
      <c r="D22" s="559"/>
      <c r="E22" s="559"/>
      <c r="F22" s="559"/>
      <c r="G22" s="367"/>
      <c r="H22" s="571"/>
    </row>
    <row r="23" spans="2:8" ht="21" customHeight="1">
      <c r="B23" s="559"/>
      <c r="C23" s="559"/>
      <c r="D23" s="559"/>
      <c r="E23" s="559"/>
      <c r="F23" s="559"/>
      <c r="G23" s="367"/>
      <c r="H23" s="571"/>
    </row>
    <row r="24" spans="2:8" ht="21" customHeight="1">
      <c r="B24" s="559"/>
      <c r="C24" s="559"/>
      <c r="D24" s="559"/>
      <c r="E24" s="559"/>
      <c r="F24" s="559"/>
      <c r="G24" s="367"/>
      <c r="H24" s="571"/>
    </row>
    <row r="25" spans="2:8" ht="21" customHeight="1">
      <c r="B25" s="559"/>
      <c r="C25" s="559"/>
      <c r="D25" s="559"/>
      <c r="E25" s="559"/>
      <c r="F25" s="559"/>
      <c r="G25" s="367"/>
      <c r="H25" s="571"/>
    </row>
    <row r="26" spans="2:8" ht="21" customHeight="1">
      <c r="B26" s="559"/>
      <c r="C26" s="559"/>
      <c r="D26" s="559"/>
      <c r="E26" s="559"/>
      <c r="F26" s="559"/>
      <c r="G26" s="367"/>
      <c r="H26" s="571"/>
    </row>
    <row r="27" spans="2:8" ht="21" customHeight="1">
      <c r="B27" s="559"/>
      <c r="C27" s="559"/>
      <c r="D27" s="559"/>
      <c r="E27" s="559"/>
      <c r="F27" s="559"/>
      <c r="G27" s="367"/>
      <c r="H27" s="571"/>
    </row>
    <row r="28" spans="2:8" ht="21" customHeight="1">
      <c r="B28" s="559"/>
      <c r="C28" s="559"/>
      <c r="D28" s="559"/>
      <c r="E28" s="559"/>
      <c r="F28" s="559"/>
      <c r="G28" s="367"/>
      <c r="H28" s="571"/>
    </row>
    <row r="29" spans="2:8" ht="21" customHeight="1">
      <c r="B29" s="559"/>
      <c r="C29" s="559"/>
      <c r="D29" s="559"/>
      <c r="E29" s="559"/>
      <c r="F29" s="559"/>
      <c r="G29" s="367"/>
      <c r="H29" s="571"/>
    </row>
    <row r="30" spans="2:8" ht="21" customHeight="1">
      <c r="B30" s="559"/>
      <c r="C30" s="559"/>
      <c r="D30" s="559"/>
      <c r="E30" s="559"/>
      <c r="F30" s="559"/>
      <c r="G30" s="367"/>
      <c r="H30" s="571"/>
    </row>
    <row r="31" spans="2:8" ht="21" customHeight="1">
      <c r="B31" s="559"/>
      <c r="C31" s="559"/>
      <c r="D31" s="559"/>
      <c r="E31" s="559"/>
      <c r="F31" s="559"/>
      <c r="G31" s="367"/>
      <c r="H31" s="571"/>
    </row>
    <row r="32" spans="2:8" ht="21" customHeight="1">
      <c r="B32" s="559"/>
      <c r="C32" s="559"/>
      <c r="D32" s="559"/>
      <c r="E32" s="559"/>
      <c r="F32" s="559"/>
      <c r="G32" s="367"/>
      <c r="H32" s="571"/>
    </row>
    <row r="33" spans="2:13" ht="21" customHeight="1">
      <c r="B33" s="559"/>
      <c r="C33" s="559"/>
      <c r="D33" s="559"/>
      <c r="E33" s="559"/>
      <c r="F33" s="559"/>
      <c r="G33" s="367"/>
      <c r="H33" s="571"/>
      <c r="M33" s="318"/>
    </row>
    <row r="34" spans="2:13" ht="21" customHeight="1">
      <c r="B34" s="559"/>
      <c r="C34" s="559"/>
      <c r="D34" s="559"/>
      <c r="E34" s="559"/>
      <c r="F34" s="559"/>
      <c r="G34" s="367"/>
      <c r="H34" s="571"/>
    </row>
    <row r="35" spans="2:13" ht="21" customHeight="1">
      <c r="B35" s="559"/>
      <c r="C35" s="559"/>
      <c r="D35" s="559"/>
      <c r="E35" s="559"/>
      <c r="F35" s="559"/>
      <c r="G35" s="367"/>
      <c r="H35" s="571"/>
    </row>
    <row r="36" spans="2:13" ht="21" customHeight="1">
      <c r="B36" s="559"/>
      <c r="C36" s="559"/>
      <c r="D36" s="559"/>
      <c r="E36" s="559"/>
      <c r="F36" s="559"/>
      <c r="G36" s="367"/>
      <c r="H36" s="571"/>
    </row>
    <row r="37" spans="2:13" ht="21" customHeight="1">
      <c r="B37" s="559"/>
      <c r="C37" s="559"/>
      <c r="D37" s="559"/>
      <c r="E37" s="559"/>
      <c r="F37" s="559"/>
      <c r="G37" s="367"/>
      <c r="H37" s="571"/>
    </row>
    <row r="38" spans="2:13" ht="21" customHeight="1">
      <c r="B38" s="559"/>
      <c r="C38" s="559"/>
      <c r="D38" s="559"/>
      <c r="E38" s="559"/>
      <c r="F38" s="559"/>
      <c r="G38" s="367"/>
      <c r="H38" s="571"/>
    </row>
    <row r="39" spans="2:13" ht="21" customHeight="1">
      <c r="B39" s="559"/>
      <c r="C39" s="559"/>
      <c r="D39" s="559"/>
      <c r="E39" s="559"/>
      <c r="F39" s="559"/>
      <c r="G39" s="367"/>
      <c r="H39" s="571"/>
    </row>
    <row r="40" spans="2:13" ht="21" customHeight="1">
      <c r="B40" s="559"/>
      <c r="C40" s="559"/>
      <c r="D40" s="559"/>
      <c r="E40" s="559"/>
      <c r="F40" s="559"/>
      <c r="G40" s="367"/>
      <c r="H40" s="571"/>
    </row>
    <row r="41" spans="2:13" ht="21" customHeight="1">
      <c r="B41" s="559"/>
      <c r="C41" s="559"/>
      <c r="D41" s="559"/>
      <c r="E41" s="559"/>
      <c r="F41" s="559"/>
      <c r="G41" s="367"/>
      <c r="H41" s="571"/>
    </row>
    <row r="42" spans="2:13" ht="21" customHeight="1">
      <c r="B42" s="559"/>
      <c r="C42" s="559"/>
      <c r="D42" s="559"/>
      <c r="E42" s="559"/>
      <c r="F42" s="559"/>
      <c r="G42" s="367"/>
      <c r="H42" s="571"/>
    </row>
    <row r="43" spans="2:13" ht="21" customHeight="1">
      <c r="B43" s="559"/>
      <c r="C43" s="559"/>
      <c r="D43" s="559"/>
      <c r="E43" s="559"/>
      <c r="F43" s="559"/>
      <c r="G43" s="367"/>
      <c r="H43" s="571"/>
    </row>
    <row r="44" spans="2:13" ht="21" customHeight="1">
      <c r="B44" s="834" t="s">
        <v>847</v>
      </c>
      <c r="C44" s="631"/>
      <c r="D44" s="631"/>
      <c r="E44" s="631"/>
      <c r="F44" s="631"/>
      <c r="G44" s="833">
        <f>SUM(G9:G43)</f>
        <v>86571.65</v>
      </c>
      <c r="H44" s="842">
        <f>SUM(H9:H43)</f>
        <v>86571.650000000009</v>
      </c>
    </row>
    <row r="45" spans="2:13">
      <c r="B45" s="1597" t="s">
        <v>103</v>
      </c>
      <c r="C45" s="1597"/>
      <c r="D45" s="1597"/>
      <c r="E45" s="1597"/>
      <c r="F45" s="1597"/>
      <c r="G45" s="1597"/>
      <c r="H45" s="1597"/>
    </row>
    <row r="46" spans="2:13">
      <c r="B46" s="955"/>
      <c r="C46" s="955"/>
      <c r="D46" s="955"/>
      <c r="E46" s="955"/>
      <c r="F46" s="955"/>
      <c r="G46" s="955"/>
      <c r="H46" s="955"/>
    </row>
    <row r="47" spans="2:13">
      <c r="B47" s="844"/>
      <c r="C47" s="844"/>
      <c r="D47" s="844"/>
      <c r="E47" s="844"/>
      <c r="F47" s="844"/>
      <c r="G47" s="844"/>
      <c r="H47" s="844"/>
    </row>
    <row r="48" spans="2:13" ht="13.8">
      <c r="B48" s="1598" t="s">
        <v>3315</v>
      </c>
      <c r="C48" s="1598"/>
      <c r="D48" s="1598"/>
      <c r="E48" s="1598"/>
      <c r="F48" s="1598"/>
      <c r="G48" s="1598"/>
      <c r="H48" s="1598"/>
    </row>
    <row r="55" spans="9:9">
      <c r="I55" s="318">
        <f>+G44-H44</f>
        <v>0</v>
      </c>
    </row>
  </sheetData>
  <sheetProtection algorithmName="SHA-512" hashValue="wySW8rYuFRzFWU6rWmcEPJVAZaoAtWwLZVgftSt0a1o0l8hqPMUAUXFCtxWK+cDGED5A493N0US00LvzJxLsiw==" saltValue="bWBUCkRGlc7gDZk99aD0AQ=="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2:V52"/>
  <sheetViews>
    <sheetView zoomScaleNormal="100" workbookViewId="0">
      <selection activeCell="K20" sqref="K20"/>
    </sheetView>
  </sheetViews>
  <sheetFormatPr defaultRowHeight="13.2"/>
  <cols>
    <col min="1" max="3" width="4.6640625" customWidth="1"/>
    <col min="5" max="5" width="11.88671875" customWidth="1"/>
    <col min="6" max="6" width="1.6640625" customWidth="1"/>
    <col min="7" max="7" width="14.6640625" customWidth="1"/>
    <col min="8" max="8" width="1.6640625" customWidth="1"/>
    <col min="9" max="9" width="14.6640625" customWidth="1"/>
    <col min="10" max="10" width="1.6640625" customWidth="1"/>
    <col min="11" max="11" width="14.6640625" customWidth="1"/>
    <col min="12" max="12" width="1.6640625" customWidth="1"/>
    <col min="13" max="13" width="14.6640625" customWidth="1"/>
    <col min="14" max="14" width="10.88671875" bestFit="1" customWidth="1"/>
  </cols>
  <sheetData>
    <row r="2" spans="2:22" ht="20.399999999999999">
      <c r="B2" s="1546" t="s">
        <v>3409</v>
      </c>
      <c r="C2" s="1546"/>
      <c r="D2" s="1546"/>
      <c r="E2" s="1546"/>
      <c r="F2" s="1546"/>
      <c r="G2" s="1546"/>
      <c r="H2" s="1546"/>
      <c r="I2" s="1546"/>
      <c r="J2" s="1546"/>
      <c r="K2" s="1546"/>
      <c r="L2" s="1546"/>
      <c r="M2" s="1546"/>
    </row>
    <row r="3" spans="2:22">
      <c r="B3" s="1549"/>
      <c r="C3" s="1549"/>
      <c r="D3" s="1549"/>
      <c r="E3" s="1549"/>
      <c r="F3" s="1549"/>
      <c r="G3" s="1549"/>
      <c r="H3" s="1549"/>
      <c r="I3" s="1549"/>
      <c r="J3" s="1549"/>
      <c r="K3" s="1549"/>
      <c r="L3" s="1549"/>
      <c r="M3" s="1549"/>
    </row>
    <row r="5" spans="2:22">
      <c r="B5" s="1608"/>
      <c r="C5" s="1608"/>
      <c r="D5" s="1608"/>
      <c r="G5" s="1" t="s">
        <v>441</v>
      </c>
      <c r="I5" s="128"/>
      <c r="K5" s="128"/>
    </row>
    <row r="6" spans="2:22">
      <c r="B6" s="1608"/>
      <c r="C6" s="1608"/>
      <c r="D6" s="1608"/>
      <c r="G6" s="290" t="str">
        <f>'KEY INPUTS'!D45</f>
        <v>Dec. 31, 2019</v>
      </c>
      <c r="I6" s="1"/>
      <c r="K6" s="1"/>
      <c r="M6" s="1" t="s">
        <v>559</v>
      </c>
    </row>
    <row r="7" spans="2:22">
      <c r="G7" s="1" t="s">
        <v>460</v>
      </c>
      <c r="I7" s="1"/>
      <c r="K7" s="1"/>
      <c r="M7" s="1" t="s">
        <v>464</v>
      </c>
    </row>
    <row r="8" spans="2:22">
      <c r="B8" s="1608" t="s">
        <v>440</v>
      </c>
      <c r="C8" s="1608"/>
      <c r="D8" s="1608"/>
      <c r="G8" s="128" t="s">
        <v>459</v>
      </c>
      <c r="I8" s="128" t="s">
        <v>454</v>
      </c>
      <c r="K8" s="128" t="s">
        <v>565</v>
      </c>
      <c r="M8" s="287" t="str">
        <f>'KEY INPUTS'!D46</f>
        <v>Dec. 31, 2020</v>
      </c>
    </row>
    <row r="9" spans="2:22">
      <c r="B9" s="128"/>
      <c r="C9" s="128"/>
      <c r="D9" s="128"/>
      <c r="G9" s="243"/>
      <c r="I9" s="128"/>
      <c r="K9" s="128"/>
      <c r="M9" s="131"/>
    </row>
    <row r="10" spans="2:22" ht="21" customHeight="1">
      <c r="B10" s="657" t="s">
        <v>3702</v>
      </c>
      <c r="C10" s="368"/>
      <c r="D10" s="368"/>
      <c r="E10" s="368"/>
      <c r="F10" s="390"/>
      <c r="G10" s="369">
        <v>11854.81</v>
      </c>
      <c r="H10" s="390"/>
      <c r="I10" s="369">
        <v>661508.02</v>
      </c>
      <c r="J10" s="390"/>
      <c r="K10" s="369">
        <v>660734.62</v>
      </c>
      <c r="L10" s="372"/>
      <c r="M10" s="846">
        <f t="shared" ref="M10:M15" si="0">+G10+I10-K10</f>
        <v>12628.210000000079</v>
      </c>
      <c r="N10" s="221"/>
    </row>
    <row r="11" spans="2:22" ht="21" customHeight="1">
      <c r="B11" s="368" t="s">
        <v>3703</v>
      </c>
      <c r="C11" s="368"/>
      <c r="D11" s="368"/>
      <c r="E11" s="368"/>
      <c r="F11" s="390"/>
      <c r="G11" s="369">
        <v>75</v>
      </c>
      <c r="H11" s="390"/>
      <c r="I11" s="369">
        <v>175</v>
      </c>
      <c r="J11" s="390"/>
      <c r="K11" s="369">
        <v>225</v>
      </c>
      <c r="L11" s="372"/>
      <c r="M11" s="846">
        <f t="shared" si="0"/>
        <v>25</v>
      </c>
      <c r="N11" s="318"/>
      <c r="O11" s="315"/>
      <c r="P11" s="315"/>
      <c r="Q11" s="315"/>
      <c r="R11" s="315"/>
      <c r="S11" s="315"/>
      <c r="T11" s="315"/>
      <c r="U11" s="315"/>
      <c r="V11" s="315"/>
    </row>
    <row r="12" spans="2:22" ht="21" customHeight="1">
      <c r="B12" s="368" t="s">
        <v>3704</v>
      </c>
      <c r="C12" s="368"/>
      <c r="D12" s="368"/>
      <c r="E12" s="368"/>
      <c r="F12" s="390"/>
      <c r="G12" s="369">
        <v>25911.72</v>
      </c>
      <c r="H12" s="390"/>
      <c r="I12" s="369">
        <v>15000</v>
      </c>
      <c r="J12" s="390"/>
      <c r="K12" s="369">
        <v>10150</v>
      </c>
      <c r="L12" s="372"/>
      <c r="M12" s="846">
        <f t="shared" si="0"/>
        <v>30761.72</v>
      </c>
      <c r="N12" s="318"/>
      <c r="O12" s="315"/>
      <c r="P12" s="315"/>
      <c r="Q12" s="315"/>
      <c r="R12" s="315"/>
      <c r="S12" s="315"/>
      <c r="T12" s="315"/>
      <c r="U12" s="315"/>
      <c r="V12" s="315"/>
    </row>
    <row r="13" spans="2:22" ht="21" customHeight="1">
      <c r="B13" s="368" t="s">
        <v>3705</v>
      </c>
      <c r="C13" s="368"/>
      <c r="D13" s="368"/>
      <c r="E13" s="368"/>
      <c r="F13" s="390"/>
      <c r="G13" s="369">
        <v>22140.73</v>
      </c>
      <c r="H13" s="390"/>
      <c r="I13" s="656">
        <v>188.39</v>
      </c>
      <c r="J13" s="390"/>
      <c r="K13" s="369">
        <v>210.44</v>
      </c>
      <c r="L13" s="372"/>
      <c r="M13" s="846">
        <f t="shared" si="0"/>
        <v>22118.68</v>
      </c>
      <c r="N13" s="318"/>
      <c r="O13" s="370"/>
      <c r="P13" s="315"/>
      <c r="Q13" s="315"/>
      <c r="R13" s="315"/>
      <c r="S13" s="315"/>
      <c r="T13" s="315"/>
      <c r="U13" s="315"/>
      <c r="V13" s="315"/>
    </row>
    <row r="14" spans="2:22" ht="21" customHeight="1">
      <c r="B14" s="657" t="s">
        <v>3706</v>
      </c>
      <c r="C14" s="368"/>
      <c r="D14" s="368"/>
      <c r="E14" s="368"/>
      <c r="F14" s="390"/>
      <c r="G14" s="369">
        <v>110</v>
      </c>
      <c r="H14" s="390"/>
      <c r="I14" s="369">
        <v>0</v>
      </c>
      <c r="J14" s="390"/>
      <c r="K14" s="369">
        <v>0</v>
      </c>
      <c r="L14" s="372"/>
      <c r="M14" s="846">
        <f t="shared" si="0"/>
        <v>110</v>
      </c>
      <c r="N14" s="318"/>
      <c r="O14" s="315"/>
      <c r="P14" s="315"/>
      <c r="Q14" s="315"/>
      <c r="R14" s="315"/>
      <c r="S14" s="315"/>
      <c r="T14" s="315"/>
      <c r="U14" s="315"/>
      <c r="V14" s="315"/>
    </row>
    <row r="15" spans="2:22" ht="21" customHeight="1">
      <c r="B15" s="368" t="s">
        <v>3634</v>
      </c>
      <c r="C15" s="368"/>
      <c r="D15" s="368"/>
      <c r="E15" s="368"/>
      <c r="F15" s="390"/>
      <c r="G15" s="369">
        <v>20691.09</v>
      </c>
      <c r="H15" s="390"/>
      <c r="I15" s="369">
        <v>175.91</v>
      </c>
      <c r="J15" s="390"/>
      <c r="K15" s="369">
        <v>0</v>
      </c>
      <c r="L15" s="372"/>
      <c r="M15" s="846">
        <f t="shared" si="0"/>
        <v>20867</v>
      </c>
      <c r="N15" s="318"/>
      <c r="O15" s="315"/>
      <c r="P15" s="315"/>
      <c r="Q15" s="315"/>
      <c r="R15" s="315"/>
      <c r="S15" s="315"/>
      <c r="T15" s="315"/>
      <c r="U15" s="315"/>
      <c r="V15" s="315"/>
    </row>
    <row r="16" spans="2:22" ht="21" customHeight="1">
      <c r="B16" s="368" t="s">
        <v>3708</v>
      </c>
      <c r="C16" s="368"/>
      <c r="D16" s="368"/>
      <c r="E16" s="368"/>
      <c r="F16" s="390"/>
      <c r="G16" s="369">
        <v>0</v>
      </c>
      <c r="H16" s="390"/>
      <c r="I16" s="369">
        <v>28300</v>
      </c>
      <c r="J16" s="390"/>
      <c r="K16" s="369">
        <v>28300</v>
      </c>
      <c r="L16" s="372"/>
      <c r="M16" s="846">
        <f t="shared" ref="M16:M47" si="1">+G16+I16-K16</f>
        <v>0</v>
      </c>
      <c r="N16" s="318"/>
      <c r="O16" s="315"/>
      <c r="P16" s="315"/>
      <c r="Q16" s="315"/>
      <c r="R16" s="315"/>
      <c r="S16" s="315"/>
      <c r="T16" s="315"/>
      <c r="U16" s="315"/>
      <c r="V16" s="315"/>
    </row>
    <row r="17" spans="2:22" ht="21" customHeight="1">
      <c r="B17" s="368" t="s">
        <v>3635</v>
      </c>
      <c r="C17" s="368"/>
      <c r="D17" s="368"/>
      <c r="E17" s="368"/>
      <c r="F17" s="390"/>
      <c r="G17" s="369">
        <v>44.8</v>
      </c>
      <c r="H17" s="390"/>
      <c r="I17" s="369">
        <v>5504.01</v>
      </c>
      <c r="J17" s="390"/>
      <c r="K17" s="369">
        <v>5504.01</v>
      </c>
      <c r="L17" s="372"/>
      <c r="M17" s="846">
        <f t="shared" si="1"/>
        <v>44.800000000000182</v>
      </c>
      <c r="N17" s="318"/>
      <c r="O17" s="315"/>
      <c r="P17" s="315"/>
      <c r="Q17" s="315"/>
      <c r="R17" s="315"/>
      <c r="S17" s="315"/>
      <c r="T17" s="315"/>
      <c r="U17" s="315"/>
      <c r="V17" s="315"/>
    </row>
    <row r="18" spans="2:22" ht="21" customHeight="1">
      <c r="B18" s="368" t="s">
        <v>3709</v>
      </c>
      <c r="C18" s="368"/>
      <c r="D18" s="368"/>
      <c r="E18" s="368"/>
      <c r="F18" s="390"/>
      <c r="G18" s="369">
        <v>341554.46</v>
      </c>
      <c r="H18" s="390"/>
      <c r="I18" s="369">
        <v>0</v>
      </c>
      <c r="J18" s="390"/>
      <c r="K18" s="369">
        <v>0</v>
      </c>
      <c r="L18" s="372"/>
      <c r="M18" s="846">
        <f t="shared" si="1"/>
        <v>341554.46</v>
      </c>
      <c r="N18" s="318"/>
      <c r="O18" s="315"/>
      <c r="P18" s="315"/>
      <c r="Q18" s="315"/>
      <c r="R18" s="315"/>
      <c r="S18" s="315"/>
      <c r="T18" s="315"/>
      <c r="U18" s="315"/>
      <c r="V18" s="315"/>
    </row>
    <row r="19" spans="2:22" ht="21" customHeight="1">
      <c r="B19" s="559" t="s">
        <v>3707</v>
      </c>
      <c r="C19" s="368"/>
      <c r="D19" s="368"/>
      <c r="E19" s="368"/>
      <c r="F19" s="390"/>
      <c r="G19" s="369">
        <v>122.05</v>
      </c>
      <c r="H19" s="390"/>
      <c r="I19" s="369">
        <v>0</v>
      </c>
      <c r="J19" s="390"/>
      <c r="K19" s="369">
        <v>122.05</v>
      </c>
      <c r="L19" s="372"/>
      <c r="M19" s="846">
        <f t="shared" si="1"/>
        <v>0</v>
      </c>
      <c r="N19" s="221"/>
      <c r="O19" s="315"/>
      <c r="P19" s="315"/>
      <c r="Q19" s="315"/>
      <c r="R19" s="315"/>
      <c r="S19" s="315"/>
      <c r="T19" s="315"/>
      <c r="U19" s="315"/>
      <c r="V19" s="315"/>
    </row>
    <row r="20" spans="2:22" ht="21" customHeight="1">
      <c r="B20" s="657"/>
      <c r="C20" s="368"/>
      <c r="D20" s="368"/>
      <c r="E20" s="368"/>
      <c r="F20" s="390"/>
      <c r="G20" s="369"/>
      <c r="H20" s="390"/>
      <c r="I20" s="369"/>
      <c r="J20" s="390"/>
      <c r="K20" s="369"/>
      <c r="L20" s="372"/>
      <c r="M20" s="846">
        <f t="shared" si="1"/>
        <v>0</v>
      </c>
      <c r="N20" s="318"/>
      <c r="O20" s="315"/>
      <c r="P20" s="315"/>
      <c r="Q20" s="315"/>
      <c r="R20" s="315"/>
      <c r="S20" s="315"/>
      <c r="T20" s="315"/>
      <c r="U20" s="315"/>
      <c r="V20" s="315"/>
    </row>
    <row r="21" spans="2:22" ht="21" customHeight="1">
      <c r="B21" s="657"/>
      <c r="C21" s="368"/>
      <c r="D21" s="368"/>
      <c r="E21" s="368"/>
      <c r="F21" s="390"/>
      <c r="G21" s="369"/>
      <c r="H21" s="390"/>
      <c r="I21" s="369"/>
      <c r="J21" s="390"/>
      <c r="K21" s="369"/>
      <c r="L21" s="372"/>
      <c r="M21" s="846">
        <f t="shared" si="1"/>
        <v>0</v>
      </c>
      <c r="N21" s="318"/>
      <c r="O21" s="315"/>
      <c r="P21" s="315"/>
      <c r="Q21" s="315"/>
      <c r="R21" s="315"/>
      <c r="S21" s="315"/>
      <c r="T21" s="315"/>
      <c r="U21" s="315"/>
      <c r="V21" s="315"/>
    </row>
    <row r="22" spans="2:22" ht="21" customHeight="1">
      <c r="B22" s="657"/>
      <c r="C22" s="368"/>
      <c r="D22" s="368"/>
      <c r="E22" s="368"/>
      <c r="F22" s="390"/>
      <c r="G22" s="369"/>
      <c r="H22" s="390"/>
      <c r="I22" s="369"/>
      <c r="J22" s="390"/>
      <c r="K22" s="369"/>
      <c r="L22" s="372"/>
      <c r="M22" s="846">
        <f t="shared" si="1"/>
        <v>0</v>
      </c>
      <c r="N22" s="318"/>
      <c r="O22" s="315"/>
      <c r="P22" s="315"/>
      <c r="Q22" s="315"/>
      <c r="R22" s="315"/>
      <c r="S22" s="315"/>
      <c r="T22" s="315"/>
      <c r="U22" s="315"/>
      <c r="V22" s="315"/>
    </row>
    <row r="23" spans="2:22" ht="21" customHeight="1">
      <c r="B23" s="657"/>
      <c r="C23" s="368"/>
      <c r="D23" s="368"/>
      <c r="E23" s="368"/>
      <c r="F23" s="390"/>
      <c r="G23" s="369"/>
      <c r="H23" s="390"/>
      <c r="I23" s="369"/>
      <c r="J23" s="390"/>
      <c r="K23" s="369"/>
      <c r="L23" s="372"/>
      <c r="M23" s="846">
        <f t="shared" si="1"/>
        <v>0</v>
      </c>
      <c r="N23" s="318"/>
      <c r="O23" s="315"/>
      <c r="P23" s="315"/>
      <c r="Q23" s="315"/>
      <c r="R23" s="315"/>
      <c r="S23" s="315"/>
      <c r="T23" s="315"/>
      <c r="U23" s="315"/>
      <c r="V23" s="315"/>
    </row>
    <row r="24" spans="2:22" ht="21" customHeight="1">
      <c r="B24" s="657"/>
      <c r="C24" s="368"/>
      <c r="D24" s="368"/>
      <c r="E24" s="368"/>
      <c r="F24" s="390"/>
      <c r="G24" s="369"/>
      <c r="H24" s="390"/>
      <c r="I24" s="369"/>
      <c r="J24" s="390"/>
      <c r="K24" s="369"/>
      <c r="L24" s="372"/>
      <c r="M24" s="846">
        <f t="shared" si="1"/>
        <v>0</v>
      </c>
      <c r="N24" s="318"/>
      <c r="O24" s="315"/>
      <c r="P24" s="315"/>
      <c r="Q24" s="315"/>
      <c r="R24" s="315"/>
      <c r="S24" s="315"/>
      <c r="T24" s="315"/>
      <c r="U24" s="315"/>
      <c r="V24" s="315"/>
    </row>
    <row r="25" spans="2:22" ht="21" customHeight="1">
      <c r="B25" s="368"/>
      <c r="C25" s="368"/>
      <c r="D25" s="368"/>
      <c r="E25" s="368"/>
      <c r="F25" s="390"/>
      <c r="G25" s="369"/>
      <c r="H25" s="390"/>
      <c r="I25" s="369"/>
      <c r="J25" s="390"/>
      <c r="K25" s="369"/>
      <c r="L25" s="372"/>
      <c r="M25" s="846">
        <f t="shared" si="1"/>
        <v>0</v>
      </c>
      <c r="N25" s="318"/>
      <c r="O25" s="315"/>
      <c r="P25" s="315"/>
      <c r="Q25" s="315"/>
      <c r="R25" s="315"/>
      <c r="S25" s="315"/>
      <c r="T25" s="315"/>
      <c r="U25" s="315"/>
      <c r="V25" s="315"/>
    </row>
    <row r="26" spans="2:22" ht="21" customHeight="1">
      <c r="B26" s="368"/>
      <c r="C26" s="368"/>
      <c r="D26" s="368"/>
      <c r="E26" s="368"/>
      <c r="F26" s="390"/>
      <c r="G26" s="369"/>
      <c r="H26" s="390"/>
      <c r="I26" s="369"/>
      <c r="J26" s="390"/>
      <c r="K26" s="369"/>
      <c r="L26" s="372"/>
      <c r="M26" s="846">
        <f t="shared" si="1"/>
        <v>0</v>
      </c>
      <c r="O26" s="315"/>
      <c r="P26" s="315"/>
      <c r="Q26" s="315"/>
      <c r="R26" s="315"/>
      <c r="S26" s="315"/>
      <c r="T26" s="315"/>
      <c r="U26" s="315"/>
      <c r="V26" s="315"/>
    </row>
    <row r="27" spans="2:22" ht="21" customHeight="1">
      <c r="B27" s="368"/>
      <c r="C27" s="368"/>
      <c r="D27" s="368"/>
      <c r="E27" s="368"/>
      <c r="F27" s="390"/>
      <c r="G27" s="369"/>
      <c r="H27" s="390"/>
      <c r="I27" s="369"/>
      <c r="J27" s="390"/>
      <c r="K27" s="369"/>
      <c r="L27" s="372"/>
      <c r="M27" s="846">
        <f t="shared" si="1"/>
        <v>0</v>
      </c>
      <c r="O27" s="315"/>
      <c r="P27" s="315"/>
      <c r="Q27" s="315"/>
      <c r="R27" s="315"/>
      <c r="S27" s="315"/>
      <c r="T27" s="315"/>
      <c r="U27" s="315"/>
      <c r="V27" s="315"/>
    </row>
    <row r="28" spans="2:22" ht="21" customHeight="1">
      <c r="B28" s="368"/>
      <c r="C28" s="368"/>
      <c r="D28" s="368"/>
      <c r="E28" s="368"/>
      <c r="F28" s="390"/>
      <c r="G28" s="369"/>
      <c r="H28" s="390"/>
      <c r="I28" s="369"/>
      <c r="J28" s="390"/>
      <c r="K28" s="369"/>
      <c r="L28" s="372"/>
      <c r="M28" s="846">
        <f t="shared" si="1"/>
        <v>0</v>
      </c>
      <c r="O28" s="315"/>
      <c r="P28" s="315"/>
      <c r="Q28" s="315"/>
      <c r="R28" s="315"/>
      <c r="S28" s="315"/>
      <c r="T28" s="315"/>
      <c r="U28" s="315"/>
      <c r="V28" s="315"/>
    </row>
    <row r="29" spans="2:22" ht="21" customHeight="1">
      <c r="B29" s="368"/>
      <c r="C29" s="368"/>
      <c r="D29" s="368"/>
      <c r="E29" s="368"/>
      <c r="F29" s="390"/>
      <c r="G29" s="369"/>
      <c r="H29" s="390"/>
      <c r="I29" s="369"/>
      <c r="J29" s="390"/>
      <c r="K29" s="369"/>
      <c r="L29" s="372"/>
      <c r="M29" s="846">
        <f t="shared" si="1"/>
        <v>0</v>
      </c>
      <c r="O29" s="315"/>
      <c r="P29" s="315"/>
      <c r="Q29" s="315"/>
      <c r="R29" s="315"/>
      <c r="S29" s="315"/>
      <c r="T29" s="315"/>
      <c r="U29" s="315"/>
      <c r="V29" s="315"/>
    </row>
    <row r="30" spans="2:22" ht="21" customHeight="1">
      <c r="B30" s="368"/>
      <c r="C30" s="368"/>
      <c r="D30" s="368"/>
      <c r="E30" s="368"/>
      <c r="F30" s="390"/>
      <c r="G30" s="369"/>
      <c r="H30" s="390"/>
      <c r="I30" s="369"/>
      <c r="J30" s="390"/>
      <c r="K30" s="369"/>
      <c r="L30" s="372"/>
      <c r="M30" s="846">
        <f t="shared" si="1"/>
        <v>0</v>
      </c>
      <c r="O30" s="315"/>
      <c r="P30" s="315"/>
      <c r="Q30" s="315"/>
      <c r="R30" s="315"/>
      <c r="S30" s="315"/>
      <c r="T30" s="315"/>
      <c r="U30" s="315"/>
      <c r="V30" s="315"/>
    </row>
    <row r="31" spans="2:22" ht="21" customHeight="1">
      <c r="B31" s="368"/>
      <c r="C31" s="368"/>
      <c r="D31" s="368"/>
      <c r="E31" s="368"/>
      <c r="F31" s="390"/>
      <c r="G31" s="369"/>
      <c r="H31" s="390"/>
      <c r="I31" s="369"/>
      <c r="J31" s="390"/>
      <c r="K31" s="369"/>
      <c r="L31" s="372"/>
      <c r="M31" s="846">
        <f t="shared" si="1"/>
        <v>0</v>
      </c>
      <c r="O31" s="315"/>
      <c r="P31" s="315"/>
      <c r="Q31" s="315"/>
      <c r="R31" s="315"/>
      <c r="S31" s="315"/>
      <c r="T31" s="315"/>
      <c r="U31" s="315"/>
      <c r="V31" s="315"/>
    </row>
    <row r="32" spans="2:22" ht="21" customHeight="1">
      <c r="B32" s="368"/>
      <c r="C32" s="368"/>
      <c r="D32" s="368"/>
      <c r="E32" s="368"/>
      <c r="F32" s="390"/>
      <c r="G32" s="369"/>
      <c r="H32" s="390"/>
      <c r="I32" s="369"/>
      <c r="J32" s="390"/>
      <c r="K32" s="369"/>
      <c r="L32" s="372"/>
      <c r="M32" s="846">
        <f t="shared" si="1"/>
        <v>0</v>
      </c>
      <c r="O32" s="315"/>
      <c r="P32" s="315"/>
      <c r="Q32" s="315"/>
      <c r="R32" s="315"/>
      <c r="S32" s="315"/>
      <c r="T32" s="315"/>
      <c r="U32" s="315"/>
      <c r="V32" s="315"/>
    </row>
    <row r="33" spans="2:22" ht="21" customHeight="1">
      <c r="B33" s="368"/>
      <c r="C33" s="368"/>
      <c r="D33" s="368"/>
      <c r="E33" s="368"/>
      <c r="F33" s="390"/>
      <c r="G33" s="369"/>
      <c r="H33" s="390"/>
      <c r="I33" s="369"/>
      <c r="J33" s="390"/>
      <c r="K33" s="369"/>
      <c r="L33" s="372"/>
      <c r="M33" s="846">
        <f t="shared" si="1"/>
        <v>0</v>
      </c>
      <c r="O33" s="315"/>
      <c r="P33" s="315"/>
      <c r="Q33" s="315"/>
      <c r="R33" s="315"/>
      <c r="S33" s="315"/>
      <c r="T33" s="315"/>
      <c r="U33" s="315"/>
      <c r="V33" s="315"/>
    </row>
    <row r="34" spans="2:22" ht="21" customHeight="1">
      <c r="B34" s="368"/>
      <c r="C34" s="368"/>
      <c r="D34" s="368"/>
      <c r="E34" s="368"/>
      <c r="F34" s="390"/>
      <c r="G34" s="369"/>
      <c r="H34" s="390"/>
      <c r="I34" s="369"/>
      <c r="J34" s="390"/>
      <c r="K34" s="369"/>
      <c r="L34" s="372"/>
      <c r="M34" s="846">
        <f t="shared" si="1"/>
        <v>0</v>
      </c>
      <c r="O34" s="315"/>
      <c r="P34" s="315"/>
      <c r="Q34" s="315"/>
      <c r="R34" s="315"/>
      <c r="S34" s="315"/>
      <c r="T34" s="315"/>
      <c r="U34" s="315"/>
      <c r="V34" s="315"/>
    </row>
    <row r="35" spans="2:22" ht="21" customHeight="1">
      <c r="B35" s="368"/>
      <c r="C35" s="368"/>
      <c r="D35" s="368"/>
      <c r="E35" s="368"/>
      <c r="F35" s="390"/>
      <c r="G35" s="369"/>
      <c r="H35" s="390"/>
      <c r="I35" s="369"/>
      <c r="J35" s="390"/>
      <c r="K35" s="369"/>
      <c r="L35" s="372"/>
      <c r="M35" s="846">
        <f t="shared" si="1"/>
        <v>0</v>
      </c>
    </row>
    <row r="36" spans="2:22" ht="21" customHeight="1">
      <c r="B36" s="368"/>
      <c r="C36" s="368"/>
      <c r="D36" s="368"/>
      <c r="E36" s="368"/>
      <c r="F36" s="390"/>
      <c r="G36" s="369"/>
      <c r="H36" s="390"/>
      <c r="I36" s="369"/>
      <c r="J36" s="390"/>
      <c r="K36" s="369"/>
      <c r="L36" s="372"/>
      <c r="M36" s="846">
        <f t="shared" si="1"/>
        <v>0</v>
      </c>
    </row>
    <row r="37" spans="2:22" s="315" customFormat="1" ht="21" customHeight="1">
      <c r="B37" s="368"/>
      <c r="C37" s="368"/>
      <c r="D37" s="368"/>
      <c r="E37" s="368"/>
      <c r="F37" s="390"/>
      <c r="G37" s="369"/>
      <c r="H37" s="390"/>
      <c r="I37" s="369"/>
      <c r="J37" s="390"/>
      <c r="K37" s="369"/>
      <c r="L37" s="372"/>
      <c r="M37" s="846">
        <f t="shared" si="1"/>
        <v>0</v>
      </c>
    </row>
    <row r="38" spans="2:22" s="315" customFormat="1" ht="21" customHeight="1">
      <c r="B38" s="368"/>
      <c r="C38" s="368"/>
      <c r="D38" s="368"/>
      <c r="E38" s="368"/>
      <c r="F38" s="390"/>
      <c r="G38" s="369"/>
      <c r="H38" s="390"/>
      <c r="I38" s="369"/>
      <c r="J38" s="390"/>
      <c r="K38" s="369"/>
      <c r="L38" s="372"/>
      <c r="M38" s="846">
        <f t="shared" si="1"/>
        <v>0</v>
      </c>
    </row>
    <row r="39" spans="2:22" s="315" customFormat="1" ht="21" customHeight="1">
      <c r="B39" s="368"/>
      <c r="C39" s="368"/>
      <c r="D39" s="368"/>
      <c r="E39" s="368"/>
      <c r="F39" s="390"/>
      <c r="G39" s="369"/>
      <c r="H39" s="390"/>
      <c r="I39" s="369"/>
      <c r="J39" s="390"/>
      <c r="K39" s="369"/>
      <c r="L39" s="372"/>
      <c r="M39" s="846">
        <f t="shared" si="1"/>
        <v>0</v>
      </c>
    </row>
    <row r="40" spans="2:22" s="315" customFormat="1" ht="21" customHeight="1">
      <c r="B40" s="368"/>
      <c r="C40" s="368"/>
      <c r="D40" s="368"/>
      <c r="E40" s="368"/>
      <c r="F40" s="390"/>
      <c r="G40" s="369"/>
      <c r="H40" s="390"/>
      <c r="I40" s="369"/>
      <c r="J40" s="390"/>
      <c r="K40" s="369"/>
      <c r="L40" s="372"/>
      <c r="M40" s="846">
        <f t="shared" si="1"/>
        <v>0</v>
      </c>
    </row>
    <row r="41" spans="2:22" s="315" customFormat="1" ht="21" customHeight="1">
      <c r="B41" s="368"/>
      <c r="C41" s="368"/>
      <c r="D41" s="368"/>
      <c r="E41" s="368"/>
      <c r="F41" s="390"/>
      <c r="G41" s="369"/>
      <c r="H41" s="390"/>
      <c r="I41" s="369"/>
      <c r="J41" s="390"/>
      <c r="K41" s="369"/>
      <c r="L41" s="372"/>
      <c r="M41" s="846">
        <f t="shared" si="1"/>
        <v>0</v>
      </c>
    </row>
    <row r="42" spans="2:22" s="315" customFormat="1" ht="21" customHeight="1">
      <c r="B42" s="368"/>
      <c r="C42" s="368"/>
      <c r="D42" s="368"/>
      <c r="E42" s="368"/>
      <c r="F42" s="390"/>
      <c r="G42" s="369"/>
      <c r="H42" s="390"/>
      <c r="I42" s="369"/>
      <c r="J42" s="390"/>
      <c r="K42" s="369"/>
      <c r="L42" s="372"/>
      <c r="M42" s="846">
        <f t="shared" si="1"/>
        <v>0</v>
      </c>
    </row>
    <row r="43" spans="2:22" s="315" customFormat="1" ht="21" customHeight="1">
      <c r="B43" s="368"/>
      <c r="C43" s="368"/>
      <c r="D43" s="368"/>
      <c r="E43" s="368"/>
      <c r="F43" s="390"/>
      <c r="G43" s="369"/>
      <c r="H43" s="390"/>
      <c r="I43" s="369"/>
      <c r="J43" s="390"/>
      <c r="K43" s="369"/>
      <c r="L43" s="372"/>
      <c r="M43" s="846">
        <f t="shared" si="1"/>
        <v>0</v>
      </c>
    </row>
    <row r="44" spans="2:22" s="315" customFormat="1" ht="21" customHeight="1">
      <c r="B44" s="368"/>
      <c r="C44" s="368"/>
      <c r="D44" s="368"/>
      <c r="E44" s="368"/>
      <c r="F44" s="390"/>
      <c r="G44" s="369"/>
      <c r="H44" s="390"/>
      <c r="I44" s="369"/>
      <c r="J44" s="390"/>
      <c r="K44" s="369"/>
      <c r="L44" s="372"/>
      <c r="M44" s="846">
        <f t="shared" si="1"/>
        <v>0</v>
      </c>
    </row>
    <row r="45" spans="2:22" ht="21" customHeight="1">
      <c r="B45" s="368"/>
      <c r="C45" s="368"/>
      <c r="D45" s="368"/>
      <c r="E45" s="368"/>
      <c r="F45" s="390"/>
      <c r="G45" s="369"/>
      <c r="H45" s="390"/>
      <c r="I45" s="369"/>
      <c r="J45" s="390"/>
      <c r="K45" s="369"/>
      <c r="L45" s="372"/>
      <c r="M45" s="846">
        <f t="shared" si="1"/>
        <v>0</v>
      </c>
    </row>
    <row r="46" spans="2:22" ht="21" customHeight="1">
      <c r="B46" s="368"/>
      <c r="C46" s="368"/>
      <c r="D46" s="368"/>
      <c r="E46" s="368"/>
      <c r="F46" s="390"/>
      <c r="G46" s="369"/>
      <c r="H46" s="390"/>
      <c r="I46" s="369"/>
      <c r="J46" s="390"/>
      <c r="K46" s="369"/>
      <c r="L46" s="372"/>
      <c r="M46" s="846">
        <f t="shared" si="1"/>
        <v>0</v>
      </c>
    </row>
    <row r="47" spans="2:22" ht="21" customHeight="1">
      <c r="B47" s="657"/>
      <c r="C47" s="368"/>
      <c r="D47" s="368"/>
      <c r="E47" s="368"/>
      <c r="F47" s="390"/>
      <c r="G47" s="369"/>
      <c r="H47" s="390"/>
      <c r="I47" s="369"/>
      <c r="J47" s="390"/>
      <c r="K47" s="369"/>
      <c r="L47" s="372"/>
      <c r="M47" s="846">
        <f t="shared" si="1"/>
        <v>0</v>
      </c>
    </row>
    <row r="48" spans="2:22" ht="21" customHeight="1">
      <c r="B48" s="279"/>
      <c r="C48" s="279"/>
      <c r="D48" s="149" t="s">
        <v>3316</v>
      </c>
      <c r="E48" s="279"/>
      <c r="F48" s="315" t="s">
        <v>397</v>
      </c>
      <c r="G48" s="158">
        <f>SUM(G10:G47)</f>
        <v>422504.66</v>
      </c>
      <c r="H48" s="315" t="s">
        <v>397</v>
      </c>
      <c r="I48" s="158">
        <f>SUM(I10:I47)</f>
        <v>710851.33000000007</v>
      </c>
      <c r="J48" s="315" t="s">
        <v>397</v>
      </c>
      <c r="K48" s="158">
        <f>SUM(K10:K47)</f>
        <v>705246.12</v>
      </c>
      <c r="L48" s="315" t="s">
        <v>397</v>
      </c>
      <c r="M48" s="846">
        <f>SUM(M10:M47)</f>
        <v>428109.87000000011</v>
      </c>
    </row>
    <row r="50" spans="2:13" ht="13.8">
      <c r="B50" s="1545" t="s">
        <v>455</v>
      </c>
      <c r="C50" s="1545"/>
      <c r="D50" s="1545"/>
      <c r="E50" s="1545"/>
      <c r="F50" s="1545"/>
      <c r="G50" s="1545"/>
      <c r="H50" s="1545"/>
      <c r="I50" s="1545"/>
      <c r="J50" s="1545"/>
      <c r="K50" s="1545"/>
      <c r="L50" s="1545"/>
      <c r="M50" s="1545"/>
    </row>
    <row r="52" spans="2:13">
      <c r="G52" s="221"/>
      <c r="M52" s="221"/>
    </row>
  </sheetData>
  <sheetProtection algorithmName="SHA-512" hashValue="L2tdBn4IXAYAqT61G1VaWFnQNip9ycRje5Ee6L1kzYNbolLFdyMgqAGSq6GWai1Y2jvriKL2p8ZZpeAKU7ZcNA==" saltValue="+HagX8ZX3KJk+SjF+2oJTA==" spinCount="100000" sheet="1" scenarios="1"/>
  <mergeCells count="6">
    <mergeCell ref="B50:M50"/>
    <mergeCell ref="B5:D5"/>
    <mergeCell ref="B8:D8"/>
    <mergeCell ref="B2:M2"/>
    <mergeCell ref="B3:M3"/>
    <mergeCell ref="B6:D6"/>
  </mergeCells>
  <phoneticPr fontId="0" type="noConversion"/>
  <pageMargins left="0.25" right="0.25" top="0.5" bottom="0.5" header="0.25" footer="0.25"/>
  <pageSetup paperSize="5" scale="98"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B2:O52"/>
  <sheetViews>
    <sheetView zoomScaleNormal="100" workbookViewId="0">
      <selection activeCell="B1" sqref="B1"/>
    </sheetView>
  </sheetViews>
  <sheetFormatPr defaultColWidth="9.109375" defaultRowHeight="13.2"/>
  <cols>
    <col min="1" max="3" width="4.6640625" style="315" customWidth="1"/>
    <col min="4" max="4" width="9.109375" style="315"/>
    <col min="5" max="5" width="11.88671875" style="315" customWidth="1"/>
    <col min="6" max="6" width="1.6640625" style="315" customWidth="1"/>
    <col min="7" max="7" width="14.6640625" style="315" customWidth="1"/>
    <col min="8" max="8" width="1.6640625" style="315" customWidth="1"/>
    <col min="9" max="9" width="14.6640625" style="315" customWidth="1"/>
    <col min="10" max="10" width="1.6640625" style="315" customWidth="1"/>
    <col min="11" max="11" width="14.6640625" style="315" customWidth="1"/>
    <col min="12" max="12" width="1.6640625" style="315" customWidth="1"/>
    <col min="13" max="13" width="14.6640625" style="315" customWidth="1"/>
    <col min="14" max="14" width="10.88671875" style="315" bestFit="1" customWidth="1"/>
    <col min="15" max="16384" width="9.109375" style="315"/>
  </cols>
  <sheetData>
    <row r="2" spans="2:15" ht="20.399999999999999">
      <c r="B2" s="1546" t="s">
        <v>3410</v>
      </c>
      <c r="C2" s="1546"/>
      <c r="D2" s="1546"/>
      <c r="E2" s="1546"/>
      <c r="F2" s="1546"/>
      <c r="G2" s="1546"/>
      <c r="H2" s="1546"/>
      <c r="I2" s="1546"/>
      <c r="J2" s="1546"/>
      <c r="K2" s="1546"/>
      <c r="L2" s="1546"/>
      <c r="M2" s="1546"/>
    </row>
    <row r="3" spans="2:15">
      <c r="B3" s="1549"/>
      <c r="C3" s="1549"/>
      <c r="D3" s="1549"/>
      <c r="E3" s="1549"/>
      <c r="F3" s="1549"/>
      <c r="G3" s="1549"/>
      <c r="H3" s="1549"/>
      <c r="I3" s="1549"/>
      <c r="J3" s="1549"/>
      <c r="K3" s="1549"/>
      <c r="L3" s="1549"/>
      <c r="M3" s="1549"/>
    </row>
    <row r="5" spans="2:15">
      <c r="B5" s="1608"/>
      <c r="C5" s="1608"/>
      <c r="D5" s="1608"/>
      <c r="G5" s="724" t="s">
        <v>441</v>
      </c>
      <c r="I5" s="726"/>
      <c r="K5" s="726"/>
    </row>
    <row r="6" spans="2:15">
      <c r="B6" s="1608"/>
      <c r="C6" s="1608"/>
      <c r="D6" s="1608"/>
      <c r="G6" s="290" t="str">
        <f>'KEY INPUTS'!D45</f>
        <v>Dec. 31, 2019</v>
      </c>
      <c r="I6" s="724"/>
      <c r="K6" s="724"/>
      <c r="M6" s="724" t="s">
        <v>559</v>
      </c>
    </row>
    <row r="7" spans="2:15">
      <c r="G7" s="724" t="s">
        <v>460</v>
      </c>
      <c r="I7" s="724"/>
      <c r="K7" s="724"/>
      <c r="M7" s="724" t="s">
        <v>464</v>
      </c>
    </row>
    <row r="8" spans="2:15">
      <c r="B8" s="1608" t="s">
        <v>440</v>
      </c>
      <c r="C8" s="1608"/>
      <c r="D8" s="1608"/>
      <c r="G8" s="726" t="s">
        <v>459</v>
      </c>
      <c r="I8" s="726" t="s">
        <v>454</v>
      </c>
      <c r="K8" s="726" t="s">
        <v>565</v>
      </c>
      <c r="M8" s="287" t="str">
        <f>'KEY INPUTS'!D46</f>
        <v>Dec. 31, 2020</v>
      </c>
    </row>
    <row r="9" spans="2:15">
      <c r="B9" s="726"/>
      <c r="C9" s="726"/>
      <c r="D9" s="726"/>
      <c r="G9" s="243"/>
      <c r="I9" s="726"/>
      <c r="K9" s="726"/>
      <c r="M9" s="131"/>
    </row>
    <row r="10" spans="2:15" ht="21" customHeight="1">
      <c r="B10" s="847" t="s">
        <v>3317</v>
      </c>
      <c r="C10" s="848"/>
      <c r="D10" s="848"/>
      <c r="E10" s="848"/>
      <c r="F10" s="830"/>
      <c r="G10" s="849">
        <f>+'6b-Trust Fund Reserves'!G48</f>
        <v>422504.66</v>
      </c>
      <c r="H10" s="830"/>
      <c r="I10" s="849">
        <f>+'6b-Trust Fund Reserves'!I48</f>
        <v>710851.33000000007</v>
      </c>
      <c r="J10" s="830"/>
      <c r="K10" s="849">
        <f>+'6b-Trust Fund Reserves'!K48</f>
        <v>705246.12</v>
      </c>
      <c r="L10" s="830"/>
      <c r="M10" s="846">
        <f>+'6b-Trust Fund Reserves'!M48</f>
        <v>428109.87000000011</v>
      </c>
      <c r="N10" s="318"/>
    </row>
    <row r="11" spans="2:15" ht="21" customHeight="1">
      <c r="B11" s="368"/>
      <c r="C11" s="368"/>
      <c r="D11" s="368"/>
      <c r="E11" s="368"/>
      <c r="F11" s="390"/>
      <c r="G11" s="369"/>
      <c r="H11" s="390"/>
      <c r="I11" s="369"/>
      <c r="J11" s="390"/>
      <c r="K11" s="369"/>
      <c r="L11" s="372"/>
      <c r="M11" s="846">
        <f t="shared" ref="M11:M47" si="0">+G11+I11-K11</f>
        <v>0</v>
      </c>
      <c r="N11" s="318"/>
    </row>
    <row r="12" spans="2:15" ht="21" customHeight="1">
      <c r="B12" s="368"/>
      <c r="C12" s="368"/>
      <c r="D12" s="368"/>
      <c r="E12" s="368"/>
      <c r="F12" s="390"/>
      <c r="G12" s="369"/>
      <c r="H12" s="390"/>
      <c r="I12" s="369"/>
      <c r="J12" s="390"/>
      <c r="K12" s="369"/>
      <c r="L12" s="372"/>
      <c r="M12" s="846">
        <f t="shared" si="0"/>
        <v>0</v>
      </c>
      <c r="N12" s="318"/>
    </row>
    <row r="13" spans="2:15" ht="21" customHeight="1">
      <c r="B13" s="368"/>
      <c r="C13" s="368"/>
      <c r="D13" s="368"/>
      <c r="E13" s="368"/>
      <c r="F13" s="390"/>
      <c r="G13" s="369"/>
      <c r="H13" s="390"/>
      <c r="I13" s="656"/>
      <c r="J13" s="390"/>
      <c r="K13" s="369"/>
      <c r="L13" s="372"/>
      <c r="M13" s="846">
        <f t="shared" si="0"/>
        <v>0</v>
      </c>
      <c r="N13" s="318"/>
      <c r="O13" s="370"/>
    </row>
    <row r="14" spans="2:15" ht="21" customHeight="1">
      <c r="B14" s="657"/>
      <c r="C14" s="368"/>
      <c r="D14" s="368"/>
      <c r="E14" s="368"/>
      <c r="F14" s="390"/>
      <c r="G14" s="369"/>
      <c r="H14" s="390"/>
      <c r="I14" s="369"/>
      <c r="J14" s="390"/>
      <c r="K14" s="369"/>
      <c r="L14" s="372"/>
      <c r="M14" s="846">
        <f t="shared" si="0"/>
        <v>0</v>
      </c>
      <c r="N14" s="318"/>
    </row>
    <row r="15" spans="2:15" ht="21" customHeight="1">
      <c r="B15" s="368"/>
      <c r="C15" s="368"/>
      <c r="D15" s="368"/>
      <c r="E15" s="368"/>
      <c r="F15" s="390"/>
      <c r="G15" s="369"/>
      <c r="H15" s="390"/>
      <c r="I15" s="369"/>
      <c r="J15" s="390"/>
      <c r="K15" s="369"/>
      <c r="L15" s="372"/>
      <c r="M15" s="846">
        <f t="shared" si="0"/>
        <v>0</v>
      </c>
      <c r="N15" s="318"/>
    </row>
    <row r="16" spans="2:15" ht="21" customHeight="1">
      <c r="B16" s="368"/>
      <c r="C16" s="368"/>
      <c r="D16" s="368"/>
      <c r="E16" s="368"/>
      <c r="F16" s="390"/>
      <c r="G16" s="369"/>
      <c r="H16" s="390"/>
      <c r="I16" s="369"/>
      <c r="J16" s="390"/>
      <c r="K16" s="369"/>
      <c r="L16" s="372"/>
      <c r="M16" s="846">
        <f t="shared" si="0"/>
        <v>0</v>
      </c>
      <c r="N16" s="318"/>
    </row>
    <row r="17" spans="2:14" ht="21" customHeight="1">
      <c r="B17" s="368"/>
      <c r="C17" s="368"/>
      <c r="D17" s="368"/>
      <c r="E17" s="368"/>
      <c r="F17" s="390"/>
      <c r="G17" s="369"/>
      <c r="H17" s="390"/>
      <c r="I17" s="369"/>
      <c r="J17" s="390"/>
      <c r="K17" s="369"/>
      <c r="L17" s="372"/>
      <c r="M17" s="846">
        <f t="shared" si="0"/>
        <v>0</v>
      </c>
      <c r="N17" s="318"/>
    </row>
    <row r="18" spans="2:14" ht="21" customHeight="1">
      <c r="B18" s="368"/>
      <c r="C18" s="368"/>
      <c r="D18" s="368"/>
      <c r="E18" s="368"/>
      <c r="F18" s="390"/>
      <c r="G18" s="369"/>
      <c r="H18" s="390"/>
      <c r="I18" s="369"/>
      <c r="J18" s="390"/>
      <c r="K18" s="369"/>
      <c r="L18" s="372"/>
      <c r="M18" s="846">
        <f t="shared" si="0"/>
        <v>0</v>
      </c>
      <c r="N18" s="318"/>
    </row>
    <row r="19" spans="2:14" ht="21" customHeight="1">
      <c r="B19" s="657"/>
      <c r="C19" s="368"/>
      <c r="D19" s="368"/>
      <c r="E19" s="368"/>
      <c r="F19" s="390"/>
      <c r="G19" s="369"/>
      <c r="H19" s="390"/>
      <c r="I19" s="369"/>
      <c r="J19" s="390"/>
      <c r="K19" s="369"/>
      <c r="L19" s="372"/>
      <c r="M19" s="846">
        <f t="shared" si="0"/>
        <v>0</v>
      </c>
      <c r="N19" s="318"/>
    </row>
    <row r="20" spans="2:14" ht="21" customHeight="1">
      <c r="B20" s="657"/>
      <c r="C20" s="368"/>
      <c r="D20" s="368"/>
      <c r="E20" s="368"/>
      <c r="F20" s="390"/>
      <c r="G20" s="369"/>
      <c r="H20" s="390"/>
      <c r="I20" s="369"/>
      <c r="J20" s="390"/>
      <c r="K20" s="369"/>
      <c r="L20" s="372"/>
      <c r="M20" s="846">
        <f t="shared" si="0"/>
        <v>0</v>
      </c>
      <c r="N20" s="318"/>
    </row>
    <row r="21" spans="2:14" ht="21" customHeight="1">
      <c r="B21" s="657"/>
      <c r="C21" s="368"/>
      <c r="D21" s="368"/>
      <c r="E21" s="368"/>
      <c r="F21" s="390"/>
      <c r="G21" s="369"/>
      <c r="H21" s="390"/>
      <c r="I21" s="369"/>
      <c r="J21" s="390"/>
      <c r="K21" s="369"/>
      <c r="L21" s="372"/>
      <c r="M21" s="846">
        <f t="shared" si="0"/>
        <v>0</v>
      </c>
      <c r="N21" s="318"/>
    </row>
    <row r="22" spans="2:14" ht="21" customHeight="1">
      <c r="B22" s="657"/>
      <c r="C22" s="368"/>
      <c r="D22" s="368"/>
      <c r="E22" s="368"/>
      <c r="F22" s="390"/>
      <c r="G22" s="369"/>
      <c r="H22" s="390"/>
      <c r="I22" s="369"/>
      <c r="J22" s="390"/>
      <c r="K22" s="369"/>
      <c r="L22" s="372"/>
      <c r="M22" s="846">
        <f t="shared" si="0"/>
        <v>0</v>
      </c>
      <c r="N22" s="318"/>
    </row>
    <row r="23" spans="2:14" ht="21" customHeight="1">
      <c r="B23" s="657"/>
      <c r="C23" s="368"/>
      <c r="D23" s="368"/>
      <c r="E23" s="368"/>
      <c r="F23" s="390"/>
      <c r="G23" s="369"/>
      <c r="H23" s="390"/>
      <c r="I23" s="369"/>
      <c r="J23" s="390"/>
      <c r="K23" s="369"/>
      <c r="L23" s="372"/>
      <c r="M23" s="846">
        <f t="shared" si="0"/>
        <v>0</v>
      </c>
      <c r="N23" s="318"/>
    </row>
    <row r="24" spans="2:14" ht="21" customHeight="1">
      <c r="B24" s="657"/>
      <c r="C24" s="368"/>
      <c r="D24" s="368"/>
      <c r="E24" s="368"/>
      <c r="F24" s="390"/>
      <c r="G24" s="369"/>
      <c r="H24" s="390"/>
      <c r="I24" s="369"/>
      <c r="J24" s="390"/>
      <c r="K24" s="369"/>
      <c r="L24" s="372"/>
      <c r="M24" s="846">
        <f t="shared" si="0"/>
        <v>0</v>
      </c>
      <c r="N24" s="318"/>
    </row>
    <row r="25" spans="2:14" ht="21" customHeight="1">
      <c r="B25" s="368"/>
      <c r="C25" s="368"/>
      <c r="D25" s="368"/>
      <c r="E25" s="368"/>
      <c r="F25" s="390"/>
      <c r="G25" s="369"/>
      <c r="H25" s="390"/>
      <c r="I25" s="369"/>
      <c r="J25" s="390"/>
      <c r="K25" s="369"/>
      <c r="L25" s="372"/>
      <c r="M25" s="846">
        <f t="shared" si="0"/>
        <v>0</v>
      </c>
      <c r="N25" s="318"/>
    </row>
    <row r="26" spans="2:14" ht="21" customHeight="1">
      <c r="B26" s="368"/>
      <c r="C26" s="368"/>
      <c r="D26" s="368"/>
      <c r="E26" s="368"/>
      <c r="F26" s="390"/>
      <c r="G26" s="369"/>
      <c r="H26" s="390"/>
      <c r="I26" s="369"/>
      <c r="J26" s="390"/>
      <c r="K26" s="369"/>
      <c r="L26" s="372"/>
      <c r="M26" s="846">
        <f t="shared" si="0"/>
        <v>0</v>
      </c>
    </row>
    <row r="27" spans="2:14" ht="21" customHeight="1">
      <c r="B27" s="368"/>
      <c r="C27" s="368"/>
      <c r="D27" s="368"/>
      <c r="E27" s="368"/>
      <c r="F27" s="390"/>
      <c r="G27" s="369"/>
      <c r="H27" s="390"/>
      <c r="I27" s="369"/>
      <c r="J27" s="390"/>
      <c r="K27" s="369"/>
      <c r="L27" s="372"/>
      <c r="M27" s="846">
        <f t="shared" si="0"/>
        <v>0</v>
      </c>
    </row>
    <row r="28" spans="2:14" ht="21" customHeight="1">
      <c r="B28" s="368"/>
      <c r="C28" s="368"/>
      <c r="D28" s="368"/>
      <c r="E28" s="368"/>
      <c r="F28" s="390"/>
      <c r="G28" s="369"/>
      <c r="H28" s="390"/>
      <c r="I28" s="369"/>
      <c r="J28" s="390"/>
      <c r="K28" s="369"/>
      <c r="L28" s="372"/>
      <c r="M28" s="846">
        <f t="shared" si="0"/>
        <v>0</v>
      </c>
    </row>
    <row r="29" spans="2:14" ht="21" customHeight="1">
      <c r="B29" s="368"/>
      <c r="C29" s="368"/>
      <c r="D29" s="368"/>
      <c r="E29" s="368"/>
      <c r="F29" s="390"/>
      <c r="G29" s="369"/>
      <c r="H29" s="390"/>
      <c r="I29" s="369"/>
      <c r="J29" s="390"/>
      <c r="K29" s="369"/>
      <c r="L29" s="372"/>
      <c r="M29" s="846">
        <f t="shared" si="0"/>
        <v>0</v>
      </c>
    </row>
    <row r="30" spans="2:14" ht="21" customHeight="1">
      <c r="B30" s="368"/>
      <c r="C30" s="368"/>
      <c r="D30" s="368"/>
      <c r="E30" s="368"/>
      <c r="F30" s="390"/>
      <c r="G30" s="369"/>
      <c r="H30" s="390"/>
      <c r="I30" s="369"/>
      <c r="J30" s="390"/>
      <c r="K30" s="369"/>
      <c r="L30" s="372"/>
      <c r="M30" s="846">
        <f t="shared" si="0"/>
        <v>0</v>
      </c>
    </row>
    <row r="31" spans="2:14" ht="21" customHeight="1">
      <c r="B31" s="368"/>
      <c r="C31" s="368"/>
      <c r="D31" s="368"/>
      <c r="E31" s="368"/>
      <c r="F31" s="390"/>
      <c r="G31" s="369"/>
      <c r="H31" s="390"/>
      <c r="I31" s="369"/>
      <c r="J31" s="390"/>
      <c r="K31" s="369"/>
      <c r="L31" s="372"/>
      <c r="M31" s="846">
        <f t="shared" si="0"/>
        <v>0</v>
      </c>
    </row>
    <row r="32" spans="2:14" ht="21" customHeight="1">
      <c r="B32" s="368"/>
      <c r="C32" s="368"/>
      <c r="D32" s="368"/>
      <c r="E32" s="368"/>
      <c r="F32" s="390"/>
      <c r="G32" s="369"/>
      <c r="H32" s="390"/>
      <c r="I32" s="369"/>
      <c r="J32" s="390"/>
      <c r="K32" s="369"/>
      <c r="L32" s="372"/>
      <c r="M32" s="846">
        <f t="shared" si="0"/>
        <v>0</v>
      </c>
    </row>
    <row r="33" spans="2:13" ht="21" customHeight="1">
      <c r="B33" s="368"/>
      <c r="C33" s="368"/>
      <c r="D33" s="368"/>
      <c r="E33" s="368"/>
      <c r="F33" s="390"/>
      <c r="G33" s="369"/>
      <c r="H33" s="390"/>
      <c r="I33" s="369"/>
      <c r="J33" s="390"/>
      <c r="K33" s="369"/>
      <c r="L33" s="372"/>
      <c r="M33" s="846">
        <f t="shared" si="0"/>
        <v>0</v>
      </c>
    </row>
    <row r="34" spans="2:13" ht="21" customHeight="1">
      <c r="B34" s="368"/>
      <c r="C34" s="368"/>
      <c r="D34" s="368"/>
      <c r="E34" s="368"/>
      <c r="F34" s="390"/>
      <c r="G34" s="369"/>
      <c r="H34" s="390"/>
      <c r="I34" s="369"/>
      <c r="J34" s="390"/>
      <c r="K34" s="369"/>
      <c r="L34" s="372"/>
      <c r="M34" s="846">
        <f t="shared" si="0"/>
        <v>0</v>
      </c>
    </row>
    <row r="35" spans="2:13" ht="21" customHeight="1">
      <c r="B35" s="368"/>
      <c r="C35" s="368"/>
      <c r="D35" s="368"/>
      <c r="E35" s="368"/>
      <c r="F35" s="390"/>
      <c r="G35" s="369"/>
      <c r="H35" s="390"/>
      <c r="I35" s="369"/>
      <c r="J35" s="390"/>
      <c r="K35" s="369"/>
      <c r="L35" s="372"/>
      <c r="M35" s="846">
        <f t="shared" si="0"/>
        <v>0</v>
      </c>
    </row>
    <row r="36" spans="2:13" ht="21" customHeight="1">
      <c r="B36" s="368"/>
      <c r="C36" s="368"/>
      <c r="D36" s="368"/>
      <c r="E36" s="368"/>
      <c r="F36" s="390"/>
      <c r="G36" s="369"/>
      <c r="H36" s="390"/>
      <c r="I36" s="369"/>
      <c r="J36" s="390"/>
      <c r="K36" s="369"/>
      <c r="L36" s="372"/>
      <c r="M36" s="846">
        <f t="shared" si="0"/>
        <v>0</v>
      </c>
    </row>
    <row r="37" spans="2:13" ht="21" customHeight="1">
      <c r="B37" s="368"/>
      <c r="C37" s="368"/>
      <c r="D37" s="368"/>
      <c r="E37" s="368"/>
      <c r="F37" s="390"/>
      <c r="G37" s="369"/>
      <c r="H37" s="390"/>
      <c r="I37" s="369"/>
      <c r="J37" s="390"/>
      <c r="K37" s="369"/>
      <c r="L37" s="372"/>
      <c r="M37" s="846">
        <f t="shared" si="0"/>
        <v>0</v>
      </c>
    </row>
    <row r="38" spans="2:13" ht="21" customHeight="1">
      <c r="B38" s="368"/>
      <c r="C38" s="368"/>
      <c r="D38" s="368"/>
      <c r="E38" s="368"/>
      <c r="F38" s="390"/>
      <c r="G38" s="369"/>
      <c r="H38" s="390"/>
      <c r="I38" s="369"/>
      <c r="J38" s="390"/>
      <c r="K38" s="369"/>
      <c r="L38" s="372"/>
      <c r="M38" s="846">
        <f t="shared" si="0"/>
        <v>0</v>
      </c>
    </row>
    <row r="39" spans="2:13" ht="21" customHeight="1">
      <c r="B39" s="368"/>
      <c r="C39" s="368"/>
      <c r="D39" s="368"/>
      <c r="E39" s="368"/>
      <c r="F39" s="390"/>
      <c r="G39" s="369"/>
      <c r="H39" s="390"/>
      <c r="I39" s="369"/>
      <c r="J39" s="390"/>
      <c r="K39" s="369"/>
      <c r="L39" s="372"/>
      <c r="M39" s="846">
        <f t="shared" si="0"/>
        <v>0</v>
      </c>
    </row>
    <row r="40" spans="2:13" ht="21" customHeight="1">
      <c r="B40" s="368"/>
      <c r="C40" s="368"/>
      <c r="D40" s="368"/>
      <c r="E40" s="368"/>
      <c r="F40" s="390"/>
      <c r="G40" s="369"/>
      <c r="H40" s="390"/>
      <c r="I40" s="369"/>
      <c r="J40" s="390"/>
      <c r="K40" s="369"/>
      <c r="L40" s="372"/>
      <c r="M40" s="846">
        <f t="shared" si="0"/>
        <v>0</v>
      </c>
    </row>
    <row r="41" spans="2:13" ht="21" customHeight="1">
      <c r="B41" s="368"/>
      <c r="C41" s="368"/>
      <c r="D41" s="368"/>
      <c r="E41" s="368"/>
      <c r="F41" s="390"/>
      <c r="G41" s="369"/>
      <c r="H41" s="390"/>
      <c r="I41" s="369"/>
      <c r="J41" s="390"/>
      <c r="K41" s="369"/>
      <c r="L41" s="372"/>
      <c r="M41" s="846">
        <f t="shared" si="0"/>
        <v>0</v>
      </c>
    </row>
    <row r="42" spans="2:13" ht="21" customHeight="1">
      <c r="B42" s="368"/>
      <c r="C42" s="368"/>
      <c r="D42" s="368"/>
      <c r="E42" s="368"/>
      <c r="F42" s="390"/>
      <c r="G42" s="369"/>
      <c r="H42" s="390"/>
      <c r="I42" s="369"/>
      <c r="J42" s="390"/>
      <c r="K42" s="369"/>
      <c r="L42" s="372"/>
      <c r="M42" s="846">
        <f t="shared" si="0"/>
        <v>0</v>
      </c>
    </row>
    <row r="43" spans="2:13" ht="21" customHeight="1">
      <c r="B43" s="368"/>
      <c r="C43" s="368"/>
      <c r="D43" s="368"/>
      <c r="E43" s="368"/>
      <c r="F43" s="390"/>
      <c r="G43" s="369"/>
      <c r="H43" s="390"/>
      <c r="I43" s="369"/>
      <c r="J43" s="390"/>
      <c r="K43" s="369"/>
      <c r="L43" s="372"/>
      <c r="M43" s="846">
        <f t="shared" si="0"/>
        <v>0</v>
      </c>
    </row>
    <row r="44" spans="2:13" ht="21" customHeight="1">
      <c r="B44" s="368"/>
      <c r="C44" s="368"/>
      <c r="D44" s="368"/>
      <c r="E44" s="368"/>
      <c r="F44" s="390"/>
      <c r="G44" s="369"/>
      <c r="H44" s="390"/>
      <c r="I44" s="369"/>
      <c r="J44" s="390"/>
      <c r="K44" s="369"/>
      <c r="L44" s="372"/>
      <c r="M44" s="846">
        <f t="shared" si="0"/>
        <v>0</v>
      </c>
    </row>
    <row r="45" spans="2:13" ht="21" customHeight="1">
      <c r="B45" s="368"/>
      <c r="C45" s="368"/>
      <c r="D45" s="368"/>
      <c r="E45" s="368"/>
      <c r="F45" s="390"/>
      <c r="G45" s="369"/>
      <c r="H45" s="390"/>
      <c r="I45" s="369"/>
      <c r="J45" s="390"/>
      <c r="K45" s="369"/>
      <c r="L45" s="372"/>
      <c r="M45" s="846">
        <f t="shared" si="0"/>
        <v>0</v>
      </c>
    </row>
    <row r="46" spans="2:13" ht="21" customHeight="1">
      <c r="B46" s="368"/>
      <c r="C46" s="368"/>
      <c r="D46" s="368"/>
      <c r="E46" s="368"/>
      <c r="F46" s="390"/>
      <c r="G46" s="369"/>
      <c r="H46" s="390"/>
      <c r="I46" s="369"/>
      <c r="J46" s="390"/>
      <c r="K46" s="369"/>
      <c r="L46" s="372"/>
      <c r="M46" s="846">
        <f t="shared" si="0"/>
        <v>0</v>
      </c>
    </row>
    <row r="47" spans="2:13" ht="21" customHeight="1">
      <c r="B47" s="368"/>
      <c r="C47" s="368"/>
      <c r="D47" s="368"/>
      <c r="E47" s="368"/>
      <c r="F47" s="390"/>
      <c r="G47" s="369"/>
      <c r="H47" s="390"/>
      <c r="I47" s="369"/>
      <c r="J47" s="390"/>
      <c r="K47" s="369"/>
      <c r="L47" s="372"/>
      <c r="M47" s="846">
        <f t="shared" si="0"/>
        <v>0</v>
      </c>
    </row>
    <row r="48" spans="2:13" ht="21" customHeight="1">
      <c r="B48" s="279"/>
      <c r="C48" s="279"/>
      <c r="D48" s="149" t="s">
        <v>3316</v>
      </c>
      <c r="E48" s="279"/>
      <c r="F48" s="315" t="s">
        <v>397</v>
      </c>
      <c r="G48" s="158">
        <f>SUM(G10:G47)</f>
        <v>422504.66</v>
      </c>
      <c r="H48" s="315" t="s">
        <v>397</v>
      </c>
      <c r="I48" s="158">
        <f>SUM(I10:I47)</f>
        <v>710851.33000000007</v>
      </c>
      <c r="J48" s="315" t="s">
        <v>397</v>
      </c>
      <c r="K48" s="158">
        <f>SUM(K10:K47)</f>
        <v>705246.12</v>
      </c>
      <c r="L48" s="315" t="s">
        <v>397</v>
      </c>
      <c r="M48" s="846">
        <f>SUM(M10:M47)</f>
        <v>428109.87000000011</v>
      </c>
    </row>
    <row r="50" spans="2:13" ht="13.8">
      <c r="B50" s="1609" t="s">
        <v>3314</v>
      </c>
      <c r="C50" s="1609"/>
      <c r="D50" s="1609"/>
      <c r="E50" s="1609"/>
      <c r="F50" s="1609"/>
      <c r="G50" s="1609"/>
      <c r="H50" s="1609"/>
      <c r="I50" s="1609"/>
      <c r="J50" s="1609"/>
      <c r="K50" s="1609"/>
      <c r="L50" s="1609"/>
      <c r="M50" s="1609"/>
    </row>
    <row r="52" spans="2:13">
      <c r="G52" s="318"/>
      <c r="M52" s="318"/>
    </row>
  </sheetData>
  <sheetProtection algorithmName="SHA-512" hashValue="dIdhN8O8Y6iDr/1leGl/2fvL5g3vZ3jMwz3Iz7d95+YQl/PROnatuoD0j+AR1VXF7rUqhOCYvU5qD8ombm+9IQ==" saltValue="3Ak4msNZ4UfXeYfsF6SCFA=="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B2:O52"/>
  <sheetViews>
    <sheetView zoomScaleNormal="100" workbookViewId="0">
      <selection activeCell="B1" sqref="B1"/>
    </sheetView>
  </sheetViews>
  <sheetFormatPr defaultColWidth="9.109375" defaultRowHeight="13.2"/>
  <cols>
    <col min="1" max="3" width="4.6640625" style="315" customWidth="1"/>
    <col min="4" max="4" width="9.109375" style="315"/>
    <col min="5" max="5" width="11.88671875" style="315" customWidth="1"/>
    <col min="6" max="6" width="1.6640625" style="315" customWidth="1"/>
    <col min="7" max="7" width="14.6640625" style="315" customWidth="1"/>
    <col min="8" max="8" width="1.6640625" style="315" customWidth="1"/>
    <col min="9" max="9" width="14.6640625" style="315" customWidth="1"/>
    <col min="10" max="10" width="1.6640625" style="315" customWidth="1"/>
    <col min="11" max="11" width="14.6640625" style="315" customWidth="1"/>
    <col min="12" max="12" width="1.6640625" style="315" customWidth="1"/>
    <col min="13" max="13" width="14.6640625" style="315" customWidth="1"/>
    <col min="14" max="14" width="10.88671875" style="315" bestFit="1" customWidth="1"/>
    <col min="15" max="15" width="13.5546875" style="315" bestFit="1" customWidth="1"/>
    <col min="16" max="16384" width="9.109375" style="315"/>
  </cols>
  <sheetData>
    <row r="2" spans="2:15" ht="20.399999999999999">
      <c r="B2" s="1546" t="s">
        <v>3410</v>
      </c>
      <c r="C2" s="1546"/>
      <c r="D2" s="1546"/>
      <c r="E2" s="1546"/>
      <c r="F2" s="1546"/>
      <c r="G2" s="1546"/>
      <c r="H2" s="1546"/>
      <c r="I2" s="1546"/>
      <c r="J2" s="1546"/>
      <c r="K2" s="1546"/>
      <c r="L2" s="1546"/>
      <c r="M2" s="1546"/>
    </row>
    <row r="3" spans="2:15">
      <c r="B3" s="1549"/>
      <c r="C3" s="1549"/>
      <c r="D3" s="1549"/>
      <c r="E3" s="1549"/>
      <c r="F3" s="1549"/>
      <c r="G3" s="1549"/>
      <c r="H3" s="1549"/>
      <c r="I3" s="1549"/>
      <c r="J3" s="1549"/>
      <c r="K3" s="1549"/>
      <c r="L3" s="1549"/>
      <c r="M3" s="1549"/>
    </row>
    <row r="5" spans="2:15">
      <c r="B5" s="1608"/>
      <c r="C5" s="1608"/>
      <c r="D5" s="1608"/>
      <c r="G5" s="724" t="s">
        <v>441</v>
      </c>
      <c r="I5" s="726"/>
      <c r="K5" s="726"/>
    </row>
    <row r="6" spans="2:15">
      <c r="B6" s="1608"/>
      <c r="C6" s="1608"/>
      <c r="D6" s="1608"/>
      <c r="G6" s="290" t="str">
        <f>'KEY INPUTS'!D45</f>
        <v>Dec. 31, 2019</v>
      </c>
      <c r="I6" s="724"/>
      <c r="K6" s="724"/>
      <c r="M6" s="724" t="s">
        <v>559</v>
      </c>
    </row>
    <row r="7" spans="2:15">
      <c r="G7" s="724" t="s">
        <v>460</v>
      </c>
      <c r="I7" s="724"/>
      <c r="K7" s="724"/>
      <c r="M7" s="724" t="s">
        <v>464</v>
      </c>
    </row>
    <row r="8" spans="2:15">
      <c r="B8" s="1608" t="s">
        <v>440</v>
      </c>
      <c r="C8" s="1608"/>
      <c r="D8" s="1608"/>
      <c r="G8" s="726" t="s">
        <v>459</v>
      </c>
      <c r="I8" s="726" t="s">
        <v>454</v>
      </c>
      <c r="K8" s="726" t="s">
        <v>565</v>
      </c>
      <c r="M8" s="287" t="str">
        <f>'KEY INPUTS'!D46</f>
        <v>Dec. 31, 2020</v>
      </c>
    </row>
    <row r="9" spans="2:15">
      <c r="B9" s="726"/>
      <c r="C9" s="726"/>
      <c r="D9" s="726"/>
      <c r="G9" s="243"/>
      <c r="I9" s="726"/>
      <c r="K9" s="726"/>
      <c r="M9" s="131"/>
    </row>
    <row r="10" spans="2:15" ht="21" customHeight="1">
      <c r="B10" s="847" t="s">
        <v>3317</v>
      </c>
      <c r="C10" s="848"/>
      <c r="D10" s="848"/>
      <c r="E10" s="848"/>
      <c r="F10" s="830"/>
      <c r="G10" s="849">
        <f>+'6b.1-Trust Fund Reserves'!G48</f>
        <v>422504.66</v>
      </c>
      <c r="H10" s="830"/>
      <c r="I10" s="849">
        <f>+'6b.1-Trust Fund Reserves'!I48</f>
        <v>710851.33000000007</v>
      </c>
      <c r="J10" s="830"/>
      <c r="K10" s="849">
        <f>+'6b.1-Trust Fund Reserves'!K48</f>
        <v>705246.12</v>
      </c>
      <c r="L10" s="830"/>
      <c r="M10" s="846">
        <f>+'6b.1-Trust Fund Reserves'!M48</f>
        <v>428109.87000000011</v>
      </c>
      <c r="N10" s="318"/>
      <c r="O10" s="318"/>
    </row>
    <row r="11" spans="2:15" ht="21" customHeight="1">
      <c r="B11" s="368"/>
      <c r="C11" s="368"/>
      <c r="D11" s="368"/>
      <c r="E11" s="368"/>
      <c r="F11" s="390"/>
      <c r="G11" s="369"/>
      <c r="H11" s="390"/>
      <c r="I11" s="369"/>
      <c r="J11" s="390"/>
      <c r="K11" s="369"/>
      <c r="L11" s="372"/>
      <c r="M11" s="846">
        <f t="shared" ref="M11:M47" si="0">+G11+I11-K11</f>
        <v>0</v>
      </c>
      <c r="N11" s="318"/>
    </row>
    <row r="12" spans="2:15" ht="21" customHeight="1">
      <c r="B12" s="368"/>
      <c r="C12" s="368"/>
      <c r="D12" s="368"/>
      <c r="E12" s="368"/>
      <c r="F12" s="390"/>
      <c r="G12" s="369"/>
      <c r="H12" s="390"/>
      <c r="I12" s="369"/>
      <c r="J12" s="390"/>
      <c r="K12" s="369"/>
      <c r="L12" s="372"/>
      <c r="M12" s="846">
        <f t="shared" si="0"/>
        <v>0</v>
      </c>
      <c r="N12" s="318"/>
    </row>
    <row r="13" spans="2:15" ht="21" customHeight="1">
      <c r="B13" s="368"/>
      <c r="C13" s="368"/>
      <c r="D13" s="368"/>
      <c r="E13" s="368"/>
      <c r="F13" s="390"/>
      <c r="G13" s="369"/>
      <c r="H13" s="390"/>
      <c r="I13" s="656"/>
      <c r="J13" s="390"/>
      <c r="K13" s="369"/>
      <c r="L13" s="372"/>
      <c r="M13" s="846">
        <f t="shared" si="0"/>
        <v>0</v>
      </c>
      <c r="N13" s="318"/>
      <c r="O13" s="370"/>
    </row>
    <row r="14" spans="2:15" ht="21" customHeight="1">
      <c r="B14" s="657"/>
      <c r="C14" s="368"/>
      <c r="D14" s="368"/>
      <c r="E14" s="368"/>
      <c r="F14" s="390"/>
      <c r="G14" s="369"/>
      <c r="H14" s="390"/>
      <c r="I14" s="369"/>
      <c r="J14" s="390"/>
      <c r="K14" s="369"/>
      <c r="L14" s="372"/>
      <c r="M14" s="846">
        <f t="shared" si="0"/>
        <v>0</v>
      </c>
      <c r="N14" s="318"/>
    </row>
    <row r="15" spans="2:15" ht="21" customHeight="1">
      <c r="B15" s="368"/>
      <c r="C15" s="368"/>
      <c r="D15" s="368"/>
      <c r="E15" s="368"/>
      <c r="F15" s="390"/>
      <c r="G15" s="369"/>
      <c r="H15" s="390"/>
      <c r="I15" s="369"/>
      <c r="J15" s="390"/>
      <c r="K15" s="369"/>
      <c r="L15" s="372"/>
      <c r="M15" s="846">
        <f t="shared" si="0"/>
        <v>0</v>
      </c>
      <c r="N15" s="318"/>
    </row>
    <row r="16" spans="2:15" ht="21" customHeight="1">
      <c r="B16" s="368"/>
      <c r="C16" s="368"/>
      <c r="D16" s="368"/>
      <c r="E16" s="368"/>
      <c r="F16" s="390"/>
      <c r="G16" s="369"/>
      <c r="H16" s="390"/>
      <c r="I16" s="369"/>
      <c r="J16" s="390"/>
      <c r="K16" s="369"/>
      <c r="L16" s="372"/>
      <c r="M16" s="846">
        <f t="shared" si="0"/>
        <v>0</v>
      </c>
      <c r="N16" s="318"/>
    </row>
    <row r="17" spans="2:14" ht="21" customHeight="1">
      <c r="B17" s="368"/>
      <c r="C17" s="368"/>
      <c r="D17" s="368"/>
      <c r="E17" s="368"/>
      <c r="F17" s="390"/>
      <c r="G17" s="369"/>
      <c r="H17" s="390"/>
      <c r="I17" s="369"/>
      <c r="J17" s="390"/>
      <c r="K17" s="369"/>
      <c r="L17" s="372"/>
      <c r="M17" s="846">
        <f t="shared" si="0"/>
        <v>0</v>
      </c>
      <c r="N17" s="318"/>
    </row>
    <row r="18" spans="2:14" ht="21" customHeight="1">
      <c r="B18" s="368"/>
      <c r="C18" s="368"/>
      <c r="D18" s="368"/>
      <c r="E18" s="368"/>
      <c r="F18" s="390"/>
      <c r="G18" s="369"/>
      <c r="H18" s="390"/>
      <c r="I18" s="369"/>
      <c r="J18" s="390"/>
      <c r="K18" s="369"/>
      <c r="L18" s="372"/>
      <c r="M18" s="846">
        <f t="shared" si="0"/>
        <v>0</v>
      </c>
      <c r="N18" s="318"/>
    </row>
    <row r="19" spans="2:14" ht="21" customHeight="1">
      <c r="B19" s="657"/>
      <c r="C19" s="368"/>
      <c r="D19" s="368"/>
      <c r="E19" s="368"/>
      <c r="F19" s="390"/>
      <c r="G19" s="369"/>
      <c r="H19" s="390"/>
      <c r="I19" s="369"/>
      <c r="J19" s="390"/>
      <c r="K19" s="369"/>
      <c r="L19" s="372"/>
      <c r="M19" s="846">
        <f t="shared" si="0"/>
        <v>0</v>
      </c>
      <c r="N19" s="318"/>
    </row>
    <row r="20" spans="2:14" ht="21" customHeight="1">
      <c r="B20" s="657"/>
      <c r="C20" s="368"/>
      <c r="D20" s="368"/>
      <c r="E20" s="368"/>
      <c r="F20" s="390"/>
      <c r="G20" s="369"/>
      <c r="H20" s="390"/>
      <c r="I20" s="369"/>
      <c r="J20" s="390"/>
      <c r="K20" s="369"/>
      <c r="L20" s="372"/>
      <c r="M20" s="846">
        <f t="shared" si="0"/>
        <v>0</v>
      </c>
      <c r="N20" s="318"/>
    </row>
    <row r="21" spans="2:14" ht="21" customHeight="1">
      <c r="B21" s="657"/>
      <c r="C21" s="368"/>
      <c r="D21" s="368"/>
      <c r="E21" s="368"/>
      <c r="F21" s="390"/>
      <c r="G21" s="369"/>
      <c r="H21" s="390"/>
      <c r="I21" s="369"/>
      <c r="J21" s="390"/>
      <c r="K21" s="369"/>
      <c r="L21" s="372"/>
      <c r="M21" s="846">
        <f t="shared" si="0"/>
        <v>0</v>
      </c>
      <c r="N21" s="318"/>
    </row>
    <row r="22" spans="2:14" ht="21" customHeight="1">
      <c r="B22" s="657"/>
      <c r="C22" s="368"/>
      <c r="D22" s="368"/>
      <c r="E22" s="368"/>
      <c r="F22" s="390"/>
      <c r="G22" s="369"/>
      <c r="H22" s="390"/>
      <c r="I22" s="369"/>
      <c r="J22" s="390"/>
      <c r="K22" s="369"/>
      <c r="L22" s="372"/>
      <c r="M22" s="846">
        <f t="shared" si="0"/>
        <v>0</v>
      </c>
      <c r="N22" s="318"/>
    </row>
    <row r="23" spans="2:14" ht="21" customHeight="1">
      <c r="B23" s="657"/>
      <c r="C23" s="368"/>
      <c r="D23" s="368"/>
      <c r="E23" s="368"/>
      <c r="F23" s="390"/>
      <c r="G23" s="369"/>
      <c r="H23" s="390"/>
      <c r="I23" s="369"/>
      <c r="J23" s="390"/>
      <c r="K23" s="369"/>
      <c r="L23" s="372"/>
      <c r="M23" s="846">
        <f t="shared" si="0"/>
        <v>0</v>
      </c>
      <c r="N23" s="318"/>
    </row>
    <row r="24" spans="2:14" ht="21" customHeight="1">
      <c r="B24" s="657"/>
      <c r="C24" s="368"/>
      <c r="D24" s="368"/>
      <c r="E24" s="368"/>
      <c r="F24" s="390"/>
      <c r="G24" s="369"/>
      <c r="H24" s="390"/>
      <c r="I24" s="369"/>
      <c r="J24" s="390"/>
      <c r="K24" s="369"/>
      <c r="L24" s="372"/>
      <c r="M24" s="846">
        <f t="shared" si="0"/>
        <v>0</v>
      </c>
      <c r="N24" s="318"/>
    </row>
    <row r="25" spans="2:14" ht="21" customHeight="1">
      <c r="B25" s="368"/>
      <c r="C25" s="368"/>
      <c r="D25" s="368"/>
      <c r="E25" s="368"/>
      <c r="F25" s="390"/>
      <c r="G25" s="369"/>
      <c r="H25" s="390"/>
      <c r="I25" s="369"/>
      <c r="J25" s="390"/>
      <c r="K25" s="369"/>
      <c r="L25" s="372"/>
      <c r="M25" s="846">
        <f t="shared" si="0"/>
        <v>0</v>
      </c>
      <c r="N25" s="318"/>
    </row>
    <row r="26" spans="2:14" ht="21" customHeight="1">
      <c r="B26" s="368"/>
      <c r="C26" s="368"/>
      <c r="D26" s="368"/>
      <c r="E26" s="368"/>
      <c r="F26" s="390"/>
      <c r="G26" s="369"/>
      <c r="H26" s="390"/>
      <c r="I26" s="369"/>
      <c r="J26" s="390"/>
      <c r="K26" s="369"/>
      <c r="L26" s="372"/>
      <c r="M26" s="846">
        <f t="shared" si="0"/>
        <v>0</v>
      </c>
    </row>
    <row r="27" spans="2:14" ht="21" customHeight="1">
      <c r="B27" s="368"/>
      <c r="C27" s="368"/>
      <c r="D27" s="368"/>
      <c r="E27" s="368"/>
      <c r="F27" s="390"/>
      <c r="G27" s="369"/>
      <c r="H27" s="390"/>
      <c r="I27" s="369"/>
      <c r="J27" s="390"/>
      <c r="K27" s="369"/>
      <c r="L27" s="372"/>
      <c r="M27" s="846">
        <f t="shared" si="0"/>
        <v>0</v>
      </c>
    </row>
    <row r="28" spans="2:14" ht="21" customHeight="1">
      <c r="B28" s="368"/>
      <c r="C28" s="368"/>
      <c r="D28" s="368"/>
      <c r="E28" s="368"/>
      <c r="F28" s="390"/>
      <c r="G28" s="369"/>
      <c r="H28" s="390"/>
      <c r="I28" s="369"/>
      <c r="J28" s="390"/>
      <c r="K28" s="369"/>
      <c r="L28" s="372"/>
      <c r="M28" s="846">
        <f t="shared" si="0"/>
        <v>0</v>
      </c>
    </row>
    <row r="29" spans="2:14" ht="21" customHeight="1">
      <c r="B29" s="368"/>
      <c r="C29" s="368"/>
      <c r="D29" s="368"/>
      <c r="E29" s="368"/>
      <c r="F29" s="390"/>
      <c r="G29" s="369"/>
      <c r="H29" s="390"/>
      <c r="I29" s="369"/>
      <c r="J29" s="390"/>
      <c r="K29" s="369"/>
      <c r="L29" s="372"/>
      <c r="M29" s="846">
        <f t="shared" si="0"/>
        <v>0</v>
      </c>
    </row>
    <row r="30" spans="2:14" ht="21" customHeight="1">
      <c r="B30" s="368"/>
      <c r="C30" s="368"/>
      <c r="D30" s="368"/>
      <c r="E30" s="368"/>
      <c r="F30" s="390"/>
      <c r="G30" s="369"/>
      <c r="H30" s="390"/>
      <c r="I30" s="369"/>
      <c r="J30" s="390"/>
      <c r="K30" s="369"/>
      <c r="L30" s="372"/>
      <c r="M30" s="846">
        <f t="shared" si="0"/>
        <v>0</v>
      </c>
    </row>
    <row r="31" spans="2:14" ht="21" customHeight="1">
      <c r="B31" s="368"/>
      <c r="C31" s="368"/>
      <c r="D31" s="368"/>
      <c r="E31" s="368"/>
      <c r="F31" s="390"/>
      <c r="G31" s="369"/>
      <c r="H31" s="390"/>
      <c r="I31" s="369"/>
      <c r="J31" s="390"/>
      <c r="K31" s="369"/>
      <c r="L31" s="372"/>
      <c r="M31" s="846">
        <f t="shared" si="0"/>
        <v>0</v>
      </c>
    </row>
    <row r="32" spans="2:14" ht="21" customHeight="1">
      <c r="B32" s="368"/>
      <c r="C32" s="368"/>
      <c r="D32" s="368"/>
      <c r="E32" s="368"/>
      <c r="F32" s="390"/>
      <c r="G32" s="369"/>
      <c r="H32" s="390"/>
      <c r="I32" s="369"/>
      <c r="J32" s="390"/>
      <c r="K32" s="369"/>
      <c r="L32" s="372"/>
      <c r="M32" s="846">
        <f t="shared" si="0"/>
        <v>0</v>
      </c>
    </row>
    <row r="33" spans="2:13" ht="21" customHeight="1">
      <c r="B33" s="368"/>
      <c r="C33" s="368"/>
      <c r="D33" s="368"/>
      <c r="E33" s="368"/>
      <c r="F33" s="390"/>
      <c r="G33" s="369"/>
      <c r="H33" s="390"/>
      <c r="I33" s="369"/>
      <c r="J33" s="390"/>
      <c r="K33" s="369"/>
      <c r="L33" s="372"/>
      <c r="M33" s="846">
        <f t="shared" si="0"/>
        <v>0</v>
      </c>
    </row>
    <row r="34" spans="2:13" ht="21" customHeight="1">
      <c r="B34" s="368"/>
      <c r="C34" s="368"/>
      <c r="D34" s="368"/>
      <c r="E34" s="368"/>
      <c r="F34" s="390"/>
      <c r="G34" s="369"/>
      <c r="H34" s="390"/>
      <c r="I34" s="369"/>
      <c r="J34" s="390"/>
      <c r="K34" s="369"/>
      <c r="L34" s="372"/>
      <c r="M34" s="846">
        <f t="shared" si="0"/>
        <v>0</v>
      </c>
    </row>
    <row r="35" spans="2:13" ht="21" customHeight="1">
      <c r="B35" s="368"/>
      <c r="C35" s="368"/>
      <c r="D35" s="368"/>
      <c r="E35" s="368"/>
      <c r="F35" s="390"/>
      <c r="G35" s="369"/>
      <c r="H35" s="390"/>
      <c r="I35" s="369"/>
      <c r="J35" s="390"/>
      <c r="K35" s="369"/>
      <c r="L35" s="372"/>
      <c r="M35" s="846">
        <f t="shared" si="0"/>
        <v>0</v>
      </c>
    </row>
    <row r="36" spans="2:13" ht="21" customHeight="1">
      <c r="B36" s="368"/>
      <c r="C36" s="368"/>
      <c r="D36" s="368"/>
      <c r="E36" s="368"/>
      <c r="F36" s="390"/>
      <c r="G36" s="369"/>
      <c r="H36" s="390"/>
      <c r="I36" s="369"/>
      <c r="J36" s="390"/>
      <c r="K36" s="369"/>
      <c r="L36" s="372"/>
      <c r="M36" s="846">
        <f t="shared" si="0"/>
        <v>0</v>
      </c>
    </row>
    <row r="37" spans="2:13" ht="21" customHeight="1">
      <c r="B37" s="368"/>
      <c r="C37" s="368"/>
      <c r="D37" s="368"/>
      <c r="E37" s="368"/>
      <c r="F37" s="390"/>
      <c r="G37" s="369"/>
      <c r="H37" s="390"/>
      <c r="I37" s="369"/>
      <c r="J37" s="390"/>
      <c r="K37" s="369"/>
      <c r="L37" s="372"/>
      <c r="M37" s="846">
        <f t="shared" si="0"/>
        <v>0</v>
      </c>
    </row>
    <row r="38" spans="2:13" ht="21" customHeight="1">
      <c r="B38" s="368"/>
      <c r="C38" s="368"/>
      <c r="D38" s="368"/>
      <c r="E38" s="368"/>
      <c r="F38" s="390"/>
      <c r="G38" s="369"/>
      <c r="H38" s="390"/>
      <c r="I38" s="369"/>
      <c r="J38" s="390"/>
      <c r="K38" s="369"/>
      <c r="L38" s="372"/>
      <c r="M38" s="846">
        <f t="shared" si="0"/>
        <v>0</v>
      </c>
    </row>
    <row r="39" spans="2:13" ht="21" customHeight="1">
      <c r="B39" s="368"/>
      <c r="C39" s="368"/>
      <c r="D39" s="368"/>
      <c r="E39" s="368"/>
      <c r="F39" s="390"/>
      <c r="G39" s="369"/>
      <c r="H39" s="390"/>
      <c r="I39" s="369"/>
      <c r="J39" s="390"/>
      <c r="K39" s="369"/>
      <c r="L39" s="372"/>
      <c r="M39" s="846">
        <f t="shared" si="0"/>
        <v>0</v>
      </c>
    </row>
    <row r="40" spans="2:13" ht="21" customHeight="1">
      <c r="B40" s="368"/>
      <c r="C40" s="368"/>
      <c r="D40" s="368"/>
      <c r="E40" s="368"/>
      <c r="F40" s="390"/>
      <c r="G40" s="369"/>
      <c r="H40" s="390"/>
      <c r="I40" s="369"/>
      <c r="J40" s="390"/>
      <c r="K40" s="369"/>
      <c r="L40" s="372"/>
      <c r="M40" s="846">
        <f t="shared" si="0"/>
        <v>0</v>
      </c>
    </row>
    <row r="41" spans="2:13" ht="21" customHeight="1">
      <c r="B41" s="368"/>
      <c r="C41" s="368"/>
      <c r="D41" s="368"/>
      <c r="E41" s="368"/>
      <c r="F41" s="390"/>
      <c r="G41" s="369"/>
      <c r="H41" s="390"/>
      <c r="I41" s="369"/>
      <c r="J41" s="390"/>
      <c r="K41" s="369"/>
      <c r="L41" s="372"/>
      <c r="M41" s="846">
        <f t="shared" si="0"/>
        <v>0</v>
      </c>
    </row>
    <row r="42" spans="2:13" ht="21" customHeight="1">
      <c r="B42" s="368"/>
      <c r="C42" s="368"/>
      <c r="D42" s="368"/>
      <c r="E42" s="368"/>
      <c r="F42" s="390"/>
      <c r="G42" s="369"/>
      <c r="H42" s="390"/>
      <c r="I42" s="369"/>
      <c r="J42" s="390"/>
      <c r="K42" s="369"/>
      <c r="L42" s="372"/>
      <c r="M42" s="846">
        <f t="shared" si="0"/>
        <v>0</v>
      </c>
    </row>
    <row r="43" spans="2:13" ht="21" customHeight="1">
      <c r="B43" s="368"/>
      <c r="C43" s="368"/>
      <c r="D43" s="368"/>
      <c r="E43" s="368"/>
      <c r="F43" s="390"/>
      <c r="G43" s="369"/>
      <c r="H43" s="390"/>
      <c r="I43" s="369"/>
      <c r="J43" s="390"/>
      <c r="K43" s="369"/>
      <c r="L43" s="372"/>
      <c r="M43" s="846">
        <f t="shared" si="0"/>
        <v>0</v>
      </c>
    </row>
    <row r="44" spans="2:13" ht="21" customHeight="1">
      <c r="B44" s="368"/>
      <c r="C44" s="368"/>
      <c r="D44" s="368"/>
      <c r="E44" s="368"/>
      <c r="F44" s="390"/>
      <c r="G44" s="369"/>
      <c r="H44" s="390"/>
      <c r="I44" s="369"/>
      <c r="J44" s="390"/>
      <c r="K44" s="369"/>
      <c r="L44" s="372"/>
      <c r="M44" s="846">
        <f t="shared" si="0"/>
        <v>0</v>
      </c>
    </row>
    <row r="45" spans="2:13" ht="21" customHeight="1">
      <c r="B45" s="368"/>
      <c r="C45" s="368"/>
      <c r="D45" s="368"/>
      <c r="E45" s="368"/>
      <c r="F45" s="390"/>
      <c r="G45" s="369"/>
      <c r="H45" s="390"/>
      <c r="I45" s="369"/>
      <c r="J45" s="390"/>
      <c r="K45" s="369"/>
      <c r="L45" s="372"/>
      <c r="M45" s="846">
        <f t="shared" si="0"/>
        <v>0</v>
      </c>
    </row>
    <row r="46" spans="2:13" ht="21" customHeight="1">
      <c r="B46" s="368"/>
      <c r="C46" s="368"/>
      <c r="D46" s="368"/>
      <c r="E46" s="368"/>
      <c r="F46" s="390"/>
      <c r="G46" s="369"/>
      <c r="H46" s="390"/>
      <c r="I46" s="369"/>
      <c r="J46" s="390"/>
      <c r="K46" s="369"/>
      <c r="L46" s="372"/>
      <c r="M46" s="846">
        <f t="shared" si="0"/>
        <v>0</v>
      </c>
    </row>
    <row r="47" spans="2:13" ht="21" customHeight="1">
      <c r="B47" s="368"/>
      <c r="C47" s="368"/>
      <c r="D47" s="368"/>
      <c r="E47" s="368"/>
      <c r="F47" s="390"/>
      <c r="G47" s="369"/>
      <c r="H47" s="390"/>
      <c r="I47" s="369"/>
      <c r="J47" s="390"/>
      <c r="K47" s="369"/>
      <c r="L47" s="372"/>
      <c r="M47" s="846">
        <f t="shared" si="0"/>
        <v>0</v>
      </c>
    </row>
    <row r="48" spans="2:13" ht="21" customHeight="1">
      <c r="B48" s="279"/>
      <c r="C48" s="279"/>
      <c r="D48" s="149" t="s">
        <v>3316</v>
      </c>
      <c r="E48" s="279"/>
      <c r="F48" s="315" t="s">
        <v>397</v>
      </c>
      <c r="G48" s="158">
        <f>SUM(G10:G47)</f>
        <v>422504.66</v>
      </c>
      <c r="H48" s="315" t="s">
        <v>397</v>
      </c>
      <c r="I48" s="158">
        <f>SUM(I10:I47)</f>
        <v>710851.33000000007</v>
      </c>
      <c r="J48" s="315" t="s">
        <v>397</v>
      </c>
      <c r="K48" s="158">
        <f>SUM(K10:K47)</f>
        <v>705246.12</v>
      </c>
      <c r="L48" s="315" t="s">
        <v>397</v>
      </c>
      <c r="M48" s="846">
        <f>SUM(M10:M47)</f>
        <v>428109.87000000011</v>
      </c>
    </row>
    <row r="50" spans="2:13" ht="13.8">
      <c r="B50" s="1609" t="s">
        <v>3318</v>
      </c>
      <c r="C50" s="1609"/>
      <c r="D50" s="1609"/>
      <c r="E50" s="1609"/>
      <c r="F50" s="1609"/>
      <c r="G50" s="1609"/>
      <c r="H50" s="1609"/>
      <c r="I50" s="1609"/>
      <c r="J50" s="1609"/>
      <c r="K50" s="1609"/>
      <c r="L50" s="1609"/>
      <c r="M50" s="1609"/>
    </row>
    <row r="52" spans="2:13">
      <c r="G52" s="318"/>
      <c r="M52" s="318"/>
    </row>
  </sheetData>
  <sheetProtection algorithmName="SHA-512" hashValue="KuOQflrUof5OsylgnLbQPOLcwKCJhYIhoRxDO38/olagXb7iaugNHkLlRtdcMo/io/Z6dfgJ7RC3gefCQkU9QQ==" saltValue="bWpz9bWfvfYQIetZMmPrRA=="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B2:O52"/>
  <sheetViews>
    <sheetView topLeftCell="A4" zoomScaleNormal="100" workbookViewId="0">
      <selection activeCell="B1" sqref="B1"/>
    </sheetView>
  </sheetViews>
  <sheetFormatPr defaultColWidth="9.109375" defaultRowHeight="13.2"/>
  <cols>
    <col min="1" max="3" width="4.6640625" style="315" customWidth="1"/>
    <col min="4" max="4" width="9.109375" style="315"/>
    <col min="5" max="5" width="11.88671875" style="315" customWidth="1"/>
    <col min="6" max="6" width="1.6640625" style="315" customWidth="1"/>
    <col min="7" max="7" width="14.6640625" style="315" customWidth="1"/>
    <col min="8" max="8" width="1.6640625" style="315" customWidth="1"/>
    <col min="9" max="9" width="14.6640625" style="315" customWidth="1"/>
    <col min="10" max="10" width="1.6640625" style="315" customWidth="1"/>
    <col min="11" max="11" width="14.6640625" style="315" customWidth="1"/>
    <col min="12" max="12" width="1.6640625" style="315" customWidth="1"/>
    <col min="13" max="13" width="14.6640625" style="315" customWidth="1"/>
    <col min="14" max="14" width="10.88671875" style="315" bestFit="1" customWidth="1"/>
    <col min="15" max="15" width="13.5546875" style="315" bestFit="1" customWidth="1"/>
    <col min="16" max="16384" width="9.109375" style="315"/>
  </cols>
  <sheetData>
    <row r="2" spans="2:15" ht="20.399999999999999">
      <c r="B2" s="1546" t="s">
        <v>3410</v>
      </c>
      <c r="C2" s="1546"/>
      <c r="D2" s="1546"/>
      <c r="E2" s="1546"/>
      <c r="F2" s="1546"/>
      <c r="G2" s="1546"/>
      <c r="H2" s="1546"/>
      <c r="I2" s="1546"/>
      <c r="J2" s="1546"/>
      <c r="K2" s="1546"/>
      <c r="L2" s="1546"/>
      <c r="M2" s="1546"/>
    </row>
    <row r="3" spans="2:15">
      <c r="B3" s="1549"/>
      <c r="C3" s="1549"/>
      <c r="D3" s="1549"/>
      <c r="E3" s="1549"/>
      <c r="F3" s="1549"/>
      <c r="G3" s="1549"/>
      <c r="H3" s="1549"/>
      <c r="I3" s="1549"/>
      <c r="J3" s="1549"/>
      <c r="K3" s="1549"/>
      <c r="L3" s="1549"/>
      <c r="M3" s="1549"/>
    </row>
    <row r="5" spans="2:15">
      <c r="B5" s="1608"/>
      <c r="C5" s="1608"/>
      <c r="D5" s="1608"/>
      <c r="G5" s="724" t="s">
        <v>441</v>
      </c>
      <c r="I5" s="726"/>
      <c r="K5" s="726"/>
    </row>
    <row r="6" spans="2:15">
      <c r="B6" s="1608"/>
      <c r="C6" s="1608"/>
      <c r="D6" s="1608"/>
      <c r="G6" s="290" t="str">
        <f>'KEY INPUTS'!D45</f>
        <v>Dec. 31, 2019</v>
      </c>
      <c r="I6" s="724"/>
      <c r="K6" s="724"/>
      <c r="M6" s="724" t="s">
        <v>559</v>
      </c>
    </row>
    <row r="7" spans="2:15">
      <c r="G7" s="724" t="s">
        <v>460</v>
      </c>
      <c r="I7" s="724"/>
      <c r="K7" s="724"/>
      <c r="M7" s="724" t="s">
        <v>464</v>
      </c>
    </row>
    <row r="8" spans="2:15">
      <c r="B8" s="1608" t="s">
        <v>440</v>
      </c>
      <c r="C8" s="1608"/>
      <c r="D8" s="1608"/>
      <c r="G8" s="726" t="s">
        <v>459</v>
      </c>
      <c r="I8" s="726" t="s">
        <v>454</v>
      </c>
      <c r="K8" s="726" t="s">
        <v>565</v>
      </c>
      <c r="M8" s="287" t="str">
        <f>'KEY INPUTS'!D46</f>
        <v>Dec. 31, 2020</v>
      </c>
    </row>
    <row r="9" spans="2:15">
      <c r="B9" s="726"/>
      <c r="C9" s="726"/>
      <c r="D9" s="726"/>
      <c r="G9" s="243"/>
      <c r="I9" s="726"/>
      <c r="K9" s="726"/>
      <c r="M9" s="131"/>
    </row>
    <row r="10" spans="2:15" ht="21" customHeight="1">
      <c r="B10" s="847" t="s">
        <v>3317</v>
      </c>
      <c r="C10" s="848"/>
      <c r="D10" s="848"/>
      <c r="E10" s="848"/>
      <c r="F10" s="830"/>
      <c r="G10" s="849">
        <f>+'6b.2-Trust Fund Reserves'!G48</f>
        <v>422504.66</v>
      </c>
      <c r="H10" s="830"/>
      <c r="I10" s="849">
        <f>+'6b.2-Trust Fund Reserves'!I48</f>
        <v>710851.33000000007</v>
      </c>
      <c r="J10" s="830"/>
      <c r="K10" s="849">
        <f>+'6b.2-Trust Fund Reserves'!K48</f>
        <v>705246.12</v>
      </c>
      <c r="L10" s="830"/>
      <c r="M10" s="849">
        <f>+'6b.2-Trust Fund Reserves'!M48</f>
        <v>428109.87000000011</v>
      </c>
      <c r="N10" s="318"/>
      <c r="O10" s="318"/>
    </row>
    <row r="11" spans="2:15" ht="21" customHeight="1">
      <c r="B11" s="368"/>
      <c r="C11" s="368"/>
      <c r="D11" s="368"/>
      <c r="E11" s="368"/>
      <c r="F11" s="390"/>
      <c r="G11" s="369"/>
      <c r="H11" s="390"/>
      <c r="I11" s="369"/>
      <c r="J11" s="390"/>
      <c r="K11" s="369"/>
      <c r="L11" s="372"/>
      <c r="M11" s="846">
        <f t="shared" ref="M11:M47" si="0">+G11+I11-K11</f>
        <v>0</v>
      </c>
      <c r="N11" s="318"/>
    </row>
    <row r="12" spans="2:15" ht="21" customHeight="1">
      <c r="B12" s="368"/>
      <c r="C12" s="368"/>
      <c r="D12" s="368"/>
      <c r="E12" s="368"/>
      <c r="F12" s="390"/>
      <c r="G12" s="369"/>
      <c r="H12" s="390"/>
      <c r="I12" s="369"/>
      <c r="J12" s="390"/>
      <c r="K12" s="369"/>
      <c r="L12" s="372"/>
      <c r="M12" s="846">
        <f t="shared" si="0"/>
        <v>0</v>
      </c>
      <c r="N12" s="318"/>
    </row>
    <row r="13" spans="2:15" ht="21" customHeight="1">
      <c r="B13" s="368"/>
      <c r="C13" s="368"/>
      <c r="D13" s="368"/>
      <c r="E13" s="368"/>
      <c r="F13" s="390"/>
      <c r="G13" s="369"/>
      <c r="H13" s="390"/>
      <c r="I13" s="656"/>
      <c r="J13" s="390"/>
      <c r="K13" s="369"/>
      <c r="L13" s="372"/>
      <c r="M13" s="846">
        <f t="shared" si="0"/>
        <v>0</v>
      </c>
      <c r="N13" s="318"/>
      <c r="O13" s="370"/>
    </row>
    <row r="14" spans="2:15" ht="21" customHeight="1">
      <c r="B14" s="657"/>
      <c r="C14" s="368"/>
      <c r="D14" s="368"/>
      <c r="E14" s="368"/>
      <c r="F14" s="390"/>
      <c r="G14" s="369"/>
      <c r="H14" s="390"/>
      <c r="I14" s="369"/>
      <c r="J14" s="390"/>
      <c r="K14" s="369"/>
      <c r="L14" s="372"/>
      <c r="M14" s="846">
        <f t="shared" si="0"/>
        <v>0</v>
      </c>
      <c r="N14" s="318"/>
    </row>
    <row r="15" spans="2:15" ht="21" customHeight="1">
      <c r="B15" s="368"/>
      <c r="C15" s="368"/>
      <c r="D15" s="368"/>
      <c r="E15" s="368"/>
      <c r="F15" s="390"/>
      <c r="G15" s="369"/>
      <c r="H15" s="390"/>
      <c r="I15" s="369"/>
      <c r="J15" s="390"/>
      <c r="K15" s="369"/>
      <c r="L15" s="372"/>
      <c r="M15" s="846">
        <f t="shared" si="0"/>
        <v>0</v>
      </c>
      <c r="N15" s="318"/>
    </row>
    <row r="16" spans="2:15" ht="21" customHeight="1">
      <c r="B16" s="368"/>
      <c r="C16" s="368"/>
      <c r="D16" s="368"/>
      <c r="E16" s="368"/>
      <c r="F16" s="390"/>
      <c r="G16" s="369"/>
      <c r="H16" s="390"/>
      <c r="I16" s="369"/>
      <c r="J16" s="390"/>
      <c r="K16" s="369"/>
      <c r="L16" s="372"/>
      <c r="M16" s="846">
        <f t="shared" si="0"/>
        <v>0</v>
      </c>
      <c r="N16" s="318"/>
    </row>
    <row r="17" spans="2:14" ht="21" customHeight="1">
      <c r="B17" s="368"/>
      <c r="C17" s="368"/>
      <c r="D17" s="368"/>
      <c r="E17" s="368"/>
      <c r="F17" s="390"/>
      <c r="G17" s="369"/>
      <c r="H17" s="390"/>
      <c r="I17" s="369"/>
      <c r="J17" s="390"/>
      <c r="K17" s="369"/>
      <c r="L17" s="372"/>
      <c r="M17" s="846">
        <f t="shared" si="0"/>
        <v>0</v>
      </c>
      <c r="N17" s="318"/>
    </row>
    <row r="18" spans="2:14" ht="21" customHeight="1">
      <c r="B18" s="368"/>
      <c r="C18" s="368"/>
      <c r="D18" s="368"/>
      <c r="E18" s="368"/>
      <c r="F18" s="390"/>
      <c r="G18" s="369"/>
      <c r="H18" s="390"/>
      <c r="I18" s="369"/>
      <c r="J18" s="390"/>
      <c r="K18" s="369"/>
      <c r="L18" s="372"/>
      <c r="M18" s="846">
        <f t="shared" si="0"/>
        <v>0</v>
      </c>
      <c r="N18" s="318"/>
    </row>
    <row r="19" spans="2:14" ht="21" customHeight="1">
      <c r="B19" s="657"/>
      <c r="C19" s="368"/>
      <c r="D19" s="368"/>
      <c r="E19" s="368"/>
      <c r="F19" s="390"/>
      <c r="G19" s="369"/>
      <c r="H19" s="390"/>
      <c r="I19" s="369"/>
      <c r="J19" s="390"/>
      <c r="K19" s="369"/>
      <c r="L19" s="372"/>
      <c r="M19" s="846">
        <f t="shared" si="0"/>
        <v>0</v>
      </c>
      <c r="N19" s="318"/>
    </row>
    <row r="20" spans="2:14" ht="21" customHeight="1">
      <c r="B20" s="657"/>
      <c r="C20" s="368"/>
      <c r="D20" s="368"/>
      <c r="E20" s="368"/>
      <c r="F20" s="390"/>
      <c r="G20" s="369"/>
      <c r="H20" s="390"/>
      <c r="I20" s="369"/>
      <c r="J20" s="390"/>
      <c r="K20" s="369"/>
      <c r="L20" s="372"/>
      <c r="M20" s="846">
        <f t="shared" si="0"/>
        <v>0</v>
      </c>
      <c r="N20" s="318"/>
    </row>
    <row r="21" spans="2:14" ht="21" customHeight="1">
      <c r="B21" s="657"/>
      <c r="C21" s="368"/>
      <c r="D21" s="368"/>
      <c r="E21" s="368"/>
      <c r="F21" s="390"/>
      <c r="G21" s="369"/>
      <c r="H21" s="390"/>
      <c r="I21" s="369"/>
      <c r="J21" s="390"/>
      <c r="K21" s="369"/>
      <c r="L21" s="372"/>
      <c r="M21" s="846">
        <f t="shared" si="0"/>
        <v>0</v>
      </c>
      <c r="N21" s="318"/>
    </row>
    <row r="22" spans="2:14" ht="21" customHeight="1">
      <c r="B22" s="657"/>
      <c r="C22" s="368"/>
      <c r="D22" s="368"/>
      <c r="E22" s="368"/>
      <c r="F22" s="390"/>
      <c r="G22" s="369"/>
      <c r="H22" s="390"/>
      <c r="I22" s="369"/>
      <c r="J22" s="390"/>
      <c r="K22" s="369"/>
      <c r="L22" s="372"/>
      <c r="M22" s="846">
        <f t="shared" si="0"/>
        <v>0</v>
      </c>
      <c r="N22" s="318"/>
    </row>
    <row r="23" spans="2:14" ht="21" customHeight="1">
      <c r="B23" s="657"/>
      <c r="C23" s="368"/>
      <c r="D23" s="368"/>
      <c r="E23" s="368"/>
      <c r="F23" s="390"/>
      <c r="G23" s="369"/>
      <c r="H23" s="390"/>
      <c r="I23" s="369"/>
      <c r="J23" s="390"/>
      <c r="K23" s="369"/>
      <c r="L23" s="372"/>
      <c r="M23" s="846">
        <f t="shared" si="0"/>
        <v>0</v>
      </c>
      <c r="N23" s="318"/>
    </row>
    <row r="24" spans="2:14" ht="21" customHeight="1">
      <c r="B24" s="657"/>
      <c r="C24" s="368"/>
      <c r="D24" s="368"/>
      <c r="E24" s="368"/>
      <c r="F24" s="390"/>
      <c r="G24" s="369"/>
      <c r="H24" s="390"/>
      <c r="I24" s="369"/>
      <c r="J24" s="390"/>
      <c r="K24" s="369"/>
      <c r="L24" s="372"/>
      <c r="M24" s="846">
        <f t="shared" si="0"/>
        <v>0</v>
      </c>
      <c r="N24" s="318"/>
    </row>
    <row r="25" spans="2:14" ht="21" customHeight="1">
      <c r="B25" s="368"/>
      <c r="C25" s="368"/>
      <c r="D25" s="368"/>
      <c r="E25" s="368"/>
      <c r="F25" s="390"/>
      <c r="G25" s="369"/>
      <c r="H25" s="390"/>
      <c r="I25" s="369"/>
      <c r="J25" s="390"/>
      <c r="K25" s="369"/>
      <c r="L25" s="372"/>
      <c r="M25" s="846">
        <f t="shared" si="0"/>
        <v>0</v>
      </c>
      <c r="N25" s="318"/>
    </row>
    <row r="26" spans="2:14" ht="21" customHeight="1">
      <c r="B26" s="368"/>
      <c r="C26" s="368"/>
      <c r="D26" s="368"/>
      <c r="E26" s="368"/>
      <c r="F26" s="390"/>
      <c r="G26" s="369"/>
      <c r="H26" s="390"/>
      <c r="I26" s="369"/>
      <c r="J26" s="390"/>
      <c r="K26" s="369"/>
      <c r="L26" s="372"/>
      <c r="M26" s="846">
        <f t="shared" si="0"/>
        <v>0</v>
      </c>
    </row>
    <row r="27" spans="2:14" ht="21" customHeight="1">
      <c r="B27" s="368"/>
      <c r="C27" s="368"/>
      <c r="D27" s="368"/>
      <c r="E27" s="368"/>
      <c r="F27" s="390"/>
      <c r="G27" s="369"/>
      <c r="H27" s="390"/>
      <c r="I27" s="369"/>
      <c r="J27" s="390"/>
      <c r="K27" s="369"/>
      <c r="L27" s="372"/>
      <c r="M27" s="846">
        <f t="shared" si="0"/>
        <v>0</v>
      </c>
    </row>
    <row r="28" spans="2:14" ht="21" customHeight="1">
      <c r="B28" s="368"/>
      <c r="C28" s="368"/>
      <c r="D28" s="368"/>
      <c r="E28" s="368"/>
      <c r="F28" s="390"/>
      <c r="G28" s="369"/>
      <c r="H28" s="390"/>
      <c r="I28" s="369"/>
      <c r="J28" s="390"/>
      <c r="K28" s="369"/>
      <c r="L28" s="372"/>
      <c r="M28" s="846">
        <f t="shared" si="0"/>
        <v>0</v>
      </c>
    </row>
    <row r="29" spans="2:14" ht="21" customHeight="1">
      <c r="B29" s="368"/>
      <c r="C29" s="368"/>
      <c r="D29" s="368"/>
      <c r="E29" s="368"/>
      <c r="F29" s="390"/>
      <c r="G29" s="369"/>
      <c r="H29" s="390"/>
      <c r="I29" s="369"/>
      <c r="J29" s="390"/>
      <c r="K29" s="369"/>
      <c r="L29" s="372"/>
      <c r="M29" s="846">
        <f t="shared" si="0"/>
        <v>0</v>
      </c>
    </row>
    <row r="30" spans="2:14" ht="21" customHeight="1">
      <c r="B30" s="368"/>
      <c r="C30" s="368"/>
      <c r="D30" s="368"/>
      <c r="E30" s="368"/>
      <c r="F30" s="390"/>
      <c r="G30" s="369"/>
      <c r="H30" s="390"/>
      <c r="I30" s="369"/>
      <c r="J30" s="390"/>
      <c r="K30" s="369"/>
      <c r="L30" s="372"/>
      <c r="M30" s="846">
        <f t="shared" si="0"/>
        <v>0</v>
      </c>
    </row>
    <row r="31" spans="2:14" ht="21" customHeight="1">
      <c r="B31" s="368"/>
      <c r="C31" s="368"/>
      <c r="D31" s="368"/>
      <c r="E31" s="368"/>
      <c r="F31" s="390"/>
      <c r="G31" s="369"/>
      <c r="H31" s="390"/>
      <c r="I31" s="369"/>
      <c r="J31" s="390"/>
      <c r="K31" s="369"/>
      <c r="L31" s="372"/>
      <c r="M31" s="846">
        <f t="shared" si="0"/>
        <v>0</v>
      </c>
    </row>
    <row r="32" spans="2:14" ht="21" customHeight="1">
      <c r="B32" s="368"/>
      <c r="C32" s="368"/>
      <c r="D32" s="368"/>
      <c r="E32" s="368"/>
      <c r="F32" s="390"/>
      <c r="G32" s="369"/>
      <c r="H32" s="390"/>
      <c r="I32" s="369"/>
      <c r="J32" s="390"/>
      <c r="K32" s="369"/>
      <c r="L32" s="372"/>
      <c r="M32" s="846">
        <f t="shared" si="0"/>
        <v>0</v>
      </c>
    </row>
    <row r="33" spans="2:13" ht="21" customHeight="1">
      <c r="B33" s="368"/>
      <c r="C33" s="368"/>
      <c r="D33" s="368"/>
      <c r="E33" s="368"/>
      <c r="F33" s="390"/>
      <c r="G33" s="369"/>
      <c r="H33" s="390"/>
      <c r="I33" s="369"/>
      <c r="J33" s="390"/>
      <c r="K33" s="369"/>
      <c r="L33" s="372"/>
      <c r="M33" s="846">
        <f t="shared" si="0"/>
        <v>0</v>
      </c>
    </row>
    <row r="34" spans="2:13" ht="21" customHeight="1">
      <c r="B34" s="368"/>
      <c r="C34" s="368"/>
      <c r="D34" s="368"/>
      <c r="E34" s="368"/>
      <c r="F34" s="390"/>
      <c r="G34" s="369"/>
      <c r="H34" s="390"/>
      <c r="I34" s="369"/>
      <c r="J34" s="390"/>
      <c r="K34" s="369"/>
      <c r="L34" s="372"/>
      <c r="M34" s="846">
        <f t="shared" si="0"/>
        <v>0</v>
      </c>
    </row>
    <row r="35" spans="2:13" ht="21" customHeight="1">
      <c r="B35" s="368"/>
      <c r="C35" s="368"/>
      <c r="D35" s="368"/>
      <c r="E35" s="368"/>
      <c r="F35" s="390"/>
      <c r="G35" s="369"/>
      <c r="H35" s="390"/>
      <c r="I35" s="369"/>
      <c r="J35" s="390"/>
      <c r="K35" s="369"/>
      <c r="L35" s="372"/>
      <c r="M35" s="846">
        <f t="shared" si="0"/>
        <v>0</v>
      </c>
    </row>
    <row r="36" spans="2:13" ht="21" customHeight="1">
      <c r="B36" s="368"/>
      <c r="C36" s="368"/>
      <c r="D36" s="368"/>
      <c r="E36" s="368"/>
      <c r="F36" s="390"/>
      <c r="G36" s="369"/>
      <c r="H36" s="390"/>
      <c r="I36" s="369"/>
      <c r="J36" s="390"/>
      <c r="K36" s="369"/>
      <c r="L36" s="372"/>
      <c r="M36" s="846">
        <f t="shared" si="0"/>
        <v>0</v>
      </c>
    </row>
    <row r="37" spans="2:13" ht="21" customHeight="1">
      <c r="B37" s="368"/>
      <c r="C37" s="368"/>
      <c r="D37" s="368"/>
      <c r="E37" s="368"/>
      <c r="F37" s="390"/>
      <c r="G37" s="369"/>
      <c r="H37" s="390"/>
      <c r="I37" s="369"/>
      <c r="J37" s="390"/>
      <c r="K37" s="369"/>
      <c r="L37" s="372"/>
      <c r="M37" s="846">
        <f t="shared" si="0"/>
        <v>0</v>
      </c>
    </row>
    <row r="38" spans="2:13" ht="21" customHeight="1">
      <c r="B38" s="368"/>
      <c r="C38" s="368"/>
      <c r="D38" s="368"/>
      <c r="E38" s="368"/>
      <c r="F38" s="390"/>
      <c r="G38" s="369"/>
      <c r="H38" s="390"/>
      <c r="I38" s="369"/>
      <c r="J38" s="390"/>
      <c r="K38" s="369"/>
      <c r="L38" s="372"/>
      <c r="M38" s="846">
        <f t="shared" si="0"/>
        <v>0</v>
      </c>
    </row>
    <row r="39" spans="2:13" ht="21" customHeight="1">
      <c r="B39" s="368"/>
      <c r="C39" s="368"/>
      <c r="D39" s="368"/>
      <c r="E39" s="368"/>
      <c r="F39" s="390"/>
      <c r="G39" s="369"/>
      <c r="H39" s="390"/>
      <c r="I39" s="369"/>
      <c r="J39" s="390"/>
      <c r="K39" s="369"/>
      <c r="L39" s="372"/>
      <c r="M39" s="846">
        <f t="shared" si="0"/>
        <v>0</v>
      </c>
    </row>
    <row r="40" spans="2:13" ht="21" customHeight="1">
      <c r="B40" s="368"/>
      <c r="C40" s="368"/>
      <c r="D40" s="368"/>
      <c r="E40" s="368"/>
      <c r="F40" s="390"/>
      <c r="G40" s="369"/>
      <c r="H40" s="390"/>
      <c r="I40" s="369"/>
      <c r="J40" s="390"/>
      <c r="K40" s="369"/>
      <c r="L40" s="372"/>
      <c r="M40" s="846">
        <f t="shared" si="0"/>
        <v>0</v>
      </c>
    </row>
    <row r="41" spans="2:13" ht="21" customHeight="1">
      <c r="B41" s="368"/>
      <c r="C41" s="368"/>
      <c r="D41" s="368"/>
      <c r="E41" s="368"/>
      <c r="F41" s="390"/>
      <c r="G41" s="369"/>
      <c r="H41" s="390"/>
      <c r="I41" s="369"/>
      <c r="J41" s="390"/>
      <c r="K41" s="369"/>
      <c r="L41" s="372"/>
      <c r="M41" s="846">
        <f t="shared" si="0"/>
        <v>0</v>
      </c>
    </row>
    <row r="42" spans="2:13" ht="21" customHeight="1">
      <c r="B42" s="368"/>
      <c r="C42" s="368"/>
      <c r="D42" s="368"/>
      <c r="E42" s="368"/>
      <c r="F42" s="390"/>
      <c r="G42" s="369"/>
      <c r="H42" s="390"/>
      <c r="I42" s="369"/>
      <c r="J42" s="390"/>
      <c r="K42" s="369"/>
      <c r="L42" s="372"/>
      <c r="M42" s="846">
        <f t="shared" si="0"/>
        <v>0</v>
      </c>
    </row>
    <row r="43" spans="2:13" ht="21" customHeight="1">
      <c r="B43" s="368"/>
      <c r="C43" s="368"/>
      <c r="D43" s="368"/>
      <c r="E43" s="368"/>
      <c r="F43" s="390"/>
      <c r="G43" s="369"/>
      <c r="H43" s="390"/>
      <c r="I43" s="369"/>
      <c r="J43" s="390"/>
      <c r="K43" s="369"/>
      <c r="L43" s="372"/>
      <c r="M43" s="846">
        <f t="shared" si="0"/>
        <v>0</v>
      </c>
    </row>
    <row r="44" spans="2:13" ht="21" customHeight="1">
      <c r="B44" s="368"/>
      <c r="C44" s="368"/>
      <c r="D44" s="368"/>
      <c r="E44" s="368"/>
      <c r="F44" s="390"/>
      <c r="G44" s="369"/>
      <c r="H44" s="390"/>
      <c r="I44" s="369"/>
      <c r="J44" s="390"/>
      <c r="K44" s="369"/>
      <c r="L44" s="372"/>
      <c r="M44" s="846">
        <f t="shared" si="0"/>
        <v>0</v>
      </c>
    </row>
    <row r="45" spans="2:13" ht="21" customHeight="1">
      <c r="B45" s="368"/>
      <c r="C45" s="368"/>
      <c r="D45" s="368"/>
      <c r="E45" s="368"/>
      <c r="F45" s="390"/>
      <c r="G45" s="369"/>
      <c r="H45" s="390"/>
      <c r="I45" s="369"/>
      <c r="J45" s="390"/>
      <c r="K45" s="369"/>
      <c r="L45" s="372"/>
      <c r="M45" s="846">
        <f t="shared" si="0"/>
        <v>0</v>
      </c>
    </row>
    <row r="46" spans="2:13" ht="21" customHeight="1">
      <c r="B46" s="368"/>
      <c r="C46" s="368"/>
      <c r="D46" s="368"/>
      <c r="E46" s="368"/>
      <c r="F46" s="390"/>
      <c r="G46" s="369"/>
      <c r="H46" s="390"/>
      <c r="I46" s="369"/>
      <c r="J46" s="390"/>
      <c r="K46" s="369"/>
      <c r="L46" s="372"/>
      <c r="M46" s="846">
        <f t="shared" si="0"/>
        <v>0</v>
      </c>
    </row>
    <row r="47" spans="2:13" ht="21" customHeight="1">
      <c r="B47" s="368"/>
      <c r="C47" s="368"/>
      <c r="D47" s="368"/>
      <c r="E47" s="368"/>
      <c r="F47" s="390"/>
      <c r="G47" s="369"/>
      <c r="H47" s="390"/>
      <c r="I47" s="369"/>
      <c r="J47" s="390"/>
      <c r="K47" s="369"/>
      <c r="L47" s="372"/>
      <c r="M47" s="846">
        <f t="shared" si="0"/>
        <v>0</v>
      </c>
    </row>
    <row r="48" spans="2:13" ht="21" customHeight="1">
      <c r="B48" s="279"/>
      <c r="C48" s="279"/>
      <c r="D48" s="149" t="s">
        <v>3316</v>
      </c>
      <c r="E48" s="279"/>
      <c r="F48" s="315" t="s">
        <v>397</v>
      </c>
      <c r="G48" s="158">
        <f>SUM(G10:G47)</f>
        <v>422504.66</v>
      </c>
      <c r="H48" s="315" t="s">
        <v>397</v>
      </c>
      <c r="I48" s="158">
        <f>SUM(I10:I47)</f>
        <v>710851.33000000007</v>
      </c>
      <c r="J48" s="315" t="s">
        <v>397</v>
      </c>
      <c r="K48" s="158">
        <f>SUM(K10:K47)</f>
        <v>705246.12</v>
      </c>
      <c r="L48" s="315" t="s">
        <v>397</v>
      </c>
      <c r="M48" s="846">
        <f>SUM(M10:M47)</f>
        <v>428109.87000000011</v>
      </c>
    </row>
    <row r="50" spans="2:13" ht="13.8">
      <c r="B50" s="1609" t="s">
        <v>3319</v>
      </c>
      <c r="C50" s="1609"/>
      <c r="D50" s="1609"/>
      <c r="E50" s="1609"/>
      <c r="F50" s="1609"/>
      <c r="G50" s="1609"/>
      <c r="H50" s="1609"/>
      <c r="I50" s="1609"/>
      <c r="J50" s="1609"/>
      <c r="K50" s="1609"/>
      <c r="L50" s="1609"/>
      <c r="M50" s="1609"/>
    </row>
    <row r="52" spans="2:13">
      <c r="G52" s="318"/>
      <c r="M52" s="318"/>
    </row>
  </sheetData>
  <sheetProtection algorithmName="SHA-512" hashValue="CEJNibRcpyNP0q5qaEn9GyrQUb3E9oJRGQHMJuS1r1PPTR7Zx7cjKvbds9AlMQEfMOjXe7UsZx/pDafsqpTo0Q==" saltValue="AvmBx/HBpYGsR2MiLHriPg=="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B2:O52"/>
  <sheetViews>
    <sheetView zoomScaleNormal="100" workbookViewId="0">
      <selection activeCell="B1" sqref="B1"/>
    </sheetView>
  </sheetViews>
  <sheetFormatPr defaultColWidth="9.109375" defaultRowHeight="13.2"/>
  <cols>
    <col min="1" max="3" width="4.6640625" style="315" customWidth="1"/>
    <col min="4" max="4" width="9.109375" style="315"/>
    <col min="5" max="5" width="11.88671875" style="315" customWidth="1"/>
    <col min="6" max="6" width="1.6640625" style="315" customWidth="1"/>
    <col min="7" max="7" width="14.6640625" style="315" customWidth="1"/>
    <col min="8" max="8" width="1.6640625" style="315" customWidth="1"/>
    <col min="9" max="9" width="14.6640625" style="315" customWidth="1"/>
    <col min="10" max="10" width="1.6640625" style="315" customWidth="1"/>
    <col min="11" max="11" width="14.6640625" style="315" customWidth="1"/>
    <col min="12" max="12" width="1.6640625" style="315" customWidth="1"/>
    <col min="13" max="13" width="14.6640625" style="315" customWidth="1"/>
    <col min="14" max="14" width="10.88671875" style="315" bestFit="1" customWidth="1"/>
    <col min="15" max="15" width="13.5546875" style="315" bestFit="1" customWidth="1"/>
    <col min="16" max="16384" width="9.109375" style="315"/>
  </cols>
  <sheetData>
    <row r="2" spans="2:15" ht="20.399999999999999">
      <c r="B2" s="1546" t="s">
        <v>3410</v>
      </c>
      <c r="C2" s="1546"/>
      <c r="D2" s="1546"/>
      <c r="E2" s="1546"/>
      <c r="F2" s="1546"/>
      <c r="G2" s="1546"/>
      <c r="H2" s="1546"/>
      <c r="I2" s="1546"/>
      <c r="J2" s="1546"/>
      <c r="K2" s="1546"/>
      <c r="L2" s="1546"/>
      <c r="M2" s="1546"/>
    </row>
    <row r="3" spans="2:15">
      <c r="B3" s="1549"/>
      <c r="C3" s="1549"/>
      <c r="D3" s="1549"/>
      <c r="E3" s="1549"/>
      <c r="F3" s="1549"/>
      <c r="G3" s="1549"/>
      <c r="H3" s="1549"/>
      <c r="I3" s="1549"/>
      <c r="J3" s="1549"/>
      <c r="K3" s="1549"/>
      <c r="L3" s="1549"/>
      <c r="M3" s="1549"/>
    </row>
    <row r="5" spans="2:15">
      <c r="B5" s="1608"/>
      <c r="C5" s="1608"/>
      <c r="D5" s="1608"/>
      <c r="G5" s="724" t="s">
        <v>441</v>
      </c>
      <c r="I5" s="726"/>
      <c r="K5" s="726"/>
    </row>
    <row r="6" spans="2:15">
      <c r="B6" s="1608"/>
      <c r="C6" s="1608"/>
      <c r="D6" s="1608"/>
      <c r="G6" s="290" t="str">
        <f>'KEY INPUTS'!D45</f>
        <v>Dec. 31, 2019</v>
      </c>
      <c r="I6" s="724"/>
      <c r="K6" s="724"/>
      <c r="M6" s="724" t="s">
        <v>559</v>
      </c>
    </row>
    <row r="7" spans="2:15">
      <c r="G7" s="724" t="s">
        <v>460</v>
      </c>
      <c r="I7" s="724"/>
      <c r="K7" s="724"/>
      <c r="M7" s="724" t="s">
        <v>464</v>
      </c>
    </row>
    <row r="8" spans="2:15">
      <c r="B8" s="1608" t="s">
        <v>440</v>
      </c>
      <c r="C8" s="1608"/>
      <c r="D8" s="1608"/>
      <c r="G8" s="726" t="s">
        <v>459</v>
      </c>
      <c r="I8" s="726" t="s">
        <v>454</v>
      </c>
      <c r="K8" s="726" t="s">
        <v>565</v>
      </c>
      <c r="M8" s="287" t="str">
        <f>'KEY INPUTS'!D46</f>
        <v>Dec. 31, 2020</v>
      </c>
    </row>
    <row r="9" spans="2:15">
      <c r="B9" s="726"/>
      <c r="C9" s="726"/>
      <c r="D9" s="726"/>
      <c r="G9" s="243"/>
      <c r="I9" s="726"/>
      <c r="K9" s="726"/>
      <c r="M9" s="131"/>
    </row>
    <row r="10" spans="2:15" ht="21" customHeight="1">
      <c r="B10" s="847" t="s">
        <v>3317</v>
      </c>
      <c r="C10" s="848"/>
      <c r="D10" s="848"/>
      <c r="E10" s="848"/>
      <c r="F10" s="830"/>
      <c r="G10" s="849">
        <f>+'6b.3-Trust Fund Reserves'!G48</f>
        <v>422504.66</v>
      </c>
      <c r="H10" s="830"/>
      <c r="I10" s="849">
        <f>+'6b.3-Trust Fund Reserves'!I48</f>
        <v>710851.33000000007</v>
      </c>
      <c r="J10" s="830"/>
      <c r="K10" s="849">
        <f>+'6b.3-Trust Fund Reserves'!K48</f>
        <v>705246.12</v>
      </c>
      <c r="L10" s="830"/>
      <c r="M10" s="849">
        <f>+'6b.3-Trust Fund Reserves'!M48</f>
        <v>428109.87000000011</v>
      </c>
      <c r="N10" s="318"/>
      <c r="O10" s="318"/>
    </row>
    <row r="11" spans="2:15" ht="21" customHeight="1">
      <c r="B11" s="368"/>
      <c r="C11" s="368"/>
      <c r="D11" s="368"/>
      <c r="E11" s="368"/>
      <c r="F11" s="390"/>
      <c r="G11" s="369"/>
      <c r="H11" s="390"/>
      <c r="I11" s="369"/>
      <c r="J11" s="390"/>
      <c r="K11" s="369"/>
      <c r="L11" s="372"/>
      <c r="M11" s="846">
        <f t="shared" ref="M11:M47" si="0">+G11+I11-K11</f>
        <v>0</v>
      </c>
      <c r="N11" s="318"/>
    </row>
    <row r="12" spans="2:15" ht="21" customHeight="1">
      <c r="B12" s="368"/>
      <c r="C12" s="368"/>
      <c r="D12" s="368"/>
      <c r="E12" s="368"/>
      <c r="F12" s="390"/>
      <c r="G12" s="369"/>
      <c r="H12" s="390"/>
      <c r="I12" s="369"/>
      <c r="J12" s="390"/>
      <c r="K12" s="369"/>
      <c r="L12" s="372"/>
      <c r="M12" s="846">
        <f t="shared" si="0"/>
        <v>0</v>
      </c>
      <c r="N12" s="318"/>
    </row>
    <row r="13" spans="2:15" ht="21" customHeight="1">
      <c r="B13" s="368"/>
      <c r="C13" s="368"/>
      <c r="D13" s="368"/>
      <c r="E13" s="368"/>
      <c r="F13" s="390"/>
      <c r="G13" s="369"/>
      <c r="H13" s="390"/>
      <c r="I13" s="656"/>
      <c r="J13" s="390"/>
      <c r="K13" s="369"/>
      <c r="L13" s="372"/>
      <c r="M13" s="846">
        <f t="shared" si="0"/>
        <v>0</v>
      </c>
      <c r="N13" s="318"/>
      <c r="O13" s="370"/>
    </row>
    <row r="14" spans="2:15" ht="21" customHeight="1">
      <c r="B14" s="657"/>
      <c r="C14" s="368"/>
      <c r="D14" s="368"/>
      <c r="E14" s="368"/>
      <c r="F14" s="390"/>
      <c r="G14" s="369"/>
      <c r="H14" s="390"/>
      <c r="I14" s="369"/>
      <c r="J14" s="390"/>
      <c r="K14" s="369"/>
      <c r="L14" s="372"/>
      <c r="M14" s="846">
        <f t="shared" si="0"/>
        <v>0</v>
      </c>
      <c r="N14" s="318"/>
    </row>
    <row r="15" spans="2:15" ht="21" customHeight="1">
      <c r="B15" s="368"/>
      <c r="C15" s="368"/>
      <c r="D15" s="368"/>
      <c r="E15" s="368"/>
      <c r="F15" s="390"/>
      <c r="G15" s="369"/>
      <c r="H15" s="390"/>
      <c r="I15" s="369"/>
      <c r="J15" s="390"/>
      <c r="K15" s="369"/>
      <c r="L15" s="372"/>
      <c r="M15" s="846">
        <f t="shared" si="0"/>
        <v>0</v>
      </c>
      <c r="N15" s="318"/>
    </row>
    <row r="16" spans="2:15" ht="21" customHeight="1">
      <c r="B16" s="368"/>
      <c r="C16" s="368"/>
      <c r="D16" s="368"/>
      <c r="E16" s="368"/>
      <c r="F16" s="390"/>
      <c r="G16" s="369"/>
      <c r="H16" s="390"/>
      <c r="I16" s="369"/>
      <c r="J16" s="390"/>
      <c r="K16" s="369"/>
      <c r="L16" s="372"/>
      <c r="M16" s="846">
        <f t="shared" si="0"/>
        <v>0</v>
      </c>
      <c r="N16" s="318"/>
    </row>
    <row r="17" spans="2:14" ht="21" customHeight="1">
      <c r="B17" s="368"/>
      <c r="C17" s="368"/>
      <c r="D17" s="368"/>
      <c r="E17" s="368"/>
      <c r="F17" s="390"/>
      <c r="G17" s="369"/>
      <c r="H17" s="390"/>
      <c r="I17" s="369"/>
      <c r="J17" s="390"/>
      <c r="K17" s="369"/>
      <c r="L17" s="372"/>
      <c r="M17" s="846">
        <f t="shared" si="0"/>
        <v>0</v>
      </c>
      <c r="N17" s="318"/>
    </row>
    <row r="18" spans="2:14" ht="21" customHeight="1">
      <c r="B18" s="368"/>
      <c r="C18" s="368"/>
      <c r="D18" s="368"/>
      <c r="E18" s="368"/>
      <c r="F18" s="390"/>
      <c r="G18" s="369"/>
      <c r="H18" s="390"/>
      <c r="I18" s="369"/>
      <c r="J18" s="390"/>
      <c r="K18" s="369"/>
      <c r="L18" s="372"/>
      <c r="M18" s="846">
        <f t="shared" si="0"/>
        <v>0</v>
      </c>
      <c r="N18" s="318"/>
    </row>
    <row r="19" spans="2:14" ht="21" customHeight="1">
      <c r="B19" s="657"/>
      <c r="C19" s="368"/>
      <c r="D19" s="368"/>
      <c r="E19" s="368"/>
      <c r="F19" s="390"/>
      <c r="G19" s="369"/>
      <c r="H19" s="390"/>
      <c r="I19" s="369"/>
      <c r="J19" s="390"/>
      <c r="K19" s="369"/>
      <c r="L19" s="372"/>
      <c r="M19" s="846">
        <f t="shared" si="0"/>
        <v>0</v>
      </c>
      <c r="N19" s="318"/>
    </row>
    <row r="20" spans="2:14" ht="21" customHeight="1">
      <c r="B20" s="657"/>
      <c r="C20" s="368"/>
      <c r="D20" s="368"/>
      <c r="E20" s="368"/>
      <c r="F20" s="390"/>
      <c r="G20" s="369"/>
      <c r="H20" s="390"/>
      <c r="I20" s="369"/>
      <c r="J20" s="390"/>
      <c r="K20" s="369"/>
      <c r="L20" s="372"/>
      <c r="M20" s="846">
        <f t="shared" si="0"/>
        <v>0</v>
      </c>
      <c r="N20" s="318"/>
    </row>
    <row r="21" spans="2:14" ht="21" customHeight="1">
      <c r="B21" s="657"/>
      <c r="C21" s="368"/>
      <c r="D21" s="368"/>
      <c r="E21" s="368"/>
      <c r="F21" s="390"/>
      <c r="G21" s="369"/>
      <c r="H21" s="390"/>
      <c r="I21" s="369"/>
      <c r="J21" s="390"/>
      <c r="K21" s="369"/>
      <c r="L21" s="372"/>
      <c r="M21" s="846">
        <f t="shared" si="0"/>
        <v>0</v>
      </c>
      <c r="N21" s="318"/>
    </row>
    <row r="22" spans="2:14" ht="21" customHeight="1">
      <c r="B22" s="657"/>
      <c r="C22" s="368"/>
      <c r="D22" s="368"/>
      <c r="E22" s="368"/>
      <c r="F22" s="390"/>
      <c r="G22" s="369"/>
      <c r="H22" s="390"/>
      <c r="I22" s="369"/>
      <c r="J22" s="390"/>
      <c r="K22" s="369"/>
      <c r="L22" s="372"/>
      <c r="M22" s="846">
        <f t="shared" si="0"/>
        <v>0</v>
      </c>
      <c r="N22" s="318"/>
    </row>
    <row r="23" spans="2:14" ht="21" customHeight="1">
      <c r="B23" s="657"/>
      <c r="C23" s="368"/>
      <c r="D23" s="368"/>
      <c r="E23" s="368"/>
      <c r="F23" s="390"/>
      <c r="G23" s="369"/>
      <c r="H23" s="390"/>
      <c r="I23" s="369"/>
      <c r="J23" s="390"/>
      <c r="K23" s="369"/>
      <c r="L23" s="372"/>
      <c r="M23" s="846">
        <f t="shared" si="0"/>
        <v>0</v>
      </c>
      <c r="N23" s="318"/>
    </row>
    <row r="24" spans="2:14" ht="21" customHeight="1">
      <c r="B24" s="657"/>
      <c r="C24" s="368"/>
      <c r="D24" s="368"/>
      <c r="E24" s="368"/>
      <c r="F24" s="390"/>
      <c r="G24" s="369"/>
      <c r="H24" s="390"/>
      <c r="I24" s="369"/>
      <c r="J24" s="390"/>
      <c r="K24" s="369"/>
      <c r="L24" s="372"/>
      <c r="M24" s="846">
        <f t="shared" si="0"/>
        <v>0</v>
      </c>
      <c r="N24" s="318"/>
    </row>
    <row r="25" spans="2:14" ht="21" customHeight="1">
      <c r="B25" s="368"/>
      <c r="C25" s="368"/>
      <c r="D25" s="368"/>
      <c r="E25" s="368"/>
      <c r="F25" s="390"/>
      <c r="G25" s="369"/>
      <c r="H25" s="390"/>
      <c r="I25" s="369"/>
      <c r="J25" s="390"/>
      <c r="K25" s="369"/>
      <c r="L25" s="372"/>
      <c r="M25" s="846">
        <f t="shared" si="0"/>
        <v>0</v>
      </c>
      <c r="N25" s="318"/>
    </row>
    <row r="26" spans="2:14" ht="21" customHeight="1">
      <c r="B26" s="368"/>
      <c r="C26" s="368"/>
      <c r="D26" s="368"/>
      <c r="E26" s="368"/>
      <c r="F26" s="390"/>
      <c r="G26" s="369"/>
      <c r="H26" s="390"/>
      <c r="I26" s="369"/>
      <c r="J26" s="390"/>
      <c r="K26" s="369"/>
      <c r="L26" s="372"/>
      <c r="M26" s="846">
        <f t="shared" si="0"/>
        <v>0</v>
      </c>
    </row>
    <row r="27" spans="2:14" ht="21" customHeight="1">
      <c r="B27" s="368"/>
      <c r="C27" s="368"/>
      <c r="D27" s="368"/>
      <c r="E27" s="368"/>
      <c r="F27" s="390"/>
      <c r="G27" s="369"/>
      <c r="H27" s="390"/>
      <c r="I27" s="369"/>
      <c r="J27" s="390"/>
      <c r="K27" s="369"/>
      <c r="L27" s="372"/>
      <c r="M27" s="846">
        <f t="shared" si="0"/>
        <v>0</v>
      </c>
    </row>
    <row r="28" spans="2:14" ht="21" customHeight="1">
      <c r="B28" s="368"/>
      <c r="C28" s="368"/>
      <c r="D28" s="368"/>
      <c r="E28" s="368"/>
      <c r="F28" s="390"/>
      <c r="G28" s="369"/>
      <c r="H28" s="390"/>
      <c r="I28" s="369"/>
      <c r="J28" s="390"/>
      <c r="K28" s="369"/>
      <c r="L28" s="372"/>
      <c r="M28" s="846">
        <f t="shared" si="0"/>
        <v>0</v>
      </c>
    </row>
    <row r="29" spans="2:14" ht="21" customHeight="1">
      <c r="B29" s="368"/>
      <c r="C29" s="368"/>
      <c r="D29" s="368"/>
      <c r="E29" s="368"/>
      <c r="F29" s="390"/>
      <c r="G29" s="369"/>
      <c r="H29" s="390"/>
      <c r="I29" s="369"/>
      <c r="J29" s="390"/>
      <c r="K29" s="369"/>
      <c r="L29" s="372"/>
      <c r="M29" s="846">
        <f t="shared" si="0"/>
        <v>0</v>
      </c>
    </row>
    <row r="30" spans="2:14" ht="21" customHeight="1">
      <c r="B30" s="368"/>
      <c r="C30" s="368"/>
      <c r="D30" s="368"/>
      <c r="E30" s="368"/>
      <c r="F30" s="390"/>
      <c r="G30" s="369"/>
      <c r="H30" s="390"/>
      <c r="I30" s="369"/>
      <c r="J30" s="390"/>
      <c r="K30" s="369"/>
      <c r="L30" s="372"/>
      <c r="M30" s="846">
        <f t="shared" si="0"/>
        <v>0</v>
      </c>
    </row>
    <row r="31" spans="2:14" ht="21" customHeight="1">
      <c r="B31" s="368"/>
      <c r="C31" s="368"/>
      <c r="D31" s="368"/>
      <c r="E31" s="368"/>
      <c r="F31" s="390"/>
      <c r="G31" s="369"/>
      <c r="H31" s="390"/>
      <c r="I31" s="369"/>
      <c r="J31" s="390"/>
      <c r="K31" s="369"/>
      <c r="L31" s="372"/>
      <c r="M31" s="846">
        <f t="shared" si="0"/>
        <v>0</v>
      </c>
    </row>
    <row r="32" spans="2:14" ht="21" customHeight="1">
      <c r="B32" s="368"/>
      <c r="C32" s="368"/>
      <c r="D32" s="368"/>
      <c r="E32" s="368"/>
      <c r="F32" s="390"/>
      <c r="G32" s="369"/>
      <c r="H32" s="390"/>
      <c r="I32" s="369"/>
      <c r="J32" s="390"/>
      <c r="K32" s="369"/>
      <c r="L32" s="372"/>
      <c r="M32" s="846">
        <f t="shared" si="0"/>
        <v>0</v>
      </c>
    </row>
    <row r="33" spans="2:13" ht="21" customHeight="1">
      <c r="B33" s="368"/>
      <c r="C33" s="368"/>
      <c r="D33" s="368"/>
      <c r="E33" s="368"/>
      <c r="F33" s="390"/>
      <c r="G33" s="369"/>
      <c r="H33" s="390"/>
      <c r="I33" s="369"/>
      <c r="J33" s="390"/>
      <c r="K33" s="369"/>
      <c r="L33" s="372"/>
      <c r="M33" s="846">
        <f t="shared" si="0"/>
        <v>0</v>
      </c>
    </row>
    <row r="34" spans="2:13" ht="21" customHeight="1">
      <c r="B34" s="368"/>
      <c r="C34" s="368"/>
      <c r="D34" s="368"/>
      <c r="E34" s="368"/>
      <c r="F34" s="390"/>
      <c r="G34" s="369"/>
      <c r="H34" s="390"/>
      <c r="I34" s="369"/>
      <c r="J34" s="390"/>
      <c r="K34" s="369"/>
      <c r="L34" s="372"/>
      <c r="M34" s="846">
        <f t="shared" si="0"/>
        <v>0</v>
      </c>
    </row>
    <row r="35" spans="2:13" ht="21" customHeight="1">
      <c r="B35" s="368"/>
      <c r="C35" s="368"/>
      <c r="D35" s="368"/>
      <c r="E35" s="368"/>
      <c r="F35" s="390"/>
      <c r="G35" s="369"/>
      <c r="H35" s="390"/>
      <c r="I35" s="369"/>
      <c r="J35" s="390"/>
      <c r="K35" s="369"/>
      <c r="L35" s="372"/>
      <c r="M35" s="846">
        <f t="shared" si="0"/>
        <v>0</v>
      </c>
    </row>
    <row r="36" spans="2:13" ht="21" customHeight="1">
      <c r="B36" s="368"/>
      <c r="C36" s="368"/>
      <c r="D36" s="368"/>
      <c r="E36" s="368"/>
      <c r="F36" s="390"/>
      <c r="G36" s="369"/>
      <c r="H36" s="390"/>
      <c r="I36" s="369"/>
      <c r="J36" s="390"/>
      <c r="K36" s="369"/>
      <c r="L36" s="372"/>
      <c r="M36" s="846">
        <f t="shared" si="0"/>
        <v>0</v>
      </c>
    </row>
    <row r="37" spans="2:13" ht="21" customHeight="1">
      <c r="B37" s="368"/>
      <c r="C37" s="368"/>
      <c r="D37" s="368"/>
      <c r="E37" s="368"/>
      <c r="F37" s="390"/>
      <c r="G37" s="369"/>
      <c r="H37" s="390"/>
      <c r="I37" s="369"/>
      <c r="J37" s="390"/>
      <c r="K37" s="369"/>
      <c r="L37" s="372"/>
      <c r="M37" s="846">
        <f t="shared" si="0"/>
        <v>0</v>
      </c>
    </row>
    <row r="38" spans="2:13" ht="21" customHeight="1">
      <c r="B38" s="368"/>
      <c r="C38" s="368"/>
      <c r="D38" s="368"/>
      <c r="E38" s="368"/>
      <c r="F38" s="390"/>
      <c r="G38" s="369"/>
      <c r="H38" s="390"/>
      <c r="I38" s="369"/>
      <c r="J38" s="390"/>
      <c r="K38" s="369"/>
      <c r="L38" s="372"/>
      <c r="M38" s="846">
        <f t="shared" si="0"/>
        <v>0</v>
      </c>
    </row>
    <row r="39" spans="2:13" ht="21" customHeight="1">
      <c r="B39" s="368"/>
      <c r="C39" s="368"/>
      <c r="D39" s="368"/>
      <c r="E39" s="368"/>
      <c r="F39" s="390"/>
      <c r="G39" s="369"/>
      <c r="H39" s="390"/>
      <c r="I39" s="369"/>
      <c r="J39" s="390"/>
      <c r="K39" s="369"/>
      <c r="L39" s="372"/>
      <c r="M39" s="846">
        <f t="shared" si="0"/>
        <v>0</v>
      </c>
    </row>
    <row r="40" spans="2:13" ht="21" customHeight="1">
      <c r="B40" s="368"/>
      <c r="C40" s="368"/>
      <c r="D40" s="368"/>
      <c r="E40" s="368"/>
      <c r="F40" s="390"/>
      <c r="G40" s="369"/>
      <c r="H40" s="390"/>
      <c r="I40" s="369"/>
      <c r="J40" s="390"/>
      <c r="K40" s="369"/>
      <c r="L40" s="372"/>
      <c r="M40" s="846">
        <f t="shared" si="0"/>
        <v>0</v>
      </c>
    </row>
    <row r="41" spans="2:13" ht="21" customHeight="1">
      <c r="B41" s="368"/>
      <c r="C41" s="368"/>
      <c r="D41" s="368"/>
      <c r="E41" s="368"/>
      <c r="F41" s="390"/>
      <c r="G41" s="369"/>
      <c r="H41" s="390"/>
      <c r="I41" s="369"/>
      <c r="J41" s="390"/>
      <c r="K41" s="369"/>
      <c r="L41" s="372"/>
      <c r="M41" s="846">
        <f t="shared" si="0"/>
        <v>0</v>
      </c>
    </row>
    <row r="42" spans="2:13" ht="21" customHeight="1">
      <c r="B42" s="368"/>
      <c r="C42" s="368"/>
      <c r="D42" s="368"/>
      <c r="E42" s="368"/>
      <c r="F42" s="390"/>
      <c r="G42" s="369"/>
      <c r="H42" s="390"/>
      <c r="I42" s="369"/>
      <c r="J42" s="390"/>
      <c r="K42" s="369"/>
      <c r="L42" s="372"/>
      <c r="M42" s="846">
        <f t="shared" si="0"/>
        <v>0</v>
      </c>
    </row>
    <row r="43" spans="2:13" ht="21" customHeight="1">
      <c r="B43" s="368"/>
      <c r="C43" s="368"/>
      <c r="D43" s="368"/>
      <c r="E43" s="368"/>
      <c r="F43" s="390"/>
      <c r="G43" s="369"/>
      <c r="H43" s="390"/>
      <c r="I43" s="369"/>
      <c r="J43" s="390"/>
      <c r="K43" s="369"/>
      <c r="L43" s="372"/>
      <c r="M43" s="846">
        <f t="shared" si="0"/>
        <v>0</v>
      </c>
    </row>
    <row r="44" spans="2:13" ht="21" customHeight="1">
      <c r="B44" s="368"/>
      <c r="C44" s="368"/>
      <c r="D44" s="368"/>
      <c r="E44" s="368"/>
      <c r="F44" s="390"/>
      <c r="G44" s="369"/>
      <c r="H44" s="390"/>
      <c r="I44" s="369"/>
      <c r="J44" s="390"/>
      <c r="K44" s="369"/>
      <c r="L44" s="372"/>
      <c r="M44" s="846">
        <f t="shared" si="0"/>
        <v>0</v>
      </c>
    </row>
    <row r="45" spans="2:13" ht="21" customHeight="1">
      <c r="B45" s="368"/>
      <c r="C45" s="368"/>
      <c r="D45" s="368"/>
      <c r="E45" s="368"/>
      <c r="F45" s="390"/>
      <c r="G45" s="369"/>
      <c r="H45" s="390"/>
      <c r="I45" s="369"/>
      <c r="J45" s="390"/>
      <c r="K45" s="369"/>
      <c r="L45" s="372"/>
      <c r="M45" s="846">
        <f t="shared" si="0"/>
        <v>0</v>
      </c>
    </row>
    <row r="46" spans="2:13" ht="21" customHeight="1">
      <c r="B46" s="368"/>
      <c r="C46" s="368"/>
      <c r="D46" s="368"/>
      <c r="E46" s="368"/>
      <c r="F46" s="390"/>
      <c r="G46" s="369"/>
      <c r="H46" s="390"/>
      <c r="I46" s="369"/>
      <c r="J46" s="390"/>
      <c r="K46" s="369"/>
      <c r="L46" s="372"/>
      <c r="M46" s="846">
        <f t="shared" si="0"/>
        <v>0</v>
      </c>
    </row>
    <row r="47" spans="2:13" ht="21" customHeight="1">
      <c r="B47" s="368"/>
      <c r="C47" s="368"/>
      <c r="D47" s="368"/>
      <c r="E47" s="368"/>
      <c r="F47" s="390"/>
      <c r="G47" s="369"/>
      <c r="H47" s="390"/>
      <c r="I47" s="369"/>
      <c r="J47" s="390"/>
      <c r="K47" s="369"/>
      <c r="L47" s="372"/>
      <c r="M47" s="846">
        <f t="shared" si="0"/>
        <v>0</v>
      </c>
    </row>
    <row r="48" spans="2:13" ht="21" customHeight="1">
      <c r="B48" s="279"/>
      <c r="C48" s="279"/>
      <c r="D48" s="149" t="s">
        <v>3316</v>
      </c>
      <c r="E48" s="279"/>
      <c r="F48" s="315" t="s">
        <v>397</v>
      </c>
      <c r="G48" s="158">
        <f>SUM(G10:G47)</f>
        <v>422504.66</v>
      </c>
      <c r="H48" s="315" t="s">
        <v>397</v>
      </c>
      <c r="I48" s="158">
        <f>SUM(I10:I47)</f>
        <v>710851.33000000007</v>
      </c>
      <c r="J48" s="315" t="s">
        <v>397</v>
      </c>
      <c r="K48" s="158">
        <f>SUM(K10:K47)</f>
        <v>705246.12</v>
      </c>
      <c r="L48" s="315" t="s">
        <v>397</v>
      </c>
      <c r="M48" s="846">
        <f>SUM(M10:M47)</f>
        <v>428109.87000000011</v>
      </c>
    </row>
    <row r="50" spans="2:13" ht="13.8">
      <c r="B50" s="1609" t="s">
        <v>3320</v>
      </c>
      <c r="C50" s="1609"/>
      <c r="D50" s="1609"/>
      <c r="E50" s="1609"/>
      <c r="F50" s="1609"/>
      <c r="G50" s="1609"/>
      <c r="H50" s="1609"/>
      <c r="I50" s="1609"/>
      <c r="J50" s="1609"/>
      <c r="K50" s="1609"/>
      <c r="L50" s="1609"/>
      <c r="M50" s="1609"/>
    </row>
    <row r="52" spans="2:13">
      <c r="G52" s="318"/>
      <c r="M52" s="318"/>
    </row>
  </sheetData>
  <sheetProtection algorithmName="SHA-512" hashValue="zhPvldl3vnub3CfrOxcK17A8552vptt9VcZ4iiZa7GpEPGrfea6+k1nBsqUKxxRgLSoqZ+MYmzhiAT9jPdW66Q==" saltValue="hyVUfCPsb8lPplRLkE1QJw=="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2:P27"/>
  <sheetViews>
    <sheetView zoomScaleNormal="100" workbookViewId="0">
      <selection activeCell="B10" sqref="B10"/>
    </sheetView>
  </sheetViews>
  <sheetFormatPr defaultRowHeight="13.2"/>
  <cols>
    <col min="1" max="1" width="5.6640625" customWidth="1"/>
    <col min="2" max="3" width="4.88671875" customWidth="1"/>
    <col min="4" max="4" width="30.6640625" customWidth="1"/>
    <col min="5" max="12" width="15.6640625" customWidth="1"/>
  </cols>
  <sheetData>
    <row r="2" spans="1:16" ht="20.399999999999999">
      <c r="B2" s="1546" t="s">
        <v>556</v>
      </c>
      <c r="C2" s="1546"/>
      <c r="D2" s="1546"/>
      <c r="E2" s="1546"/>
      <c r="F2" s="1546"/>
      <c r="G2" s="1546"/>
      <c r="H2" s="1546"/>
      <c r="I2" s="1546"/>
      <c r="J2" s="1546"/>
      <c r="K2" s="1546"/>
      <c r="L2" s="1546"/>
    </row>
    <row r="3" spans="1:16" ht="21" thickBot="1">
      <c r="B3" s="1546" t="s">
        <v>557</v>
      </c>
      <c r="C3" s="1546"/>
      <c r="D3" s="1546"/>
      <c r="E3" s="1546"/>
      <c r="F3" s="1546"/>
      <c r="G3" s="1546"/>
      <c r="H3" s="1546"/>
      <c r="I3" s="1546"/>
      <c r="J3" s="1546"/>
      <c r="K3" s="1546"/>
      <c r="L3" s="1546"/>
    </row>
    <row r="4" spans="1:16" ht="13.8" thickTop="1">
      <c r="B4" s="11"/>
      <c r="C4" s="11"/>
      <c r="D4" s="11"/>
      <c r="E4" s="12" t="s">
        <v>558</v>
      </c>
      <c r="F4" s="11"/>
      <c r="G4" s="11"/>
      <c r="H4" s="11"/>
      <c r="I4" s="11"/>
      <c r="J4" s="6"/>
      <c r="K4" s="11"/>
      <c r="L4" s="854"/>
    </row>
    <row r="5" spans="1:16" ht="15.6">
      <c r="B5" s="315"/>
      <c r="C5" s="315" t="s">
        <v>566</v>
      </c>
      <c r="D5" s="315"/>
      <c r="E5" s="275" t="s">
        <v>559</v>
      </c>
      <c r="F5" s="1610" t="s">
        <v>560</v>
      </c>
      <c r="G5" s="1611"/>
      <c r="H5" s="1611"/>
      <c r="I5" s="1612"/>
      <c r="J5" s="15"/>
      <c r="K5" s="315"/>
      <c r="L5" s="855" t="s">
        <v>559</v>
      </c>
    </row>
    <row r="6" spans="1:16">
      <c r="B6" s="315"/>
      <c r="C6" s="315" t="s">
        <v>567</v>
      </c>
      <c r="D6" s="315"/>
      <c r="E6" s="292" t="str">
        <f>'KEY INPUTS'!D45</f>
        <v>Dec. 31, 2019</v>
      </c>
      <c r="F6" s="275" t="s">
        <v>561</v>
      </c>
      <c r="G6" s="275" t="s">
        <v>563</v>
      </c>
      <c r="H6" s="15"/>
      <c r="I6" s="15"/>
      <c r="J6" s="15"/>
      <c r="K6" s="810" t="s">
        <v>565</v>
      </c>
      <c r="L6" s="856" t="str">
        <f>'KEY INPUTS'!D46</f>
        <v>Dec. 31, 2020</v>
      </c>
    </row>
    <row r="7" spans="1:16" ht="13.8" thickBot="1">
      <c r="B7" s="10"/>
      <c r="C7" s="10"/>
      <c r="D7" s="10"/>
      <c r="E7" s="14"/>
      <c r="F7" s="16" t="s">
        <v>562</v>
      </c>
      <c r="G7" s="16" t="s">
        <v>564</v>
      </c>
      <c r="H7" s="14"/>
      <c r="I7" s="14"/>
      <c r="J7" s="14"/>
      <c r="K7" s="17"/>
      <c r="L7" s="857"/>
    </row>
    <row r="8" spans="1:16" ht="21" customHeight="1" thickTop="1">
      <c r="B8" s="374" t="s">
        <v>656</v>
      </c>
      <c r="C8" s="374"/>
      <c r="D8" s="375"/>
      <c r="E8" s="143" t="s">
        <v>662</v>
      </c>
      <c r="F8" s="143" t="s">
        <v>662</v>
      </c>
      <c r="G8" s="143" t="s">
        <v>662</v>
      </c>
      <c r="H8" s="143" t="s">
        <v>662</v>
      </c>
      <c r="I8" s="143" t="s">
        <v>662</v>
      </c>
      <c r="J8" s="143" t="s">
        <v>662</v>
      </c>
      <c r="K8" s="143" t="s">
        <v>662</v>
      </c>
      <c r="L8" s="858" t="s">
        <v>662</v>
      </c>
    </row>
    <row r="9" spans="1:16" ht="21" customHeight="1">
      <c r="B9" s="560" t="s">
        <v>3673</v>
      </c>
      <c r="C9" s="559"/>
      <c r="D9" s="565"/>
      <c r="E9" s="367"/>
      <c r="F9" s="367"/>
      <c r="G9" s="367"/>
      <c r="H9" s="367"/>
      <c r="I9" s="367"/>
      <c r="J9" s="367"/>
      <c r="K9" s="367"/>
      <c r="L9" s="835">
        <f>+E9+F9+G9+H9+I9-J9-K9</f>
        <v>0</v>
      </c>
    </row>
    <row r="10" spans="1:16" ht="21" customHeight="1">
      <c r="B10" s="559"/>
      <c r="C10" s="559"/>
      <c r="D10" s="565"/>
      <c r="E10" s="367"/>
      <c r="F10" s="367"/>
      <c r="G10" s="367"/>
      <c r="H10" s="367"/>
      <c r="I10" s="367"/>
      <c r="J10" s="367"/>
      <c r="K10" s="367"/>
      <c r="L10" s="835">
        <f t="shared" ref="L10:L13" si="0">+E10+F10+G10+H10+I10-J10-K10</f>
        <v>0</v>
      </c>
    </row>
    <row r="11" spans="1:16" ht="21" customHeight="1">
      <c r="B11" s="559"/>
      <c r="C11" s="559"/>
      <c r="D11" s="565"/>
      <c r="E11" s="367"/>
      <c r="F11" s="367"/>
      <c r="G11" s="367"/>
      <c r="H11" s="367"/>
      <c r="I11" s="367"/>
      <c r="J11" s="367"/>
      <c r="K11" s="367"/>
      <c r="L11" s="835">
        <f t="shared" si="0"/>
        <v>0</v>
      </c>
      <c r="P11" s="370"/>
    </row>
    <row r="12" spans="1:16" ht="21" customHeight="1">
      <c r="B12" s="559"/>
      <c r="C12" s="559"/>
      <c r="D12" s="565"/>
      <c r="E12" s="367"/>
      <c r="F12" s="367"/>
      <c r="G12" s="367"/>
      <c r="H12" s="367"/>
      <c r="I12" s="367"/>
      <c r="J12" s="367"/>
      <c r="K12" s="367"/>
      <c r="L12" s="835">
        <f t="shared" si="0"/>
        <v>0</v>
      </c>
    </row>
    <row r="13" spans="1:16" ht="21" customHeight="1">
      <c r="B13" s="559"/>
      <c r="C13" s="559"/>
      <c r="D13" s="565"/>
      <c r="E13" s="589"/>
      <c r="F13" s="367"/>
      <c r="G13" s="367"/>
      <c r="H13" s="367"/>
      <c r="I13" s="367"/>
      <c r="J13" s="367"/>
      <c r="K13" s="367"/>
      <c r="L13" s="835">
        <f t="shared" si="0"/>
        <v>0</v>
      </c>
    </row>
    <row r="14" spans="1:16" ht="21" customHeight="1">
      <c r="B14" s="376" t="s">
        <v>657</v>
      </c>
      <c r="C14" s="376"/>
      <c r="D14" s="377"/>
      <c r="E14" s="144" t="s">
        <v>662</v>
      </c>
      <c r="F14" s="144" t="s">
        <v>662</v>
      </c>
      <c r="G14" s="144" t="s">
        <v>662</v>
      </c>
      <c r="H14" s="144" t="s">
        <v>662</v>
      </c>
      <c r="I14" s="144" t="s">
        <v>662</v>
      </c>
      <c r="J14" s="144" t="s">
        <v>662</v>
      </c>
      <c r="K14" s="144" t="s">
        <v>662</v>
      </c>
      <c r="L14" s="859" t="s">
        <v>662</v>
      </c>
    </row>
    <row r="15" spans="1:16" ht="21" customHeight="1">
      <c r="A15" s="1613" t="s">
        <v>568</v>
      </c>
      <c r="B15" s="559"/>
      <c r="C15" s="559"/>
      <c r="D15" s="565"/>
      <c r="E15" s="367"/>
      <c r="F15" s="367"/>
      <c r="G15" s="367"/>
      <c r="H15" s="367"/>
      <c r="I15" s="367"/>
      <c r="J15" s="367"/>
      <c r="K15" s="367"/>
      <c r="L15" s="835">
        <f>+E15+F15+G15+H15+I15-J15-K15</f>
        <v>0</v>
      </c>
    </row>
    <row r="16" spans="1:16" ht="21" customHeight="1">
      <c r="A16" s="1613"/>
      <c r="B16" s="559"/>
      <c r="C16" s="559"/>
      <c r="D16" s="565"/>
      <c r="E16" s="367"/>
      <c r="F16" s="367"/>
      <c r="G16" s="367"/>
      <c r="H16" s="367"/>
      <c r="I16" s="367"/>
      <c r="J16" s="367"/>
      <c r="K16" s="367"/>
      <c r="L16" s="835">
        <f t="shared" ref="L16:L25" si="1">+E16+F16+G16+H16+I16-J16-K16</f>
        <v>0</v>
      </c>
    </row>
    <row r="17" spans="1:12" ht="21" customHeight="1">
      <c r="A17" s="1613"/>
      <c r="B17" s="559"/>
      <c r="C17" s="559"/>
      <c r="D17" s="565"/>
      <c r="E17" s="367"/>
      <c r="F17" s="367"/>
      <c r="G17" s="367"/>
      <c r="H17" s="367"/>
      <c r="I17" s="367"/>
      <c r="J17" s="367"/>
      <c r="K17" s="367"/>
      <c r="L17" s="835">
        <f t="shared" si="1"/>
        <v>0</v>
      </c>
    </row>
    <row r="18" spans="1:12" ht="21" customHeight="1">
      <c r="B18" s="559"/>
      <c r="C18" s="559"/>
      <c r="D18" s="565"/>
      <c r="E18" s="367"/>
      <c r="F18" s="367"/>
      <c r="G18" s="367"/>
      <c r="H18" s="367"/>
      <c r="I18" s="367"/>
      <c r="J18" s="367"/>
      <c r="K18" s="367"/>
      <c r="L18" s="835">
        <f t="shared" si="1"/>
        <v>0</v>
      </c>
    </row>
    <row r="19" spans="1:12" ht="21" customHeight="1">
      <c r="B19" s="376" t="s">
        <v>658</v>
      </c>
      <c r="C19" s="376"/>
      <c r="D19" s="377"/>
      <c r="E19" s="367"/>
      <c r="F19" s="367"/>
      <c r="G19" s="367"/>
      <c r="H19" s="367"/>
      <c r="I19" s="367"/>
      <c r="J19" s="367"/>
      <c r="K19" s="367"/>
      <c r="L19" s="835">
        <f t="shared" si="1"/>
        <v>0</v>
      </c>
    </row>
    <row r="20" spans="1:12" ht="21" customHeight="1">
      <c r="B20" s="376" t="s">
        <v>659</v>
      </c>
      <c r="C20" s="376"/>
      <c r="D20" s="377"/>
      <c r="E20" s="367"/>
      <c r="F20" s="367"/>
      <c r="G20" s="367"/>
      <c r="H20" s="367"/>
      <c r="I20" s="367"/>
      <c r="J20" s="367"/>
      <c r="K20" s="367"/>
      <c r="L20" s="835">
        <f t="shared" si="1"/>
        <v>0</v>
      </c>
    </row>
    <row r="21" spans="1:12" ht="21" customHeight="1">
      <c r="B21" s="376" t="s">
        <v>660</v>
      </c>
      <c r="C21" s="376"/>
      <c r="D21" s="377"/>
      <c r="E21" s="144" t="s">
        <v>662</v>
      </c>
      <c r="F21" s="144" t="s">
        <v>662</v>
      </c>
      <c r="G21" s="144" t="s">
        <v>662</v>
      </c>
      <c r="H21" s="144" t="s">
        <v>662</v>
      </c>
      <c r="I21" s="144" t="s">
        <v>662</v>
      </c>
      <c r="J21" s="144" t="s">
        <v>662</v>
      </c>
      <c r="K21" s="144" t="s">
        <v>662</v>
      </c>
      <c r="L21" s="860" t="s">
        <v>662</v>
      </c>
    </row>
    <row r="22" spans="1:12" ht="21" customHeight="1">
      <c r="B22" s="559"/>
      <c r="C22" s="559"/>
      <c r="D22" s="565"/>
      <c r="E22" s="367"/>
      <c r="F22" s="367"/>
      <c r="G22" s="367"/>
      <c r="H22" s="367"/>
      <c r="I22" s="367"/>
      <c r="J22" s="367"/>
      <c r="K22" s="367"/>
      <c r="L22" s="835">
        <f t="shared" si="1"/>
        <v>0</v>
      </c>
    </row>
    <row r="23" spans="1:12" ht="21" customHeight="1">
      <c r="B23" s="559"/>
      <c r="C23" s="559"/>
      <c r="D23" s="565"/>
      <c r="E23" s="367"/>
      <c r="F23" s="367"/>
      <c r="G23" s="367"/>
      <c r="H23" s="367"/>
      <c r="I23" s="367"/>
      <c r="J23" s="367"/>
      <c r="K23" s="367"/>
      <c r="L23" s="835">
        <f t="shared" si="1"/>
        <v>0</v>
      </c>
    </row>
    <row r="24" spans="1:12" ht="21" customHeight="1">
      <c r="B24" s="559"/>
      <c r="C24" s="559"/>
      <c r="D24" s="565"/>
      <c r="E24" s="367"/>
      <c r="F24" s="367"/>
      <c r="G24" s="367"/>
      <c r="H24" s="367"/>
      <c r="I24" s="367"/>
      <c r="J24" s="367"/>
      <c r="K24" s="367"/>
      <c r="L24" s="835">
        <f t="shared" si="1"/>
        <v>0</v>
      </c>
    </row>
    <row r="25" spans="1:12" ht="21" customHeight="1">
      <c r="B25" s="559"/>
      <c r="C25" s="559"/>
      <c r="D25" s="565"/>
      <c r="E25" s="367"/>
      <c r="F25" s="367"/>
      <c r="G25" s="367"/>
      <c r="H25" s="367"/>
      <c r="I25" s="367"/>
      <c r="J25" s="367"/>
      <c r="K25" s="367"/>
      <c r="L25" s="835">
        <f t="shared" si="1"/>
        <v>0</v>
      </c>
    </row>
    <row r="26" spans="1:12" ht="21" customHeight="1" thickBot="1">
      <c r="B26" s="850"/>
      <c r="C26" s="850"/>
      <c r="D26" s="851"/>
      <c r="E26" s="852">
        <f>SUM(E9:E25)</f>
        <v>0</v>
      </c>
      <c r="F26" s="852">
        <f t="shared" ref="F26:K26" si="2">SUM(F9:F25)</f>
        <v>0</v>
      </c>
      <c r="G26" s="852">
        <f t="shared" si="2"/>
        <v>0</v>
      </c>
      <c r="H26" s="852">
        <f t="shared" si="2"/>
        <v>0</v>
      </c>
      <c r="I26" s="852">
        <f t="shared" si="2"/>
        <v>0</v>
      </c>
      <c r="J26" s="852">
        <f t="shared" si="2"/>
        <v>0</v>
      </c>
      <c r="K26" s="852">
        <f t="shared" si="2"/>
        <v>0</v>
      </c>
      <c r="L26" s="853">
        <f>SUM(L9:L25)</f>
        <v>0</v>
      </c>
    </row>
    <row r="27" spans="1:12" ht="13.8" thickTop="1">
      <c r="B27" s="34" t="s">
        <v>661</v>
      </c>
    </row>
  </sheetData>
  <sheetProtection algorithmName="SHA-512" hashValue="r0oX3Z1uMksD0EfgX/TqDIRXVJgjaYZ92AmfBA8K/YB2Afsb6L1PoPYerUh3xzmA1TfOcfVvAN6oDIyB13XO1w==" saltValue="zs0xyvMuONBiXO6S77Lcyw==" spinCount="100000" sheet="1" scenarios="1"/>
  <mergeCells count="4">
    <mergeCell ref="B2:L2"/>
    <mergeCell ref="B3:L3"/>
    <mergeCell ref="F5:I5"/>
    <mergeCell ref="A15:A17"/>
  </mergeCells>
  <phoneticPr fontId="0" type="noConversion"/>
  <pageMargins left="0.25" right="0.25" top="0.5" bottom="0.5" header="0.25" footer="0.25"/>
  <pageSetup paperSize="5"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3:K51"/>
  <sheetViews>
    <sheetView topLeftCell="A19" zoomScaleNormal="100" workbookViewId="0">
      <selection activeCell="G20" sqref="G20"/>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16.6640625" customWidth="1"/>
    <col min="9" max="9" width="13.5546875" bestFit="1" customWidth="1"/>
    <col min="10" max="10" width="11.88671875" bestFit="1" customWidth="1"/>
    <col min="11" max="11" width="10.33203125" bestFit="1" customWidth="1"/>
  </cols>
  <sheetData>
    <row r="3" spans="2:9" ht="22.8">
      <c r="B3" s="1586" t="s">
        <v>451</v>
      </c>
      <c r="C3" s="1586"/>
      <c r="D3" s="1586"/>
      <c r="E3" s="1586"/>
      <c r="F3" s="1586"/>
      <c r="G3" s="1586"/>
      <c r="H3" s="1586"/>
    </row>
    <row r="4" spans="2:9" ht="22.8">
      <c r="B4" s="1586" t="s">
        <v>198</v>
      </c>
      <c r="C4" s="1586"/>
      <c r="D4" s="1586"/>
      <c r="E4" s="1586"/>
      <c r="F4" s="1586"/>
      <c r="G4" s="1586"/>
      <c r="H4" s="1586"/>
    </row>
    <row r="5" spans="2:9" ht="13.8">
      <c r="B5" s="1614"/>
      <c r="C5" s="1614"/>
      <c r="D5" s="1614"/>
      <c r="E5" s="1614"/>
      <c r="F5" s="1614"/>
      <c r="G5" s="1614"/>
      <c r="H5" s="1614"/>
    </row>
    <row r="6" spans="2:9" ht="15.6">
      <c r="B6" s="1592" t="str">
        <f>'KEY INPUTS'!D44</f>
        <v>AS  AT  DECEMBER  31, 2020</v>
      </c>
      <c r="C6" s="1547"/>
      <c r="D6" s="1547"/>
      <c r="E6" s="1547"/>
      <c r="F6" s="1547"/>
      <c r="G6" s="1547"/>
      <c r="H6" s="1547"/>
    </row>
    <row r="7" spans="2:9" ht="13.8" thickBot="1"/>
    <row r="8" spans="2:9" ht="36" customHeight="1" thickTop="1" thickBot="1">
      <c r="B8" s="1589" t="s">
        <v>100</v>
      </c>
      <c r="C8" s="1589"/>
      <c r="D8" s="1589"/>
      <c r="E8" s="1589"/>
      <c r="F8" s="1590"/>
      <c r="G8" s="716" t="s">
        <v>101</v>
      </c>
      <c r="H8" s="3" t="s">
        <v>102</v>
      </c>
    </row>
    <row r="9" spans="2:9" ht="21" customHeight="1" thickTop="1">
      <c r="B9" s="315" t="s">
        <v>200</v>
      </c>
      <c r="C9" s="315"/>
      <c r="D9" s="315"/>
      <c r="E9" s="315"/>
      <c r="F9" s="315"/>
      <c r="G9" s="861">
        <f>+H10</f>
        <v>0</v>
      </c>
      <c r="H9" s="719" t="s">
        <v>662</v>
      </c>
      <c r="I9" s="221"/>
    </row>
    <row r="10" spans="2:9" ht="21" customHeight="1">
      <c r="B10" s="316" t="s">
        <v>201</v>
      </c>
      <c r="C10" s="316"/>
      <c r="D10" s="316"/>
      <c r="E10" s="316"/>
      <c r="F10" s="316"/>
      <c r="G10" s="862" t="s">
        <v>662</v>
      </c>
      <c r="H10" s="718"/>
      <c r="I10" s="221"/>
    </row>
    <row r="11" spans="2:9" ht="21" customHeight="1">
      <c r="B11" s="316"/>
      <c r="C11" s="316"/>
      <c r="D11" s="316"/>
      <c r="E11" s="316"/>
      <c r="F11" s="316"/>
      <c r="G11" s="863"/>
      <c r="H11" s="329"/>
    </row>
    <row r="12" spans="2:9" ht="21" customHeight="1">
      <c r="B12" s="316"/>
      <c r="C12" s="316" t="s">
        <v>375</v>
      </c>
      <c r="D12" s="316"/>
      <c r="E12" s="316"/>
      <c r="F12" s="316"/>
      <c r="G12" s="863">
        <f>+'9-Cash Reconciliation'!I15</f>
        <v>1275050.95</v>
      </c>
      <c r="H12" s="718"/>
      <c r="I12" s="733"/>
    </row>
    <row r="13" spans="2:9" ht="21" customHeight="1">
      <c r="B13" s="5"/>
      <c r="C13" s="559"/>
      <c r="D13" s="559"/>
      <c r="E13" s="559"/>
      <c r="F13" s="559"/>
      <c r="G13" s="365"/>
      <c r="H13" s="561"/>
    </row>
    <row r="14" spans="2:9" ht="21" customHeight="1">
      <c r="B14" s="5"/>
      <c r="C14" s="560" t="s">
        <v>3256</v>
      </c>
      <c r="D14" s="559"/>
      <c r="E14" s="559"/>
      <c r="F14" s="559"/>
      <c r="G14" s="583"/>
      <c r="H14" s="561"/>
      <c r="I14" s="221"/>
    </row>
    <row r="15" spans="2:9" ht="21" customHeight="1">
      <c r="B15" s="5"/>
      <c r="C15" s="560" t="s">
        <v>3256</v>
      </c>
      <c r="D15" s="559"/>
      <c r="E15" s="559"/>
      <c r="F15" s="559"/>
      <c r="G15" s="365"/>
      <c r="H15" s="561"/>
      <c r="I15" s="221"/>
    </row>
    <row r="16" spans="2:9" ht="21" customHeight="1">
      <c r="B16" s="5"/>
      <c r="C16" s="639" t="s">
        <v>943</v>
      </c>
      <c r="D16" s="559"/>
      <c r="E16" s="559"/>
      <c r="F16" s="559"/>
      <c r="G16" s="365">
        <v>535000</v>
      </c>
      <c r="H16" s="561"/>
      <c r="I16" s="318"/>
    </row>
    <row r="17" spans="2:11" ht="21" customHeight="1">
      <c r="B17" s="5"/>
      <c r="C17" s="5" t="s">
        <v>850</v>
      </c>
      <c r="D17" s="5"/>
      <c r="E17" s="5"/>
      <c r="F17" s="5"/>
      <c r="G17" s="365"/>
      <c r="H17" s="561"/>
    </row>
    <row r="18" spans="2:11" ht="21" customHeight="1">
      <c r="B18" s="5"/>
      <c r="C18" s="5"/>
      <c r="D18" s="5" t="s">
        <v>848</v>
      </c>
      <c r="E18" s="5"/>
      <c r="F18" s="5"/>
      <c r="G18" s="583">
        <v>2310000</v>
      </c>
      <c r="H18" s="561"/>
      <c r="I18" s="732"/>
    </row>
    <row r="19" spans="2:11" ht="21" customHeight="1">
      <c r="B19" s="5"/>
      <c r="C19" s="5"/>
      <c r="D19" s="5" t="s">
        <v>849</v>
      </c>
      <c r="E19" s="5"/>
      <c r="F19" s="5"/>
      <c r="G19" s="717">
        <v>0.61</v>
      </c>
      <c r="H19" s="718"/>
      <c r="I19" s="221"/>
      <c r="J19" s="221"/>
      <c r="K19" s="305"/>
    </row>
    <row r="20" spans="2:11" ht="21" customHeight="1">
      <c r="B20" s="5"/>
      <c r="C20" s="559"/>
      <c r="D20" s="559"/>
      <c r="E20" s="559"/>
      <c r="F20" s="559"/>
      <c r="G20" s="365"/>
      <c r="H20" s="561"/>
    </row>
    <row r="21" spans="2:11" ht="21" customHeight="1">
      <c r="B21" s="5"/>
      <c r="C21" s="560" t="s">
        <v>3257</v>
      </c>
      <c r="D21" s="559"/>
      <c r="E21" s="559"/>
      <c r="F21" s="559"/>
      <c r="G21" s="365"/>
      <c r="H21" s="561"/>
    </row>
    <row r="22" spans="2:11" s="315" customFormat="1" ht="21" customHeight="1">
      <c r="B22" s="316"/>
      <c r="C22" s="560"/>
      <c r="D22" s="559"/>
      <c r="E22" s="559"/>
      <c r="F22" s="559"/>
      <c r="G22" s="717"/>
      <c r="H22" s="718"/>
    </row>
    <row r="23" spans="2:11" ht="21" customHeight="1">
      <c r="B23" s="5"/>
      <c r="C23" s="559"/>
      <c r="D23" s="559"/>
      <c r="E23" s="559"/>
      <c r="F23" s="559"/>
      <c r="G23" s="365"/>
      <c r="H23" s="561"/>
    </row>
    <row r="24" spans="2:11" ht="21" customHeight="1">
      <c r="B24" s="5"/>
      <c r="C24" s="559"/>
      <c r="D24" s="559"/>
      <c r="E24" s="559"/>
      <c r="F24" s="559"/>
      <c r="G24" s="365"/>
      <c r="H24" s="561"/>
    </row>
    <row r="25" spans="2:11" ht="21" customHeight="1">
      <c r="B25" s="5"/>
      <c r="C25" s="559"/>
      <c r="D25" s="559"/>
      <c r="E25" s="559"/>
      <c r="F25" s="559"/>
      <c r="G25" s="365"/>
      <c r="H25" s="561"/>
      <c r="I25" s="703"/>
    </row>
    <row r="26" spans="2:11" ht="21" customHeight="1">
      <c r="B26" s="5"/>
      <c r="C26" s="560"/>
      <c r="D26" s="559"/>
      <c r="E26" s="559"/>
      <c r="F26" s="559"/>
      <c r="G26" s="717"/>
      <c r="H26" s="718"/>
      <c r="I26" s="703"/>
    </row>
    <row r="27" spans="2:11" ht="21" customHeight="1">
      <c r="B27" s="5"/>
      <c r="C27" s="823"/>
      <c r="D27" s="559"/>
      <c r="E27" s="559"/>
      <c r="F27" s="559"/>
      <c r="G27" s="365"/>
      <c r="H27" s="561"/>
      <c r="I27" s="701"/>
    </row>
    <row r="28" spans="2:11" ht="21" customHeight="1">
      <c r="B28" s="5"/>
      <c r="C28" s="559"/>
      <c r="D28" s="559"/>
      <c r="E28" s="559"/>
      <c r="F28" s="559"/>
      <c r="G28" s="365"/>
      <c r="H28" s="561"/>
      <c r="I28" s="221"/>
    </row>
    <row r="29" spans="2:11" s="315" customFormat="1" ht="21" customHeight="1">
      <c r="B29" s="316"/>
      <c r="C29" s="559"/>
      <c r="D29" s="559"/>
      <c r="E29" s="559"/>
      <c r="F29" s="559"/>
      <c r="G29" s="583"/>
      <c r="H29" s="720"/>
      <c r="I29" s="318"/>
    </row>
    <row r="30" spans="2:11" s="315" customFormat="1" ht="21" customHeight="1">
      <c r="B30" s="316"/>
      <c r="C30" s="559"/>
      <c r="D30" s="559"/>
      <c r="E30" s="559"/>
      <c r="F30" s="559"/>
      <c r="G30" s="717"/>
      <c r="H30" s="718"/>
      <c r="I30" s="318"/>
    </row>
    <row r="31" spans="2:11" ht="21" customHeight="1">
      <c r="B31" s="5"/>
      <c r="C31" s="559"/>
      <c r="D31" s="559"/>
      <c r="E31" s="559"/>
      <c r="F31" s="559"/>
      <c r="G31" s="365"/>
      <c r="H31" s="561"/>
    </row>
    <row r="32" spans="2:11" ht="21" customHeight="1">
      <c r="B32" s="5"/>
      <c r="C32" s="559"/>
      <c r="D32" s="559"/>
      <c r="E32" s="559"/>
      <c r="F32" s="559"/>
      <c r="G32" s="365"/>
      <c r="H32" s="561"/>
    </row>
    <row r="33" spans="2:9" ht="21" customHeight="1">
      <c r="B33" s="5"/>
      <c r="C33" s="559"/>
      <c r="D33" s="559"/>
      <c r="E33" s="559"/>
      <c r="F33" s="559"/>
      <c r="G33" s="365"/>
      <c r="H33" s="561"/>
      <c r="I33" s="703"/>
    </row>
    <row r="34" spans="2:9" ht="21" customHeight="1">
      <c r="B34" s="5"/>
      <c r="C34" s="559"/>
      <c r="D34" s="559"/>
      <c r="E34" s="559"/>
      <c r="F34" s="559"/>
      <c r="G34" s="717"/>
      <c r="H34" s="561"/>
      <c r="I34" s="703"/>
    </row>
    <row r="35" spans="2:9" ht="21" customHeight="1">
      <c r="B35" s="5"/>
      <c r="C35" s="559"/>
      <c r="D35" s="559"/>
      <c r="E35" s="559"/>
      <c r="F35" s="559"/>
      <c r="G35" s="365"/>
      <c r="H35" s="561"/>
    </row>
    <row r="36" spans="2:9" ht="21" customHeight="1">
      <c r="B36" s="5"/>
      <c r="C36" s="560"/>
      <c r="D36" s="559"/>
      <c r="E36" s="559"/>
      <c r="F36" s="559"/>
      <c r="G36" s="717"/>
      <c r="H36" s="718"/>
      <c r="I36" s="221"/>
    </row>
    <row r="37" spans="2:9" ht="21" customHeight="1">
      <c r="B37" s="5"/>
      <c r="C37" s="559"/>
      <c r="D37" s="559"/>
      <c r="E37" s="559"/>
      <c r="F37" s="559"/>
      <c r="G37" s="365"/>
      <c r="H37" s="561"/>
    </row>
    <row r="38" spans="2:9" ht="21" customHeight="1">
      <c r="B38" s="5"/>
      <c r="C38" s="560"/>
      <c r="D38" s="559"/>
      <c r="E38" s="559"/>
      <c r="F38" s="559"/>
      <c r="G38" s="365"/>
      <c r="H38" s="720"/>
      <c r="I38" s="221"/>
    </row>
    <row r="39" spans="2:9" ht="21" customHeight="1">
      <c r="B39" s="5"/>
      <c r="C39" s="559"/>
      <c r="D39" s="559"/>
      <c r="E39" s="559"/>
      <c r="F39" s="559"/>
      <c r="G39" s="365"/>
      <c r="H39" s="561"/>
      <c r="I39" s="703"/>
    </row>
    <row r="40" spans="2:9" ht="21" customHeight="1">
      <c r="B40" s="5"/>
      <c r="C40" s="560"/>
      <c r="D40" s="559"/>
      <c r="E40" s="559"/>
      <c r="F40" s="559"/>
      <c r="G40" s="365"/>
      <c r="H40" s="561"/>
      <c r="I40" s="701"/>
    </row>
    <row r="41" spans="2:9" ht="21" customHeight="1">
      <c r="B41" s="5"/>
      <c r="C41" s="390"/>
      <c r="D41" s="390"/>
      <c r="E41" s="390"/>
      <c r="F41" s="390"/>
      <c r="G41" s="614"/>
      <c r="H41" s="390"/>
      <c r="I41" s="221"/>
    </row>
    <row r="42" spans="2:9" ht="21" customHeight="1">
      <c r="B42" s="5"/>
      <c r="C42" s="559"/>
      <c r="D42" s="559"/>
      <c r="E42" s="559"/>
      <c r="F42" s="559"/>
      <c r="G42" s="365"/>
      <c r="H42" s="561"/>
    </row>
    <row r="43" spans="2:9" ht="21" customHeight="1" thickBot="1">
      <c r="B43" s="5"/>
      <c r="C43" s="559"/>
      <c r="D43" s="559"/>
      <c r="E43" s="559"/>
      <c r="F43" s="559"/>
      <c r="G43" s="578"/>
      <c r="H43" s="577"/>
      <c r="I43" s="701"/>
    </row>
    <row r="44" spans="2:9" ht="21" customHeight="1" thickBot="1">
      <c r="B44" s="316"/>
      <c r="C44" s="319" t="s">
        <v>3323</v>
      </c>
      <c r="D44" s="316"/>
      <c r="E44" s="316"/>
      <c r="F44" s="316"/>
      <c r="G44" s="216">
        <f>SUM(G9:G43)</f>
        <v>4120051.56</v>
      </c>
      <c r="H44" s="217">
        <f>SUM(H9:H43)</f>
        <v>0</v>
      </c>
      <c r="I44" s="221"/>
    </row>
    <row r="45" spans="2:9" ht="13.8" thickTop="1">
      <c r="B45" s="1549" t="s">
        <v>103</v>
      </c>
      <c r="C45" s="1549"/>
      <c r="D45" s="1549"/>
      <c r="E45" s="1549"/>
      <c r="F45" s="1549"/>
      <c r="G45" s="1549"/>
      <c r="H45" s="1549"/>
    </row>
    <row r="46" spans="2:9">
      <c r="B46" s="805"/>
      <c r="C46" s="805"/>
      <c r="D46" s="805"/>
      <c r="E46" s="805"/>
      <c r="F46" s="805"/>
      <c r="G46" s="805"/>
      <c r="H46" s="805"/>
    </row>
    <row r="47" spans="2:9">
      <c r="B47" s="315"/>
      <c r="C47" s="315"/>
      <c r="D47" s="315"/>
      <c r="E47" s="315"/>
      <c r="F47" s="315"/>
      <c r="G47" s="315"/>
      <c r="H47" s="315"/>
    </row>
    <row r="48" spans="2:9" ht="13.8">
      <c r="B48" s="1545" t="s">
        <v>199</v>
      </c>
      <c r="C48" s="1545"/>
      <c r="D48" s="1545"/>
      <c r="E48" s="1545"/>
      <c r="F48" s="1545"/>
      <c r="G48" s="1545"/>
      <c r="H48" s="1545"/>
    </row>
    <row r="50" spans="8:8">
      <c r="H50" s="221"/>
    </row>
    <row r="51" spans="8:8">
      <c r="H51" s="221"/>
    </row>
  </sheetData>
  <sheetProtection algorithmName="SHA-512" hashValue="0P9xI5mDPc17zroGV6xeUMNqXrlFuQ3YvYYCAG/RDMDbh+XK6MoIcRgpx6xLGOcDj3MXGUm4ocQKhGVg4khNfQ==" saltValue="WywS8QxRnkbm6KOLDuuRJQ==" spinCount="100000" sheet="1" objects="1" scenarios="1"/>
  <mergeCells count="7">
    <mergeCell ref="B8:F8"/>
    <mergeCell ref="B45:H45"/>
    <mergeCell ref="B48:H48"/>
    <mergeCell ref="B3:H3"/>
    <mergeCell ref="B4:H4"/>
    <mergeCell ref="B6:H6"/>
    <mergeCell ref="B5:H5"/>
  </mergeCells>
  <phoneticPr fontId="0" type="noConversion"/>
  <pageMargins left="0.25" right="0.25" top="0.5" bottom="0.5" header="0.25" footer="0.25"/>
  <pageSetup paperSize="5"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3:K51"/>
  <sheetViews>
    <sheetView topLeftCell="A16" zoomScaleNormal="100" workbookViewId="0">
      <selection activeCell="H22" sqref="H22"/>
    </sheetView>
  </sheetViews>
  <sheetFormatPr defaultColWidth="9.109375" defaultRowHeight="13.2"/>
  <cols>
    <col min="1" max="1" width="4.6640625" style="315" customWidth="1"/>
    <col min="2" max="2" width="4.88671875" style="315" customWidth="1"/>
    <col min="3" max="4" width="4.6640625" style="315" customWidth="1"/>
    <col min="5" max="5" width="30.6640625" style="315" customWidth="1"/>
    <col min="6" max="6" width="15.6640625" style="315" customWidth="1"/>
    <col min="7" max="8" width="16.6640625" style="315" customWidth="1"/>
    <col min="9" max="9" width="13.5546875" style="315" bestFit="1" customWidth="1"/>
    <col min="10" max="10" width="11.88671875" style="315" bestFit="1" customWidth="1"/>
    <col min="11" max="11" width="10.33203125" style="315" bestFit="1" customWidth="1"/>
    <col min="12" max="16384" width="9.109375" style="315"/>
  </cols>
  <sheetData>
    <row r="3" spans="2:9" ht="22.8">
      <c r="B3" s="1586" t="s">
        <v>451</v>
      </c>
      <c r="C3" s="1586"/>
      <c r="D3" s="1586"/>
      <c r="E3" s="1586"/>
      <c r="F3" s="1586"/>
      <c r="G3" s="1586"/>
      <c r="H3" s="1586"/>
    </row>
    <row r="4" spans="2:9" ht="22.8">
      <c r="B4" s="1586" t="s">
        <v>198</v>
      </c>
      <c r="C4" s="1586"/>
      <c r="D4" s="1586"/>
      <c r="E4" s="1586"/>
      <c r="F4" s="1586"/>
      <c r="G4" s="1586"/>
      <c r="H4" s="1586"/>
    </row>
    <row r="5" spans="2:9" ht="13.8">
      <c r="B5" s="1614"/>
      <c r="C5" s="1614"/>
      <c r="D5" s="1614"/>
      <c r="E5" s="1614"/>
      <c r="F5" s="1614"/>
      <c r="G5" s="1614"/>
      <c r="H5" s="1614"/>
    </row>
    <row r="6" spans="2:9" ht="15.6">
      <c r="B6" s="1592" t="str">
        <f>'KEY INPUTS'!D44</f>
        <v>AS  AT  DECEMBER  31, 2020</v>
      </c>
      <c r="C6" s="1547"/>
      <c r="D6" s="1547"/>
      <c r="E6" s="1547"/>
      <c r="F6" s="1547"/>
      <c r="G6" s="1547"/>
      <c r="H6" s="1547"/>
    </row>
    <row r="7" spans="2:9" ht="13.8" thickBot="1"/>
    <row r="8" spans="2:9" ht="36" customHeight="1" thickTop="1" thickBot="1">
      <c r="B8" s="1589" t="s">
        <v>100</v>
      </c>
      <c r="C8" s="1589"/>
      <c r="D8" s="1589"/>
      <c r="E8" s="1589"/>
      <c r="F8" s="1590"/>
      <c r="G8" s="1437" t="s">
        <v>101</v>
      </c>
      <c r="H8" s="807" t="s">
        <v>102</v>
      </c>
    </row>
    <row r="9" spans="2:9" ht="21" customHeight="1" thickTop="1">
      <c r="B9" s="785" t="s">
        <v>3324</v>
      </c>
      <c r="G9" s="66">
        <f>+'8-Trial Bal-Gen Cap Fund'!G44</f>
        <v>4120051.56</v>
      </c>
      <c r="H9" s="64">
        <f>+'8-Trial Bal-Gen Cap Fund'!H44</f>
        <v>0</v>
      </c>
      <c r="I9" s="318"/>
    </row>
    <row r="10" spans="2:9" ht="21" customHeight="1">
      <c r="B10" s="848"/>
      <c r="C10" s="1599"/>
      <c r="D10" s="1599"/>
      <c r="E10" s="1599"/>
      <c r="F10" s="1600"/>
      <c r="G10" s="655"/>
      <c r="H10" s="575"/>
      <c r="I10" s="318"/>
    </row>
    <row r="11" spans="2:9" ht="21" customHeight="1">
      <c r="B11" s="830"/>
      <c r="C11" s="1599"/>
      <c r="D11" s="1599"/>
      <c r="E11" s="1599"/>
      <c r="F11" s="1600"/>
      <c r="G11" s="627"/>
      <c r="H11" s="871"/>
    </row>
    <row r="12" spans="2:9" ht="21" customHeight="1">
      <c r="B12" s="631"/>
      <c r="C12" s="1599"/>
      <c r="D12" s="1599"/>
      <c r="E12" s="1599"/>
      <c r="F12" s="1600"/>
      <c r="G12" s="872"/>
      <c r="H12" s="718"/>
      <c r="I12" s="733"/>
    </row>
    <row r="13" spans="2:9" ht="21" customHeight="1">
      <c r="B13" s="631"/>
      <c r="C13" s="1599"/>
      <c r="D13" s="1599"/>
      <c r="E13" s="1599"/>
      <c r="F13" s="1600"/>
      <c r="G13" s="365"/>
      <c r="H13" s="561"/>
    </row>
    <row r="14" spans="2:9" ht="21" customHeight="1">
      <c r="B14" s="631"/>
      <c r="C14" s="1599"/>
      <c r="D14" s="1599"/>
      <c r="E14" s="1599"/>
      <c r="F14" s="1600"/>
      <c r="G14" s="583"/>
      <c r="H14" s="561"/>
      <c r="I14" s="318"/>
    </row>
    <row r="15" spans="2:9" ht="21" customHeight="1">
      <c r="B15" s="631"/>
      <c r="C15" s="1599"/>
      <c r="D15" s="1599"/>
      <c r="E15" s="1599"/>
      <c r="F15" s="1600"/>
      <c r="G15" s="365"/>
      <c r="H15" s="561"/>
      <c r="I15" s="318"/>
    </row>
    <row r="16" spans="2:9" ht="21" customHeight="1">
      <c r="B16" s="631"/>
      <c r="C16" s="1599"/>
      <c r="D16" s="1599"/>
      <c r="E16" s="1599"/>
      <c r="F16" s="1600"/>
      <c r="G16" s="365"/>
      <c r="H16" s="561"/>
      <c r="I16" s="318"/>
    </row>
    <row r="17" spans="2:11" ht="21" customHeight="1">
      <c r="B17" s="631"/>
      <c r="C17" s="1599"/>
      <c r="D17" s="1599"/>
      <c r="E17" s="1599"/>
      <c r="F17" s="1600"/>
      <c r="G17" s="365"/>
      <c r="H17" s="561"/>
    </row>
    <row r="18" spans="2:11" ht="21" customHeight="1">
      <c r="B18" s="631"/>
      <c r="C18" s="1599"/>
      <c r="D18" s="1599"/>
      <c r="E18" s="1599"/>
      <c r="F18" s="1600"/>
      <c r="G18" s="583"/>
      <c r="H18" s="561"/>
      <c r="I18" s="732"/>
    </row>
    <row r="19" spans="2:11" ht="21" customHeight="1">
      <c r="B19" s="631"/>
      <c r="C19" s="1599"/>
      <c r="D19" s="1599"/>
      <c r="E19" s="1599"/>
      <c r="F19" s="1600"/>
      <c r="G19" s="717"/>
      <c r="H19" s="718"/>
      <c r="I19" s="318"/>
      <c r="J19" s="318"/>
      <c r="K19" s="318"/>
    </row>
    <row r="20" spans="2:11" ht="21" customHeight="1">
      <c r="B20" s="631"/>
      <c r="C20" s="1599"/>
      <c r="D20" s="1599"/>
      <c r="E20" s="1599"/>
      <c r="F20" s="1600"/>
      <c r="G20" s="365"/>
      <c r="H20" s="561"/>
    </row>
    <row r="21" spans="2:11" ht="21" customHeight="1">
      <c r="B21" s="376"/>
      <c r="C21" s="376" t="s">
        <v>453</v>
      </c>
      <c r="D21" s="376"/>
      <c r="E21" s="376"/>
      <c r="F21" s="376"/>
      <c r="G21" s="864"/>
      <c r="H21" s="865">
        <f>+'33 Totals-Note Debt Service'!G23</f>
        <v>0</v>
      </c>
      <c r="I21" s="703"/>
    </row>
    <row r="22" spans="2:11" ht="21" customHeight="1">
      <c r="B22" s="376"/>
      <c r="C22" s="866" t="s">
        <v>3258</v>
      </c>
      <c r="D22" s="376"/>
      <c r="E22" s="376"/>
      <c r="F22" s="376"/>
      <c r="G22" s="867"/>
      <c r="H22" s="868">
        <f>'31-Capital Bond Schedule'!G12</f>
        <v>2310000</v>
      </c>
      <c r="I22" s="703"/>
    </row>
    <row r="23" spans="2:11" ht="21" customHeight="1">
      <c r="B23" s="376"/>
      <c r="C23" s="869" t="s">
        <v>3259</v>
      </c>
      <c r="D23" s="836"/>
      <c r="E23" s="836"/>
      <c r="F23" s="376"/>
      <c r="G23" s="864"/>
      <c r="H23" s="870">
        <f>'32-Bond Schedule'!G11+'32-Bond Schedule'!G22</f>
        <v>0</v>
      </c>
      <c r="I23" s="701"/>
    </row>
    <row r="24" spans="2:11" ht="21" customHeight="1">
      <c r="B24" s="631"/>
      <c r="C24" s="834" t="s">
        <v>3447</v>
      </c>
      <c r="D24" s="631"/>
      <c r="E24" s="631"/>
      <c r="F24" s="631"/>
      <c r="G24" s="897"/>
      <c r="H24" s="898">
        <f>+'31A-Loan Schedule'!G12+'31A-Loan Schedule'!G23+'31A.1-Loan Schedule'!G12+'31A.1-Loan Schedule'!G23+'31A.2-Loan Schedule'!G12+'31A.2-Loan Schedule'!G23</f>
        <v>0</v>
      </c>
    </row>
    <row r="25" spans="2:11" ht="21" customHeight="1">
      <c r="B25" s="631"/>
      <c r="C25" s="834" t="s">
        <v>3457</v>
      </c>
      <c r="D25" s="631"/>
      <c r="E25" s="631"/>
      <c r="F25" s="631"/>
      <c r="G25" s="902"/>
      <c r="H25" s="903">
        <f>'34a-Cap Lease Program Oblg'!G23</f>
        <v>0</v>
      </c>
    </row>
    <row r="26" spans="2:11" ht="21" customHeight="1">
      <c r="B26" s="631"/>
      <c r="C26" s="1599"/>
      <c r="D26" s="1599"/>
      <c r="E26" s="1599"/>
      <c r="F26" s="1600"/>
      <c r="G26" s="365"/>
      <c r="H26" s="561"/>
    </row>
    <row r="27" spans="2:11" ht="21" customHeight="1">
      <c r="B27" s="631"/>
      <c r="C27" s="1599"/>
      <c r="D27" s="1599"/>
      <c r="E27" s="1599"/>
      <c r="F27" s="1600"/>
      <c r="G27" s="365"/>
      <c r="H27" s="561"/>
    </row>
    <row r="28" spans="2:11" ht="21" customHeight="1">
      <c r="B28" s="376"/>
      <c r="C28" s="559" t="s">
        <v>478</v>
      </c>
      <c r="D28" s="559"/>
      <c r="E28" s="559"/>
      <c r="F28" s="559"/>
      <c r="G28" s="365"/>
      <c r="H28" s="561"/>
      <c r="I28" s="318"/>
    </row>
    <row r="29" spans="2:11" ht="21" customHeight="1">
      <c r="B29" s="376"/>
      <c r="C29" s="1599"/>
      <c r="D29" s="1599"/>
      <c r="E29" s="1599"/>
      <c r="F29" s="1600"/>
      <c r="G29" s="583"/>
      <c r="H29" s="720"/>
      <c r="I29" s="318"/>
    </row>
    <row r="30" spans="2:11" ht="21" customHeight="1">
      <c r="B30" s="376"/>
      <c r="C30" s="1599"/>
      <c r="D30" s="1599"/>
      <c r="E30" s="1599"/>
      <c r="F30" s="1600"/>
      <c r="G30" s="717"/>
      <c r="H30" s="718"/>
      <c r="I30" s="318"/>
    </row>
    <row r="31" spans="2:11" ht="21" customHeight="1">
      <c r="B31" s="376"/>
      <c r="C31" s="1599"/>
      <c r="D31" s="1599"/>
      <c r="E31" s="1599"/>
      <c r="F31" s="1600"/>
      <c r="G31" s="365"/>
      <c r="H31" s="561"/>
    </row>
    <row r="32" spans="2:11" ht="21" customHeight="1">
      <c r="B32" s="376"/>
      <c r="C32" s="316" t="s">
        <v>851</v>
      </c>
      <c r="D32" s="316"/>
      <c r="E32" s="316"/>
      <c r="F32" s="316"/>
      <c r="G32" s="328"/>
      <c r="H32" s="329"/>
    </row>
    <row r="33" spans="2:9" ht="21" customHeight="1">
      <c r="B33" s="376"/>
      <c r="C33" s="316"/>
      <c r="D33" s="316" t="s">
        <v>848</v>
      </c>
      <c r="E33" s="316"/>
      <c r="F33" s="316"/>
      <c r="G33" s="365"/>
      <c r="H33" s="329">
        <f>+'35 Totals- Cap Fund Imprv Auth'!K28</f>
        <v>1793258.3399999999</v>
      </c>
      <c r="I33" s="703"/>
    </row>
    <row r="34" spans="2:9" ht="21" customHeight="1">
      <c r="B34" s="376"/>
      <c r="C34" s="316"/>
      <c r="D34" s="316" t="s">
        <v>849</v>
      </c>
      <c r="E34" s="316"/>
      <c r="F34" s="316"/>
      <c r="G34" s="717"/>
      <c r="H34" s="329">
        <f>+'35 Totals- Cap Fund Imprv Auth'!L28</f>
        <v>0</v>
      </c>
      <c r="I34" s="703"/>
    </row>
    <row r="35" spans="2:9" ht="21" customHeight="1">
      <c r="B35" s="376"/>
      <c r="C35" s="1599"/>
      <c r="D35" s="1599"/>
      <c r="E35" s="1599"/>
      <c r="F35" s="1600"/>
      <c r="G35" s="365"/>
      <c r="H35" s="561"/>
    </row>
    <row r="36" spans="2:9" ht="21" customHeight="1">
      <c r="B36" s="376"/>
      <c r="C36" s="319" t="s">
        <v>843</v>
      </c>
      <c r="D36" s="316"/>
      <c r="E36" s="316"/>
      <c r="F36" s="316"/>
      <c r="G36" s="717"/>
      <c r="H36" s="718"/>
      <c r="I36" s="318"/>
    </row>
    <row r="37" spans="2:9" ht="21" customHeight="1">
      <c r="B37" s="376"/>
      <c r="C37" s="1599"/>
      <c r="D37" s="1599"/>
      <c r="E37" s="1599"/>
      <c r="F37" s="1600"/>
      <c r="G37" s="365"/>
      <c r="H37" s="561"/>
    </row>
    <row r="38" spans="2:9" ht="21" customHeight="1">
      <c r="B38" s="376"/>
      <c r="C38" s="319" t="s">
        <v>334</v>
      </c>
      <c r="D38" s="316"/>
      <c r="E38" s="316"/>
      <c r="F38" s="316"/>
      <c r="G38" s="365"/>
      <c r="H38" s="720"/>
      <c r="I38" s="318"/>
    </row>
    <row r="39" spans="2:9" ht="21" customHeight="1">
      <c r="B39" s="376"/>
      <c r="C39" s="316" t="s">
        <v>852</v>
      </c>
      <c r="D39" s="316"/>
      <c r="E39" s="316"/>
      <c r="F39" s="316"/>
      <c r="G39" s="365"/>
      <c r="H39" s="329">
        <f>+'36- Capital Improvement Fund'!I31</f>
        <v>15266.239999999991</v>
      </c>
      <c r="I39" s="703"/>
    </row>
    <row r="40" spans="2:9" ht="21" customHeight="1">
      <c r="B40" s="376"/>
      <c r="C40" s="723" t="s">
        <v>3260</v>
      </c>
      <c r="D40" s="715"/>
      <c r="E40" s="715"/>
      <c r="F40" s="715"/>
      <c r="G40" s="864"/>
      <c r="H40" s="870">
        <f>'37- Cap Fund Down Pymts'!I15</f>
        <v>0</v>
      </c>
      <c r="I40" s="701"/>
    </row>
    <row r="41" spans="2:9" ht="21" customHeight="1">
      <c r="B41" s="376"/>
      <c r="C41" s="1599"/>
      <c r="D41" s="1599"/>
      <c r="E41" s="1599"/>
      <c r="F41" s="1600"/>
      <c r="G41" s="367"/>
      <c r="H41" s="651"/>
      <c r="I41" s="318"/>
    </row>
    <row r="42" spans="2:9" ht="21" customHeight="1">
      <c r="B42" s="376"/>
      <c r="C42" s="1599"/>
      <c r="D42" s="1599"/>
      <c r="E42" s="1599"/>
      <c r="F42" s="1600"/>
      <c r="G42" s="365"/>
      <c r="H42" s="561"/>
    </row>
    <row r="43" spans="2:9" ht="21" customHeight="1" thickBot="1">
      <c r="B43" s="376"/>
      <c r="C43" s="316" t="s">
        <v>676</v>
      </c>
      <c r="D43" s="316"/>
      <c r="E43" s="316"/>
      <c r="F43" s="316"/>
      <c r="G43" s="578"/>
      <c r="H43" s="230">
        <f>+'38- Capital Surplus'!I17</f>
        <v>1526.9799999999996</v>
      </c>
      <c r="I43" s="701"/>
    </row>
    <row r="44" spans="2:9" ht="21" customHeight="1" thickBot="1">
      <c r="B44" s="376"/>
      <c r="C44" s="316"/>
      <c r="D44" s="316"/>
      <c r="E44" s="316"/>
      <c r="F44" s="316"/>
      <c r="G44" s="216">
        <f>SUM(G9:G43)</f>
        <v>4120051.56</v>
      </c>
      <c r="H44" s="217">
        <f>SUM(H9:H43)</f>
        <v>4120051.56</v>
      </c>
      <c r="I44" s="318"/>
    </row>
    <row r="45" spans="2:9" ht="13.8" thickTop="1">
      <c r="B45" s="1549" t="s">
        <v>103</v>
      </c>
      <c r="C45" s="1549"/>
      <c r="D45" s="1549"/>
      <c r="E45" s="1549"/>
      <c r="F45" s="1549"/>
      <c r="G45" s="1549"/>
      <c r="H45" s="1549"/>
    </row>
    <row r="46" spans="2:9">
      <c r="B46" s="805"/>
      <c r="C46" s="805"/>
      <c r="D46" s="805"/>
      <c r="E46" s="805"/>
      <c r="F46" s="805"/>
      <c r="G46" s="805"/>
      <c r="H46" s="805"/>
    </row>
    <row r="48" spans="2:9" ht="13.8">
      <c r="B48" s="1545" t="s">
        <v>3430</v>
      </c>
      <c r="C48" s="1545"/>
      <c r="D48" s="1545"/>
      <c r="E48" s="1545"/>
      <c r="F48" s="1545"/>
      <c r="G48" s="1545"/>
      <c r="H48" s="1545"/>
    </row>
    <row r="50" spans="8:8">
      <c r="H50" s="318"/>
    </row>
    <row r="51" spans="8:8">
      <c r="H51" s="318"/>
    </row>
  </sheetData>
  <sheetProtection algorithmName="SHA-512" hashValue="IeoYh5jaKADPRvuTslnQaN6w6t6BVBuaqyk6H+BbW00wVw04yMly/5PbXckR7P8qVi24aJ1Hdsm4vXtViTNLXQ==" saltValue="DmC22ODlogmPHk3U2Schdg==" spinCount="100000" sheet="1" objects="1" scenarios="1"/>
  <mergeCells count="27">
    <mergeCell ref="B48:H48"/>
    <mergeCell ref="B3:H3"/>
    <mergeCell ref="B4:H4"/>
    <mergeCell ref="B5:H5"/>
    <mergeCell ref="B6:H6"/>
    <mergeCell ref="B8:F8"/>
    <mergeCell ref="B45:H45"/>
    <mergeCell ref="C10:F10"/>
    <mergeCell ref="C11:F11"/>
    <mergeCell ref="C12:F12"/>
    <mergeCell ref="C13:F13"/>
    <mergeCell ref="C14:F14"/>
    <mergeCell ref="C15:F15"/>
    <mergeCell ref="C16:F16"/>
    <mergeCell ref="C17:F17"/>
    <mergeCell ref="C18:F18"/>
    <mergeCell ref="C19:F19"/>
    <mergeCell ref="C20:F20"/>
    <mergeCell ref="C26:F26"/>
    <mergeCell ref="C27:F27"/>
    <mergeCell ref="C29:F29"/>
    <mergeCell ref="C42:F42"/>
    <mergeCell ref="C30:F30"/>
    <mergeCell ref="C31:F31"/>
    <mergeCell ref="C35:F35"/>
    <mergeCell ref="C37:F37"/>
    <mergeCell ref="C41:F41"/>
  </mergeCells>
  <pageMargins left="0.25" right="0.25" top="0.5" bottom="0.5" header="0.25" footer="0.25"/>
  <pageSetup paperSize="5"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6"/>
  <sheetViews>
    <sheetView topLeftCell="A22" zoomScaleNormal="100" workbookViewId="0">
      <selection activeCell="H51" sqref="H51"/>
    </sheetView>
  </sheetViews>
  <sheetFormatPr defaultRowHeight="13.2"/>
  <cols>
    <col min="1" max="4" width="4.6640625" customWidth="1"/>
    <col min="5" max="9" width="16.6640625" customWidth="1"/>
    <col min="10" max="10" width="13.5546875" bestFit="1" customWidth="1"/>
    <col min="11" max="11" width="9.44140625" bestFit="1" customWidth="1"/>
  </cols>
  <sheetData>
    <row r="1" spans="1:11">
      <c r="A1" s="315"/>
      <c r="B1" s="315"/>
      <c r="C1" s="315"/>
      <c r="D1" s="315"/>
      <c r="E1" s="315"/>
      <c r="F1" s="315"/>
      <c r="G1" s="315"/>
      <c r="H1" s="315"/>
      <c r="I1" s="315"/>
    </row>
    <row r="2" spans="1:11">
      <c r="A2" s="315"/>
      <c r="B2" s="315"/>
      <c r="C2" s="315"/>
      <c r="D2" s="315"/>
      <c r="E2" s="315"/>
      <c r="F2" s="315"/>
      <c r="G2" s="315"/>
      <c r="H2" s="315"/>
      <c r="I2" s="315"/>
    </row>
    <row r="3" spans="1:11" ht="23.4" thickBot="1">
      <c r="A3" s="315"/>
      <c r="B3" s="1624" t="str">
        <f>"CASH  RECONCILIATION  DECEMBER  31, "&amp;TEXT('KEY INPUTS'!D34,"0")</f>
        <v>CASH  RECONCILIATION  DECEMBER  31, 2020</v>
      </c>
      <c r="C3" s="1624"/>
      <c r="D3" s="1624"/>
      <c r="E3" s="1624"/>
      <c r="F3" s="1624"/>
      <c r="G3" s="1624"/>
      <c r="H3" s="1624"/>
      <c r="I3" s="1624"/>
    </row>
    <row r="4" spans="1:11" ht="30" customHeight="1" thickTop="1">
      <c r="B4" s="11"/>
      <c r="C4" s="11"/>
      <c r="D4" s="11"/>
      <c r="E4" s="11"/>
      <c r="F4" s="1625" t="s">
        <v>202</v>
      </c>
      <c r="G4" s="1626"/>
      <c r="H4" s="54" t="s">
        <v>205</v>
      </c>
      <c r="I4" s="809" t="s">
        <v>207</v>
      </c>
    </row>
    <row r="5" spans="1:11" ht="30" customHeight="1">
      <c r="B5" s="315"/>
      <c r="C5" s="315"/>
      <c r="D5" s="315"/>
      <c r="E5" s="315"/>
      <c r="F5" s="753" t="s">
        <v>203</v>
      </c>
      <c r="G5" s="25" t="s">
        <v>204</v>
      </c>
      <c r="H5" s="199" t="s">
        <v>206</v>
      </c>
      <c r="I5" s="200" t="s">
        <v>559</v>
      </c>
    </row>
    <row r="6" spans="1:11" ht="21" customHeight="1">
      <c r="A6" s="844"/>
      <c r="B6" s="1616" t="s">
        <v>563</v>
      </c>
      <c r="C6" s="1616"/>
      <c r="D6" s="1616"/>
      <c r="E6" s="1617"/>
      <c r="F6" s="365">
        <v>100</v>
      </c>
      <c r="G6" s="365">
        <v>3087527.48</v>
      </c>
      <c r="H6" s="365">
        <v>559527.63</v>
      </c>
      <c r="I6" s="212">
        <f>+F6+G6-H6</f>
        <v>2528099.85</v>
      </c>
      <c r="J6" s="221"/>
      <c r="K6" s="732"/>
    </row>
    <row r="7" spans="1:11" s="315" customFormat="1" ht="21" customHeight="1">
      <c r="A7" s="844"/>
      <c r="B7" s="1615" t="s">
        <v>3249</v>
      </c>
      <c r="C7" s="1616"/>
      <c r="D7" s="1616"/>
      <c r="E7" s="1617"/>
      <c r="F7" s="365"/>
      <c r="G7" s="365"/>
      <c r="H7" s="365"/>
      <c r="I7" s="212">
        <f t="shared" ref="I7:I13" si="0">+F7+G7-H7</f>
        <v>0</v>
      </c>
      <c r="J7" s="318"/>
      <c r="K7" s="732"/>
    </row>
    <row r="8" spans="1:11" ht="21" customHeight="1">
      <c r="A8" s="844"/>
      <c r="B8" s="1615" t="s">
        <v>3615</v>
      </c>
      <c r="C8" s="1616"/>
      <c r="D8" s="1616"/>
      <c r="E8" s="1617"/>
      <c r="F8" s="365"/>
      <c r="G8" s="365">
        <v>3609.1</v>
      </c>
      <c r="H8" s="365"/>
      <c r="I8" s="212">
        <f t="shared" si="0"/>
        <v>3609.1</v>
      </c>
      <c r="K8" s="732"/>
    </row>
    <row r="9" spans="1:11" ht="21" customHeight="1">
      <c r="A9" s="844"/>
      <c r="B9" s="1615" t="s">
        <v>3300</v>
      </c>
      <c r="C9" s="1616"/>
      <c r="D9" s="1616"/>
      <c r="E9" s="1617"/>
      <c r="F9" s="365"/>
      <c r="G9" s="365"/>
      <c r="H9" s="365"/>
      <c r="I9" s="212">
        <f t="shared" si="0"/>
        <v>0</v>
      </c>
      <c r="J9" s="221"/>
    </row>
    <row r="10" spans="1:11" ht="21" customHeight="1">
      <c r="A10" s="844"/>
      <c r="B10" s="1615" t="s">
        <v>3296</v>
      </c>
      <c r="C10" s="1616"/>
      <c r="D10" s="1616"/>
      <c r="E10" s="1617"/>
      <c r="F10" s="365"/>
      <c r="G10" s="365"/>
      <c r="H10" s="365"/>
      <c r="I10" s="212">
        <f t="shared" si="0"/>
        <v>0</v>
      </c>
      <c r="J10" s="221"/>
      <c r="K10" s="221"/>
    </row>
    <row r="11" spans="1:11" ht="21" customHeight="1">
      <c r="A11" s="844"/>
      <c r="B11" s="1615" t="s">
        <v>3297</v>
      </c>
      <c r="C11" s="1616"/>
      <c r="D11" s="1616"/>
      <c r="E11" s="1617"/>
      <c r="F11" s="365"/>
      <c r="G11" s="365"/>
      <c r="H11" s="365"/>
      <c r="I11" s="212">
        <f t="shared" si="0"/>
        <v>0</v>
      </c>
      <c r="J11" s="221"/>
    </row>
    <row r="12" spans="1:11" ht="21" customHeight="1">
      <c r="A12" s="844"/>
      <c r="B12" s="1615" t="s">
        <v>3298</v>
      </c>
      <c r="C12" s="1616"/>
      <c r="D12" s="1616"/>
      <c r="E12" s="1617"/>
      <c r="F12" s="365"/>
      <c r="G12" s="365"/>
      <c r="H12" s="365"/>
      <c r="I12" s="212">
        <f t="shared" si="0"/>
        <v>0</v>
      </c>
    </row>
    <row r="13" spans="1:11" ht="21" customHeight="1">
      <c r="A13" s="844"/>
      <c r="B13" s="1615" t="s">
        <v>3299</v>
      </c>
      <c r="C13" s="1616"/>
      <c r="D13" s="1616"/>
      <c r="E13" s="1617"/>
      <c r="F13" s="365"/>
      <c r="G13" s="365">
        <f>13032.55+30912.93+20867+44.83+22159.72</f>
        <v>87017.03</v>
      </c>
      <c r="H13" s="365">
        <f>404.34+41.04</f>
        <v>445.38</v>
      </c>
      <c r="I13" s="212">
        <f t="shared" si="0"/>
        <v>86571.65</v>
      </c>
    </row>
    <row r="14" spans="1:11" ht="21" customHeight="1">
      <c r="B14" s="1627" t="s">
        <v>3610</v>
      </c>
      <c r="C14" s="1627"/>
      <c r="D14" s="1627"/>
      <c r="E14" s="1628"/>
      <c r="F14" s="365"/>
      <c r="G14" s="365"/>
      <c r="H14" s="365"/>
      <c r="I14" s="212">
        <f t="shared" ref="I14" si="1">+F14+G14-H14</f>
        <v>0</v>
      </c>
    </row>
    <row r="15" spans="1:11" ht="20.25" customHeight="1">
      <c r="B15" s="1615" t="s">
        <v>3248</v>
      </c>
      <c r="C15" s="1616"/>
      <c r="D15" s="1616"/>
      <c r="E15" s="1617"/>
      <c r="F15" s="365"/>
      <c r="G15" s="365">
        <v>1275050.95</v>
      </c>
      <c r="H15" s="365"/>
      <c r="I15" s="212">
        <f t="shared" ref="I15:I34" si="2">+F15+G15-H15</f>
        <v>1275050.95</v>
      </c>
    </row>
    <row r="16" spans="1:11" ht="21" customHeight="1">
      <c r="B16" s="1622"/>
      <c r="C16" s="1618"/>
      <c r="D16" s="1618"/>
      <c r="E16" s="1619"/>
      <c r="F16" s="365"/>
      <c r="G16" s="365"/>
      <c r="H16" s="365"/>
      <c r="I16" s="212">
        <f t="shared" si="2"/>
        <v>0</v>
      </c>
    </row>
    <row r="17" spans="2:11" ht="21" customHeight="1">
      <c r="B17" s="1615" t="s">
        <v>3301</v>
      </c>
      <c r="C17" s="1616"/>
      <c r="D17" s="1616"/>
      <c r="E17" s="1617"/>
      <c r="F17" s="365"/>
      <c r="G17" s="365"/>
      <c r="H17" s="365"/>
      <c r="I17" s="212">
        <f t="shared" si="2"/>
        <v>0</v>
      </c>
      <c r="J17" s="221"/>
      <c r="K17" s="751" t="s">
        <v>3302</v>
      </c>
    </row>
    <row r="18" spans="2:11" ht="21" customHeight="1">
      <c r="B18" s="1622" t="s">
        <v>3629</v>
      </c>
      <c r="C18" s="1618"/>
      <c r="D18" s="1618"/>
      <c r="E18" s="1619"/>
      <c r="F18" s="365"/>
      <c r="G18" s="365">
        <v>478433.22</v>
      </c>
      <c r="H18" s="365">
        <v>18606.5</v>
      </c>
      <c r="I18" s="212">
        <f t="shared" si="2"/>
        <v>459826.72</v>
      </c>
      <c r="J18" s="221"/>
    </row>
    <row r="19" spans="2:11" ht="21" customHeight="1">
      <c r="B19" s="1622" t="s">
        <v>3630</v>
      </c>
      <c r="C19" s="1618"/>
      <c r="D19" s="1618"/>
      <c r="E19" s="1619"/>
      <c r="F19" s="365"/>
      <c r="G19" s="365">
        <v>4388468.24</v>
      </c>
      <c r="H19" s="365"/>
      <c r="I19" s="212">
        <f t="shared" si="2"/>
        <v>4388468.24</v>
      </c>
    </row>
    <row r="20" spans="2:11" ht="21" customHeight="1">
      <c r="B20" s="1622"/>
      <c r="C20" s="1618"/>
      <c r="D20" s="1618"/>
      <c r="E20" s="1619"/>
      <c r="F20" s="365"/>
      <c r="G20" s="365"/>
      <c r="H20" s="365"/>
      <c r="I20" s="212">
        <f t="shared" si="2"/>
        <v>0</v>
      </c>
    </row>
    <row r="21" spans="2:11" ht="21" customHeight="1">
      <c r="B21" s="1618"/>
      <c r="C21" s="1618"/>
      <c r="D21" s="1618"/>
      <c r="E21" s="1619"/>
      <c r="F21" s="365"/>
      <c r="G21" s="365"/>
      <c r="H21" s="365"/>
      <c r="I21" s="212">
        <f t="shared" si="2"/>
        <v>0</v>
      </c>
    </row>
    <row r="22" spans="2:11" ht="21" customHeight="1">
      <c r="B22" s="1622"/>
      <c r="C22" s="1618"/>
      <c r="D22" s="1618"/>
      <c r="E22" s="1619"/>
      <c r="F22" s="365"/>
      <c r="G22" s="365"/>
      <c r="H22" s="365"/>
      <c r="I22" s="212">
        <f t="shared" si="2"/>
        <v>0</v>
      </c>
    </row>
    <row r="23" spans="2:11" ht="21" customHeight="1">
      <c r="B23" s="1622"/>
      <c r="C23" s="1618"/>
      <c r="D23" s="1618"/>
      <c r="E23" s="1619"/>
      <c r="F23" s="365"/>
      <c r="G23" s="365"/>
      <c r="H23" s="365"/>
      <c r="I23" s="212">
        <f t="shared" si="2"/>
        <v>0</v>
      </c>
    </row>
    <row r="24" spans="2:11" ht="21" customHeight="1">
      <c r="B24" s="1618"/>
      <c r="C24" s="1618"/>
      <c r="D24" s="1618"/>
      <c r="E24" s="1619"/>
      <c r="F24" s="365"/>
      <c r="G24" s="365"/>
      <c r="H24" s="365"/>
      <c r="I24" s="212">
        <f t="shared" si="2"/>
        <v>0</v>
      </c>
    </row>
    <row r="25" spans="2:11" ht="21" customHeight="1">
      <c r="B25" s="1618"/>
      <c r="C25" s="1618"/>
      <c r="D25" s="1618"/>
      <c r="E25" s="1619"/>
      <c r="F25" s="365"/>
      <c r="G25" s="365"/>
      <c r="H25" s="365"/>
      <c r="I25" s="212">
        <f t="shared" si="2"/>
        <v>0</v>
      </c>
    </row>
    <row r="26" spans="2:11" ht="21" customHeight="1">
      <c r="B26" s="1618"/>
      <c r="C26" s="1618"/>
      <c r="D26" s="1618"/>
      <c r="E26" s="1619"/>
      <c r="F26" s="365"/>
      <c r="G26" s="365"/>
      <c r="H26" s="365"/>
      <c r="I26" s="212">
        <f t="shared" si="2"/>
        <v>0</v>
      </c>
    </row>
    <row r="27" spans="2:11" s="315" customFormat="1" ht="21" customHeight="1">
      <c r="B27" s="754"/>
      <c r="C27" s="754"/>
      <c r="D27" s="754"/>
      <c r="E27" s="755"/>
      <c r="F27" s="365"/>
      <c r="G27" s="365"/>
      <c r="H27" s="365"/>
      <c r="I27" s="212">
        <f t="shared" si="2"/>
        <v>0</v>
      </c>
    </row>
    <row r="28" spans="2:11" s="315" customFormat="1" ht="21" customHeight="1">
      <c r="B28" s="754"/>
      <c r="C28" s="754"/>
      <c r="D28" s="754"/>
      <c r="E28" s="755"/>
      <c r="F28" s="365"/>
      <c r="G28" s="365"/>
      <c r="H28" s="365"/>
      <c r="I28" s="212">
        <f t="shared" si="2"/>
        <v>0</v>
      </c>
    </row>
    <row r="29" spans="2:11" s="315" customFormat="1" ht="21" customHeight="1">
      <c r="B29" s="754"/>
      <c r="C29" s="754"/>
      <c r="D29" s="754"/>
      <c r="E29" s="755"/>
      <c r="F29" s="365"/>
      <c r="G29" s="365"/>
      <c r="H29" s="365"/>
      <c r="I29" s="212">
        <f t="shared" si="2"/>
        <v>0</v>
      </c>
    </row>
    <row r="30" spans="2:11" ht="21" customHeight="1">
      <c r="B30" s="1618"/>
      <c r="C30" s="1618"/>
      <c r="D30" s="1618"/>
      <c r="E30" s="1619"/>
      <c r="F30" s="365"/>
      <c r="G30" s="365"/>
      <c r="H30" s="365"/>
      <c r="I30" s="212">
        <f t="shared" si="2"/>
        <v>0</v>
      </c>
    </row>
    <row r="31" spans="2:11" ht="21" customHeight="1">
      <c r="B31" s="1618"/>
      <c r="C31" s="1618"/>
      <c r="D31" s="1618"/>
      <c r="E31" s="1619"/>
      <c r="F31" s="365"/>
      <c r="G31" s="365"/>
      <c r="H31" s="365"/>
      <c r="I31" s="212">
        <f t="shared" si="2"/>
        <v>0</v>
      </c>
    </row>
    <row r="32" spans="2:11" ht="21" customHeight="1">
      <c r="B32" s="1618"/>
      <c r="C32" s="1618"/>
      <c r="D32" s="1618"/>
      <c r="E32" s="1619"/>
      <c r="F32" s="365"/>
      <c r="G32" s="365"/>
      <c r="H32" s="365"/>
      <c r="I32" s="212">
        <f t="shared" si="2"/>
        <v>0</v>
      </c>
    </row>
    <row r="33" spans="2:9" ht="21" customHeight="1">
      <c r="B33" s="1618"/>
      <c r="C33" s="1618"/>
      <c r="D33" s="1618"/>
      <c r="E33" s="1619"/>
      <c r="F33" s="365"/>
      <c r="G33" s="365"/>
      <c r="H33" s="365"/>
      <c r="I33" s="212">
        <f t="shared" si="2"/>
        <v>0</v>
      </c>
    </row>
    <row r="34" spans="2:9" ht="21" customHeight="1">
      <c r="B34" s="1620"/>
      <c r="C34" s="1620"/>
      <c r="D34" s="1620"/>
      <c r="E34" s="1621"/>
      <c r="F34" s="583"/>
      <c r="G34" s="583"/>
      <c r="H34" s="583"/>
      <c r="I34" s="224">
        <f t="shared" si="2"/>
        <v>0</v>
      </c>
    </row>
    <row r="35" spans="2:9" ht="21" customHeight="1" thickBot="1">
      <c r="B35" s="10"/>
      <c r="C35" s="10"/>
      <c r="D35" s="10"/>
      <c r="E35" s="29" t="s">
        <v>209</v>
      </c>
      <c r="F35" s="216">
        <f>SUM(F6:F34)</f>
        <v>100</v>
      </c>
      <c r="G35" s="216">
        <f>SUM(G6:G34)</f>
        <v>9320106.0199999996</v>
      </c>
      <c r="H35" s="216">
        <f>SUM(H6:H34)</f>
        <v>578579.51</v>
      </c>
      <c r="I35" s="217">
        <f>SUM(I6:I34)</f>
        <v>8741626.5099999998</v>
      </c>
    </row>
    <row r="36" spans="2:9" ht="13.8" thickTop="1">
      <c r="B36" s="34" t="s">
        <v>590</v>
      </c>
      <c r="C36" s="315"/>
      <c r="D36" s="315"/>
      <c r="E36" s="315"/>
      <c r="F36" s="315"/>
      <c r="G36" s="318"/>
      <c r="H36" s="315"/>
      <c r="I36" s="315"/>
    </row>
    <row r="37" spans="2:9">
      <c r="B37" s="34" t="s">
        <v>591</v>
      </c>
      <c r="C37" s="315"/>
      <c r="D37" s="315"/>
      <c r="E37" s="315"/>
      <c r="F37" s="315"/>
      <c r="G37" s="318"/>
      <c r="H37" s="315"/>
      <c r="I37" s="315"/>
    </row>
    <row r="38" spans="2:9">
      <c r="B38" s="34"/>
      <c r="C38" s="315"/>
      <c r="D38" s="315"/>
      <c r="E38" s="315"/>
      <c r="F38" s="315"/>
      <c r="G38" s="315"/>
      <c r="H38" s="315"/>
      <c r="I38" s="315"/>
    </row>
    <row r="39" spans="2:9" ht="13.8">
      <c r="B39" s="35" t="s">
        <v>592</v>
      </c>
      <c r="C39" s="315"/>
      <c r="D39" s="315"/>
      <c r="E39" s="315"/>
      <c r="F39" s="315"/>
      <c r="G39" s="315"/>
      <c r="H39" s="315"/>
      <c r="I39" s="315"/>
    </row>
    <row r="40" spans="2:9">
      <c r="B40" s="34"/>
      <c r="C40" s="34" t="s">
        <v>593</v>
      </c>
      <c r="D40" s="315"/>
      <c r="E40" s="315"/>
      <c r="F40" s="315"/>
      <c r="G40" s="315"/>
      <c r="H40" s="315"/>
      <c r="I40" s="315"/>
    </row>
    <row r="41" spans="2:9">
      <c r="B41" s="34" t="str">
        <f>"applicable bank statements, certificates, agreements or passbooks at December 31, "&amp;TEXT('KEY INPUTS'!D34,"0")&amp;"."</f>
        <v>applicable bank statements, certificates, agreements or passbooks at December 31, 2020.</v>
      </c>
      <c r="C41" s="34"/>
      <c r="D41" s="315"/>
      <c r="E41" s="315"/>
      <c r="F41" s="315"/>
      <c r="G41" s="315"/>
      <c r="H41" s="315"/>
      <c r="I41" s="315"/>
    </row>
    <row r="42" spans="2:9">
      <c r="B42" s="34"/>
      <c r="C42" s="34" t="s">
        <v>157</v>
      </c>
      <c r="D42" s="315"/>
      <c r="E42" s="315"/>
      <c r="F42" s="315"/>
      <c r="G42" s="315"/>
      <c r="H42" s="315"/>
      <c r="I42" s="315"/>
    </row>
    <row r="43" spans="2:9">
      <c r="B43" s="34" t="str">
        <f>"been verified with the applicable passbook at December 31, "&amp;TEXT('KEY INPUTS'!D34,"0")&amp;"."</f>
        <v>been verified with the applicable passbook at December 31, 2020.</v>
      </c>
      <c r="C43" s="34"/>
      <c r="D43" s="315"/>
      <c r="E43" s="315"/>
      <c r="F43" s="315"/>
      <c r="G43" s="315"/>
      <c r="H43" s="315"/>
      <c r="I43" s="315"/>
    </row>
    <row r="44" spans="2:9">
      <c r="B44" s="34"/>
      <c r="C44" s="34" t="s">
        <v>119</v>
      </c>
      <c r="D44" s="315"/>
      <c r="E44" s="315"/>
      <c r="F44" s="315"/>
      <c r="G44" s="315"/>
      <c r="H44" s="315"/>
      <c r="I44" s="315"/>
    </row>
    <row r="45" spans="2:9">
      <c r="B45" s="34" t="s">
        <v>158</v>
      </c>
      <c r="C45" s="34"/>
      <c r="D45" s="315"/>
      <c r="E45" s="315"/>
      <c r="F45" s="315"/>
      <c r="G45" s="315"/>
      <c r="H45" s="315"/>
      <c r="I45" s="315"/>
    </row>
    <row r="46" spans="2:9">
      <c r="B46" s="36"/>
      <c r="C46" s="37" t="s">
        <v>120</v>
      </c>
      <c r="D46" s="315"/>
      <c r="E46" s="315"/>
      <c r="F46" s="315"/>
      <c r="G46" s="315"/>
      <c r="H46" s="315"/>
      <c r="I46" s="315"/>
    </row>
    <row r="47" spans="2:9">
      <c r="B47" s="37" t="s">
        <v>121</v>
      </c>
      <c r="C47" s="36"/>
      <c r="D47" s="315"/>
      <c r="E47" s="315"/>
      <c r="F47" s="315"/>
      <c r="G47" s="315"/>
      <c r="H47" s="315"/>
      <c r="I47" s="315"/>
    </row>
    <row r="48" spans="2:9">
      <c r="B48" s="36"/>
      <c r="C48" s="36"/>
      <c r="D48" s="315"/>
      <c r="E48" s="315"/>
      <c r="F48" s="315"/>
      <c r="G48" s="315"/>
      <c r="H48" s="315"/>
      <c r="I48" s="315"/>
    </row>
    <row r="49" spans="1:9">
      <c r="B49" s="36"/>
      <c r="C49" s="36"/>
      <c r="D49" s="315"/>
      <c r="E49" s="315"/>
      <c r="F49" s="315"/>
      <c r="G49" s="315"/>
      <c r="H49" s="315"/>
      <c r="I49" s="315"/>
    </row>
    <row r="50" spans="1:9">
      <c r="B50" s="36" t="s">
        <v>122</v>
      </c>
      <c r="C50" s="36"/>
      <c r="D50" s="1573" t="s">
        <v>3625</v>
      </c>
      <c r="E50" s="1570"/>
      <c r="F50" s="1570"/>
      <c r="G50" s="38" t="s">
        <v>123</v>
      </c>
      <c r="H50" s="1623">
        <v>44219</v>
      </c>
      <c r="I50" s="1570"/>
    </row>
    <row r="51" spans="1:9">
      <c r="A51" s="315"/>
      <c r="B51" s="36"/>
      <c r="C51" s="36"/>
      <c r="D51" s="315"/>
      <c r="E51" s="315"/>
      <c r="F51" s="315"/>
      <c r="G51" s="315"/>
      <c r="H51" s="315"/>
      <c r="I51" s="315"/>
    </row>
    <row r="52" spans="1:9" ht="13.8">
      <c r="A52" s="315"/>
      <c r="B52" s="1545" t="s">
        <v>208</v>
      </c>
      <c r="C52" s="1545"/>
      <c r="D52" s="1545"/>
      <c r="E52" s="1545"/>
      <c r="F52" s="1545"/>
      <c r="G52" s="1545"/>
      <c r="H52" s="1545"/>
      <c r="I52" s="1545"/>
    </row>
    <row r="59" spans="1:9">
      <c r="G59" s="221"/>
    </row>
    <row r="61" spans="1:9">
      <c r="G61" s="221"/>
    </row>
    <row r="66" spans="7:7">
      <c r="G66" s="305"/>
    </row>
  </sheetData>
  <sheetProtection algorithmName="SHA-512" hashValue="XDFbPsrHtif46zJPtvwW99wjVabtVXsOsypv5pezS8pWn5y9xGaUR6XooDLai3j8FpAMHPjTKLWdW4Ma3yJsAw==" saltValue="IWZDZU5mqPO2XZyUMwWpwQ==" spinCount="100000" sheet="1" objects="1" scenarios="1"/>
  <mergeCells count="31">
    <mergeCell ref="B3:I3"/>
    <mergeCell ref="F4:G4"/>
    <mergeCell ref="B52:I52"/>
    <mergeCell ref="B6:E6"/>
    <mergeCell ref="B8:E8"/>
    <mergeCell ref="B9:E9"/>
    <mergeCell ref="B10:E10"/>
    <mergeCell ref="B11:E11"/>
    <mergeCell ref="B12:E12"/>
    <mergeCell ref="B13:E13"/>
    <mergeCell ref="B14:E14"/>
    <mergeCell ref="B15:E15"/>
    <mergeCell ref="B16:E16"/>
    <mergeCell ref="B17:E17"/>
    <mergeCell ref="B18:E18"/>
    <mergeCell ref="B19:E19"/>
    <mergeCell ref="H50:I50"/>
    <mergeCell ref="B25:E25"/>
    <mergeCell ref="B26:E26"/>
    <mergeCell ref="B30:E30"/>
    <mergeCell ref="B31:E31"/>
    <mergeCell ref="B7:E7"/>
    <mergeCell ref="B32:E32"/>
    <mergeCell ref="B33:E33"/>
    <mergeCell ref="B34:E34"/>
    <mergeCell ref="D50:F50"/>
    <mergeCell ref="B20:E20"/>
    <mergeCell ref="B21:E21"/>
    <mergeCell ref="B22:E22"/>
    <mergeCell ref="B23:E23"/>
    <mergeCell ref="B24:E24"/>
  </mergeCells>
  <phoneticPr fontId="0" type="noConversion"/>
  <pageMargins left="0.25" right="0.25" top="0.5" bottom="0.5" header="0.25" footer="0.25"/>
  <pageSetup paperSize="5"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B2:K54"/>
  <sheetViews>
    <sheetView topLeftCell="A4" zoomScaleNormal="100" workbookViewId="0">
      <selection activeCell="F6" sqref="F6"/>
    </sheetView>
  </sheetViews>
  <sheetFormatPr defaultColWidth="9.109375" defaultRowHeight="13.2"/>
  <cols>
    <col min="1" max="4" width="4.6640625" style="270" customWidth="1"/>
    <col min="5" max="5" width="63.6640625" style="270" customWidth="1"/>
    <col min="6" max="6" width="16.5546875" style="348" customWidth="1"/>
    <col min="7" max="7" width="11.109375" style="270" bestFit="1" customWidth="1"/>
    <col min="8" max="8" width="39.6640625" style="270" bestFit="1" customWidth="1"/>
    <col min="9" max="16384" width="9.109375" style="270"/>
  </cols>
  <sheetData>
    <row r="2" spans="2:11" ht="22.8">
      <c r="B2" s="1631" t="str">
        <f>"  CASH  RECONCILIATION  DECEMBER  31, "&amp;TEXT('KEY INPUTS'!D34,"0")&amp;" (cont'd)  "</f>
        <v xml:space="preserve">  CASH  RECONCILIATION  DECEMBER  31, 2020 (cont'd)  </v>
      </c>
      <c r="C2" s="1631"/>
      <c r="D2" s="1631"/>
      <c r="E2" s="1631"/>
      <c r="F2" s="1631"/>
      <c r="G2" s="339"/>
      <c r="H2" s="339"/>
      <c r="I2" s="339"/>
    </row>
    <row r="4" spans="2:11" ht="16.2" thickBot="1">
      <c r="B4" s="1630" t="s">
        <v>666</v>
      </c>
      <c r="C4" s="1630"/>
      <c r="D4" s="1630"/>
      <c r="E4" s="1630"/>
      <c r="F4" s="1630"/>
    </row>
    <row r="5" spans="2:11" ht="21" customHeight="1" thickTop="1">
      <c r="B5" s="340"/>
      <c r="C5" s="340"/>
      <c r="D5" s="340"/>
      <c r="E5" s="340"/>
      <c r="F5" s="341"/>
    </row>
    <row r="6" spans="2:11" ht="21" customHeight="1">
      <c r="B6" s="560" t="s">
        <v>3727</v>
      </c>
      <c r="C6" s="560"/>
      <c r="D6" s="560"/>
      <c r="E6" s="560"/>
      <c r="F6" s="561"/>
      <c r="H6" s="251"/>
      <c r="I6" s="251"/>
      <c r="J6" s="251"/>
      <c r="K6" s="251"/>
    </row>
    <row r="7" spans="2:11" ht="21" customHeight="1">
      <c r="B7" s="560"/>
      <c r="C7" s="560" t="s">
        <v>3631</v>
      </c>
      <c r="D7" s="560"/>
      <c r="E7" s="560"/>
      <c r="F7" s="561">
        <v>4379220.08</v>
      </c>
      <c r="G7" s="320"/>
      <c r="H7" s="251"/>
      <c r="I7" s="251"/>
      <c r="J7" s="251"/>
      <c r="K7" s="251"/>
    </row>
    <row r="8" spans="2:11" ht="21" customHeight="1">
      <c r="B8" s="560"/>
      <c r="C8" s="560" t="s">
        <v>3632</v>
      </c>
      <c r="D8" s="560"/>
      <c r="E8" s="560"/>
      <c r="F8" s="561">
        <v>30912.93</v>
      </c>
      <c r="G8" s="320"/>
      <c r="H8" s="251"/>
      <c r="I8" s="251"/>
      <c r="J8" s="251"/>
      <c r="K8" s="251"/>
    </row>
    <row r="9" spans="2:11" ht="21" customHeight="1">
      <c r="B9" s="560"/>
      <c r="C9" s="560" t="s">
        <v>3633</v>
      </c>
      <c r="D9" s="560"/>
      <c r="E9" s="560"/>
      <c r="F9" s="561">
        <v>0</v>
      </c>
      <c r="G9" s="320"/>
      <c r="H9" s="370"/>
      <c r="I9" s="251"/>
      <c r="J9" s="251"/>
      <c r="K9" s="251"/>
    </row>
    <row r="10" spans="2:11" ht="21" customHeight="1">
      <c r="B10" s="560"/>
      <c r="C10" s="560" t="s">
        <v>3634</v>
      </c>
      <c r="D10" s="560"/>
      <c r="E10" s="560"/>
      <c r="F10" s="561">
        <v>20867</v>
      </c>
      <c r="G10" s="320"/>
      <c r="H10" s="251"/>
      <c r="I10" s="251"/>
      <c r="J10" s="251"/>
      <c r="K10" s="251"/>
    </row>
    <row r="11" spans="2:11" ht="21" customHeight="1">
      <c r="B11" s="560"/>
      <c r="C11" s="560" t="s">
        <v>3635</v>
      </c>
      <c r="D11" s="560"/>
      <c r="E11" s="560"/>
      <c r="F11" s="561">
        <v>44.83</v>
      </c>
      <c r="G11" s="320"/>
      <c r="H11" s="251"/>
      <c r="I11" s="251"/>
      <c r="J11" s="251"/>
      <c r="K11" s="251"/>
    </row>
    <row r="12" spans="2:11" ht="21" customHeight="1">
      <c r="B12" s="560"/>
      <c r="C12" s="560" t="s">
        <v>3636</v>
      </c>
      <c r="D12" s="560"/>
      <c r="E12" s="560"/>
      <c r="F12" s="561">
        <v>22159.72</v>
      </c>
      <c r="G12" s="320"/>
      <c r="H12" s="251"/>
      <c r="I12" s="344"/>
      <c r="J12" s="251"/>
      <c r="K12" s="251"/>
    </row>
    <row r="13" spans="2:11" ht="21" customHeight="1">
      <c r="B13" s="560"/>
      <c r="C13" s="560" t="s">
        <v>3637</v>
      </c>
      <c r="D13" s="560"/>
      <c r="E13" s="560"/>
      <c r="F13" s="561">
        <v>4866901.46</v>
      </c>
      <c r="G13" s="320"/>
      <c r="H13" s="251"/>
      <c r="I13" s="251"/>
      <c r="J13" s="251"/>
      <c r="K13" s="251"/>
    </row>
    <row r="14" spans="2:11" ht="21" customHeight="1">
      <c r="B14" s="560"/>
      <c r="C14" s="560"/>
      <c r="D14" s="560"/>
      <c r="E14" s="560"/>
      <c r="F14" s="561"/>
      <c r="G14" s="320"/>
      <c r="H14" s="251"/>
      <c r="I14" s="251"/>
      <c r="J14" s="251"/>
      <c r="K14" s="251"/>
    </row>
    <row r="15" spans="2:11" ht="21" customHeight="1">
      <c r="B15" s="560"/>
      <c r="C15" s="560"/>
      <c r="D15" s="560"/>
      <c r="E15" s="560"/>
      <c r="F15" s="561"/>
      <c r="G15" s="267"/>
      <c r="H15" s="251"/>
      <c r="I15" s="251"/>
      <c r="J15" s="251"/>
      <c r="K15" s="251"/>
    </row>
    <row r="16" spans="2:11" ht="21" customHeight="1">
      <c r="B16" s="560"/>
      <c r="C16" s="560"/>
      <c r="D16" s="560"/>
      <c r="E16" s="560"/>
      <c r="F16" s="561"/>
      <c r="G16" s="320"/>
      <c r="H16" s="251"/>
      <c r="I16" s="251"/>
      <c r="J16" s="251"/>
      <c r="K16" s="251"/>
    </row>
    <row r="17" spans="2:11" ht="21" customHeight="1">
      <c r="B17" s="560"/>
      <c r="C17" s="560"/>
      <c r="D17" s="560"/>
      <c r="E17" s="560"/>
      <c r="F17" s="561"/>
      <c r="G17" s="320"/>
      <c r="H17" s="251"/>
      <c r="I17" s="251"/>
      <c r="J17" s="251"/>
      <c r="K17" s="251"/>
    </row>
    <row r="18" spans="2:11" ht="21" customHeight="1">
      <c r="B18" s="560"/>
      <c r="C18" s="560"/>
      <c r="D18" s="560"/>
      <c r="E18" s="560"/>
      <c r="F18" s="561"/>
      <c r="G18" s="320"/>
      <c r="H18" s="338"/>
      <c r="I18" s="345"/>
      <c r="J18" s="251"/>
      <c r="K18" s="251"/>
    </row>
    <row r="19" spans="2:11" ht="21" customHeight="1">
      <c r="B19" s="560"/>
      <c r="C19" s="560"/>
      <c r="D19" s="560"/>
      <c r="E19" s="560"/>
      <c r="F19" s="561"/>
      <c r="G19" s="320"/>
      <c r="H19" s="251"/>
      <c r="I19" s="251"/>
      <c r="J19" s="251"/>
      <c r="K19" s="251"/>
    </row>
    <row r="20" spans="2:11" ht="21" customHeight="1">
      <c r="B20" s="560"/>
      <c r="C20" s="560"/>
      <c r="D20" s="560"/>
      <c r="E20" s="560"/>
      <c r="F20" s="561"/>
      <c r="G20" s="320"/>
      <c r="H20" s="338"/>
      <c r="I20" s="251"/>
      <c r="J20" s="251"/>
      <c r="K20" s="251"/>
    </row>
    <row r="21" spans="2:11" ht="21" customHeight="1">
      <c r="B21" s="560"/>
      <c r="C21" s="560"/>
      <c r="D21" s="560"/>
      <c r="E21" s="560"/>
      <c r="F21" s="561"/>
      <c r="G21" s="320"/>
      <c r="H21" s="338"/>
      <c r="I21" s="344"/>
      <c r="J21" s="251"/>
      <c r="K21" s="251"/>
    </row>
    <row r="22" spans="2:11" ht="21" customHeight="1">
      <c r="B22" s="560"/>
      <c r="C22" s="560"/>
      <c r="D22" s="560"/>
      <c r="E22" s="560"/>
      <c r="F22" s="561"/>
      <c r="H22" s="251"/>
      <c r="I22" s="251"/>
      <c r="J22" s="251"/>
      <c r="K22" s="251"/>
    </row>
    <row r="23" spans="2:11" ht="21" customHeight="1">
      <c r="B23" s="560"/>
      <c r="C23" s="560"/>
      <c r="D23" s="560"/>
      <c r="E23" s="560"/>
      <c r="F23" s="561"/>
      <c r="H23" s="251"/>
      <c r="I23" s="251"/>
      <c r="J23" s="251"/>
      <c r="K23" s="251"/>
    </row>
    <row r="24" spans="2:11" ht="21" customHeight="1">
      <c r="B24" s="560"/>
      <c r="C24" s="560"/>
      <c r="D24" s="560"/>
      <c r="E24" s="560"/>
      <c r="F24" s="561"/>
      <c r="G24" s="267"/>
      <c r="H24" s="346"/>
      <c r="I24" s="251"/>
      <c r="J24" s="251"/>
      <c r="K24" s="251"/>
    </row>
    <row r="25" spans="2:11" ht="21" customHeight="1">
      <c r="B25" s="560"/>
      <c r="C25" s="560"/>
      <c r="D25" s="560"/>
      <c r="E25" s="560"/>
      <c r="F25" s="561"/>
    </row>
    <row r="26" spans="2:11" ht="21" customHeight="1">
      <c r="B26" s="560"/>
      <c r="C26" s="560"/>
      <c r="D26" s="560"/>
      <c r="E26" s="560"/>
      <c r="F26" s="561"/>
    </row>
    <row r="27" spans="2:11" ht="21" customHeight="1">
      <c r="B27" s="560"/>
      <c r="C27" s="560"/>
      <c r="D27" s="560"/>
      <c r="E27" s="560"/>
      <c r="F27" s="561"/>
    </row>
    <row r="28" spans="2:11" ht="21" customHeight="1">
      <c r="B28" s="560"/>
      <c r="C28" s="560"/>
      <c r="D28" s="560"/>
      <c r="E28" s="560"/>
      <c r="F28" s="561"/>
    </row>
    <row r="29" spans="2:11" ht="21" customHeight="1">
      <c r="B29" s="560"/>
      <c r="C29" s="560"/>
      <c r="D29" s="560"/>
      <c r="E29" s="560"/>
      <c r="F29" s="561"/>
    </row>
    <row r="30" spans="2:11" ht="21" customHeight="1">
      <c r="B30" s="560"/>
      <c r="C30" s="560"/>
      <c r="D30" s="560"/>
      <c r="E30" s="560"/>
      <c r="F30" s="561"/>
    </row>
    <row r="31" spans="2:11" ht="21" customHeight="1">
      <c r="B31" s="560"/>
      <c r="C31" s="560"/>
      <c r="D31" s="560"/>
      <c r="E31" s="560"/>
      <c r="F31" s="561"/>
    </row>
    <row r="32" spans="2:11" ht="21" customHeight="1">
      <c r="B32" s="560"/>
      <c r="C32" s="560"/>
      <c r="D32" s="560"/>
      <c r="E32" s="560"/>
      <c r="F32" s="561"/>
    </row>
    <row r="33" spans="2:6" ht="21" customHeight="1">
      <c r="B33" s="560"/>
      <c r="C33" s="560"/>
      <c r="D33" s="560"/>
      <c r="E33" s="560"/>
      <c r="F33" s="561"/>
    </row>
    <row r="34" spans="2:6" ht="21" customHeight="1">
      <c r="B34" s="560"/>
      <c r="C34" s="560"/>
      <c r="D34" s="560"/>
      <c r="E34" s="560"/>
      <c r="F34" s="561"/>
    </row>
    <row r="35" spans="2:6" ht="21" customHeight="1">
      <c r="B35" s="560"/>
      <c r="C35" s="560"/>
      <c r="D35" s="560"/>
      <c r="E35" s="560"/>
      <c r="F35" s="561"/>
    </row>
    <row r="36" spans="2:6" ht="21" customHeight="1">
      <c r="B36" s="560"/>
      <c r="C36" s="560"/>
      <c r="D36" s="560"/>
      <c r="E36" s="560"/>
      <c r="F36" s="561"/>
    </row>
    <row r="37" spans="2:6" ht="21" customHeight="1">
      <c r="B37" s="560"/>
      <c r="C37" s="560"/>
      <c r="D37" s="560"/>
      <c r="E37" s="560"/>
      <c r="F37" s="561"/>
    </row>
    <row r="38" spans="2:6" ht="21" customHeight="1">
      <c r="B38" s="560"/>
      <c r="C38" s="560"/>
      <c r="D38" s="560"/>
      <c r="E38" s="560"/>
      <c r="F38" s="561"/>
    </row>
    <row r="39" spans="2:6" ht="21" customHeight="1">
      <c r="B39" s="560"/>
      <c r="C39" s="560"/>
      <c r="D39" s="560"/>
      <c r="E39" s="560"/>
      <c r="F39" s="561"/>
    </row>
    <row r="40" spans="2:6" ht="21" customHeight="1">
      <c r="B40" s="560"/>
      <c r="C40" s="560"/>
      <c r="D40" s="560"/>
      <c r="E40" s="560"/>
      <c r="F40" s="561"/>
    </row>
    <row r="41" spans="2:6" ht="21" customHeight="1">
      <c r="B41" s="560"/>
      <c r="C41" s="560"/>
      <c r="D41" s="560"/>
      <c r="E41" s="560"/>
      <c r="F41" s="561"/>
    </row>
    <row r="42" spans="2:6" ht="21" customHeight="1">
      <c r="B42" s="560"/>
      <c r="C42" s="560"/>
      <c r="D42" s="560"/>
      <c r="E42" s="560"/>
      <c r="F42" s="561"/>
    </row>
    <row r="43" spans="2:6" ht="21" customHeight="1" thickBot="1">
      <c r="B43" s="250"/>
      <c r="C43" s="770" t="s">
        <v>3316</v>
      </c>
      <c r="D43" s="250"/>
      <c r="E43" s="250"/>
      <c r="F43" s="347">
        <f>SUM(F5:F42)</f>
        <v>9320106.0199999996</v>
      </c>
    </row>
    <row r="44" spans="2:6" ht="13.8" thickTop="1"/>
    <row r="45" spans="2:6">
      <c r="B45" s="1632" t="s">
        <v>663</v>
      </c>
      <c r="C45" s="1632"/>
      <c r="D45" s="1632"/>
      <c r="E45" s="1632"/>
      <c r="F45" s="1632"/>
    </row>
    <row r="46" spans="2:6">
      <c r="B46" s="1632" t="s">
        <v>667</v>
      </c>
      <c r="C46" s="1632"/>
      <c r="D46" s="1632"/>
      <c r="E46" s="1632"/>
      <c r="F46" s="1632"/>
    </row>
    <row r="47" spans="2:6">
      <c r="B47" s="808"/>
      <c r="C47" s="808"/>
      <c r="D47" s="808"/>
      <c r="E47" s="808"/>
      <c r="F47" s="349"/>
    </row>
    <row r="49" spans="2:6" ht="13.8">
      <c r="B49" s="1629" t="s">
        <v>668</v>
      </c>
      <c r="C49" s="1629"/>
      <c r="D49" s="1629"/>
      <c r="E49" s="1629"/>
      <c r="F49" s="1629"/>
    </row>
    <row r="50" spans="2:6">
      <c r="F50" s="350"/>
    </row>
    <row r="51" spans="2:6">
      <c r="F51" s="350"/>
    </row>
    <row r="54" spans="2:6">
      <c r="F54" s="350"/>
    </row>
  </sheetData>
  <sheetProtection algorithmName="SHA-512" hashValue="IhSpbnowN3Db/jqjL237kKYeXm4h0epF9rsrmAwcJonySjQYJ77pF70WSviMs2H3KRVVeAxqfHcvZgQwdS0pVg==" saltValue="cH9YWpLP2RnhhfnYRCGd8Q==" spinCount="100000" sheet="1" objects="1" scenarios="1"/>
  <mergeCells count="5">
    <mergeCell ref="B49:F49"/>
    <mergeCell ref="B4:F4"/>
    <mergeCell ref="B2:F2"/>
    <mergeCell ref="B45:F45"/>
    <mergeCell ref="B46:F46"/>
  </mergeCells>
  <phoneticPr fontId="0" type="noConversion"/>
  <pageMargins left="0.25" right="0.25" top="0.5" bottom="0.5" header="0.25" footer="0.25"/>
  <pageSetup paperSize="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B1:I49"/>
  <sheetViews>
    <sheetView zoomScaleNormal="100" workbookViewId="0">
      <selection activeCell="L12" sqref="L12:L13"/>
    </sheetView>
  </sheetViews>
  <sheetFormatPr defaultRowHeight="13.2"/>
  <cols>
    <col min="1" max="4" width="4.6640625" customWidth="1"/>
    <col min="5" max="5" width="63.6640625" customWidth="1"/>
    <col min="6" max="6" width="16.5546875" customWidth="1"/>
  </cols>
  <sheetData>
    <row r="1" spans="2:9">
      <c r="B1" s="844"/>
      <c r="C1" s="844"/>
      <c r="D1" s="844"/>
      <c r="E1" s="844"/>
      <c r="F1" s="844"/>
    </row>
    <row r="2" spans="2:9" ht="22.8">
      <c r="B2" s="1633" t="str">
        <f>'9a-Cash Reconciliation'!B2:F2</f>
        <v xml:space="preserve">  CASH  RECONCILIATION  DECEMBER  31, 2020 (cont'd)  </v>
      </c>
      <c r="C2" s="1633"/>
      <c r="D2" s="1633"/>
      <c r="E2" s="1633"/>
      <c r="F2" s="1633"/>
      <c r="G2" s="39"/>
      <c r="H2" s="39"/>
      <c r="I2" s="39"/>
    </row>
    <row r="3" spans="2:9">
      <c r="B3" s="844"/>
      <c r="C3" s="844"/>
      <c r="D3" s="844"/>
      <c r="E3" s="844"/>
      <c r="F3" s="844"/>
    </row>
    <row r="4" spans="2:9" ht="16.2" thickBot="1">
      <c r="B4" s="1604" t="s">
        <v>666</v>
      </c>
      <c r="C4" s="1604"/>
      <c r="D4" s="1604"/>
      <c r="E4" s="1604"/>
      <c r="F4" s="1604"/>
    </row>
    <row r="5" spans="2:9" ht="21" customHeight="1" thickTop="1">
      <c r="B5" s="873" t="s">
        <v>3317</v>
      </c>
      <c r="C5" s="874"/>
      <c r="D5" s="874"/>
      <c r="E5" s="874"/>
      <c r="F5" s="875">
        <f>+'9a-Cash Reconciliation'!F43</f>
        <v>9320106.0199999996</v>
      </c>
    </row>
    <row r="6" spans="2:9" ht="21" customHeight="1">
      <c r="B6" s="559"/>
      <c r="C6" s="559"/>
      <c r="D6" s="559"/>
      <c r="E6" s="559"/>
      <c r="F6" s="561"/>
    </row>
    <row r="7" spans="2:9" ht="21" customHeight="1">
      <c r="B7" s="559"/>
      <c r="C7" s="559"/>
      <c r="D7" s="559"/>
      <c r="E7" s="559"/>
      <c r="F7" s="561"/>
    </row>
    <row r="8" spans="2:9" ht="21" customHeight="1">
      <c r="B8" s="559"/>
      <c r="C8" s="559"/>
      <c r="D8" s="559"/>
      <c r="E8" s="559"/>
      <c r="F8" s="561"/>
    </row>
    <row r="9" spans="2:9" ht="21" customHeight="1">
      <c r="B9" s="559"/>
      <c r="C9" s="559"/>
      <c r="D9" s="559"/>
      <c r="E9" s="559"/>
      <c r="F9" s="561"/>
    </row>
    <row r="10" spans="2:9" ht="21" customHeight="1">
      <c r="B10" s="559"/>
      <c r="C10" s="559"/>
      <c r="D10" s="559"/>
      <c r="E10" s="559"/>
      <c r="F10" s="561"/>
      <c r="I10" s="370"/>
    </row>
    <row r="11" spans="2:9" ht="21" customHeight="1">
      <c r="B11" s="559"/>
      <c r="C11" s="559"/>
      <c r="D11" s="559"/>
      <c r="E11" s="559"/>
      <c r="F11" s="561"/>
    </row>
    <row r="12" spans="2:9" ht="21" customHeight="1">
      <c r="B12" s="559"/>
      <c r="C12" s="559"/>
      <c r="D12" s="559"/>
      <c r="E12" s="559"/>
      <c r="F12" s="561"/>
    </row>
    <row r="13" spans="2:9" ht="21" customHeight="1">
      <c r="B13" s="559"/>
      <c r="C13" s="559"/>
      <c r="D13" s="559"/>
      <c r="E13" s="559"/>
      <c r="F13" s="561"/>
    </row>
    <row r="14" spans="2:9" ht="21" customHeight="1">
      <c r="B14" s="559"/>
      <c r="C14" s="559"/>
      <c r="D14" s="559"/>
      <c r="E14" s="559"/>
      <c r="F14" s="561"/>
    </row>
    <row r="15" spans="2:9" ht="21" customHeight="1">
      <c r="B15" s="559"/>
      <c r="C15" s="559"/>
      <c r="D15" s="559"/>
      <c r="E15" s="559"/>
      <c r="F15" s="561"/>
    </row>
    <row r="16" spans="2:9" ht="21" customHeight="1">
      <c r="B16" s="559"/>
      <c r="C16" s="559"/>
      <c r="D16" s="559"/>
      <c r="E16" s="559"/>
      <c r="F16" s="561"/>
    </row>
    <row r="17" spans="2:6" ht="21" customHeight="1">
      <c r="B17" s="559"/>
      <c r="C17" s="559"/>
      <c r="D17" s="559"/>
      <c r="E17" s="559"/>
      <c r="F17" s="561"/>
    </row>
    <row r="18" spans="2:6" ht="21" customHeight="1">
      <c r="B18" s="559"/>
      <c r="C18" s="559"/>
      <c r="D18" s="559"/>
      <c r="E18" s="559"/>
      <c r="F18" s="561"/>
    </row>
    <row r="19" spans="2:6" ht="21" customHeight="1">
      <c r="B19" s="559"/>
      <c r="C19" s="559"/>
      <c r="D19" s="559"/>
      <c r="E19" s="559"/>
      <c r="F19" s="561"/>
    </row>
    <row r="20" spans="2:6" ht="21" customHeight="1">
      <c r="B20" s="559"/>
      <c r="C20" s="559"/>
      <c r="D20" s="559"/>
      <c r="E20" s="559"/>
      <c r="F20" s="561"/>
    </row>
    <row r="21" spans="2:6" ht="21" customHeight="1">
      <c r="B21" s="559"/>
      <c r="C21" s="559"/>
      <c r="D21" s="559"/>
      <c r="E21" s="559"/>
      <c r="F21" s="561"/>
    </row>
    <row r="22" spans="2:6" ht="21" customHeight="1">
      <c r="B22" s="559"/>
      <c r="C22" s="559"/>
      <c r="D22" s="559"/>
      <c r="E22" s="559"/>
      <c r="F22" s="561"/>
    </row>
    <row r="23" spans="2:6" ht="21" customHeight="1">
      <c r="B23" s="559"/>
      <c r="C23" s="559"/>
      <c r="D23" s="559"/>
      <c r="E23" s="559"/>
      <c r="F23" s="561"/>
    </row>
    <row r="24" spans="2:6" s="315" customFormat="1" ht="21" customHeight="1">
      <c r="B24" s="559"/>
      <c r="C24" s="559"/>
      <c r="D24" s="559"/>
      <c r="E24" s="559"/>
      <c r="F24" s="561"/>
    </row>
    <row r="25" spans="2:6" s="315" customFormat="1" ht="21" customHeight="1">
      <c r="B25" s="559"/>
      <c r="C25" s="559"/>
      <c r="D25" s="559"/>
      <c r="E25" s="559"/>
      <c r="F25" s="561"/>
    </row>
    <row r="26" spans="2:6" s="315" customFormat="1" ht="21" customHeight="1">
      <c r="B26" s="559"/>
      <c r="C26" s="559"/>
      <c r="D26" s="559"/>
      <c r="E26" s="559"/>
      <c r="F26" s="561"/>
    </row>
    <row r="27" spans="2:6" ht="21" customHeight="1">
      <c r="B27" s="559"/>
      <c r="C27" s="559"/>
      <c r="D27" s="559"/>
      <c r="E27" s="559"/>
      <c r="F27" s="561"/>
    </row>
    <row r="28" spans="2:6" ht="21" customHeight="1">
      <c r="B28" s="559"/>
      <c r="C28" s="559"/>
      <c r="D28" s="559"/>
      <c r="E28" s="559"/>
      <c r="F28" s="561"/>
    </row>
    <row r="29" spans="2:6" ht="21" customHeight="1">
      <c r="B29" s="559"/>
      <c r="C29" s="559"/>
      <c r="D29" s="559"/>
      <c r="E29" s="559"/>
      <c r="F29" s="561"/>
    </row>
    <row r="30" spans="2:6" ht="21" customHeight="1">
      <c r="B30" s="559"/>
      <c r="C30" s="559"/>
      <c r="D30" s="559"/>
      <c r="E30" s="559"/>
      <c r="F30" s="561"/>
    </row>
    <row r="31" spans="2:6" ht="21" customHeight="1">
      <c r="B31" s="559"/>
      <c r="C31" s="559"/>
      <c r="D31" s="559"/>
      <c r="E31" s="559"/>
      <c r="F31" s="561"/>
    </row>
    <row r="32" spans="2:6" ht="21" customHeight="1">
      <c r="B32" s="559"/>
      <c r="C32" s="559"/>
      <c r="D32" s="559"/>
      <c r="E32" s="559"/>
      <c r="F32" s="561"/>
    </row>
    <row r="33" spans="2:6" ht="21" customHeight="1">
      <c r="B33" s="559"/>
      <c r="C33" s="559"/>
      <c r="D33" s="559"/>
      <c r="E33" s="559"/>
      <c r="F33" s="561"/>
    </row>
    <row r="34" spans="2:6" ht="21" customHeight="1">
      <c r="B34" s="559"/>
      <c r="C34" s="559"/>
      <c r="D34" s="559"/>
      <c r="E34" s="559"/>
      <c r="F34" s="561"/>
    </row>
    <row r="35" spans="2:6" ht="21" customHeight="1">
      <c r="B35" s="559"/>
      <c r="C35" s="559"/>
      <c r="D35" s="559"/>
      <c r="E35" s="559"/>
      <c r="F35" s="561"/>
    </row>
    <row r="36" spans="2:6" ht="21" customHeight="1">
      <c r="B36" s="559"/>
      <c r="C36" s="559"/>
      <c r="D36" s="559"/>
      <c r="E36" s="559"/>
      <c r="F36" s="561"/>
    </row>
    <row r="37" spans="2:6" ht="21" customHeight="1">
      <c r="B37" s="559"/>
      <c r="C37" s="559"/>
      <c r="D37" s="559"/>
      <c r="E37" s="559"/>
      <c r="F37" s="561"/>
    </row>
    <row r="38" spans="2:6" ht="21" customHeight="1">
      <c r="B38" s="559"/>
      <c r="C38" s="559"/>
      <c r="D38" s="559"/>
      <c r="E38" s="559"/>
      <c r="F38" s="561"/>
    </row>
    <row r="39" spans="2:6" ht="21" customHeight="1">
      <c r="B39" s="559"/>
      <c r="C39" s="559"/>
      <c r="D39" s="559"/>
      <c r="E39" s="559"/>
      <c r="F39" s="561"/>
    </row>
    <row r="40" spans="2:6" ht="21" customHeight="1">
      <c r="B40" s="559"/>
      <c r="C40" s="559"/>
      <c r="D40" s="559"/>
      <c r="E40" s="559"/>
      <c r="F40" s="561"/>
    </row>
    <row r="41" spans="2:6" ht="21" customHeight="1">
      <c r="B41" s="559"/>
      <c r="C41" s="559"/>
      <c r="D41" s="559"/>
      <c r="E41" s="559"/>
      <c r="F41" s="561"/>
    </row>
    <row r="42" spans="2:6" ht="21" customHeight="1">
      <c r="B42" s="559"/>
      <c r="C42" s="559"/>
      <c r="D42" s="559"/>
      <c r="E42" s="559"/>
      <c r="F42" s="561"/>
    </row>
    <row r="43" spans="2:6" ht="21" customHeight="1" thickBot="1">
      <c r="B43" s="321" t="s">
        <v>3316</v>
      </c>
      <c r="C43" s="27"/>
      <c r="D43" s="27"/>
      <c r="E43" s="27"/>
      <c r="F43" s="219">
        <f>SUM(F5:F42)</f>
        <v>9320106.0199999996</v>
      </c>
    </row>
    <row r="44" spans="2:6" ht="13.8" thickTop="1">
      <c r="B44" s="315"/>
      <c r="C44" s="315"/>
      <c r="D44" s="315"/>
      <c r="E44" s="315"/>
      <c r="F44" s="315"/>
    </row>
    <row r="45" spans="2:6">
      <c r="B45" s="1584" t="s">
        <v>663</v>
      </c>
      <c r="C45" s="1584"/>
      <c r="D45" s="1584"/>
      <c r="E45" s="1584"/>
      <c r="F45" s="1584"/>
    </row>
    <row r="46" spans="2:6">
      <c r="B46" s="1584" t="s">
        <v>667</v>
      </c>
      <c r="C46" s="1584"/>
      <c r="D46" s="1584"/>
      <c r="E46" s="1584"/>
      <c r="F46" s="1584"/>
    </row>
    <row r="47" spans="2:6">
      <c r="B47" s="805"/>
      <c r="C47" s="805"/>
      <c r="D47" s="805"/>
      <c r="E47" s="805"/>
      <c r="F47" s="805"/>
    </row>
    <row r="48" spans="2:6">
      <c r="B48" s="315"/>
      <c r="C48" s="315"/>
      <c r="D48" s="315"/>
      <c r="E48" s="315"/>
      <c r="F48" s="315"/>
    </row>
    <row r="49" spans="2:6" ht="13.8">
      <c r="B49" s="1545" t="s">
        <v>3303</v>
      </c>
      <c r="C49" s="1545"/>
      <c r="D49" s="1545"/>
      <c r="E49" s="1545"/>
      <c r="F49" s="1545"/>
    </row>
  </sheetData>
  <sheetProtection password="CAF9" sheet="1" objects="1" scenarios="1"/>
  <mergeCells count="5">
    <mergeCell ref="B49:F49"/>
    <mergeCell ref="B4:F4"/>
    <mergeCell ref="B2:F2"/>
    <mergeCell ref="B45:F45"/>
    <mergeCell ref="B46:F46"/>
  </mergeCells>
  <phoneticPr fontId="0" type="noConversion"/>
  <pageMargins left="0.25" right="0.25" top="0.5" bottom="0.5" header="0.25" footer="0.25"/>
  <pageSetup paperSize="5"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1:I49"/>
  <sheetViews>
    <sheetView zoomScaleNormal="100" workbookViewId="0">
      <selection activeCell="B1" sqref="B1"/>
    </sheetView>
  </sheetViews>
  <sheetFormatPr defaultColWidth="9.109375" defaultRowHeight="13.2"/>
  <cols>
    <col min="1" max="4" width="4.6640625" style="315" customWidth="1"/>
    <col min="5" max="5" width="63.6640625" style="315" customWidth="1"/>
    <col min="6" max="6" width="16.5546875" style="315" customWidth="1"/>
    <col min="7" max="16384" width="9.109375" style="315"/>
  </cols>
  <sheetData>
    <row r="1" spans="2:9">
      <c r="B1" s="844"/>
      <c r="C1" s="844"/>
      <c r="D1" s="844"/>
      <c r="E1" s="844"/>
      <c r="F1" s="844"/>
    </row>
    <row r="2" spans="2:9" ht="22.8">
      <c r="B2" s="1633" t="str">
        <f>'9a-Cash Reconciliation'!B2:F2</f>
        <v xml:space="preserve">  CASH  RECONCILIATION  DECEMBER  31, 2020 (cont'd)  </v>
      </c>
      <c r="C2" s="1633"/>
      <c r="D2" s="1633"/>
      <c r="E2" s="1633"/>
      <c r="F2" s="1633"/>
      <c r="G2" s="727"/>
      <c r="H2" s="727"/>
      <c r="I2" s="727"/>
    </row>
    <row r="3" spans="2:9">
      <c r="B3" s="844"/>
      <c r="C3" s="844"/>
      <c r="D3" s="844"/>
      <c r="E3" s="844"/>
      <c r="F3" s="844"/>
    </row>
    <row r="4" spans="2:9" ht="16.2" thickBot="1">
      <c r="B4" s="1604" t="s">
        <v>666</v>
      </c>
      <c r="C4" s="1604"/>
      <c r="D4" s="1604"/>
      <c r="E4" s="1604"/>
      <c r="F4" s="1604"/>
    </row>
    <row r="5" spans="2:9" ht="21" customHeight="1" thickTop="1">
      <c r="B5" s="873" t="s">
        <v>3317</v>
      </c>
      <c r="C5" s="874"/>
      <c r="D5" s="874"/>
      <c r="E5" s="874"/>
      <c r="F5" s="875">
        <f>+'9a.1-Cash Reconciliation'!F43</f>
        <v>9320106.0199999996</v>
      </c>
    </row>
    <row r="6" spans="2:9" ht="21" customHeight="1">
      <c r="B6" s="559"/>
      <c r="C6" s="559"/>
      <c r="D6" s="559"/>
      <c r="E6" s="559"/>
      <c r="F6" s="561"/>
    </row>
    <row r="7" spans="2:9" ht="21" customHeight="1">
      <c r="B7" s="559"/>
      <c r="C7" s="559"/>
      <c r="D7" s="559"/>
      <c r="E7" s="559"/>
      <c r="F7" s="561"/>
    </row>
    <row r="8" spans="2:9" ht="21" customHeight="1">
      <c r="B8" s="559"/>
      <c r="C8" s="559"/>
      <c r="D8" s="559"/>
      <c r="E8" s="559"/>
      <c r="F8" s="561"/>
    </row>
    <row r="9" spans="2:9" ht="21" customHeight="1">
      <c r="B9" s="559"/>
      <c r="C9" s="559"/>
      <c r="D9" s="559"/>
      <c r="E9" s="559"/>
      <c r="F9" s="561"/>
    </row>
    <row r="10" spans="2:9" ht="21" customHeight="1">
      <c r="B10" s="559"/>
      <c r="C10" s="559"/>
      <c r="D10" s="559"/>
      <c r="E10" s="559"/>
      <c r="F10" s="561"/>
      <c r="I10" s="370"/>
    </row>
    <row r="11" spans="2:9" ht="21" customHeight="1">
      <c r="B11" s="559"/>
      <c r="C11" s="559"/>
      <c r="D11" s="559"/>
      <c r="E11" s="559"/>
      <c r="F11" s="561"/>
    </row>
    <row r="12" spans="2:9" ht="21" customHeight="1">
      <c r="B12" s="559"/>
      <c r="C12" s="559"/>
      <c r="D12" s="559"/>
      <c r="E12" s="559"/>
      <c r="F12" s="561"/>
    </row>
    <row r="13" spans="2:9" ht="21" customHeight="1">
      <c r="B13" s="559"/>
      <c r="C13" s="559"/>
      <c r="D13" s="559"/>
      <c r="E13" s="559"/>
      <c r="F13" s="561"/>
    </row>
    <row r="14" spans="2:9" ht="21" customHeight="1">
      <c r="B14" s="559"/>
      <c r="C14" s="559"/>
      <c r="D14" s="559"/>
      <c r="E14" s="559"/>
      <c r="F14" s="561"/>
    </row>
    <row r="15" spans="2:9" ht="21" customHeight="1">
      <c r="B15" s="559"/>
      <c r="C15" s="559"/>
      <c r="D15" s="559"/>
      <c r="E15" s="559"/>
      <c r="F15" s="561"/>
    </row>
    <row r="16" spans="2:9" ht="21" customHeight="1">
      <c r="B16" s="559"/>
      <c r="C16" s="559"/>
      <c r="D16" s="559"/>
      <c r="E16" s="559"/>
      <c r="F16" s="561"/>
    </row>
    <row r="17" spans="2:6" ht="21" customHeight="1">
      <c r="B17" s="559"/>
      <c r="C17" s="559"/>
      <c r="D17" s="559"/>
      <c r="E17" s="559"/>
      <c r="F17" s="561"/>
    </row>
    <row r="18" spans="2:6" ht="21" customHeight="1">
      <c r="B18" s="559"/>
      <c r="C18" s="559"/>
      <c r="D18" s="559"/>
      <c r="E18" s="559"/>
      <c r="F18" s="561"/>
    </row>
    <row r="19" spans="2:6" ht="21" customHeight="1">
      <c r="B19" s="559"/>
      <c r="C19" s="559"/>
      <c r="D19" s="559"/>
      <c r="E19" s="559"/>
      <c r="F19" s="561"/>
    </row>
    <row r="20" spans="2:6" ht="21" customHeight="1">
      <c r="B20" s="559"/>
      <c r="C20" s="559"/>
      <c r="D20" s="559"/>
      <c r="E20" s="559"/>
      <c r="F20" s="561"/>
    </row>
    <row r="21" spans="2:6" ht="21" customHeight="1">
      <c r="B21" s="559"/>
      <c r="C21" s="559"/>
      <c r="D21" s="559"/>
      <c r="E21" s="559"/>
      <c r="F21" s="561"/>
    </row>
    <row r="22" spans="2:6" ht="21" customHeight="1">
      <c r="B22" s="559"/>
      <c r="C22" s="559"/>
      <c r="D22" s="559"/>
      <c r="E22" s="559"/>
      <c r="F22" s="561"/>
    </row>
    <row r="23" spans="2:6" ht="21" customHeight="1">
      <c r="B23" s="559"/>
      <c r="C23" s="559"/>
      <c r="D23" s="559"/>
      <c r="E23" s="559"/>
      <c r="F23" s="561"/>
    </row>
    <row r="24" spans="2:6" ht="21" customHeight="1">
      <c r="B24" s="559"/>
      <c r="C24" s="559"/>
      <c r="D24" s="559"/>
      <c r="E24" s="559"/>
      <c r="F24" s="561"/>
    </row>
    <row r="25" spans="2:6" ht="21" customHeight="1">
      <c r="B25" s="559"/>
      <c r="C25" s="559"/>
      <c r="D25" s="559"/>
      <c r="E25" s="559"/>
      <c r="F25" s="561"/>
    </row>
    <row r="26" spans="2:6" ht="21" customHeight="1">
      <c r="B26" s="559"/>
      <c r="C26" s="559"/>
      <c r="D26" s="559"/>
      <c r="E26" s="559"/>
      <c r="F26" s="561"/>
    </row>
    <row r="27" spans="2:6" ht="21" customHeight="1">
      <c r="B27" s="559"/>
      <c r="C27" s="559"/>
      <c r="D27" s="559"/>
      <c r="E27" s="559"/>
      <c r="F27" s="561"/>
    </row>
    <row r="28" spans="2:6" ht="21" customHeight="1">
      <c r="B28" s="559"/>
      <c r="C28" s="559"/>
      <c r="D28" s="559"/>
      <c r="E28" s="559"/>
      <c r="F28" s="561"/>
    </row>
    <row r="29" spans="2:6" ht="21" customHeight="1">
      <c r="B29" s="559"/>
      <c r="C29" s="559"/>
      <c r="D29" s="559"/>
      <c r="E29" s="559"/>
      <c r="F29" s="561"/>
    </row>
    <row r="30" spans="2:6" ht="21" customHeight="1">
      <c r="B30" s="559"/>
      <c r="C30" s="559"/>
      <c r="D30" s="559"/>
      <c r="E30" s="559"/>
      <c r="F30" s="561"/>
    </row>
    <row r="31" spans="2:6" ht="21" customHeight="1">
      <c r="B31" s="559"/>
      <c r="C31" s="559"/>
      <c r="D31" s="559"/>
      <c r="E31" s="559"/>
      <c r="F31" s="561"/>
    </row>
    <row r="32" spans="2:6" ht="21" customHeight="1">
      <c r="B32" s="559"/>
      <c r="C32" s="559"/>
      <c r="D32" s="559"/>
      <c r="E32" s="559"/>
      <c r="F32" s="561"/>
    </row>
    <row r="33" spans="2:6" ht="21" customHeight="1">
      <c r="B33" s="559"/>
      <c r="C33" s="559"/>
      <c r="D33" s="559"/>
      <c r="E33" s="559"/>
      <c r="F33" s="561"/>
    </row>
    <row r="34" spans="2:6" ht="21" customHeight="1">
      <c r="B34" s="559"/>
      <c r="C34" s="559"/>
      <c r="D34" s="559"/>
      <c r="E34" s="559"/>
      <c r="F34" s="561"/>
    </row>
    <row r="35" spans="2:6" ht="21" customHeight="1">
      <c r="B35" s="559"/>
      <c r="C35" s="559"/>
      <c r="D35" s="559"/>
      <c r="E35" s="559"/>
      <c r="F35" s="561"/>
    </row>
    <row r="36" spans="2:6" ht="21" customHeight="1">
      <c r="B36" s="559"/>
      <c r="C36" s="559"/>
      <c r="D36" s="559"/>
      <c r="E36" s="559"/>
      <c r="F36" s="561"/>
    </row>
    <row r="37" spans="2:6" ht="21" customHeight="1">
      <c r="B37" s="559"/>
      <c r="C37" s="559"/>
      <c r="D37" s="559"/>
      <c r="E37" s="559"/>
      <c r="F37" s="561"/>
    </row>
    <row r="38" spans="2:6" ht="21" customHeight="1">
      <c r="B38" s="559"/>
      <c r="C38" s="559"/>
      <c r="D38" s="559"/>
      <c r="E38" s="559"/>
      <c r="F38" s="561"/>
    </row>
    <row r="39" spans="2:6" ht="21" customHeight="1">
      <c r="B39" s="559"/>
      <c r="C39" s="559"/>
      <c r="D39" s="559"/>
      <c r="E39" s="559"/>
      <c r="F39" s="561"/>
    </row>
    <row r="40" spans="2:6" ht="21" customHeight="1">
      <c r="B40" s="559"/>
      <c r="C40" s="559"/>
      <c r="D40" s="559"/>
      <c r="E40" s="559"/>
      <c r="F40" s="561"/>
    </row>
    <row r="41" spans="2:6" ht="21" customHeight="1">
      <c r="B41" s="559"/>
      <c r="C41" s="559"/>
      <c r="D41" s="559"/>
      <c r="E41" s="559"/>
      <c r="F41" s="561"/>
    </row>
    <row r="42" spans="2:6" ht="21" customHeight="1">
      <c r="B42" s="559"/>
      <c r="C42" s="559"/>
      <c r="D42" s="559"/>
      <c r="E42" s="559"/>
      <c r="F42" s="561"/>
    </row>
    <row r="43" spans="2:6" ht="21" customHeight="1" thickBot="1">
      <c r="B43" s="321" t="s">
        <v>3316</v>
      </c>
      <c r="C43" s="27"/>
      <c r="D43" s="27"/>
      <c r="E43" s="27"/>
      <c r="F43" s="219">
        <f>SUM(F5:F42)</f>
        <v>9320106.0199999996</v>
      </c>
    </row>
    <row r="44" spans="2:6" ht="13.8" thickTop="1"/>
    <row r="45" spans="2:6">
      <c r="B45" s="1584" t="s">
        <v>663</v>
      </c>
      <c r="C45" s="1584"/>
      <c r="D45" s="1584"/>
      <c r="E45" s="1584"/>
      <c r="F45" s="1584"/>
    </row>
    <row r="46" spans="2:6">
      <c r="B46" s="1584" t="s">
        <v>667</v>
      </c>
      <c r="C46" s="1584"/>
      <c r="D46" s="1584"/>
      <c r="E46" s="1584"/>
      <c r="F46" s="1584"/>
    </row>
    <row r="47" spans="2:6">
      <c r="B47" s="805"/>
      <c r="C47" s="805"/>
      <c r="D47" s="805"/>
      <c r="E47" s="805"/>
      <c r="F47" s="805"/>
    </row>
    <row r="49" spans="2:6" ht="13.8">
      <c r="B49" s="1545" t="s">
        <v>3304</v>
      </c>
      <c r="C49" s="1545"/>
      <c r="D49" s="1545"/>
      <c r="E49" s="1545"/>
      <c r="F49" s="1545"/>
    </row>
  </sheetData>
  <sheetProtection algorithmName="SHA-512" hashValue="iVKw35QEybpB6Wkoq6oS4iOz4LIgKbnYriAps3ptgzaiLjFgxIa1zPTlXRUDx6YZI+rmYVrOdDcf61nFIA7HhQ==" saltValue="ZmLKt/bEQd7a4rnx7gQnKA==" spinCount="100000" sheet="1" scenarios="1"/>
  <mergeCells count="5">
    <mergeCell ref="B2:F2"/>
    <mergeCell ref="B4:F4"/>
    <mergeCell ref="B45:F45"/>
    <mergeCell ref="B46:F46"/>
    <mergeCell ref="B49:F49"/>
  </mergeCells>
  <pageMargins left="0.25" right="0.25" top="0.5" bottom="0.5" header="0.25" footer="0.25"/>
  <pageSetup paperSize="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B1:I49"/>
  <sheetViews>
    <sheetView zoomScaleNormal="100" workbookViewId="0">
      <selection activeCell="B1" sqref="B1"/>
    </sheetView>
  </sheetViews>
  <sheetFormatPr defaultColWidth="9.109375" defaultRowHeight="13.2"/>
  <cols>
    <col min="1" max="4" width="4.6640625" style="315" customWidth="1"/>
    <col min="5" max="5" width="63.6640625" style="315" customWidth="1"/>
    <col min="6" max="6" width="16.5546875" style="315" customWidth="1"/>
    <col min="7" max="16384" width="9.109375" style="315"/>
  </cols>
  <sheetData>
    <row r="1" spans="2:9">
      <c r="B1" s="844"/>
      <c r="C1" s="844"/>
      <c r="D1" s="844"/>
      <c r="E1" s="844"/>
      <c r="F1" s="844"/>
    </row>
    <row r="2" spans="2:9" ht="22.8">
      <c r="B2" s="1633" t="str">
        <f>'9a-Cash Reconciliation'!B2:F2</f>
        <v xml:space="preserve">  CASH  RECONCILIATION  DECEMBER  31, 2020 (cont'd)  </v>
      </c>
      <c r="C2" s="1633"/>
      <c r="D2" s="1633"/>
      <c r="E2" s="1633"/>
      <c r="F2" s="1633"/>
      <c r="G2" s="727"/>
      <c r="H2" s="727"/>
      <c r="I2" s="727"/>
    </row>
    <row r="3" spans="2:9">
      <c r="B3" s="844"/>
      <c r="C3" s="844"/>
      <c r="D3" s="844"/>
      <c r="E3" s="844"/>
      <c r="F3" s="844"/>
    </row>
    <row r="4" spans="2:9" ht="16.2" thickBot="1">
      <c r="B4" s="1604" t="s">
        <v>666</v>
      </c>
      <c r="C4" s="1604"/>
      <c r="D4" s="1604"/>
      <c r="E4" s="1604"/>
      <c r="F4" s="1604"/>
    </row>
    <row r="5" spans="2:9" ht="21" customHeight="1" thickTop="1">
      <c r="B5" s="873" t="s">
        <v>3317</v>
      </c>
      <c r="C5" s="874"/>
      <c r="D5" s="874"/>
      <c r="E5" s="874"/>
      <c r="F5" s="875">
        <f>+'9a.2-Cash Reconciliation'!F43</f>
        <v>9320106.0199999996</v>
      </c>
    </row>
    <row r="6" spans="2:9" ht="21" customHeight="1">
      <c r="B6" s="559"/>
      <c r="C6" s="559"/>
      <c r="D6" s="559"/>
      <c r="E6" s="559"/>
      <c r="F6" s="561"/>
    </row>
    <row r="7" spans="2:9" ht="21" customHeight="1">
      <c r="B7" s="559"/>
      <c r="C7" s="559"/>
      <c r="D7" s="559"/>
      <c r="E7" s="559"/>
      <c r="F7" s="561"/>
    </row>
    <row r="8" spans="2:9" ht="21" customHeight="1">
      <c r="B8" s="559"/>
      <c r="C8" s="559"/>
      <c r="D8" s="559"/>
      <c r="E8" s="559"/>
      <c r="F8" s="561"/>
    </row>
    <row r="9" spans="2:9" ht="21" customHeight="1">
      <c r="B9" s="559"/>
      <c r="C9" s="559"/>
      <c r="D9" s="559"/>
      <c r="E9" s="559"/>
      <c r="F9" s="561"/>
    </row>
    <row r="10" spans="2:9" ht="21" customHeight="1">
      <c r="B10" s="559"/>
      <c r="C10" s="559"/>
      <c r="D10" s="559"/>
      <c r="E10" s="559"/>
      <c r="F10" s="561"/>
      <c r="I10" s="370"/>
    </row>
    <row r="11" spans="2:9" ht="21" customHeight="1">
      <c r="B11" s="559"/>
      <c r="C11" s="559"/>
      <c r="D11" s="559"/>
      <c r="E11" s="559"/>
      <c r="F11" s="561"/>
    </row>
    <row r="12" spans="2:9" ht="21" customHeight="1">
      <c r="B12" s="559"/>
      <c r="C12" s="559"/>
      <c r="D12" s="559"/>
      <c r="E12" s="559"/>
      <c r="F12" s="561"/>
    </row>
    <row r="13" spans="2:9" ht="21" customHeight="1">
      <c r="B13" s="559"/>
      <c r="C13" s="559"/>
      <c r="D13" s="559"/>
      <c r="E13" s="559"/>
      <c r="F13" s="561"/>
    </row>
    <row r="14" spans="2:9" ht="21" customHeight="1">
      <c r="B14" s="559"/>
      <c r="C14" s="559"/>
      <c r="D14" s="559"/>
      <c r="E14" s="559"/>
      <c r="F14" s="561"/>
    </row>
    <row r="15" spans="2:9" ht="21" customHeight="1">
      <c r="B15" s="559"/>
      <c r="C15" s="559"/>
      <c r="D15" s="559"/>
      <c r="E15" s="559"/>
      <c r="F15" s="561"/>
    </row>
    <row r="16" spans="2:9" ht="21" customHeight="1">
      <c r="B16" s="559"/>
      <c r="C16" s="559"/>
      <c r="D16" s="559"/>
      <c r="E16" s="559"/>
      <c r="F16" s="561"/>
    </row>
    <row r="17" spans="2:6" ht="21" customHeight="1">
      <c r="B17" s="559"/>
      <c r="C17" s="559"/>
      <c r="D17" s="559"/>
      <c r="E17" s="559"/>
      <c r="F17" s="561"/>
    </row>
    <row r="18" spans="2:6" ht="21" customHeight="1">
      <c r="B18" s="559"/>
      <c r="C18" s="559"/>
      <c r="D18" s="559"/>
      <c r="E18" s="559"/>
      <c r="F18" s="561"/>
    </row>
    <row r="19" spans="2:6" ht="21" customHeight="1">
      <c r="B19" s="559"/>
      <c r="C19" s="559"/>
      <c r="D19" s="559"/>
      <c r="E19" s="559"/>
      <c r="F19" s="561"/>
    </row>
    <row r="20" spans="2:6" ht="21" customHeight="1">
      <c r="B20" s="559"/>
      <c r="C20" s="559"/>
      <c r="D20" s="559"/>
      <c r="E20" s="559"/>
      <c r="F20" s="561"/>
    </row>
    <row r="21" spans="2:6" ht="21" customHeight="1">
      <c r="B21" s="559"/>
      <c r="C21" s="559"/>
      <c r="D21" s="559"/>
      <c r="E21" s="559"/>
      <c r="F21" s="561"/>
    </row>
    <row r="22" spans="2:6" ht="21" customHeight="1">
      <c r="B22" s="559"/>
      <c r="C22" s="559"/>
      <c r="D22" s="559"/>
      <c r="E22" s="559"/>
      <c r="F22" s="561"/>
    </row>
    <row r="23" spans="2:6" ht="21" customHeight="1">
      <c r="B23" s="559"/>
      <c r="C23" s="559"/>
      <c r="D23" s="559"/>
      <c r="E23" s="559"/>
      <c r="F23" s="561"/>
    </row>
    <row r="24" spans="2:6" ht="21" customHeight="1">
      <c r="B24" s="559"/>
      <c r="C24" s="559"/>
      <c r="D24" s="559"/>
      <c r="E24" s="559"/>
      <c r="F24" s="561"/>
    </row>
    <row r="25" spans="2:6" ht="21" customHeight="1">
      <c r="B25" s="559"/>
      <c r="C25" s="559"/>
      <c r="D25" s="559"/>
      <c r="E25" s="559"/>
      <c r="F25" s="561"/>
    </row>
    <row r="26" spans="2:6" ht="21" customHeight="1">
      <c r="B26" s="559"/>
      <c r="C26" s="559"/>
      <c r="D26" s="559"/>
      <c r="E26" s="559"/>
      <c r="F26" s="561"/>
    </row>
    <row r="27" spans="2:6" ht="21" customHeight="1">
      <c r="B27" s="559"/>
      <c r="C27" s="559"/>
      <c r="D27" s="559"/>
      <c r="E27" s="559"/>
      <c r="F27" s="561"/>
    </row>
    <row r="28" spans="2:6" ht="21" customHeight="1">
      <c r="B28" s="559"/>
      <c r="C28" s="559"/>
      <c r="D28" s="559"/>
      <c r="E28" s="559"/>
      <c r="F28" s="561"/>
    </row>
    <row r="29" spans="2:6" ht="21" customHeight="1">
      <c r="B29" s="559"/>
      <c r="C29" s="559"/>
      <c r="D29" s="559"/>
      <c r="E29" s="559"/>
      <c r="F29" s="561"/>
    </row>
    <row r="30" spans="2:6" ht="21" customHeight="1">
      <c r="B30" s="559"/>
      <c r="C30" s="559"/>
      <c r="D30" s="559"/>
      <c r="E30" s="559"/>
      <c r="F30" s="561"/>
    </row>
    <row r="31" spans="2:6" ht="21" customHeight="1">
      <c r="B31" s="559"/>
      <c r="C31" s="559"/>
      <c r="D31" s="559"/>
      <c r="E31" s="559"/>
      <c r="F31" s="561"/>
    </row>
    <row r="32" spans="2:6" ht="21" customHeight="1">
      <c r="B32" s="559"/>
      <c r="C32" s="559"/>
      <c r="D32" s="559"/>
      <c r="E32" s="559"/>
      <c r="F32" s="561"/>
    </row>
    <row r="33" spans="2:6" ht="21" customHeight="1">
      <c r="B33" s="559"/>
      <c r="C33" s="559"/>
      <c r="D33" s="559"/>
      <c r="E33" s="559"/>
      <c r="F33" s="561"/>
    </row>
    <row r="34" spans="2:6" ht="21" customHeight="1">
      <c r="B34" s="559"/>
      <c r="C34" s="559"/>
      <c r="D34" s="559"/>
      <c r="E34" s="559"/>
      <c r="F34" s="561"/>
    </row>
    <row r="35" spans="2:6" ht="21" customHeight="1">
      <c r="B35" s="559"/>
      <c r="C35" s="559"/>
      <c r="D35" s="559"/>
      <c r="E35" s="559"/>
      <c r="F35" s="561"/>
    </row>
    <row r="36" spans="2:6" ht="21" customHeight="1">
      <c r="B36" s="559"/>
      <c r="C36" s="559"/>
      <c r="D36" s="559"/>
      <c r="E36" s="559"/>
      <c r="F36" s="561"/>
    </row>
    <row r="37" spans="2:6" ht="21" customHeight="1">
      <c r="B37" s="559"/>
      <c r="C37" s="559"/>
      <c r="D37" s="559"/>
      <c r="E37" s="559"/>
      <c r="F37" s="561"/>
    </row>
    <row r="38" spans="2:6" ht="21" customHeight="1">
      <c r="B38" s="559"/>
      <c r="C38" s="559"/>
      <c r="D38" s="559"/>
      <c r="E38" s="559"/>
      <c r="F38" s="561"/>
    </row>
    <row r="39" spans="2:6" ht="21" customHeight="1">
      <c r="B39" s="559"/>
      <c r="C39" s="559"/>
      <c r="D39" s="559"/>
      <c r="E39" s="559"/>
      <c r="F39" s="561"/>
    </row>
    <row r="40" spans="2:6" ht="21" customHeight="1">
      <c r="B40" s="559"/>
      <c r="C40" s="559"/>
      <c r="D40" s="559"/>
      <c r="E40" s="559"/>
      <c r="F40" s="561"/>
    </row>
    <row r="41" spans="2:6" ht="21" customHeight="1">
      <c r="B41" s="559"/>
      <c r="C41" s="559"/>
      <c r="D41" s="559"/>
      <c r="E41" s="559"/>
      <c r="F41" s="561"/>
    </row>
    <row r="42" spans="2:6" ht="21" customHeight="1">
      <c r="B42" s="559"/>
      <c r="C42" s="559"/>
      <c r="D42" s="559"/>
      <c r="E42" s="559"/>
      <c r="F42" s="561"/>
    </row>
    <row r="43" spans="2:6" ht="21" customHeight="1" thickBot="1">
      <c r="B43" s="321" t="s">
        <v>3316</v>
      </c>
      <c r="C43" s="27"/>
      <c r="D43" s="27"/>
      <c r="E43" s="27"/>
      <c r="F43" s="219">
        <f>SUM(F5:F42)</f>
        <v>9320106.0199999996</v>
      </c>
    </row>
    <row r="44" spans="2:6" ht="13.8" thickTop="1"/>
    <row r="45" spans="2:6">
      <c r="B45" s="1584" t="s">
        <v>663</v>
      </c>
      <c r="C45" s="1584"/>
      <c r="D45" s="1584"/>
      <c r="E45" s="1584"/>
      <c r="F45" s="1584"/>
    </row>
    <row r="46" spans="2:6">
      <c r="B46" s="1584" t="s">
        <v>667</v>
      </c>
      <c r="C46" s="1584"/>
      <c r="D46" s="1584"/>
      <c r="E46" s="1584"/>
      <c r="F46" s="1584"/>
    </row>
    <row r="47" spans="2:6">
      <c r="B47" s="805"/>
      <c r="C47" s="805"/>
      <c r="D47" s="805"/>
      <c r="E47" s="805"/>
      <c r="F47" s="805"/>
    </row>
    <row r="49" spans="2:6" ht="13.8">
      <c r="B49" s="1545" t="s">
        <v>3305</v>
      </c>
      <c r="C49" s="1545"/>
      <c r="D49" s="1545"/>
      <c r="E49" s="1545"/>
      <c r="F49" s="1545"/>
    </row>
  </sheetData>
  <sheetProtection algorithmName="SHA-512" hashValue="bWuaQyx2VQsA3nXZvfHD6MdJMGaliLhaXWY4scrPo/4tVPzUVpD+T6naY6BE8fMtdktmqJRn0FY0j3jSleQbzw==" saltValue="EwMCfOSjrZxBfaYv2viaRg==" spinCount="100000" sheet="1" scenarios="1"/>
  <mergeCells count="5">
    <mergeCell ref="B2:F2"/>
    <mergeCell ref="B4:F4"/>
    <mergeCell ref="B45:F45"/>
    <mergeCell ref="B46:F46"/>
    <mergeCell ref="B49:F49"/>
  </mergeCells>
  <pageMargins left="0.25" right="0.25" top="0.5" bottom="0.5" header="0.25" footer="0.25"/>
  <pageSetup paperSize="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49"/>
  <sheetViews>
    <sheetView zoomScaleNormal="100" workbookViewId="0">
      <selection activeCell="B1" sqref="B1"/>
    </sheetView>
  </sheetViews>
  <sheetFormatPr defaultColWidth="9.109375" defaultRowHeight="13.2"/>
  <cols>
    <col min="1" max="4" width="4.6640625" style="315" customWidth="1"/>
    <col min="5" max="5" width="63.6640625" style="315" customWidth="1"/>
    <col min="6" max="6" width="16.5546875" style="315" customWidth="1"/>
    <col min="7" max="16384" width="9.109375" style="315"/>
  </cols>
  <sheetData>
    <row r="1" spans="1:9">
      <c r="A1" s="844"/>
      <c r="B1" s="844"/>
      <c r="C1" s="844"/>
      <c r="D1" s="844"/>
      <c r="E1" s="844"/>
      <c r="F1" s="844"/>
    </row>
    <row r="2" spans="1:9" ht="22.8">
      <c r="A2" s="844"/>
      <c r="B2" s="1633" t="str">
        <f>'9a-Cash Reconciliation'!B2:F2</f>
        <v xml:space="preserve">  CASH  RECONCILIATION  DECEMBER  31, 2020 (cont'd)  </v>
      </c>
      <c r="C2" s="1633"/>
      <c r="D2" s="1633"/>
      <c r="E2" s="1633"/>
      <c r="F2" s="1633"/>
      <c r="G2" s="727"/>
      <c r="H2" s="727"/>
      <c r="I2" s="727"/>
    </row>
    <row r="3" spans="1:9">
      <c r="A3" s="844"/>
      <c r="B3" s="844"/>
      <c r="C3" s="844"/>
      <c r="D3" s="844"/>
      <c r="E3" s="844"/>
      <c r="F3" s="844"/>
    </row>
    <row r="4" spans="1:9" ht="16.2" thickBot="1">
      <c r="A4" s="844"/>
      <c r="B4" s="1604" t="s">
        <v>666</v>
      </c>
      <c r="C4" s="1604"/>
      <c r="D4" s="1604"/>
      <c r="E4" s="1604"/>
      <c r="F4" s="1604"/>
    </row>
    <row r="5" spans="1:9" ht="21" customHeight="1" thickTop="1">
      <c r="A5" s="844"/>
      <c r="B5" s="873" t="s">
        <v>3317</v>
      </c>
      <c r="C5" s="874"/>
      <c r="D5" s="874"/>
      <c r="E5" s="874"/>
      <c r="F5" s="875">
        <f>+'9a.3-Cash Reconciliation'!F43</f>
        <v>9320106.0199999996</v>
      </c>
    </row>
    <row r="6" spans="1:9" ht="21" customHeight="1">
      <c r="B6" s="559"/>
      <c r="C6" s="559"/>
      <c r="D6" s="559"/>
      <c r="E6" s="559"/>
      <c r="F6" s="561"/>
    </row>
    <row r="7" spans="1:9" ht="21" customHeight="1">
      <c r="B7" s="559"/>
      <c r="C7" s="559"/>
      <c r="D7" s="559"/>
      <c r="E7" s="559"/>
      <c r="F7" s="561"/>
    </row>
    <row r="8" spans="1:9" ht="21" customHeight="1">
      <c r="B8" s="559"/>
      <c r="C8" s="559"/>
      <c r="D8" s="559"/>
      <c r="E8" s="559"/>
      <c r="F8" s="561"/>
    </row>
    <row r="9" spans="1:9" ht="21" customHeight="1">
      <c r="B9" s="559"/>
      <c r="C9" s="559"/>
      <c r="D9" s="559"/>
      <c r="E9" s="559"/>
      <c r="F9" s="561"/>
    </row>
    <row r="10" spans="1:9" ht="21" customHeight="1">
      <c r="B10" s="559"/>
      <c r="C10" s="559"/>
      <c r="D10" s="559"/>
      <c r="E10" s="559"/>
      <c r="F10" s="561"/>
      <c r="I10" s="370"/>
    </row>
    <row r="11" spans="1:9" ht="21" customHeight="1">
      <c r="B11" s="559"/>
      <c r="C11" s="559"/>
      <c r="D11" s="559"/>
      <c r="E11" s="559"/>
      <c r="F11" s="561"/>
    </row>
    <row r="12" spans="1:9" ht="21" customHeight="1">
      <c r="B12" s="559"/>
      <c r="C12" s="559"/>
      <c r="D12" s="559"/>
      <c r="E12" s="559"/>
      <c r="F12" s="561"/>
    </row>
    <row r="13" spans="1:9" ht="21" customHeight="1">
      <c r="B13" s="559"/>
      <c r="C13" s="559"/>
      <c r="D13" s="559"/>
      <c r="E13" s="559"/>
      <c r="F13" s="561"/>
    </row>
    <row r="14" spans="1:9" ht="21" customHeight="1">
      <c r="B14" s="559"/>
      <c r="C14" s="559"/>
      <c r="D14" s="559"/>
      <c r="E14" s="559"/>
      <c r="F14" s="561"/>
    </row>
    <row r="15" spans="1:9" ht="21" customHeight="1">
      <c r="B15" s="559"/>
      <c r="C15" s="559"/>
      <c r="D15" s="559"/>
      <c r="E15" s="559"/>
      <c r="F15" s="561"/>
    </row>
    <row r="16" spans="1:9" ht="21" customHeight="1">
      <c r="B16" s="559"/>
      <c r="C16" s="559"/>
      <c r="D16" s="559"/>
      <c r="E16" s="559"/>
      <c r="F16" s="561"/>
    </row>
    <row r="17" spans="2:6" ht="21" customHeight="1">
      <c r="B17" s="559"/>
      <c r="C17" s="559"/>
      <c r="D17" s="559"/>
      <c r="E17" s="559"/>
      <c r="F17" s="561"/>
    </row>
    <row r="18" spans="2:6" ht="21" customHeight="1">
      <c r="B18" s="559"/>
      <c r="C18" s="559"/>
      <c r="D18" s="559"/>
      <c r="E18" s="559"/>
      <c r="F18" s="561"/>
    </row>
    <row r="19" spans="2:6" ht="21" customHeight="1">
      <c r="B19" s="559"/>
      <c r="C19" s="559"/>
      <c r="D19" s="559"/>
      <c r="E19" s="559"/>
      <c r="F19" s="561"/>
    </row>
    <row r="20" spans="2:6" ht="21" customHeight="1">
      <c r="B20" s="559"/>
      <c r="C20" s="559"/>
      <c r="D20" s="559"/>
      <c r="E20" s="559"/>
      <c r="F20" s="561"/>
    </row>
    <row r="21" spans="2:6" ht="21" customHeight="1">
      <c r="B21" s="559"/>
      <c r="C21" s="559"/>
      <c r="D21" s="559"/>
      <c r="E21" s="559"/>
      <c r="F21" s="561"/>
    </row>
    <row r="22" spans="2:6" ht="21" customHeight="1">
      <c r="B22" s="559"/>
      <c r="C22" s="559"/>
      <c r="D22" s="559"/>
      <c r="E22" s="559"/>
      <c r="F22" s="561"/>
    </row>
    <row r="23" spans="2:6" ht="21" customHeight="1">
      <c r="B23" s="559"/>
      <c r="C23" s="559"/>
      <c r="D23" s="559"/>
      <c r="E23" s="559"/>
      <c r="F23" s="561"/>
    </row>
    <row r="24" spans="2:6" ht="21" customHeight="1">
      <c r="B24" s="559"/>
      <c r="C24" s="559"/>
      <c r="D24" s="559"/>
      <c r="E24" s="559"/>
      <c r="F24" s="561"/>
    </row>
    <row r="25" spans="2:6" ht="21" customHeight="1">
      <c r="B25" s="559"/>
      <c r="C25" s="559"/>
      <c r="D25" s="559"/>
      <c r="E25" s="559"/>
      <c r="F25" s="561"/>
    </row>
    <row r="26" spans="2:6" ht="21" customHeight="1">
      <c r="B26" s="559"/>
      <c r="C26" s="559"/>
      <c r="D26" s="559"/>
      <c r="E26" s="559"/>
      <c r="F26" s="561"/>
    </row>
    <row r="27" spans="2:6" ht="21" customHeight="1">
      <c r="B27" s="559"/>
      <c r="C27" s="559"/>
      <c r="D27" s="559"/>
      <c r="E27" s="559"/>
      <c r="F27" s="561"/>
    </row>
    <row r="28" spans="2:6" ht="21" customHeight="1">
      <c r="B28" s="559"/>
      <c r="C28" s="559"/>
      <c r="D28" s="559"/>
      <c r="E28" s="559"/>
      <c r="F28" s="561"/>
    </row>
    <row r="29" spans="2:6" ht="21" customHeight="1">
      <c r="B29" s="559"/>
      <c r="C29" s="559"/>
      <c r="D29" s="559"/>
      <c r="E29" s="559"/>
      <c r="F29" s="561"/>
    </row>
    <row r="30" spans="2:6" ht="21" customHeight="1">
      <c r="B30" s="559"/>
      <c r="C30" s="559"/>
      <c r="D30" s="559"/>
      <c r="E30" s="559"/>
      <c r="F30" s="561"/>
    </row>
    <row r="31" spans="2:6" ht="21" customHeight="1">
      <c r="B31" s="559"/>
      <c r="C31" s="559"/>
      <c r="D31" s="559"/>
      <c r="E31" s="559"/>
      <c r="F31" s="561"/>
    </row>
    <row r="32" spans="2:6" ht="21" customHeight="1">
      <c r="B32" s="559"/>
      <c r="C32" s="559"/>
      <c r="D32" s="559"/>
      <c r="E32" s="559"/>
      <c r="F32" s="561"/>
    </row>
    <row r="33" spans="2:6" ht="21" customHeight="1">
      <c r="B33" s="559"/>
      <c r="C33" s="559"/>
      <c r="D33" s="559"/>
      <c r="E33" s="559"/>
      <c r="F33" s="561"/>
    </row>
    <row r="34" spans="2:6" ht="21" customHeight="1">
      <c r="B34" s="559"/>
      <c r="C34" s="559"/>
      <c r="D34" s="559"/>
      <c r="E34" s="559"/>
      <c r="F34" s="561"/>
    </row>
    <row r="35" spans="2:6" ht="21" customHeight="1">
      <c r="B35" s="559"/>
      <c r="C35" s="559"/>
      <c r="D35" s="559"/>
      <c r="E35" s="559"/>
      <c r="F35" s="561"/>
    </row>
    <row r="36" spans="2:6" ht="21" customHeight="1">
      <c r="B36" s="559"/>
      <c r="C36" s="559"/>
      <c r="D36" s="559"/>
      <c r="E36" s="559"/>
      <c r="F36" s="561"/>
    </row>
    <row r="37" spans="2:6" ht="21" customHeight="1">
      <c r="B37" s="559"/>
      <c r="C37" s="559"/>
      <c r="D37" s="559"/>
      <c r="E37" s="559"/>
      <c r="F37" s="561"/>
    </row>
    <row r="38" spans="2:6" ht="21" customHeight="1">
      <c r="B38" s="559"/>
      <c r="C38" s="559"/>
      <c r="D38" s="559"/>
      <c r="E38" s="559"/>
      <c r="F38" s="561"/>
    </row>
    <row r="39" spans="2:6" ht="21" customHeight="1">
      <c r="B39" s="559"/>
      <c r="C39" s="559"/>
      <c r="D39" s="559"/>
      <c r="E39" s="559"/>
      <c r="F39" s="561"/>
    </row>
    <row r="40" spans="2:6" ht="21" customHeight="1">
      <c r="B40" s="559"/>
      <c r="C40" s="559"/>
      <c r="D40" s="559"/>
      <c r="E40" s="559"/>
      <c r="F40" s="561"/>
    </row>
    <row r="41" spans="2:6" ht="21" customHeight="1">
      <c r="B41" s="559"/>
      <c r="C41" s="559"/>
      <c r="D41" s="559"/>
      <c r="E41" s="559"/>
      <c r="F41" s="561"/>
    </row>
    <row r="42" spans="2:6" ht="21" customHeight="1">
      <c r="B42" s="559"/>
      <c r="C42" s="559"/>
      <c r="D42" s="559"/>
      <c r="E42" s="559"/>
      <c r="F42" s="561"/>
    </row>
    <row r="43" spans="2:6" ht="21" customHeight="1" thickBot="1">
      <c r="B43" s="321" t="s">
        <v>3411</v>
      </c>
      <c r="C43" s="27"/>
      <c r="D43" s="27"/>
      <c r="E43" s="27"/>
      <c r="F43" s="219">
        <f>SUM(F5:F42)</f>
        <v>9320106.0199999996</v>
      </c>
    </row>
    <row r="44" spans="2:6" ht="13.8" thickTop="1"/>
    <row r="45" spans="2:6">
      <c r="B45" s="1584" t="s">
        <v>663</v>
      </c>
      <c r="C45" s="1584"/>
      <c r="D45" s="1584"/>
      <c r="E45" s="1584"/>
      <c r="F45" s="1584"/>
    </row>
    <row r="46" spans="2:6">
      <c r="B46" s="1584" t="s">
        <v>667</v>
      </c>
      <c r="C46" s="1584"/>
      <c r="D46" s="1584"/>
      <c r="E46" s="1584"/>
      <c r="F46" s="1584"/>
    </row>
    <row r="47" spans="2:6">
      <c r="B47" s="805"/>
      <c r="C47" s="805"/>
      <c r="D47" s="805"/>
      <c r="E47" s="805"/>
      <c r="F47" s="805"/>
    </row>
    <row r="49" spans="2:6" ht="13.8">
      <c r="B49" s="1545" t="s">
        <v>3321</v>
      </c>
      <c r="C49" s="1545"/>
      <c r="D49" s="1545"/>
      <c r="E49" s="1545"/>
      <c r="F49" s="1545"/>
    </row>
  </sheetData>
  <sheetProtection algorithmName="SHA-512" hashValue="3Cu3ttYQuzSZDr6tZ/+G9rkAgpHs6VkKHLJ6oVKQcX1Dv4XKbtiL27uSnqTRiDAyc9g45OwY682f9JvN6hFkGA==" saltValue="B3ZmPU+6Bi2pp/S1C7qSBg==" spinCount="100000" sheet="1" scenarios="1"/>
  <mergeCells count="5">
    <mergeCell ref="B2:F2"/>
    <mergeCell ref="B4:F4"/>
    <mergeCell ref="B45:F45"/>
    <mergeCell ref="B46:F46"/>
    <mergeCell ref="B49:F49"/>
  </mergeCells>
  <pageMargins left="0.25" right="0.25" top="0.5" bottom="0.5" header="0.25" footer="0.25"/>
  <pageSetup paperSize="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N31"/>
  <sheetViews>
    <sheetView zoomScaleNormal="100" workbookViewId="0">
      <selection activeCell="B16" sqref="B16"/>
    </sheetView>
  </sheetViews>
  <sheetFormatPr defaultRowHeight="13.2"/>
  <cols>
    <col min="1" max="1" width="5.6640625" customWidth="1"/>
    <col min="2" max="4" width="4.88671875" customWidth="1"/>
    <col min="5" max="5" width="36.44140625" customWidth="1"/>
    <col min="6" max="11" width="15.6640625" customWidth="1"/>
    <col min="12" max="12" width="11.88671875" bestFit="1" customWidth="1"/>
  </cols>
  <sheetData>
    <row r="1" spans="1:14">
      <c r="B1" s="315"/>
      <c r="C1" s="315"/>
      <c r="D1" s="315"/>
      <c r="E1" s="315"/>
      <c r="F1" s="315"/>
      <c r="G1" s="315"/>
      <c r="H1" s="315"/>
      <c r="I1" s="315"/>
      <c r="J1" s="315"/>
      <c r="K1" s="315"/>
    </row>
    <row r="2" spans="1:14" ht="20.399999999999999">
      <c r="B2" s="1546" t="s">
        <v>240</v>
      </c>
      <c r="C2" s="1546"/>
      <c r="D2" s="1546"/>
      <c r="E2" s="1546"/>
      <c r="F2" s="1546"/>
      <c r="G2" s="1546"/>
      <c r="H2" s="1546"/>
      <c r="I2" s="1546"/>
      <c r="J2" s="1546"/>
      <c r="K2" s="1546"/>
    </row>
    <row r="3" spans="1:14" ht="21" thickBot="1">
      <c r="B3" s="1546" t="s">
        <v>241</v>
      </c>
      <c r="C3" s="1546"/>
      <c r="D3" s="1546"/>
      <c r="E3" s="1546"/>
      <c r="F3" s="1546"/>
      <c r="G3" s="1546"/>
      <c r="H3" s="1546"/>
      <c r="I3" s="1546"/>
      <c r="J3" s="1546"/>
      <c r="K3" s="1546"/>
    </row>
    <row r="4" spans="1:14" ht="13.8" thickTop="1">
      <c r="B4" s="11"/>
      <c r="C4" s="11"/>
      <c r="D4" s="11"/>
      <c r="E4" s="11"/>
      <c r="F4" s="12"/>
      <c r="G4" s="12">
        <f>'KEY INPUTS'!D34</f>
        <v>2020</v>
      </c>
      <c r="H4" s="12"/>
      <c r="I4" s="6"/>
      <c r="J4" s="11"/>
      <c r="K4" s="18"/>
    </row>
    <row r="5" spans="1:14">
      <c r="B5" s="1584" t="s">
        <v>673</v>
      </c>
      <c r="C5" s="1584"/>
      <c r="D5" s="1584"/>
      <c r="E5" s="1634"/>
      <c r="F5" s="275" t="s">
        <v>559</v>
      </c>
      <c r="G5" s="275" t="s">
        <v>564</v>
      </c>
      <c r="H5" s="275" t="s">
        <v>672</v>
      </c>
      <c r="I5" s="779" t="s">
        <v>228</v>
      </c>
      <c r="J5" s="248" t="s">
        <v>472</v>
      </c>
      <c r="K5" s="855" t="s">
        <v>559</v>
      </c>
    </row>
    <row r="6" spans="1:14">
      <c r="B6" s="315"/>
      <c r="C6" s="315"/>
      <c r="D6" s="315"/>
      <c r="E6" s="315"/>
      <c r="F6" s="292" t="str">
        <f>'KEY INPUTS'!D47</f>
        <v>Jan. 1, 2020</v>
      </c>
      <c r="G6" s="275" t="s">
        <v>670</v>
      </c>
      <c r="H6" s="275"/>
      <c r="I6" s="15"/>
      <c r="J6" s="810"/>
      <c r="K6" s="856" t="str">
        <f>'KEY INPUTS'!D46</f>
        <v>Dec. 31, 2020</v>
      </c>
    </row>
    <row r="7" spans="1:14" ht="13.8" thickBot="1">
      <c r="B7" s="10"/>
      <c r="C7" s="10"/>
      <c r="D7" s="10"/>
      <c r="E7" s="10"/>
      <c r="F7" s="14"/>
      <c r="G7" s="16" t="s">
        <v>671</v>
      </c>
      <c r="H7" s="14"/>
      <c r="I7" s="14"/>
      <c r="J7" s="17"/>
      <c r="K7" s="857"/>
    </row>
    <row r="8" spans="1:14" ht="21" customHeight="1" thickTop="1">
      <c r="B8" s="633" t="s">
        <v>3638</v>
      </c>
      <c r="C8" s="562"/>
      <c r="D8" s="562"/>
      <c r="E8" s="563"/>
      <c r="F8" s="564"/>
      <c r="G8" s="564">
        <v>5701.44</v>
      </c>
      <c r="H8" s="564">
        <v>5701.44</v>
      </c>
      <c r="I8" s="564"/>
      <c r="J8" s="564"/>
      <c r="K8" s="876">
        <f>+F8+G8-H8+I8-J8</f>
        <v>0</v>
      </c>
    </row>
    <row r="9" spans="1:14" ht="21" customHeight="1">
      <c r="B9" s="559" t="s">
        <v>3639</v>
      </c>
      <c r="C9" s="756"/>
      <c r="D9" s="559"/>
      <c r="E9" s="565"/>
      <c r="F9" s="367">
        <v>9000</v>
      </c>
      <c r="G9" s="367">
        <v>2000</v>
      </c>
      <c r="H9" s="367"/>
      <c r="I9" s="367"/>
      <c r="J9" s="367"/>
      <c r="K9" s="835">
        <f t="shared" ref="K9:K26" si="0">+F9+G9-H9+I9-J9</f>
        <v>11000</v>
      </c>
      <c r="L9" s="318"/>
    </row>
    <row r="10" spans="1:14" ht="21" customHeight="1">
      <c r="B10" s="559" t="s">
        <v>3640</v>
      </c>
      <c r="C10" s="757"/>
      <c r="D10" s="559"/>
      <c r="E10" s="565"/>
      <c r="F10" s="367"/>
      <c r="G10" s="367">
        <v>2330.11</v>
      </c>
      <c r="H10" s="367">
        <v>2330.11</v>
      </c>
      <c r="I10" s="367"/>
      <c r="J10" s="367"/>
      <c r="K10" s="835">
        <f t="shared" si="0"/>
        <v>0</v>
      </c>
      <c r="L10" s="221"/>
      <c r="N10" s="370"/>
    </row>
    <row r="11" spans="1:14" ht="21" customHeight="1">
      <c r="B11" s="560" t="s">
        <v>3641</v>
      </c>
      <c r="C11" s="758"/>
      <c r="D11" s="559"/>
      <c r="E11" s="565"/>
      <c r="F11" s="367">
        <v>0.1</v>
      </c>
      <c r="G11" s="367"/>
      <c r="H11" s="367"/>
      <c r="I11" s="367"/>
      <c r="J11" s="367">
        <v>0.1</v>
      </c>
      <c r="K11" s="835">
        <f t="shared" si="0"/>
        <v>0</v>
      </c>
      <c r="L11" s="221"/>
    </row>
    <row r="12" spans="1:14" ht="21" customHeight="1">
      <c r="B12" s="559" t="s">
        <v>3642</v>
      </c>
      <c r="C12" s="756"/>
      <c r="D12" s="559"/>
      <c r="E12" s="565"/>
      <c r="F12" s="367"/>
      <c r="G12" s="367">
        <v>1500</v>
      </c>
      <c r="H12" s="367">
        <v>1500</v>
      </c>
      <c r="I12" s="367"/>
      <c r="J12" s="367"/>
      <c r="K12" s="835">
        <f t="shared" si="0"/>
        <v>0</v>
      </c>
      <c r="L12" s="221"/>
    </row>
    <row r="13" spans="1:14" ht="21" customHeight="1">
      <c r="B13" s="559" t="s">
        <v>3643</v>
      </c>
      <c r="C13" s="757"/>
      <c r="D13" s="559"/>
      <c r="E13" s="565"/>
      <c r="F13" s="367"/>
      <c r="G13" s="367">
        <v>1500</v>
      </c>
      <c r="H13" s="367">
        <v>1498</v>
      </c>
      <c r="I13" s="367"/>
      <c r="J13" s="367">
        <v>2</v>
      </c>
      <c r="K13" s="835">
        <f t="shared" si="0"/>
        <v>0</v>
      </c>
      <c r="L13" s="221"/>
    </row>
    <row r="14" spans="1:14" ht="21" customHeight="1">
      <c r="B14" s="559" t="s">
        <v>3644</v>
      </c>
      <c r="C14" s="756"/>
      <c r="D14" s="559"/>
      <c r="E14" s="565"/>
      <c r="F14" s="367"/>
      <c r="G14" s="367">
        <v>750</v>
      </c>
      <c r="H14" s="367">
        <v>750</v>
      </c>
      <c r="I14" s="367"/>
      <c r="J14" s="367"/>
      <c r="K14" s="835">
        <f t="shared" si="0"/>
        <v>0</v>
      </c>
      <c r="L14" s="221"/>
    </row>
    <row r="15" spans="1:14" ht="21" customHeight="1">
      <c r="A15" s="1613" t="s">
        <v>669</v>
      </c>
      <c r="B15" s="559" t="s">
        <v>3645</v>
      </c>
      <c r="C15" s="756"/>
      <c r="D15" s="559"/>
      <c r="E15" s="565"/>
      <c r="F15" s="367"/>
      <c r="G15" s="367">
        <v>1000</v>
      </c>
      <c r="H15" s="367">
        <v>1000</v>
      </c>
      <c r="I15" s="367"/>
      <c r="J15" s="367"/>
      <c r="K15" s="835">
        <f t="shared" si="0"/>
        <v>0</v>
      </c>
      <c r="L15" s="221"/>
    </row>
    <row r="16" spans="1:14" ht="21" customHeight="1">
      <c r="A16" s="1613"/>
      <c r="B16" s="560" t="s">
        <v>3646</v>
      </c>
      <c r="C16" s="758"/>
      <c r="D16" s="559"/>
      <c r="E16" s="565"/>
      <c r="F16" s="367"/>
      <c r="G16" s="367">
        <v>5000</v>
      </c>
      <c r="H16" s="367">
        <v>2500</v>
      </c>
      <c r="I16" s="367"/>
      <c r="J16" s="367"/>
      <c r="K16" s="835">
        <f t="shared" si="0"/>
        <v>2500</v>
      </c>
      <c r="L16" s="221"/>
    </row>
    <row r="17" spans="1:12" ht="21" customHeight="1">
      <c r="A17" s="1613"/>
      <c r="B17" s="559"/>
      <c r="C17" s="756"/>
      <c r="D17" s="559"/>
      <c r="E17" s="565"/>
      <c r="F17" s="367"/>
      <c r="G17" s="367"/>
      <c r="H17" s="367"/>
      <c r="I17" s="367"/>
      <c r="J17" s="367"/>
      <c r="K17" s="835">
        <f t="shared" si="0"/>
        <v>0</v>
      </c>
      <c r="L17" s="221"/>
    </row>
    <row r="18" spans="1:12" ht="21" customHeight="1">
      <c r="B18" s="559"/>
      <c r="C18" s="757"/>
      <c r="D18" s="559"/>
      <c r="E18" s="565"/>
      <c r="F18" s="367"/>
      <c r="G18" s="367"/>
      <c r="H18" s="367"/>
      <c r="I18" s="367"/>
      <c r="J18" s="367"/>
      <c r="K18" s="835">
        <f t="shared" si="0"/>
        <v>0</v>
      </c>
      <c r="L18" s="221"/>
    </row>
    <row r="19" spans="1:12" ht="21" customHeight="1">
      <c r="B19" s="560"/>
      <c r="C19" s="756"/>
      <c r="D19" s="559"/>
      <c r="E19" s="565"/>
      <c r="F19" s="367"/>
      <c r="G19" s="367"/>
      <c r="H19" s="367"/>
      <c r="I19" s="367"/>
      <c r="J19" s="367"/>
      <c r="K19" s="835">
        <f t="shared" si="0"/>
        <v>0</v>
      </c>
      <c r="L19" s="221"/>
    </row>
    <row r="20" spans="1:12" s="315" customFormat="1" ht="21" customHeight="1">
      <c r="B20" s="559"/>
      <c r="C20" s="756"/>
      <c r="D20" s="560"/>
      <c r="E20" s="565"/>
      <c r="F20" s="367"/>
      <c r="G20" s="367"/>
      <c r="H20" s="367"/>
      <c r="I20" s="367"/>
      <c r="J20" s="367"/>
      <c r="K20" s="835">
        <f t="shared" si="0"/>
        <v>0</v>
      </c>
      <c r="L20" s="318"/>
    </row>
    <row r="21" spans="1:12" ht="21" customHeight="1">
      <c r="B21" s="559"/>
      <c r="C21" s="756"/>
      <c r="D21" s="559"/>
      <c r="E21" s="565"/>
      <c r="F21" s="367"/>
      <c r="G21" s="367"/>
      <c r="H21" s="367"/>
      <c r="I21" s="367"/>
      <c r="J21" s="367"/>
      <c r="K21" s="835">
        <f t="shared" si="0"/>
        <v>0</v>
      </c>
      <c r="L21" s="221"/>
    </row>
    <row r="22" spans="1:12" s="315" customFormat="1" ht="21" customHeight="1">
      <c r="B22" s="559"/>
      <c r="C22" s="756"/>
      <c r="D22" s="559"/>
      <c r="E22" s="565"/>
      <c r="F22" s="367"/>
      <c r="G22" s="367"/>
      <c r="H22" s="367"/>
      <c r="I22" s="367"/>
      <c r="J22" s="367"/>
      <c r="K22" s="835">
        <f t="shared" si="0"/>
        <v>0</v>
      </c>
      <c r="L22" s="318"/>
    </row>
    <row r="23" spans="1:12" ht="21" customHeight="1">
      <c r="B23" s="559"/>
      <c r="C23" s="757"/>
      <c r="D23" s="559"/>
      <c r="E23" s="565"/>
      <c r="F23" s="367"/>
      <c r="G23" s="367"/>
      <c r="H23" s="367"/>
      <c r="I23" s="367"/>
      <c r="J23" s="367"/>
      <c r="K23" s="835">
        <f t="shared" si="0"/>
        <v>0</v>
      </c>
    </row>
    <row r="24" spans="1:12" ht="21" customHeight="1">
      <c r="B24" s="559"/>
      <c r="C24" s="757"/>
      <c r="D24" s="559"/>
      <c r="E24" s="565"/>
      <c r="F24" s="367"/>
      <c r="G24" s="367"/>
      <c r="H24" s="367"/>
      <c r="I24" s="367"/>
      <c r="J24" s="367"/>
      <c r="K24" s="835">
        <f t="shared" si="0"/>
        <v>0</v>
      </c>
      <c r="L24" s="221"/>
    </row>
    <row r="25" spans="1:12" ht="21" customHeight="1">
      <c r="B25" s="559"/>
      <c r="C25" s="757"/>
      <c r="D25" s="559"/>
      <c r="E25" s="565"/>
      <c r="F25" s="367"/>
      <c r="G25" s="367"/>
      <c r="H25" s="367"/>
      <c r="I25" s="367"/>
      <c r="J25" s="367"/>
      <c r="K25" s="835">
        <f t="shared" si="0"/>
        <v>0</v>
      </c>
      <c r="L25" s="221"/>
    </row>
    <row r="26" spans="1:12" ht="21" customHeight="1">
      <c r="B26" s="559"/>
      <c r="C26" s="757"/>
      <c r="D26" s="559"/>
      <c r="E26" s="565"/>
      <c r="F26" s="367"/>
      <c r="G26" s="367"/>
      <c r="H26" s="367"/>
      <c r="I26" s="367"/>
      <c r="J26" s="367"/>
      <c r="K26" s="835">
        <f t="shared" si="0"/>
        <v>0</v>
      </c>
    </row>
    <row r="27" spans="1:12" ht="21" customHeight="1" thickBot="1">
      <c r="B27" s="27"/>
      <c r="C27" s="27" t="s">
        <v>3323</v>
      </c>
      <c r="D27" s="27"/>
      <c r="E27" s="41"/>
      <c r="F27" s="99">
        <f t="shared" ref="F27:J27" si="1">SUM(F8:F26)</f>
        <v>9000.1</v>
      </c>
      <c r="G27" s="99">
        <f t="shared" si="1"/>
        <v>19781.55</v>
      </c>
      <c r="H27" s="99">
        <f t="shared" si="1"/>
        <v>15279.55</v>
      </c>
      <c r="I27" s="99">
        <f t="shared" si="1"/>
        <v>0</v>
      </c>
      <c r="J27" s="99">
        <f t="shared" si="1"/>
        <v>2.1</v>
      </c>
      <c r="K27" s="853">
        <f>SUM(K8:K26)</f>
        <v>13500</v>
      </c>
      <c r="L27" s="701"/>
    </row>
    <row r="28" spans="1:12" ht="13.8" thickTop="1"/>
    <row r="29" spans="1:12">
      <c r="F29" s="221"/>
      <c r="K29" s="221"/>
      <c r="L29" s="305"/>
    </row>
    <row r="31" spans="1:12">
      <c r="F31" s="280"/>
      <c r="G31" s="305"/>
      <c r="H31" s="318"/>
      <c r="K31" s="280"/>
    </row>
  </sheetData>
  <sheetProtection algorithmName="SHA-512" hashValue="1D7mRvf2ijXJVfCaFHSGEs5UuFTx9+feyniXPb4IwsGqdYzPvF3pvsu77+2BR+xSqOg386nBEnCrgM+vsQS5Dw==" saltValue="N/bJpJUDP8P+KosTSW1SWA==" spinCount="100000" sheet="1" objects="1" scenarios="1"/>
  <mergeCells count="4">
    <mergeCell ref="B2:K2"/>
    <mergeCell ref="B3:K3"/>
    <mergeCell ref="A15:A17"/>
    <mergeCell ref="B5:E5"/>
  </mergeCells>
  <phoneticPr fontId="0" type="noConversion"/>
  <pageMargins left="0.25" right="0.25" top="0.5" bottom="0.5" header="0.25" footer="0.25"/>
  <pageSetup paperSize="5"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N32"/>
  <sheetViews>
    <sheetView zoomScaleNormal="100" workbookViewId="0">
      <selection activeCell="B1" sqref="B1"/>
    </sheetView>
  </sheetViews>
  <sheetFormatPr defaultRowHeight="13.2"/>
  <cols>
    <col min="1" max="1" width="5.6640625" customWidth="1"/>
    <col min="2" max="4" width="4.88671875" customWidth="1"/>
    <col min="5" max="5" width="36.109375" customWidth="1"/>
    <col min="6" max="11" width="15.6640625" customWidth="1"/>
    <col min="12" max="12" width="11.88671875" bestFit="1" customWidth="1"/>
  </cols>
  <sheetData>
    <row r="1" spans="1:14">
      <c r="A1" s="844"/>
      <c r="B1" s="844"/>
      <c r="C1" s="844"/>
      <c r="D1" s="844"/>
      <c r="E1" s="844"/>
      <c r="F1" s="844"/>
      <c r="G1" s="844"/>
      <c r="H1" s="844"/>
      <c r="I1" s="844"/>
      <c r="J1" s="844"/>
      <c r="K1" s="844"/>
    </row>
    <row r="2" spans="1:14" ht="20.399999999999999">
      <c r="A2" s="844"/>
      <c r="B2" s="1635" t="s">
        <v>240</v>
      </c>
      <c r="C2" s="1635"/>
      <c r="D2" s="1635"/>
      <c r="E2" s="1635"/>
      <c r="F2" s="1635"/>
      <c r="G2" s="1635"/>
      <c r="H2" s="1635"/>
      <c r="I2" s="1635"/>
      <c r="J2" s="1635"/>
      <c r="K2" s="1635"/>
    </row>
    <row r="3" spans="1:14" ht="21" thickBot="1">
      <c r="A3" s="844"/>
      <c r="B3" s="1635" t="s">
        <v>664</v>
      </c>
      <c r="C3" s="1635"/>
      <c r="D3" s="1635"/>
      <c r="E3" s="1635"/>
      <c r="F3" s="1635"/>
      <c r="G3" s="1635"/>
      <c r="H3" s="1635"/>
      <c r="I3" s="1635"/>
      <c r="J3" s="1635"/>
      <c r="K3" s="1635"/>
    </row>
    <row r="4" spans="1:14" ht="13.8" thickTop="1">
      <c r="A4" s="844"/>
      <c r="B4" s="877"/>
      <c r="C4" s="877"/>
      <c r="D4" s="877"/>
      <c r="E4" s="877"/>
      <c r="F4" s="878"/>
      <c r="G4" s="878">
        <f>'KEY INPUTS'!D34</f>
        <v>2020</v>
      </c>
      <c r="H4" s="878"/>
      <c r="I4" s="879"/>
      <c r="J4" s="877"/>
      <c r="K4" s="854"/>
    </row>
    <row r="5" spans="1:14">
      <c r="A5" s="844"/>
      <c r="B5" s="1636" t="s">
        <v>673</v>
      </c>
      <c r="C5" s="1636"/>
      <c r="D5" s="1636"/>
      <c r="E5" s="1637"/>
      <c r="F5" s="880" t="s">
        <v>559</v>
      </c>
      <c r="G5" s="880" t="s">
        <v>564</v>
      </c>
      <c r="H5" s="880" t="s">
        <v>672</v>
      </c>
      <c r="I5" s="881" t="s">
        <v>228</v>
      </c>
      <c r="J5" s="882" t="s">
        <v>472</v>
      </c>
      <c r="K5" s="855" t="s">
        <v>559</v>
      </c>
    </row>
    <row r="6" spans="1:14">
      <c r="A6" s="844"/>
      <c r="B6" s="844"/>
      <c r="C6" s="844"/>
      <c r="D6" s="844"/>
      <c r="E6" s="844"/>
      <c r="F6" s="883" t="str">
        <f>'10-Grants Receivable'!F6</f>
        <v>Jan. 1, 2020</v>
      </c>
      <c r="G6" s="880" t="s">
        <v>670</v>
      </c>
      <c r="H6" s="880"/>
      <c r="I6" s="884"/>
      <c r="J6" s="885"/>
      <c r="K6" s="856" t="str">
        <f>'10-Grants Receivable'!K6</f>
        <v>Dec. 31, 2020</v>
      </c>
    </row>
    <row r="7" spans="1:14" ht="13.8" thickBot="1">
      <c r="A7" s="844"/>
      <c r="B7" s="886"/>
      <c r="C7" s="886"/>
      <c r="D7" s="886"/>
      <c r="E7" s="886"/>
      <c r="F7" s="887"/>
      <c r="G7" s="888" t="s">
        <v>671</v>
      </c>
      <c r="H7" s="887"/>
      <c r="I7" s="887"/>
      <c r="J7" s="889"/>
      <c r="K7" s="857"/>
    </row>
    <row r="8" spans="1:14" ht="21" customHeight="1" thickTop="1">
      <c r="A8" s="844"/>
      <c r="B8" s="874" t="s">
        <v>3324</v>
      </c>
      <c r="C8" s="874"/>
      <c r="D8" s="874"/>
      <c r="E8" s="890"/>
      <c r="F8" s="891">
        <f>+'10-Grants Receivable'!F27</f>
        <v>9000.1</v>
      </c>
      <c r="G8" s="891">
        <f>+'10-Grants Receivable'!G27</f>
        <v>19781.55</v>
      </c>
      <c r="H8" s="891">
        <f>+'10-Grants Receivable'!H27</f>
        <v>15279.55</v>
      </c>
      <c r="I8" s="891">
        <f>+'10-Grants Receivable'!I27</f>
        <v>0</v>
      </c>
      <c r="J8" s="891">
        <f>+'10-Grants Receivable'!J27</f>
        <v>2.1</v>
      </c>
      <c r="K8" s="892">
        <f>+'10-Grants Receivable'!K27</f>
        <v>13500</v>
      </c>
    </row>
    <row r="9" spans="1:14" ht="21" customHeight="1">
      <c r="B9" s="559"/>
      <c r="C9" s="559"/>
      <c r="D9" s="559"/>
      <c r="E9" s="565"/>
      <c r="F9" s="367"/>
      <c r="G9" s="367"/>
      <c r="H9" s="367"/>
      <c r="I9" s="367"/>
      <c r="J9" s="367"/>
      <c r="K9" s="893">
        <f>+F9+G9-H9+I9-J9</f>
        <v>0</v>
      </c>
      <c r="L9" s="221"/>
    </row>
    <row r="10" spans="1:14" ht="21" customHeight="1">
      <c r="B10" s="559"/>
      <c r="C10" s="559"/>
      <c r="D10" s="559"/>
      <c r="E10" s="565"/>
      <c r="F10" s="367"/>
      <c r="G10" s="367"/>
      <c r="H10" s="367"/>
      <c r="I10" s="367"/>
      <c r="J10" s="367"/>
      <c r="K10" s="893">
        <f t="shared" ref="K10:K26" si="0">+F10+G10-H10+I10-J10</f>
        <v>0</v>
      </c>
      <c r="N10" s="370"/>
    </row>
    <row r="11" spans="1:14" ht="21" customHeight="1">
      <c r="B11" s="559"/>
      <c r="C11" s="559"/>
      <c r="D11" s="559"/>
      <c r="E11" s="565"/>
      <c r="F11" s="367"/>
      <c r="G11" s="367"/>
      <c r="H11" s="367"/>
      <c r="I11" s="367"/>
      <c r="J11" s="367"/>
      <c r="K11" s="835">
        <f t="shared" si="0"/>
        <v>0</v>
      </c>
      <c r="L11" s="221"/>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3325</v>
      </c>
      <c r="B15" s="559"/>
      <c r="C15" s="560"/>
      <c r="D15" s="559"/>
      <c r="E15" s="565"/>
      <c r="F15" s="367"/>
      <c r="G15" s="367"/>
      <c r="H15" s="367"/>
      <c r="I15" s="367"/>
      <c r="J15" s="367"/>
      <c r="K15" s="894">
        <f t="shared" si="0"/>
        <v>0</v>
      </c>
    </row>
    <row r="16" spans="1:14" ht="21" customHeight="1">
      <c r="A16" s="1613"/>
      <c r="B16" s="559"/>
      <c r="C16" s="560"/>
      <c r="D16" s="559"/>
      <c r="E16" s="565"/>
      <c r="F16" s="367"/>
      <c r="G16" s="367"/>
      <c r="H16" s="367"/>
      <c r="I16" s="367"/>
      <c r="J16" s="367"/>
      <c r="K16" s="895">
        <f t="shared" si="0"/>
        <v>0</v>
      </c>
    </row>
    <row r="17" spans="1:12" ht="21" customHeight="1">
      <c r="A17" s="1613"/>
      <c r="B17" s="559"/>
      <c r="C17" s="560"/>
      <c r="D17" s="559"/>
      <c r="E17" s="565"/>
      <c r="F17" s="367"/>
      <c r="G17" s="367"/>
      <c r="H17" s="367"/>
      <c r="I17" s="367"/>
      <c r="J17" s="367"/>
      <c r="K17" s="893">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94">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9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94">
        <f t="shared" si="0"/>
        <v>0</v>
      </c>
    </row>
    <row r="25" spans="1:12" ht="21" customHeight="1">
      <c r="B25" s="559"/>
      <c r="C25" s="559"/>
      <c r="D25" s="559"/>
      <c r="E25" s="565"/>
      <c r="F25" s="367"/>
      <c r="G25" s="367"/>
      <c r="H25" s="367"/>
      <c r="I25" s="367"/>
      <c r="J25" s="367"/>
      <c r="K25" s="89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J27" si="1">SUM(F8:F26)</f>
        <v>9000.1</v>
      </c>
      <c r="G27" s="99">
        <f t="shared" si="1"/>
        <v>19781.55</v>
      </c>
      <c r="H27" s="99">
        <f t="shared" si="1"/>
        <v>15279.55</v>
      </c>
      <c r="I27" s="99">
        <f t="shared" si="1"/>
        <v>0</v>
      </c>
      <c r="J27" s="99">
        <f t="shared" si="1"/>
        <v>2.1</v>
      </c>
      <c r="K27" s="896">
        <f>SUM(K8:K26)</f>
        <v>13500</v>
      </c>
    </row>
    <row r="28" spans="1:12" ht="13.8" thickTop="1"/>
    <row r="29" spans="1:12">
      <c r="K29" s="221"/>
    </row>
    <row r="30" spans="1:12">
      <c r="F30" s="221"/>
      <c r="G30" s="221"/>
      <c r="K30" s="221"/>
      <c r="L30" s="221"/>
    </row>
    <row r="31" spans="1:12">
      <c r="K31" s="221"/>
    </row>
    <row r="32" spans="1:12">
      <c r="G32" s="221"/>
    </row>
  </sheetData>
  <sheetProtection algorithmName="SHA-512" hashValue="Ug52KeMSJBY4Pta9zljMEn0NwY6JbLXuQlON0SzqZYIytT9XyXO/lCmDqwohJ6M/NAFMmgqTpelcJpOtduJl1w==" saltValue="xtyZtSL7pCWOWKjMir3hEA==" spinCount="100000" sheet="1" objects="1" scenarios="1"/>
  <mergeCells count="4">
    <mergeCell ref="B2:K2"/>
    <mergeCell ref="B3:K3"/>
    <mergeCell ref="A15:A17"/>
    <mergeCell ref="B5:E5"/>
  </mergeCells>
  <phoneticPr fontId="0" type="noConversion"/>
  <pageMargins left="0.25" right="0.25" top="0.5" bottom="0.5" header="0.25" footer="0.25"/>
  <pageSetup paperSize="5"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1" spans="1:14">
      <c r="B1" s="844"/>
      <c r="C1" s="844"/>
      <c r="D1" s="844"/>
      <c r="E1" s="844"/>
      <c r="F1" s="844"/>
      <c r="G1" s="844"/>
      <c r="H1" s="844"/>
      <c r="I1" s="844"/>
      <c r="J1" s="844"/>
      <c r="K1" s="844"/>
    </row>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+'10.1-Grants Receivable'!F27</f>
        <v>9000.1</v>
      </c>
      <c r="G8" s="891">
        <f>+'10.1-Grants Receivable'!G27</f>
        <v>19781.55</v>
      </c>
      <c r="H8" s="891">
        <f>+'10.1-Grants Receivable'!H27</f>
        <v>15279.55</v>
      </c>
      <c r="I8" s="891">
        <f>+'10.1-Grants Receivable'!I27</f>
        <v>0</v>
      </c>
      <c r="J8" s="891">
        <f>+'10.1-Grants Receivable'!J27</f>
        <v>2.1</v>
      </c>
      <c r="K8" s="892">
        <f>+'10.1-Grants Receivable'!K27</f>
        <v>13500</v>
      </c>
    </row>
    <row r="9" spans="1:14" ht="21" customHeight="1">
      <c r="B9" s="559"/>
      <c r="C9" s="559"/>
      <c r="D9" s="559"/>
      <c r="E9" s="565"/>
      <c r="F9" s="367"/>
      <c r="G9" s="367"/>
      <c r="H9" s="367"/>
      <c r="I9" s="367"/>
      <c r="J9" s="367"/>
      <c r="K9" s="835">
        <f>+F9+G9-H9+I9-J9</f>
        <v>0</v>
      </c>
      <c r="L9" s="318"/>
    </row>
    <row r="10" spans="1:14" ht="21" customHeight="1">
      <c r="B10" s="559"/>
      <c r="C10" s="559"/>
      <c r="D10" s="559"/>
      <c r="E10" s="565"/>
      <c r="F10" s="367"/>
      <c r="G10" s="367"/>
      <c r="H10" s="367"/>
      <c r="I10" s="367"/>
      <c r="J10" s="367"/>
      <c r="K10" s="835">
        <f t="shared" ref="K10:K26" si="0">+F10+G10-H10+I10-J10</f>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3326</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algorithmName="SHA-512" hashValue="IOi6Nwzn0z9hs3eI9WWfS+U3x6cxIvqyL3CbGbhBa+k+L55ENtEiyEvvOPJG5SjEa2Jxv0m40PI6Rp51FCJu/Q==" saltValue="b3z5dp/HY6xVNeGem1r6Lg=="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1" spans="1:14">
      <c r="B1" s="844"/>
      <c r="C1" s="844"/>
      <c r="D1" s="844"/>
      <c r="E1" s="844"/>
      <c r="F1" s="844"/>
      <c r="G1" s="844"/>
      <c r="H1" s="844"/>
      <c r="I1" s="844"/>
      <c r="J1" s="844"/>
      <c r="K1" s="844"/>
    </row>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+'10.2-Grants Receivable'!F27</f>
        <v>9000.1</v>
      </c>
      <c r="G8" s="891">
        <f>+'10.2-Grants Receivable'!G27</f>
        <v>19781.55</v>
      </c>
      <c r="H8" s="891">
        <f>+'10.2-Grants Receivable'!H27</f>
        <v>15279.55</v>
      </c>
      <c r="I8" s="891">
        <f>+'10.2-Grants Receivable'!I27</f>
        <v>0</v>
      </c>
      <c r="J8" s="891">
        <f>+'10.2-Grants Receivable'!J27</f>
        <v>2.1</v>
      </c>
      <c r="K8" s="892">
        <f>+'10.2-Grants Receivable'!K27</f>
        <v>13500</v>
      </c>
    </row>
    <row r="9" spans="1:14" ht="21" customHeight="1">
      <c r="B9" s="559"/>
      <c r="C9" s="559"/>
      <c r="D9" s="559"/>
      <c r="E9" s="565"/>
      <c r="F9" s="367"/>
      <c r="G9" s="367"/>
      <c r="H9" s="367"/>
      <c r="I9" s="367"/>
      <c r="J9" s="367"/>
      <c r="K9" s="835">
        <f>+F9+G9-H9+I9-J9</f>
        <v>0</v>
      </c>
      <c r="L9" s="318"/>
    </row>
    <row r="10" spans="1:14" ht="21" customHeight="1">
      <c r="B10" s="559"/>
      <c r="C10" s="559"/>
      <c r="D10" s="559"/>
      <c r="E10" s="565"/>
      <c r="F10" s="367"/>
      <c r="G10" s="367"/>
      <c r="H10" s="367"/>
      <c r="I10" s="367"/>
      <c r="J10" s="367"/>
      <c r="K10" s="835">
        <f t="shared" ref="K10:K26" si="0">+F10+G10-H10+I10-J10</f>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3327</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1" spans="1:14">
      <c r="B1" s="844"/>
      <c r="C1" s="844"/>
      <c r="D1" s="844"/>
      <c r="E1" s="844"/>
      <c r="F1" s="844"/>
      <c r="G1" s="844"/>
      <c r="H1" s="844"/>
      <c r="I1" s="844"/>
      <c r="J1" s="844"/>
      <c r="K1" s="844"/>
    </row>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+'10.3-Grants Receivable'!F27</f>
        <v>9000.1</v>
      </c>
      <c r="G8" s="891">
        <f>+'10.3-Grants Receivable'!G27</f>
        <v>19781.55</v>
      </c>
      <c r="H8" s="891">
        <f>+'10.3-Grants Receivable'!H27</f>
        <v>15279.55</v>
      </c>
      <c r="I8" s="891">
        <f>+'10.3-Grants Receivable'!I27</f>
        <v>0</v>
      </c>
      <c r="J8" s="891">
        <f>+'10.3-Grants Receivable'!J27</f>
        <v>2.1</v>
      </c>
      <c r="K8" s="892">
        <f>+'10.3-Grants Receivable'!K27</f>
        <v>13500</v>
      </c>
    </row>
    <row r="9" spans="1:14" ht="21" customHeight="1">
      <c r="B9" s="559"/>
      <c r="C9" s="559"/>
      <c r="D9" s="559"/>
      <c r="E9" s="565"/>
      <c r="F9" s="367"/>
      <c r="G9" s="367"/>
      <c r="H9" s="367"/>
      <c r="I9" s="367"/>
      <c r="J9" s="367"/>
      <c r="K9" s="835">
        <f>+F9+G9-H9+I9-J9</f>
        <v>0</v>
      </c>
      <c r="L9" s="318"/>
    </row>
    <row r="10" spans="1:14" ht="21" customHeight="1">
      <c r="B10" s="559"/>
      <c r="C10" s="559"/>
      <c r="D10" s="559"/>
      <c r="E10" s="565"/>
      <c r="F10" s="367"/>
      <c r="G10" s="367"/>
      <c r="H10" s="367"/>
      <c r="I10" s="367"/>
      <c r="J10" s="367"/>
      <c r="K10" s="835">
        <f t="shared" ref="K10:K26" si="0">+F10+G10-H10+I10-J10</f>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3328</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1" spans="1:14">
      <c r="A1" s="844"/>
      <c r="B1" s="844"/>
      <c r="C1" s="844"/>
      <c r="D1" s="844"/>
      <c r="E1" s="844"/>
      <c r="F1" s="844"/>
      <c r="G1" s="844"/>
      <c r="H1" s="844"/>
      <c r="I1" s="844"/>
      <c r="J1" s="844"/>
      <c r="K1" s="844"/>
    </row>
    <row r="2" spans="1:14" ht="20.399999999999999">
      <c r="A2" s="844"/>
      <c r="B2" s="1635" t="s">
        <v>240</v>
      </c>
      <c r="C2" s="1635"/>
      <c r="D2" s="1635"/>
      <c r="E2" s="1635"/>
      <c r="F2" s="1635"/>
      <c r="G2" s="1635"/>
      <c r="H2" s="1635"/>
      <c r="I2" s="1635"/>
      <c r="J2" s="1635"/>
      <c r="K2" s="1635"/>
    </row>
    <row r="3" spans="1:14" ht="21" thickBot="1">
      <c r="A3" s="844"/>
      <c r="B3" s="1635" t="s">
        <v>664</v>
      </c>
      <c r="C3" s="1635"/>
      <c r="D3" s="1635"/>
      <c r="E3" s="1635"/>
      <c r="F3" s="1635"/>
      <c r="G3" s="1635"/>
      <c r="H3" s="1635"/>
      <c r="I3" s="1635"/>
      <c r="J3" s="1635"/>
      <c r="K3" s="1635"/>
    </row>
    <row r="4" spans="1:14" ht="13.8" thickTop="1">
      <c r="A4" s="844"/>
      <c r="B4" s="877"/>
      <c r="C4" s="877"/>
      <c r="D4" s="877"/>
      <c r="E4" s="877"/>
      <c r="F4" s="878"/>
      <c r="G4" s="878">
        <f>'KEY INPUTS'!D34</f>
        <v>2020</v>
      </c>
      <c r="H4" s="878"/>
      <c r="I4" s="879"/>
      <c r="J4" s="877"/>
      <c r="K4" s="854"/>
    </row>
    <row r="5" spans="1:14">
      <c r="A5" s="844"/>
      <c r="B5" s="1636" t="s">
        <v>673</v>
      </c>
      <c r="C5" s="1636"/>
      <c r="D5" s="1636"/>
      <c r="E5" s="1637"/>
      <c r="F5" s="880" t="s">
        <v>559</v>
      </c>
      <c r="G5" s="880" t="s">
        <v>564</v>
      </c>
      <c r="H5" s="880" t="s">
        <v>672</v>
      </c>
      <c r="I5" s="881" t="s">
        <v>228</v>
      </c>
      <c r="J5" s="882" t="s">
        <v>472</v>
      </c>
      <c r="K5" s="855" t="s">
        <v>559</v>
      </c>
    </row>
    <row r="6" spans="1:14">
      <c r="A6" s="844"/>
      <c r="B6" s="844"/>
      <c r="C6" s="844"/>
      <c r="D6" s="844"/>
      <c r="E6" s="844"/>
      <c r="F6" s="883" t="str">
        <f>'10-Grants Receivable'!F6</f>
        <v>Jan. 1, 2020</v>
      </c>
      <c r="G6" s="880" t="s">
        <v>670</v>
      </c>
      <c r="H6" s="880"/>
      <c r="I6" s="884"/>
      <c r="J6" s="885"/>
      <c r="K6" s="856" t="str">
        <f>'10-Grants Receivable'!K6</f>
        <v>Dec. 31, 2020</v>
      </c>
    </row>
    <row r="7" spans="1:14" ht="13.8" thickBot="1">
      <c r="A7" s="844"/>
      <c r="B7" s="886"/>
      <c r="C7" s="886"/>
      <c r="D7" s="886"/>
      <c r="E7" s="886"/>
      <c r="F7" s="887"/>
      <c r="G7" s="888" t="s">
        <v>671</v>
      </c>
      <c r="H7" s="887"/>
      <c r="I7" s="887"/>
      <c r="J7" s="889"/>
      <c r="K7" s="857"/>
    </row>
    <row r="8" spans="1:14" ht="21" customHeight="1" thickTop="1">
      <c r="A8" s="844"/>
      <c r="B8" s="874" t="s">
        <v>3324</v>
      </c>
      <c r="C8" s="874"/>
      <c r="D8" s="874"/>
      <c r="E8" s="890"/>
      <c r="F8" s="891">
        <f>+'10.4-Grants Receivable'!F27</f>
        <v>9000.1</v>
      </c>
      <c r="G8" s="891">
        <f>+'10.4-Grants Receivable'!G27</f>
        <v>19781.55</v>
      </c>
      <c r="H8" s="891">
        <f>+'10.4-Grants Receivable'!H27</f>
        <v>15279.55</v>
      </c>
      <c r="I8" s="891">
        <f>+'10.4-Grants Receivable'!I27</f>
        <v>0</v>
      </c>
      <c r="J8" s="891">
        <f>+'10.4-Grants Receivable'!J27</f>
        <v>2.1</v>
      </c>
      <c r="K8" s="892">
        <f>+'10.4-Grants Receivable'!K27</f>
        <v>13500</v>
      </c>
    </row>
    <row r="9" spans="1:14" ht="21" customHeight="1">
      <c r="B9" s="559"/>
      <c r="C9" s="559"/>
      <c r="D9" s="559"/>
      <c r="E9" s="565"/>
      <c r="F9" s="367"/>
      <c r="G9" s="367"/>
      <c r="H9" s="367"/>
      <c r="I9" s="367"/>
      <c r="J9" s="367"/>
      <c r="K9" s="835">
        <f>+F9+G9-H9+I9-J9</f>
        <v>0</v>
      </c>
      <c r="L9" s="318"/>
    </row>
    <row r="10" spans="1:14" ht="21" customHeight="1">
      <c r="B10" s="559"/>
      <c r="C10" s="559"/>
      <c r="D10" s="559"/>
      <c r="E10" s="565"/>
      <c r="F10" s="367"/>
      <c r="G10" s="367"/>
      <c r="H10" s="367"/>
      <c r="I10" s="367"/>
      <c r="J10" s="367"/>
      <c r="K10" s="835">
        <f t="shared" ref="K10:K26" si="0">+F10+G10-H10+I10-J10</f>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3329</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18"/>
    </row>
    <row r="5" spans="1:14">
      <c r="B5" s="1584" t="s">
        <v>673</v>
      </c>
      <c r="C5" s="1584"/>
      <c r="D5" s="1584"/>
      <c r="E5" s="1634"/>
      <c r="F5" s="275" t="s">
        <v>559</v>
      </c>
      <c r="G5" s="275" t="s">
        <v>564</v>
      </c>
      <c r="H5" s="275" t="s">
        <v>672</v>
      </c>
      <c r="I5" s="779" t="s">
        <v>228</v>
      </c>
      <c r="J5" s="248" t="s">
        <v>472</v>
      </c>
      <c r="K5" s="21" t="s">
        <v>559</v>
      </c>
    </row>
    <row r="6" spans="1:14">
      <c r="F6" s="292" t="str">
        <f>'10-Grants Receivable'!F6</f>
        <v>Jan. 1, 2020</v>
      </c>
      <c r="G6" s="275" t="s">
        <v>670</v>
      </c>
      <c r="H6" s="275"/>
      <c r="I6" s="15"/>
      <c r="J6" s="749"/>
      <c r="K6" s="291" t="str">
        <f>'10-Grants Receivable'!K6</f>
        <v>Dec. 31, 2020</v>
      </c>
    </row>
    <row r="7" spans="1:14" ht="13.8" thickBot="1">
      <c r="B7" s="10"/>
      <c r="C7" s="10"/>
      <c r="D7" s="10"/>
      <c r="E7" s="10"/>
      <c r="F7" s="14"/>
      <c r="G7" s="16" t="s">
        <v>671</v>
      </c>
      <c r="H7" s="14"/>
      <c r="I7" s="14"/>
      <c r="J7" s="17"/>
      <c r="K7" s="19"/>
    </row>
    <row r="8" spans="1:14" ht="21" customHeight="1" thickTop="1">
      <c r="B8" s="781" t="s">
        <v>3324</v>
      </c>
      <c r="C8" s="781"/>
      <c r="D8" s="781"/>
      <c r="E8" s="782"/>
      <c r="F8" s="764">
        <f>+'10.5-Grants Receivable'!F27</f>
        <v>9000.1</v>
      </c>
      <c r="G8" s="764">
        <f>+'10.5-Grants Receivable'!G27</f>
        <v>19781.55</v>
      </c>
      <c r="H8" s="764">
        <f>+'10.5-Grants Receivable'!H27</f>
        <v>15279.55</v>
      </c>
      <c r="I8" s="764">
        <f>+'10.5-Grants Receivable'!I27</f>
        <v>0</v>
      </c>
      <c r="J8" s="764">
        <f>+'10.5-Grants Receivable'!J27</f>
        <v>2.1</v>
      </c>
      <c r="K8" s="892">
        <f>+'10.5-Grants Receivable'!K27</f>
        <v>13500</v>
      </c>
    </row>
    <row r="9" spans="1:14" ht="21" customHeight="1">
      <c r="B9" s="559"/>
      <c r="C9" s="559"/>
      <c r="D9" s="559"/>
      <c r="E9" s="565"/>
      <c r="F9" s="367"/>
      <c r="G9" s="367"/>
      <c r="H9" s="367"/>
      <c r="I9" s="367"/>
      <c r="J9" s="367"/>
      <c r="K9" s="567">
        <f>+F9+G9-H9+I9-J9</f>
        <v>0</v>
      </c>
      <c r="L9" s="318"/>
    </row>
    <row r="10" spans="1:14" ht="21" customHeight="1">
      <c r="B10" s="559"/>
      <c r="C10" s="559"/>
      <c r="D10" s="559"/>
      <c r="E10" s="565"/>
      <c r="F10" s="367"/>
      <c r="G10" s="367"/>
      <c r="H10" s="367"/>
      <c r="I10" s="367"/>
      <c r="J10" s="367"/>
      <c r="K10" s="567">
        <f t="shared" ref="K10:K26" si="0">+F10+G10-H10+I10-J10</f>
        <v>0</v>
      </c>
      <c r="N10" s="370"/>
    </row>
    <row r="11" spans="1:14" ht="21" customHeight="1">
      <c r="B11" s="559"/>
      <c r="C11" s="559"/>
      <c r="D11" s="559"/>
      <c r="E11" s="565"/>
      <c r="F11" s="367"/>
      <c r="G11" s="367"/>
      <c r="H11" s="367"/>
      <c r="I11" s="367"/>
      <c r="J11" s="367"/>
      <c r="K11" s="567">
        <f t="shared" si="0"/>
        <v>0</v>
      </c>
      <c r="L11" s="318"/>
    </row>
    <row r="12" spans="1:14" ht="21" customHeight="1">
      <c r="B12" s="559"/>
      <c r="C12" s="569"/>
      <c r="D12" s="559"/>
      <c r="E12" s="565"/>
      <c r="F12" s="367"/>
      <c r="G12" s="367"/>
      <c r="H12" s="367"/>
      <c r="I12" s="367"/>
      <c r="J12" s="367"/>
      <c r="K12" s="567">
        <f t="shared" si="0"/>
        <v>0</v>
      </c>
    </row>
    <row r="13" spans="1:14" ht="21" customHeight="1">
      <c r="B13" s="559"/>
      <c r="C13" s="569"/>
      <c r="D13" s="559"/>
      <c r="E13" s="565"/>
      <c r="F13" s="367"/>
      <c r="G13" s="367"/>
      <c r="H13" s="367"/>
      <c r="I13" s="367"/>
      <c r="J13" s="367"/>
      <c r="K13" s="567">
        <f t="shared" si="0"/>
        <v>0</v>
      </c>
    </row>
    <row r="14" spans="1:14" ht="21" customHeight="1">
      <c r="B14" s="559"/>
      <c r="C14" s="559"/>
      <c r="D14" s="559"/>
      <c r="E14" s="565"/>
      <c r="F14" s="367"/>
      <c r="G14" s="367"/>
      <c r="H14" s="367"/>
      <c r="I14" s="367"/>
      <c r="J14" s="367"/>
      <c r="K14" s="567">
        <f t="shared" si="0"/>
        <v>0</v>
      </c>
    </row>
    <row r="15" spans="1:14" ht="21" customHeight="1">
      <c r="A15" s="1613" t="s">
        <v>3330</v>
      </c>
      <c r="B15" s="559"/>
      <c r="C15" s="560"/>
      <c r="D15" s="559"/>
      <c r="E15" s="565"/>
      <c r="F15" s="367"/>
      <c r="G15" s="367"/>
      <c r="H15" s="367"/>
      <c r="I15" s="367"/>
      <c r="J15" s="367"/>
      <c r="K15" s="567">
        <f t="shared" si="0"/>
        <v>0</v>
      </c>
    </row>
    <row r="16" spans="1:14" ht="21" customHeight="1">
      <c r="A16" s="1613"/>
      <c r="B16" s="559"/>
      <c r="C16" s="560"/>
      <c r="D16" s="559"/>
      <c r="E16" s="565"/>
      <c r="F16" s="367"/>
      <c r="G16" s="367"/>
      <c r="H16" s="367"/>
      <c r="I16" s="367"/>
      <c r="J16" s="367"/>
      <c r="K16" s="567">
        <f t="shared" si="0"/>
        <v>0</v>
      </c>
    </row>
    <row r="17" spans="1:12" ht="21" customHeight="1">
      <c r="A17" s="1613"/>
      <c r="B17" s="559"/>
      <c r="C17" s="560"/>
      <c r="D17" s="559"/>
      <c r="E17" s="565"/>
      <c r="F17" s="367"/>
      <c r="G17" s="367"/>
      <c r="H17" s="367"/>
      <c r="I17" s="367"/>
      <c r="J17" s="367"/>
      <c r="K17" s="567">
        <f t="shared" si="0"/>
        <v>0</v>
      </c>
    </row>
    <row r="18" spans="1:12" ht="21" customHeight="1">
      <c r="B18" s="559"/>
      <c r="C18" s="560"/>
      <c r="D18" s="559"/>
      <c r="E18" s="565"/>
      <c r="F18" s="367"/>
      <c r="G18" s="367"/>
      <c r="H18" s="367"/>
      <c r="I18" s="367"/>
      <c r="J18" s="367"/>
      <c r="K18" s="567">
        <f t="shared" si="0"/>
        <v>0</v>
      </c>
    </row>
    <row r="19" spans="1:12" ht="21" customHeight="1">
      <c r="B19" s="559"/>
      <c r="C19" s="560"/>
      <c r="D19" s="559"/>
      <c r="E19" s="565"/>
      <c r="F19" s="367"/>
      <c r="G19" s="367"/>
      <c r="H19" s="367"/>
      <c r="I19" s="367"/>
      <c r="J19" s="367"/>
      <c r="K19" s="567">
        <f t="shared" si="0"/>
        <v>0</v>
      </c>
    </row>
    <row r="20" spans="1:12" ht="21" customHeight="1">
      <c r="B20" s="559"/>
      <c r="C20" s="559"/>
      <c r="D20" s="559"/>
      <c r="E20" s="565"/>
      <c r="F20" s="367"/>
      <c r="G20" s="367"/>
      <c r="H20" s="367"/>
      <c r="I20" s="367"/>
      <c r="J20" s="367"/>
      <c r="K20" s="567">
        <f t="shared" si="0"/>
        <v>0</v>
      </c>
    </row>
    <row r="21" spans="1:12" ht="21" customHeight="1">
      <c r="B21" s="559"/>
      <c r="C21" s="559"/>
      <c r="D21" s="559"/>
      <c r="E21" s="565"/>
      <c r="F21" s="367"/>
      <c r="G21" s="367"/>
      <c r="H21" s="367"/>
      <c r="I21" s="367"/>
      <c r="J21" s="367"/>
      <c r="K21" s="567">
        <f t="shared" si="0"/>
        <v>0</v>
      </c>
    </row>
    <row r="22" spans="1:12" ht="21" customHeight="1">
      <c r="B22" s="559"/>
      <c r="C22" s="559"/>
      <c r="D22" s="559"/>
      <c r="E22" s="565"/>
      <c r="F22" s="367"/>
      <c r="G22" s="367"/>
      <c r="H22" s="367"/>
      <c r="I22" s="367"/>
      <c r="J22" s="367"/>
      <c r="K22" s="567">
        <f t="shared" si="0"/>
        <v>0</v>
      </c>
    </row>
    <row r="23" spans="1:12" ht="21" customHeight="1">
      <c r="B23" s="559"/>
      <c r="C23" s="559"/>
      <c r="D23" s="559"/>
      <c r="E23" s="565"/>
      <c r="F23" s="367"/>
      <c r="G23" s="367"/>
      <c r="H23" s="367"/>
      <c r="I23" s="367"/>
      <c r="J23" s="367"/>
      <c r="K23" s="567">
        <f t="shared" si="0"/>
        <v>0</v>
      </c>
    </row>
    <row r="24" spans="1:12" ht="21" customHeight="1">
      <c r="B24" s="559"/>
      <c r="C24" s="559"/>
      <c r="D24" s="559"/>
      <c r="E24" s="565"/>
      <c r="F24" s="367"/>
      <c r="G24" s="367"/>
      <c r="H24" s="367"/>
      <c r="I24" s="367"/>
      <c r="J24" s="367"/>
      <c r="K24" s="567">
        <f t="shared" si="0"/>
        <v>0</v>
      </c>
    </row>
    <row r="25" spans="1:12" ht="21" customHeight="1">
      <c r="B25" s="559"/>
      <c r="C25" s="559"/>
      <c r="D25" s="559"/>
      <c r="E25" s="565"/>
      <c r="F25" s="367"/>
      <c r="G25" s="367"/>
      <c r="H25" s="367"/>
      <c r="I25" s="367"/>
      <c r="J25" s="367"/>
      <c r="K25" s="567">
        <f t="shared" si="0"/>
        <v>0</v>
      </c>
    </row>
    <row r="26" spans="1:12" ht="21" customHeight="1">
      <c r="B26" s="559"/>
      <c r="C26" s="559"/>
      <c r="D26" s="559"/>
      <c r="E26" s="565"/>
      <c r="F26" s="367"/>
      <c r="G26" s="367"/>
      <c r="H26" s="367"/>
      <c r="I26" s="367"/>
      <c r="J26" s="367"/>
      <c r="K26" s="567">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134">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+'10.6-Grants Receivable'!F27</f>
        <v>9000.1</v>
      </c>
      <c r="G8" s="891">
        <f>+'10.6-Grants Receivable'!G27</f>
        <v>19781.55</v>
      </c>
      <c r="H8" s="891">
        <f>+'10.6-Grants Receivable'!H27</f>
        <v>15279.55</v>
      </c>
      <c r="I8" s="891">
        <f>+'10.6-Grants Receivable'!I27</f>
        <v>0</v>
      </c>
      <c r="J8" s="891">
        <f>+'10.6-Grants Receivable'!J27</f>
        <v>2.1</v>
      </c>
      <c r="K8" s="892">
        <f>+'10.6-Grants Receivable'!K27</f>
        <v>13500</v>
      </c>
    </row>
    <row r="9" spans="1:14" ht="21" customHeight="1">
      <c r="B9" s="559"/>
      <c r="C9" s="559"/>
      <c r="D9" s="559"/>
      <c r="E9" s="565"/>
      <c r="F9" s="367"/>
      <c r="G9" s="367"/>
      <c r="H9" s="367"/>
      <c r="I9" s="367"/>
      <c r="J9" s="367"/>
      <c r="K9" s="835">
        <f>+F9+G9-H9+I9-J9</f>
        <v>0</v>
      </c>
      <c r="L9" s="318"/>
    </row>
    <row r="10" spans="1:14" ht="21" customHeight="1">
      <c r="B10" s="559"/>
      <c r="C10" s="559"/>
      <c r="D10" s="559"/>
      <c r="E10" s="565"/>
      <c r="F10" s="367"/>
      <c r="G10" s="367"/>
      <c r="H10" s="367"/>
      <c r="I10" s="367"/>
      <c r="J10" s="367"/>
      <c r="K10" s="835">
        <f t="shared" ref="K10:K26" si="0">+F10+G10-H10+I10-J10</f>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3331</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+'10.7-Grants Receivable'!F27</f>
        <v>9000.1</v>
      </c>
      <c r="G8" s="891">
        <f>+'10.7-Grants Receivable'!G27</f>
        <v>19781.55</v>
      </c>
      <c r="H8" s="891">
        <f>+'10.7-Grants Receivable'!H27</f>
        <v>15279.55</v>
      </c>
      <c r="I8" s="891">
        <f>+'10.7-Grants Receivable'!I27</f>
        <v>0</v>
      </c>
      <c r="J8" s="891">
        <f>+'10.7-Grants Receivable'!J27</f>
        <v>2.1</v>
      </c>
      <c r="K8" s="892">
        <f>+'10.7-Grants Receivable'!K27</f>
        <v>13500</v>
      </c>
    </row>
    <row r="9" spans="1:14" ht="21" customHeight="1">
      <c r="B9" s="559"/>
      <c r="C9" s="559"/>
      <c r="D9" s="559"/>
      <c r="E9" s="565"/>
      <c r="F9" s="367"/>
      <c r="G9" s="367"/>
      <c r="H9" s="367"/>
      <c r="I9" s="367"/>
      <c r="J9" s="367"/>
      <c r="K9" s="835">
        <f>+F9+G9-H9+I9-J9</f>
        <v>0</v>
      </c>
      <c r="L9" s="318"/>
    </row>
    <row r="10" spans="1:14" ht="21" customHeight="1">
      <c r="B10" s="559"/>
      <c r="C10" s="559"/>
      <c r="D10" s="559"/>
      <c r="E10" s="565"/>
      <c r="F10" s="367"/>
      <c r="G10" s="367"/>
      <c r="H10" s="367"/>
      <c r="I10" s="367"/>
      <c r="J10" s="367"/>
      <c r="K10" s="835">
        <f t="shared" ref="K10:K26" si="0">+F10+G10-H10+I10-J10</f>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3333</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874" t="s">
        <v>3324</v>
      </c>
      <c r="C8" s="874"/>
      <c r="D8" s="874"/>
      <c r="E8" s="890"/>
      <c r="F8" s="891">
        <f>+'10.8-Grants Receivable'!F27</f>
        <v>9000.1</v>
      </c>
      <c r="G8" s="891">
        <f>+'10.8-Grants Receivable'!G27</f>
        <v>19781.55</v>
      </c>
      <c r="H8" s="891">
        <f>+'10.8-Grants Receivable'!H27</f>
        <v>15279.55</v>
      </c>
      <c r="I8" s="891">
        <f>+'10.8-Grants Receivable'!I27</f>
        <v>0</v>
      </c>
      <c r="J8" s="891">
        <f>+'10.8-Grants Receivable'!J27</f>
        <v>2.1</v>
      </c>
      <c r="K8" s="892">
        <f>+'10.8-Grants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3332</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18"/>
    </row>
    <row r="5" spans="1:14">
      <c r="B5" s="1584" t="s">
        <v>673</v>
      </c>
      <c r="C5" s="1584"/>
      <c r="D5" s="1584"/>
      <c r="E5" s="1634"/>
      <c r="F5" s="275" t="s">
        <v>559</v>
      </c>
      <c r="G5" s="275" t="s">
        <v>564</v>
      </c>
      <c r="H5" s="275" t="s">
        <v>672</v>
      </c>
      <c r="I5" s="779" t="s">
        <v>228</v>
      </c>
      <c r="J5" s="248" t="s">
        <v>472</v>
      </c>
      <c r="K5" s="21" t="s">
        <v>559</v>
      </c>
    </row>
    <row r="6" spans="1:14">
      <c r="F6" s="292" t="str">
        <f>'10-Grants Receivable'!F6</f>
        <v>Jan. 1, 2020</v>
      </c>
      <c r="G6" s="275" t="s">
        <v>670</v>
      </c>
      <c r="H6" s="275"/>
      <c r="I6" s="15"/>
      <c r="J6" s="749"/>
      <c r="K6" s="291" t="str">
        <f>'10-Grants Receivable'!K6</f>
        <v>Dec. 31, 2020</v>
      </c>
    </row>
    <row r="7" spans="1:14" ht="13.8" thickBot="1">
      <c r="B7" s="10"/>
      <c r="C7" s="10"/>
      <c r="D7" s="10"/>
      <c r="E7" s="10"/>
      <c r="F7" s="14"/>
      <c r="G7" s="16" t="s">
        <v>671</v>
      </c>
      <c r="H7" s="14"/>
      <c r="I7" s="14"/>
      <c r="J7" s="17"/>
      <c r="K7" s="19"/>
    </row>
    <row r="8" spans="1:14" ht="21" customHeight="1" thickTop="1">
      <c r="B8" s="781" t="s">
        <v>3324</v>
      </c>
      <c r="C8" s="781"/>
      <c r="D8" s="781"/>
      <c r="E8" s="782"/>
      <c r="F8" s="764">
        <f>+'10.9-Grants Receivable'!F27</f>
        <v>9000.1</v>
      </c>
      <c r="G8" s="764">
        <f>+'10.9-Grants Receivable'!G27</f>
        <v>19781.55</v>
      </c>
      <c r="H8" s="764">
        <f>+'10.9-Grants Receivable'!H27</f>
        <v>15279.55</v>
      </c>
      <c r="I8" s="764">
        <f>+'10.9-Grants Receivable'!I27</f>
        <v>0</v>
      </c>
      <c r="J8" s="764">
        <f>+'10.9-Grants Receivable'!J27</f>
        <v>2.1</v>
      </c>
      <c r="K8" s="780">
        <f>+'10.9-Grants Receivable'!K27</f>
        <v>13500</v>
      </c>
    </row>
    <row r="9" spans="1:14" ht="21" customHeight="1">
      <c r="B9" s="559"/>
      <c r="C9" s="559"/>
      <c r="D9" s="559"/>
      <c r="E9" s="565"/>
      <c r="F9" s="367"/>
      <c r="G9" s="367"/>
      <c r="H9" s="367"/>
      <c r="I9" s="367"/>
      <c r="J9" s="367"/>
      <c r="K9" s="567">
        <f t="shared" ref="K9:K26" si="0">+F9+G9-H9+I9-J9</f>
        <v>0</v>
      </c>
      <c r="L9" s="318"/>
    </row>
    <row r="10" spans="1:14" ht="21" customHeight="1">
      <c r="B10" s="559"/>
      <c r="C10" s="559"/>
      <c r="D10" s="559"/>
      <c r="E10" s="565"/>
      <c r="F10" s="367"/>
      <c r="G10" s="367"/>
      <c r="H10" s="367"/>
      <c r="I10" s="367"/>
      <c r="J10" s="367"/>
      <c r="K10" s="567">
        <f t="shared" si="0"/>
        <v>0</v>
      </c>
      <c r="N10" s="370"/>
    </row>
    <row r="11" spans="1:14" ht="21" customHeight="1">
      <c r="B11" s="559"/>
      <c r="C11" s="559"/>
      <c r="D11" s="559"/>
      <c r="E11" s="565"/>
      <c r="F11" s="367"/>
      <c r="G11" s="367"/>
      <c r="H11" s="367"/>
      <c r="I11" s="367"/>
      <c r="J11" s="367"/>
      <c r="K11" s="567">
        <f t="shared" si="0"/>
        <v>0</v>
      </c>
      <c r="L11" s="318"/>
    </row>
    <row r="12" spans="1:14" ht="21" customHeight="1">
      <c r="B12" s="559"/>
      <c r="C12" s="569"/>
      <c r="D12" s="559"/>
      <c r="E12" s="565"/>
      <c r="F12" s="367"/>
      <c r="G12" s="367"/>
      <c r="H12" s="367"/>
      <c r="I12" s="367"/>
      <c r="J12" s="367"/>
      <c r="K12" s="567">
        <f t="shared" si="0"/>
        <v>0</v>
      </c>
    </row>
    <row r="13" spans="1:14" ht="21" customHeight="1">
      <c r="B13" s="559"/>
      <c r="C13" s="569"/>
      <c r="D13" s="559"/>
      <c r="E13" s="565"/>
      <c r="F13" s="367"/>
      <c r="G13" s="367"/>
      <c r="H13" s="367"/>
      <c r="I13" s="367"/>
      <c r="J13" s="367"/>
      <c r="K13" s="567">
        <f t="shared" si="0"/>
        <v>0</v>
      </c>
    </row>
    <row r="14" spans="1:14" ht="21" customHeight="1">
      <c r="B14" s="559"/>
      <c r="C14" s="559"/>
      <c r="D14" s="559"/>
      <c r="E14" s="565"/>
      <c r="F14" s="367"/>
      <c r="G14" s="367"/>
      <c r="H14" s="367"/>
      <c r="I14" s="367"/>
      <c r="J14" s="367"/>
      <c r="K14" s="567">
        <f t="shared" si="0"/>
        <v>0</v>
      </c>
    </row>
    <row r="15" spans="1:14" ht="21" customHeight="1">
      <c r="A15" s="1613" t="s">
        <v>3334</v>
      </c>
      <c r="B15" s="559"/>
      <c r="C15" s="560"/>
      <c r="D15" s="559"/>
      <c r="E15" s="565"/>
      <c r="F15" s="367"/>
      <c r="G15" s="367"/>
      <c r="H15" s="367"/>
      <c r="I15" s="367"/>
      <c r="J15" s="367"/>
      <c r="K15" s="567">
        <f t="shared" si="0"/>
        <v>0</v>
      </c>
    </row>
    <row r="16" spans="1:14" ht="21" customHeight="1">
      <c r="A16" s="1613"/>
      <c r="B16" s="559"/>
      <c r="C16" s="560"/>
      <c r="D16" s="559"/>
      <c r="E16" s="565"/>
      <c r="F16" s="367"/>
      <c r="G16" s="367"/>
      <c r="H16" s="367"/>
      <c r="I16" s="367"/>
      <c r="J16" s="367"/>
      <c r="K16" s="567">
        <f t="shared" si="0"/>
        <v>0</v>
      </c>
    </row>
    <row r="17" spans="1:12" ht="21" customHeight="1">
      <c r="A17" s="1613"/>
      <c r="B17" s="559"/>
      <c r="C17" s="560"/>
      <c r="D17" s="559"/>
      <c r="E17" s="565"/>
      <c r="F17" s="367"/>
      <c r="G17" s="367"/>
      <c r="H17" s="367"/>
      <c r="I17" s="367"/>
      <c r="J17" s="367"/>
      <c r="K17" s="567">
        <f t="shared" si="0"/>
        <v>0</v>
      </c>
    </row>
    <row r="18" spans="1:12" ht="21" customHeight="1">
      <c r="B18" s="559"/>
      <c r="C18" s="560"/>
      <c r="D18" s="559"/>
      <c r="E18" s="565"/>
      <c r="F18" s="367"/>
      <c r="G18" s="367"/>
      <c r="H18" s="367"/>
      <c r="I18" s="367"/>
      <c r="J18" s="367"/>
      <c r="K18" s="567">
        <f t="shared" si="0"/>
        <v>0</v>
      </c>
    </row>
    <row r="19" spans="1:12" ht="21" customHeight="1">
      <c r="B19" s="559"/>
      <c r="C19" s="560"/>
      <c r="D19" s="559"/>
      <c r="E19" s="565"/>
      <c r="F19" s="367"/>
      <c r="G19" s="367"/>
      <c r="H19" s="367"/>
      <c r="I19" s="367"/>
      <c r="J19" s="367"/>
      <c r="K19" s="567">
        <f t="shared" si="0"/>
        <v>0</v>
      </c>
    </row>
    <row r="20" spans="1:12" ht="21" customHeight="1">
      <c r="B20" s="559"/>
      <c r="C20" s="559"/>
      <c r="D20" s="559"/>
      <c r="E20" s="565"/>
      <c r="F20" s="367"/>
      <c r="G20" s="367"/>
      <c r="H20" s="367"/>
      <c r="I20" s="367"/>
      <c r="J20" s="367"/>
      <c r="K20" s="567">
        <f t="shared" si="0"/>
        <v>0</v>
      </c>
    </row>
    <row r="21" spans="1:12" ht="21" customHeight="1">
      <c r="B21" s="559"/>
      <c r="C21" s="559"/>
      <c r="D21" s="559"/>
      <c r="E21" s="565"/>
      <c r="F21" s="367"/>
      <c r="G21" s="367"/>
      <c r="H21" s="367"/>
      <c r="I21" s="367"/>
      <c r="J21" s="367"/>
      <c r="K21" s="567">
        <f t="shared" si="0"/>
        <v>0</v>
      </c>
    </row>
    <row r="22" spans="1:12" ht="21" customHeight="1">
      <c r="B22" s="559"/>
      <c r="C22" s="559"/>
      <c r="D22" s="559"/>
      <c r="E22" s="565"/>
      <c r="F22" s="367"/>
      <c r="G22" s="367"/>
      <c r="H22" s="367"/>
      <c r="I22" s="367"/>
      <c r="J22" s="367"/>
      <c r="K22" s="567">
        <f t="shared" si="0"/>
        <v>0</v>
      </c>
    </row>
    <row r="23" spans="1:12" ht="21" customHeight="1">
      <c r="B23" s="559"/>
      <c r="C23" s="559"/>
      <c r="D23" s="559"/>
      <c r="E23" s="565"/>
      <c r="F23" s="367"/>
      <c r="G23" s="367"/>
      <c r="H23" s="367"/>
      <c r="I23" s="367"/>
      <c r="J23" s="367"/>
      <c r="K23" s="567">
        <f t="shared" si="0"/>
        <v>0</v>
      </c>
    </row>
    <row r="24" spans="1:12" ht="21" customHeight="1">
      <c r="B24" s="559"/>
      <c r="C24" s="559"/>
      <c r="D24" s="559"/>
      <c r="E24" s="565"/>
      <c r="F24" s="367"/>
      <c r="G24" s="367"/>
      <c r="H24" s="367"/>
      <c r="I24" s="367"/>
      <c r="J24" s="367"/>
      <c r="K24" s="567">
        <f t="shared" si="0"/>
        <v>0</v>
      </c>
    </row>
    <row r="25" spans="1:12" ht="21" customHeight="1">
      <c r="B25" s="559"/>
      <c r="C25" s="559"/>
      <c r="D25" s="559"/>
      <c r="E25" s="565"/>
      <c r="F25" s="367"/>
      <c r="G25" s="367"/>
      <c r="H25" s="367"/>
      <c r="I25" s="367"/>
      <c r="J25" s="367"/>
      <c r="K25" s="567">
        <f t="shared" si="0"/>
        <v>0</v>
      </c>
    </row>
    <row r="26" spans="1:12" ht="21" customHeight="1">
      <c r="B26" s="559"/>
      <c r="C26" s="559"/>
      <c r="D26" s="559"/>
      <c r="E26" s="565"/>
      <c r="F26" s="367"/>
      <c r="G26" s="367"/>
      <c r="H26" s="367"/>
      <c r="I26" s="367"/>
      <c r="J26" s="367"/>
      <c r="K26" s="567">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134">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781" t="s">
        <v>3324</v>
      </c>
      <c r="C8" s="781"/>
      <c r="D8" s="781"/>
      <c r="E8" s="782"/>
      <c r="F8" s="764">
        <f>+'10.10-Grants Receivable'!F27</f>
        <v>9000.1</v>
      </c>
      <c r="G8" s="764">
        <f>+'10.10-Grants Receivable'!G27</f>
        <v>19781.55</v>
      </c>
      <c r="H8" s="764">
        <f>+'10.10-Grants Receivable'!H27</f>
        <v>15279.55</v>
      </c>
      <c r="I8" s="764">
        <f>+'10.10-Grants Receivable'!I27</f>
        <v>0</v>
      </c>
      <c r="J8" s="764">
        <f>+'10.10-Grants Receivable'!J27</f>
        <v>2.1</v>
      </c>
      <c r="K8" s="892">
        <f>+'10.10-Grants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3335</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781" t="s">
        <v>3324</v>
      </c>
      <c r="C8" s="781"/>
      <c r="D8" s="781"/>
      <c r="E8" s="782"/>
      <c r="F8" s="764">
        <f>'10.11-Grants Receivable'!F27</f>
        <v>9000.1</v>
      </c>
      <c r="G8" s="764">
        <f>+'10.11-Grants Receivable'!G27</f>
        <v>19781.55</v>
      </c>
      <c r="H8" s="764">
        <f>+'10.11-Grants Receivable'!H27</f>
        <v>15279.55</v>
      </c>
      <c r="I8" s="764">
        <f>+'10.11-Grants Receivable'!I27</f>
        <v>0</v>
      </c>
      <c r="J8" s="764">
        <f>+'10.11-Grants Receivable'!J27</f>
        <v>2.1</v>
      </c>
      <c r="K8" s="892">
        <f>+'10.11-Grants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3336</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18"/>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987"/>
      <c r="K6" s="856" t="str">
        <f>'10-Grants Receivable'!K6</f>
        <v>Dec. 31, 2020</v>
      </c>
    </row>
    <row r="7" spans="1:14" ht="13.8" thickBot="1">
      <c r="B7" s="10"/>
      <c r="C7" s="10"/>
      <c r="D7" s="10"/>
      <c r="E7" s="10"/>
      <c r="F7" s="14"/>
      <c r="G7" s="16" t="s">
        <v>671</v>
      </c>
      <c r="H7" s="14"/>
      <c r="I7" s="14"/>
      <c r="J7" s="17"/>
      <c r="K7" s="857"/>
    </row>
    <row r="8" spans="1:14" ht="21" customHeight="1" thickTop="1">
      <c r="B8" s="874" t="s">
        <v>3324</v>
      </c>
      <c r="C8" s="874"/>
      <c r="D8" s="874"/>
      <c r="E8" s="890"/>
      <c r="F8" s="891">
        <f>+'10.12-Grants Receivable'!F27</f>
        <v>9000.1</v>
      </c>
      <c r="G8" s="891">
        <f>+'10.12-Grants Receivable'!G27</f>
        <v>19781.55</v>
      </c>
      <c r="H8" s="891">
        <f>+'10.12-Grants Receivable'!H27</f>
        <v>15279.55</v>
      </c>
      <c r="I8" s="891">
        <f>+'10.12-Grants Receivable'!I27</f>
        <v>0</v>
      </c>
      <c r="J8" s="891">
        <f>+'10.12-Grants Receivable'!J27</f>
        <v>2.1</v>
      </c>
      <c r="K8" s="892">
        <f>+'10.12-Grants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3337</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+'10.13-Grants Receivable'!F27</f>
        <v>9000.1</v>
      </c>
      <c r="G8" s="891">
        <f>+'10.13-Grants Receivable'!G27</f>
        <v>19781.55</v>
      </c>
      <c r="H8" s="891">
        <f>+'10.13-Grants Receivable'!H27</f>
        <v>15279.55</v>
      </c>
      <c r="I8" s="891">
        <f>+'10.13-Grants Receivable'!I27</f>
        <v>0</v>
      </c>
      <c r="J8" s="891">
        <f>+'10.13-Grants Receivable'!J27</f>
        <v>2.1</v>
      </c>
      <c r="K8" s="892">
        <f>+'10.13-Grants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3338</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874" t="s">
        <v>3324</v>
      </c>
      <c r="C8" s="874"/>
      <c r="D8" s="874"/>
      <c r="E8" s="890"/>
      <c r="F8" s="891">
        <f>+'10.14-Grants Receivable'!F27</f>
        <v>9000.1</v>
      </c>
      <c r="G8" s="891">
        <f>+'10.14-Grants Receivable'!G27</f>
        <v>19781.55</v>
      </c>
      <c r="H8" s="891">
        <f>+'10.14-Grants Receivable'!H27</f>
        <v>15279.55</v>
      </c>
      <c r="I8" s="891">
        <f>+'10.14-Grants Receivable'!I27</f>
        <v>0</v>
      </c>
      <c r="J8" s="891">
        <f>+'10.14-Grants Receivable'!J27</f>
        <v>2.1</v>
      </c>
      <c r="K8" s="892">
        <f>+'10.14-Grants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3339</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874" t="s">
        <v>3324</v>
      </c>
      <c r="C8" s="874"/>
      <c r="D8" s="874"/>
      <c r="E8" s="890"/>
      <c r="F8" s="891">
        <f>+'10.15-Grants Receivable'!F27</f>
        <v>9000.1</v>
      </c>
      <c r="G8" s="891">
        <f>+'10.15-Grants Receivable'!G27</f>
        <v>19781.55</v>
      </c>
      <c r="H8" s="891">
        <f>+'10.15-Grants Receivable'!H27</f>
        <v>15279.55</v>
      </c>
      <c r="I8" s="891">
        <f>+'10.15-Grants Receivable'!I27</f>
        <v>0</v>
      </c>
      <c r="J8" s="891">
        <f>+'10.15-Grants Receivable'!J27</f>
        <v>2.1</v>
      </c>
      <c r="K8" s="892">
        <f>+'10.15-Grants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38" t="s">
        <v>3340</v>
      </c>
      <c r="B15" s="559"/>
      <c r="C15" s="560"/>
      <c r="D15" s="559"/>
      <c r="E15" s="565"/>
      <c r="F15" s="367"/>
      <c r="G15" s="367"/>
      <c r="H15" s="367"/>
      <c r="I15" s="367"/>
      <c r="J15" s="367"/>
      <c r="K15" s="835">
        <f t="shared" si="0"/>
        <v>0</v>
      </c>
    </row>
    <row r="16" spans="1:14" ht="21" customHeight="1">
      <c r="A16" s="1638"/>
      <c r="B16" s="559"/>
      <c r="C16" s="560"/>
      <c r="D16" s="559"/>
      <c r="E16" s="565"/>
      <c r="F16" s="367"/>
      <c r="G16" s="367"/>
      <c r="H16" s="367"/>
      <c r="I16" s="367"/>
      <c r="J16" s="367"/>
      <c r="K16" s="835">
        <f t="shared" si="0"/>
        <v>0</v>
      </c>
    </row>
    <row r="17" spans="1:12" ht="21" customHeight="1">
      <c r="A17" s="1638"/>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+'10.16-Grants Receivable'!F27</f>
        <v>9000.1</v>
      </c>
      <c r="G8" s="891">
        <f>+'10.16-Grants Receivable'!G27</f>
        <v>19781.55</v>
      </c>
      <c r="H8" s="891">
        <f>+'10.16-Grants Receivable'!H27</f>
        <v>15279.55</v>
      </c>
      <c r="I8" s="891">
        <f>+'10.16-Grants Receivable'!I27</f>
        <v>0</v>
      </c>
      <c r="J8" s="891">
        <f>+'10.16-Grants Receivable'!J27</f>
        <v>2.1</v>
      </c>
      <c r="K8" s="892">
        <f>+'10.16-Grants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3341</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874" t="s">
        <v>3324</v>
      </c>
      <c r="C8" s="874"/>
      <c r="D8" s="874"/>
      <c r="E8" s="890"/>
      <c r="F8" s="891">
        <f>+'10.17-Grants Receivable'!F27</f>
        <v>9000.1</v>
      </c>
      <c r="G8" s="891">
        <f>+'10.17-Grants Receivable'!G27</f>
        <v>19781.55</v>
      </c>
      <c r="H8" s="891">
        <f>+'10.17-Grants Receivable'!H27</f>
        <v>15279.55</v>
      </c>
      <c r="I8" s="891">
        <f>+'10.17-Grants Receivable'!I27</f>
        <v>0</v>
      </c>
      <c r="J8" s="891">
        <f>+'10.17-Grants Receivable'!J27</f>
        <v>2.1</v>
      </c>
      <c r="K8" s="892">
        <f>+'10.17-Grants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3343</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546" t="s">
        <v>664</v>
      </c>
      <c r="C3" s="1546"/>
      <c r="D3" s="1546"/>
      <c r="E3" s="1546"/>
      <c r="F3" s="1546"/>
      <c r="G3" s="1546"/>
      <c r="H3" s="1546"/>
      <c r="I3" s="1546"/>
      <c r="J3" s="1546"/>
      <c r="K3" s="1546"/>
    </row>
    <row r="4" spans="1:14" ht="13.8" thickTop="1">
      <c r="B4" s="11"/>
      <c r="C4" s="11"/>
      <c r="D4" s="11"/>
      <c r="E4" s="11"/>
      <c r="F4" s="12"/>
      <c r="G4" s="12">
        <f>'KEY INPUTS'!D34</f>
        <v>2020</v>
      </c>
      <c r="H4" s="12"/>
      <c r="I4" s="6"/>
      <c r="J4" s="11"/>
      <c r="K4" s="854"/>
    </row>
    <row r="5" spans="1:14">
      <c r="B5" s="1584" t="s">
        <v>673</v>
      </c>
      <c r="C5" s="1584"/>
      <c r="D5" s="1584"/>
      <c r="E5" s="1634"/>
      <c r="F5" s="275" t="s">
        <v>559</v>
      </c>
      <c r="G5" s="275" t="s">
        <v>564</v>
      </c>
      <c r="H5" s="275" t="s">
        <v>672</v>
      </c>
      <c r="I5" s="779" t="s">
        <v>228</v>
      </c>
      <c r="J5" s="248" t="s">
        <v>472</v>
      </c>
      <c r="K5" s="855" t="s">
        <v>559</v>
      </c>
    </row>
    <row r="6" spans="1:14">
      <c r="F6" s="292" t="str">
        <f>'10-Grants Receivable'!F6</f>
        <v>Jan. 1, 2020</v>
      </c>
      <c r="G6" s="275" t="s">
        <v>670</v>
      </c>
      <c r="H6" s="275"/>
      <c r="I6" s="15"/>
      <c r="J6" s="749"/>
      <c r="K6" s="856" t="str">
        <f>'10-Grants Receivable'!K6</f>
        <v>Dec. 31, 2020</v>
      </c>
    </row>
    <row r="7" spans="1:14" ht="13.8" thickBot="1">
      <c r="B7" s="10"/>
      <c r="C7" s="10"/>
      <c r="D7" s="10"/>
      <c r="E7" s="10"/>
      <c r="F7" s="14"/>
      <c r="G7" s="16" t="s">
        <v>671</v>
      </c>
      <c r="H7" s="14"/>
      <c r="I7" s="14"/>
      <c r="J7" s="17"/>
      <c r="K7" s="857"/>
    </row>
    <row r="8" spans="1:14" ht="21" customHeight="1" thickTop="1">
      <c r="B8" s="874" t="s">
        <v>3324</v>
      </c>
      <c r="C8" s="874"/>
      <c r="D8" s="874"/>
      <c r="E8" s="890"/>
      <c r="F8" s="891">
        <f>+'10.18-Grants Receivable'!F27</f>
        <v>9000.1</v>
      </c>
      <c r="G8" s="891">
        <f>+'10.18-Grants Receivable'!G27</f>
        <v>19781.55</v>
      </c>
      <c r="H8" s="891">
        <f>+'10.18-Grants Receivable'!H27</f>
        <v>15279.55</v>
      </c>
      <c r="I8" s="891">
        <f>+'10.18-Grants Receivable'!I27</f>
        <v>0</v>
      </c>
      <c r="J8" s="891">
        <f>+'10.18-Grants Receivable'!J27</f>
        <v>2.1</v>
      </c>
      <c r="K8" s="892">
        <f>+'10.18-Grants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3342</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+'10.19-Grants Receivable'!F27</f>
        <v>9000.1</v>
      </c>
      <c r="G8" s="891">
        <f>+'10.19-Grants Receivable'!G27</f>
        <v>19781.55</v>
      </c>
      <c r="H8" s="891">
        <f>+'10.19-Grants Receivable'!H27</f>
        <v>15279.55</v>
      </c>
      <c r="I8" s="891">
        <f>+'10.19-Grants Receivable'!I27</f>
        <v>0</v>
      </c>
      <c r="J8" s="891">
        <f>+'10.19-Grants Receivable'!J27</f>
        <v>2.1</v>
      </c>
      <c r="K8" s="892">
        <f>+'10.19-Grants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3344</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f>F27+G27-H27+I27-K27-J27</f>
        <v>2.1826984664130578E-12</v>
      </c>
    </row>
    <row r="30" spans="1:12">
      <c r="F30" s="318"/>
      <c r="G30" s="318"/>
      <c r="K30" s="318"/>
      <c r="L30" s="318"/>
    </row>
    <row r="31" spans="1:12">
      <c r="K31" s="318">
        <f>+F27+G27-H27-I27-J27-K27</f>
        <v>0</v>
      </c>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+'10.20-Grants Receivable'!F27</f>
        <v>9000.1</v>
      </c>
      <c r="G8" s="891">
        <f>+'10.20-Grants Receivable'!G27</f>
        <v>19781.55</v>
      </c>
      <c r="H8" s="891">
        <f>+'10.20-Grants Receivable'!H27</f>
        <v>15279.55</v>
      </c>
      <c r="I8" s="891">
        <f>+'10.20-Grants Receivable'!I27</f>
        <v>0</v>
      </c>
      <c r="J8" s="891">
        <f>+'10.20-Grants Receivable'!J27</f>
        <v>2.1</v>
      </c>
      <c r="K8" s="892">
        <f>+'10.20-Grants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3345</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row>
    <row r="30" spans="1:12">
      <c r="F30" s="318"/>
      <c r="G30" s="318"/>
      <c r="K30" s="318"/>
      <c r="L30" s="318"/>
    </row>
    <row r="31" spans="1:12">
      <c r="K31" s="318"/>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+'10.21-Grants Receivable'!F27</f>
        <v>9000.1</v>
      </c>
      <c r="G8" s="891">
        <f>+'10.21-Grants Receivable'!G27</f>
        <v>19781.55</v>
      </c>
      <c r="H8" s="891">
        <f>+'10.21-Grants Receivable'!H27</f>
        <v>15279.55</v>
      </c>
      <c r="I8" s="891">
        <f>+'10.21-Grants Receivable'!I27</f>
        <v>0</v>
      </c>
      <c r="J8" s="891">
        <f>+'10.21-Grants Receivable'!J27</f>
        <v>2.1</v>
      </c>
      <c r="K8" s="892">
        <f>+'10.21-Grants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3346</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row>
    <row r="30" spans="1:12">
      <c r="F30" s="318"/>
      <c r="G30" s="318"/>
      <c r="K30" s="318"/>
      <c r="L30" s="318"/>
    </row>
    <row r="31" spans="1:12">
      <c r="K31" s="318"/>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1" spans="1:14">
      <c r="B1" s="844"/>
      <c r="C1" s="844"/>
      <c r="D1" s="844"/>
      <c r="E1" s="844"/>
      <c r="F1" s="844"/>
      <c r="G1" s="844"/>
      <c r="H1" s="844"/>
      <c r="I1" s="844"/>
      <c r="J1" s="844"/>
      <c r="K1" s="844"/>
    </row>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+'10.22-Grants Receivable'!F27</f>
        <v>9000.1</v>
      </c>
      <c r="G8" s="891">
        <f>+'10.22-Grants Receivable'!G27</f>
        <v>19781.55</v>
      </c>
      <c r="H8" s="891">
        <f>+'10.22-Grants Receivable'!H27</f>
        <v>15279.55</v>
      </c>
      <c r="I8" s="891">
        <f>+'10.22-Grants Receivable'!I27</f>
        <v>0</v>
      </c>
      <c r="J8" s="891">
        <f>+'10.22-Grants Receivable'!J27</f>
        <v>2.1</v>
      </c>
      <c r="K8" s="892">
        <f>+'10.22-Grants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3347</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row>
    <row r="30" spans="1:12">
      <c r="F30" s="318"/>
      <c r="G30" s="318"/>
      <c r="K30" s="318"/>
      <c r="L30" s="318"/>
    </row>
    <row r="31" spans="1:12">
      <c r="K31" s="318"/>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635" t="s">
        <v>240</v>
      </c>
      <c r="C2" s="1635"/>
      <c r="D2" s="1635"/>
      <c r="E2" s="1635"/>
      <c r="F2" s="1635"/>
      <c r="G2" s="1635"/>
      <c r="H2" s="1635"/>
      <c r="I2" s="1635"/>
      <c r="J2" s="1635"/>
      <c r="K2" s="1635"/>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+'10.23-Grants Receivable'!F27</f>
        <v>9000.1</v>
      </c>
      <c r="G8" s="891">
        <f>+'10.23-Grants Receivable'!G27</f>
        <v>19781.55</v>
      </c>
      <c r="H8" s="891">
        <f>+'10.23-Grants Receivable'!H27</f>
        <v>15279.55</v>
      </c>
      <c r="I8" s="891">
        <f>+'10.23-Grants Receivable'!I27</f>
        <v>0</v>
      </c>
      <c r="J8" s="891">
        <f>+'10.23-Grants Receivable'!J27</f>
        <v>2.1</v>
      </c>
      <c r="K8" s="892">
        <f>+'10.23-Grants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3348</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27" t="s">
        <v>3323</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row>
    <row r="30" spans="1:12">
      <c r="F30" s="318"/>
      <c r="G30" s="318"/>
      <c r="K30" s="318"/>
      <c r="L30" s="318"/>
    </row>
    <row r="31" spans="1:12">
      <c r="K31" s="318"/>
    </row>
    <row r="32" spans="1:12">
      <c r="G32" s="318"/>
    </row>
  </sheetData>
  <sheetProtection password="CAF9"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36.109375" style="315" customWidth="1"/>
    <col min="6" max="11" width="15.6640625" style="315" customWidth="1"/>
    <col min="12" max="12" width="11.88671875" style="315" bestFit="1" customWidth="1"/>
    <col min="13" max="16384" width="9.109375" style="315"/>
  </cols>
  <sheetData>
    <row r="2" spans="1:14" ht="20.399999999999999">
      <c r="B2" s="1546" t="s">
        <v>240</v>
      </c>
      <c r="C2" s="1546"/>
      <c r="D2" s="1546"/>
      <c r="E2" s="1546"/>
      <c r="F2" s="1546"/>
      <c r="G2" s="1546"/>
      <c r="H2" s="1546"/>
      <c r="I2" s="1546"/>
      <c r="J2" s="1546"/>
      <c r="K2" s="1546"/>
    </row>
    <row r="3" spans="1:14" ht="21" thickBot="1">
      <c r="B3" s="1635" t="s">
        <v>664</v>
      </c>
      <c r="C3" s="1635"/>
      <c r="D3" s="1635"/>
      <c r="E3" s="1635"/>
      <c r="F3" s="1635"/>
      <c r="G3" s="1635"/>
      <c r="H3" s="1635"/>
      <c r="I3" s="1635"/>
      <c r="J3" s="1635"/>
      <c r="K3" s="1635"/>
    </row>
    <row r="4" spans="1:14" ht="13.8" thickTop="1">
      <c r="B4" s="877"/>
      <c r="C4" s="877"/>
      <c r="D4" s="877"/>
      <c r="E4" s="877"/>
      <c r="F4" s="878"/>
      <c r="G4" s="878">
        <f>'KEY INPUTS'!D34</f>
        <v>2020</v>
      </c>
      <c r="H4" s="878"/>
      <c r="I4" s="879"/>
      <c r="J4" s="877"/>
      <c r="K4" s="854"/>
    </row>
    <row r="5" spans="1:14">
      <c r="B5" s="1636" t="s">
        <v>673</v>
      </c>
      <c r="C5" s="1636"/>
      <c r="D5" s="1636"/>
      <c r="E5" s="1637"/>
      <c r="F5" s="880" t="s">
        <v>559</v>
      </c>
      <c r="G5" s="880" t="s">
        <v>564</v>
      </c>
      <c r="H5" s="880" t="s">
        <v>672</v>
      </c>
      <c r="I5" s="881" t="s">
        <v>228</v>
      </c>
      <c r="J5" s="882" t="s">
        <v>472</v>
      </c>
      <c r="K5" s="855" t="s">
        <v>559</v>
      </c>
    </row>
    <row r="6" spans="1:14">
      <c r="B6" s="844"/>
      <c r="C6" s="844"/>
      <c r="D6" s="844"/>
      <c r="E6" s="844"/>
      <c r="F6" s="883" t="str">
        <f>'10-Grants Receivable'!F6</f>
        <v>Jan. 1, 2020</v>
      </c>
      <c r="G6" s="880" t="s">
        <v>670</v>
      </c>
      <c r="H6" s="880"/>
      <c r="I6" s="884"/>
      <c r="J6" s="885"/>
      <c r="K6" s="856" t="str">
        <f>'10-Grants Receivable'!K6</f>
        <v>Dec. 31, 2020</v>
      </c>
    </row>
    <row r="7" spans="1:14" ht="13.8" thickBot="1">
      <c r="B7" s="886"/>
      <c r="C7" s="886"/>
      <c r="D7" s="886"/>
      <c r="E7" s="886"/>
      <c r="F7" s="887"/>
      <c r="G7" s="888" t="s">
        <v>671</v>
      </c>
      <c r="H7" s="887"/>
      <c r="I7" s="887"/>
      <c r="J7" s="889"/>
      <c r="K7" s="857"/>
    </row>
    <row r="8" spans="1:14" ht="21" customHeight="1" thickTop="1">
      <c r="B8" s="874" t="s">
        <v>3324</v>
      </c>
      <c r="C8" s="874"/>
      <c r="D8" s="874"/>
      <c r="E8" s="890"/>
      <c r="F8" s="891">
        <f>+'10.24-Grants Receivable'!F27</f>
        <v>9000.1</v>
      </c>
      <c r="G8" s="891">
        <f>+'10.24-Grants Receivable'!G27</f>
        <v>19781.55</v>
      </c>
      <c r="H8" s="891">
        <f>+'10.24-Grants Receivable'!H27</f>
        <v>15279.55</v>
      </c>
      <c r="I8" s="891">
        <f>+'10.24-Grants Receivable'!I27</f>
        <v>0</v>
      </c>
      <c r="J8" s="891">
        <f>+'10.24-Grants Receivable'!J27</f>
        <v>2.1</v>
      </c>
      <c r="K8" s="892">
        <f>+'10.24-Grants Receivable'!K27</f>
        <v>13500</v>
      </c>
    </row>
    <row r="9" spans="1:14" ht="21" customHeight="1">
      <c r="B9" s="559"/>
      <c r="C9" s="559"/>
      <c r="D9" s="559"/>
      <c r="E9" s="565"/>
      <c r="F9" s="367"/>
      <c r="G9" s="367"/>
      <c r="H9" s="367"/>
      <c r="I9" s="367"/>
      <c r="J9" s="367"/>
      <c r="K9" s="835">
        <f t="shared" ref="K9:K26" si="0">+F9+G9-H9+I9-J9</f>
        <v>0</v>
      </c>
      <c r="L9" s="318"/>
    </row>
    <row r="10" spans="1:14" ht="21" customHeight="1">
      <c r="B10" s="559"/>
      <c r="C10" s="559"/>
      <c r="D10" s="559"/>
      <c r="E10" s="565"/>
      <c r="F10" s="367"/>
      <c r="G10" s="367"/>
      <c r="H10" s="367"/>
      <c r="I10" s="367"/>
      <c r="J10" s="367"/>
      <c r="K10" s="835">
        <f t="shared" si="0"/>
        <v>0</v>
      </c>
      <c r="N10" s="370"/>
    </row>
    <row r="11" spans="1:14" ht="21" customHeight="1">
      <c r="B11" s="559"/>
      <c r="C11" s="559"/>
      <c r="D11" s="559"/>
      <c r="E11" s="565"/>
      <c r="F11" s="367"/>
      <c r="G11" s="367"/>
      <c r="H11" s="367"/>
      <c r="I11" s="367"/>
      <c r="J11" s="367"/>
      <c r="K11" s="835">
        <f t="shared" si="0"/>
        <v>0</v>
      </c>
      <c r="L11" s="318"/>
    </row>
    <row r="12" spans="1:14" ht="21" customHeight="1">
      <c r="B12" s="559"/>
      <c r="C12" s="569"/>
      <c r="D12" s="559"/>
      <c r="E12" s="565"/>
      <c r="F12" s="367"/>
      <c r="G12" s="367"/>
      <c r="H12" s="367"/>
      <c r="I12" s="367"/>
      <c r="J12" s="367"/>
      <c r="K12" s="835">
        <f t="shared" si="0"/>
        <v>0</v>
      </c>
    </row>
    <row r="13" spans="1:14" ht="21" customHeight="1">
      <c r="B13" s="559"/>
      <c r="C13" s="569"/>
      <c r="D13" s="559"/>
      <c r="E13" s="565"/>
      <c r="F13" s="367"/>
      <c r="G13" s="367"/>
      <c r="H13" s="367"/>
      <c r="I13" s="367"/>
      <c r="J13" s="367"/>
      <c r="K13" s="835">
        <f t="shared" si="0"/>
        <v>0</v>
      </c>
    </row>
    <row r="14" spans="1:14" ht="21" customHeight="1">
      <c r="B14" s="559"/>
      <c r="C14" s="559"/>
      <c r="D14" s="559"/>
      <c r="E14" s="565"/>
      <c r="F14" s="367"/>
      <c r="G14" s="367"/>
      <c r="H14" s="367"/>
      <c r="I14" s="367"/>
      <c r="J14" s="367"/>
      <c r="K14" s="835">
        <f t="shared" si="0"/>
        <v>0</v>
      </c>
    </row>
    <row r="15" spans="1:14" ht="21" customHeight="1">
      <c r="A15" s="1613" t="s">
        <v>3431</v>
      </c>
      <c r="B15" s="559"/>
      <c r="C15" s="560"/>
      <c r="D15" s="559"/>
      <c r="E15" s="565"/>
      <c r="F15" s="367"/>
      <c r="G15" s="367"/>
      <c r="H15" s="367"/>
      <c r="I15" s="367"/>
      <c r="J15" s="367"/>
      <c r="K15" s="835">
        <f t="shared" si="0"/>
        <v>0</v>
      </c>
    </row>
    <row r="16" spans="1:14" ht="21" customHeight="1">
      <c r="A16" s="1613"/>
      <c r="B16" s="559"/>
      <c r="C16" s="560"/>
      <c r="D16" s="559"/>
      <c r="E16" s="565"/>
      <c r="F16" s="367"/>
      <c r="G16" s="367"/>
      <c r="H16" s="367"/>
      <c r="I16" s="367"/>
      <c r="J16" s="367"/>
      <c r="K16" s="835">
        <f t="shared" si="0"/>
        <v>0</v>
      </c>
    </row>
    <row r="17" spans="1:12" ht="21" customHeight="1">
      <c r="A17" s="1613"/>
      <c r="B17" s="559"/>
      <c r="C17" s="560"/>
      <c r="D17" s="559"/>
      <c r="E17" s="565"/>
      <c r="F17" s="367"/>
      <c r="G17" s="367"/>
      <c r="H17" s="367"/>
      <c r="I17" s="367"/>
      <c r="J17" s="367"/>
      <c r="K17" s="835">
        <f t="shared" si="0"/>
        <v>0</v>
      </c>
    </row>
    <row r="18" spans="1:12" ht="21" customHeight="1">
      <c r="B18" s="559"/>
      <c r="C18" s="560"/>
      <c r="D18" s="559"/>
      <c r="E18" s="565"/>
      <c r="F18" s="367"/>
      <c r="G18" s="367"/>
      <c r="H18" s="367"/>
      <c r="I18" s="367"/>
      <c r="J18" s="367"/>
      <c r="K18" s="835">
        <f t="shared" si="0"/>
        <v>0</v>
      </c>
    </row>
    <row r="19" spans="1:12" ht="21" customHeight="1">
      <c r="B19" s="559"/>
      <c r="C19" s="560"/>
      <c r="D19" s="559"/>
      <c r="E19" s="565"/>
      <c r="F19" s="367"/>
      <c r="G19" s="367"/>
      <c r="H19" s="367"/>
      <c r="I19" s="367"/>
      <c r="J19" s="367"/>
      <c r="K19" s="835">
        <f t="shared" si="0"/>
        <v>0</v>
      </c>
    </row>
    <row r="20" spans="1:12" ht="21" customHeight="1">
      <c r="B20" s="559"/>
      <c r="C20" s="559"/>
      <c r="D20" s="559"/>
      <c r="E20" s="565"/>
      <c r="F20" s="367"/>
      <c r="G20" s="367"/>
      <c r="H20" s="367"/>
      <c r="I20" s="367"/>
      <c r="J20" s="367"/>
      <c r="K20" s="835">
        <f t="shared" si="0"/>
        <v>0</v>
      </c>
    </row>
    <row r="21" spans="1:12" ht="21" customHeight="1">
      <c r="B21" s="559"/>
      <c r="C21" s="559"/>
      <c r="D21" s="559"/>
      <c r="E21" s="565"/>
      <c r="F21" s="367"/>
      <c r="G21" s="367"/>
      <c r="H21" s="367"/>
      <c r="I21" s="367"/>
      <c r="J21" s="367"/>
      <c r="K21" s="835">
        <f t="shared" si="0"/>
        <v>0</v>
      </c>
    </row>
    <row r="22" spans="1:12" ht="21" customHeight="1">
      <c r="B22" s="559"/>
      <c r="C22" s="559"/>
      <c r="D22" s="559"/>
      <c r="E22" s="565"/>
      <c r="F22" s="367"/>
      <c r="G22" s="367"/>
      <c r="H22" s="367"/>
      <c r="I22" s="367"/>
      <c r="J22" s="367"/>
      <c r="K22" s="835">
        <f t="shared" si="0"/>
        <v>0</v>
      </c>
    </row>
    <row r="23" spans="1:12" ht="21" customHeight="1">
      <c r="B23" s="559"/>
      <c r="C23" s="559"/>
      <c r="D23" s="559"/>
      <c r="E23" s="565"/>
      <c r="F23" s="367"/>
      <c r="G23" s="367"/>
      <c r="H23" s="367"/>
      <c r="I23" s="367"/>
      <c r="J23" s="367"/>
      <c r="K23" s="835">
        <f t="shared" si="0"/>
        <v>0</v>
      </c>
    </row>
    <row r="24" spans="1:12" ht="21" customHeight="1">
      <c r="B24" s="559"/>
      <c r="C24" s="559"/>
      <c r="D24" s="559"/>
      <c r="E24" s="565"/>
      <c r="F24" s="367"/>
      <c r="G24" s="367"/>
      <c r="H24" s="367"/>
      <c r="I24" s="367"/>
      <c r="J24" s="367"/>
      <c r="K24" s="835">
        <f t="shared" si="0"/>
        <v>0</v>
      </c>
    </row>
    <row r="25" spans="1:12" ht="21" customHeight="1">
      <c r="B25" s="559"/>
      <c r="C25" s="559"/>
      <c r="D25" s="559"/>
      <c r="E25" s="565"/>
      <c r="F25" s="367"/>
      <c r="G25" s="367"/>
      <c r="H25" s="367"/>
      <c r="I25" s="367"/>
      <c r="J25" s="367"/>
      <c r="K25" s="835">
        <f t="shared" si="0"/>
        <v>0</v>
      </c>
    </row>
    <row r="26" spans="1:12" ht="21" customHeight="1">
      <c r="B26" s="559"/>
      <c r="C26" s="559"/>
      <c r="D26" s="559"/>
      <c r="E26" s="565"/>
      <c r="F26" s="367"/>
      <c r="G26" s="367"/>
      <c r="H26" s="367"/>
      <c r="I26" s="367"/>
      <c r="J26" s="367"/>
      <c r="K26" s="835">
        <f t="shared" si="0"/>
        <v>0</v>
      </c>
    </row>
    <row r="27" spans="1:12" ht="21" customHeight="1" thickBot="1">
      <c r="B27" s="27"/>
      <c r="C27" s="321" t="s">
        <v>3349</v>
      </c>
      <c r="D27" s="27"/>
      <c r="E27" s="41"/>
      <c r="F27" s="99">
        <f t="shared" ref="F27:K27" si="1">SUM(F8:F26)</f>
        <v>9000.1</v>
      </c>
      <c r="G27" s="99">
        <f t="shared" si="1"/>
        <v>19781.55</v>
      </c>
      <c r="H27" s="99">
        <f t="shared" si="1"/>
        <v>15279.55</v>
      </c>
      <c r="I27" s="99">
        <f t="shared" si="1"/>
        <v>0</v>
      </c>
      <c r="J27" s="99">
        <f t="shared" si="1"/>
        <v>2.1</v>
      </c>
      <c r="K27" s="853">
        <f t="shared" si="1"/>
        <v>13500</v>
      </c>
    </row>
    <row r="28" spans="1:12" ht="13.8" thickTop="1"/>
    <row r="29" spans="1:12">
      <c r="K29" s="318"/>
    </row>
    <row r="30" spans="1:12">
      <c r="F30" s="318"/>
      <c r="G30" s="318"/>
      <c r="K30" s="318"/>
      <c r="L30" s="318"/>
    </row>
    <row r="31" spans="1:12">
      <c r="K31" s="318"/>
    </row>
    <row r="32" spans="1:12">
      <c r="G32" s="318"/>
    </row>
  </sheetData>
  <sheetProtection algorithmName="SHA-512" hashValue="cfWM1T+KxIox84ZnJJaetb9QwTBLDhoN3IGBglfS4XqM0fIJ6wAl63F8sxxGnq+7BGH8/m/MPd6Pnmc1Xj2BOg==" saltValue="MOeR7+86lo0zpRt5BfJH7g=="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O34"/>
  <sheetViews>
    <sheetView zoomScaleNormal="100" workbookViewId="0">
      <selection activeCell="B17" sqref="B17:E17"/>
    </sheetView>
  </sheetViews>
  <sheetFormatPr defaultRowHeight="13.2"/>
  <cols>
    <col min="1" max="1" width="5.6640625" customWidth="1"/>
    <col min="2" max="2" width="4.109375" customWidth="1"/>
    <col min="3" max="4" width="4.88671875" customWidth="1"/>
    <col min="5" max="5" width="43.44140625" customWidth="1"/>
    <col min="6" max="10" width="15.6640625" customWidth="1"/>
    <col min="11" max="11" width="15.5546875" customWidth="1"/>
    <col min="12" max="12" width="15.6640625" style="239" customWidth="1"/>
    <col min="13" max="13" width="10.88671875" bestFit="1" customWidth="1"/>
  </cols>
  <sheetData>
    <row r="1" spans="1:15">
      <c r="B1" s="315"/>
      <c r="C1" s="315"/>
      <c r="D1" s="315"/>
      <c r="E1" s="315"/>
      <c r="F1" s="315"/>
      <c r="G1" s="315"/>
      <c r="H1" s="315"/>
      <c r="I1" s="315"/>
      <c r="J1" s="315"/>
      <c r="K1" s="315"/>
      <c r="L1" s="270"/>
    </row>
    <row r="2" spans="1:15" ht="20.399999999999999">
      <c r="B2" s="1546" t="s">
        <v>247</v>
      </c>
      <c r="C2" s="1546"/>
      <c r="D2" s="1546"/>
      <c r="E2" s="1546"/>
      <c r="F2" s="1546"/>
      <c r="G2" s="1546"/>
      <c r="H2" s="1546"/>
      <c r="I2" s="1546"/>
      <c r="J2" s="1546"/>
      <c r="K2" s="1546"/>
      <c r="L2" s="1546"/>
    </row>
    <row r="3" spans="1:15" ht="21" thickBot="1">
      <c r="B3" s="1546" t="s">
        <v>111</v>
      </c>
      <c r="C3" s="1546"/>
      <c r="D3" s="1546"/>
      <c r="E3" s="1546"/>
      <c r="F3" s="1546"/>
      <c r="G3" s="1546"/>
      <c r="H3" s="1546"/>
      <c r="I3" s="1546"/>
      <c r="J3" s="1546"/>
      <c r="K3" s="1546"/>
      <c r="L3" s="1546"/>
    </row>
    <row r="4" spans="1:15" ht="13.8" thickTop="1">
      <c r="B4" s="11"/>
      <c r="C4" s="11"/>
      <c r="D4" s="11"/>
      <c r="E4" s="11"/>
      <c r="F4" s="12"/>
      <c r="G4" s="1641" t="str">
        <f>"Transferred from "&amp;TEXT('KEY INPUTS'!D34,"0")</f>
        <v>Transferred from 2020</v>
      </c>
      <c r="H4" s="1642"/>
      <c r="I4" s="12"/>
      <c r="J4" s="6"/>
      <c r="K4" s="11"/>
      <c r="L4" s="258"/>
    </row>
    <row r="5" spans="1:15">
      <c r="B5" s="1584" t="s">
        <v>673</v>
      </c>
      <c r="C5" s="1584"/>
      <c r="D5" s="1584"/>
      <c r="E5" s="1634"/>
      <c r="F5" s="275" t="s">
        <v>559</v>
      </c>
      <c r="G5" s="1643" t="s">
        <v>245</v>
      </c>
      <c r="H5" s="1644"/>
      <c r="I5" s="275" t="s">
        <v>246</v>
      </c>
      <c r="J5" s="779" t="s">
        <v>228</v>
      </c>
      <c r="K5" s="981" t="s">
        <v>472</v>
      </c>
      <c r="L5" s="259" t="s">
        <v>559</v>
      </c>
    </row>
    <row r="6" spans="1:15">
      <c r="B6" s="315"/>
      <c r="C6" s="315"/>
      <c r="D6" s="315"/>
      <c r="E6" s="315"/>
      <c r="F6" s="292" t="str">
        <f>'KEY INPUTS'!D47</f>
        <v>Jan. 1, 2020</v>
      </c>
      <c r="G6" s="275" t="s">
        <v>564</v>
      </c>
      <c r="H6" s="275" t="s">
        <v>243</v>
      </c>
      <c r="I6" s="275"/>
      <c r="J6" s="275"/>
      <c r="K6" s="987"/>
      <c r="L6" s="293" t="str">
        <f>'KEY INPUTS'!D46</f>
        <v>Dec. 31, 2020</v>
      </c>
    </row>
    <row r="7" spans="1:15" ht="13.8" thickBot="1">
      <c r="B7" s="10"/>
      <c r="C7" s="10"/>
      <c r="D7" s="10"/>
      <c r="E7" s="10"/>
      <c r="F7" s="14"/>
      <c r="G7" s="16"/>
      <c r="H7" s="16" t="s">
        <v>244</v>
      </c>
      <c r="I7" s="14"/>
      <c r="J7" s="16"/>
      <c r="K7" s="17"/>
      <c r="L7" s="260"/>
    </row>
    <row r="8" spans="1:15" ht="21" customHeight="1" thickTop="1">
      <c r="B8" s="633" t="s">
        <v>3638</v>
      </c>
      <c r="C8" s="633"/>
      <c r="D8" s="633"/>
      <c r="E8" s="633"/>
      <c r="F8" s="568"/>
      <c r="G8" s="568"/>
      <c r="H8" s="568">
        <v>5701.44</v>
      </c>
      <c r="I8" s="568">
        <v>5701.44</v>
      </c>
      <c r="J8" s="568"/>
      <c r="K8" s="568"/>
      <c r="L8" s="313">
        <f>+F8+G8+H8-I8+J8-K8</f>
        <v>0</v>
      </c>
      <c r="M8" s="701"/>
    </row>
    <row r="9" spans="1:15" ht="21" customHeight="1">
      <c r="B9" s="559" t="s">
        <v>3639</v>
      </c>
      <c r="C9" s="559"/>
      <c r="D9" s="559"/>
      <c r="E9" s="559"/>
      <c r="F9" s="568">
        <f>3501.95+11250</f>
        <v>14751.95</v>
      </c>
      <c r="G9" s="568">
        <v>2500</v>
      </c>
      <c r="H9" s="568"/>
      <c r="I9" s="568">
        <v>1000</v>
      </c>
      <c r="J9" s="568"/>
      <c r="K9" s="568"/>
      <c r="L9" s="313">
        <f t="shared" ref="L9:L26" si="0">+F9+G9+H9-I9+J9-K9</f>
        <v>16251.95</v>
      </c>
      <c r="M9" s="703"/>
    </row>
    <row r="10" spans="1:15" ht="21" customHeight="1">
      <c r="B10" s="559" t="s">
        <v>3640</v>
      </c>
      <c r="C10" s="559"/>
      <c r="D10" s="559"/>
      <c r="E10" s="559"/>
      <c r="F10" s="568"/>
      <c r="G10" s="568">
        <v>2330.11</v>
      </c>
      <c r="H10" s="568"/>
      <c r="I10" s="568">
        <v>2330.11</v>
      </c>
      <c r="J10" s="568"/>
      <c r="K10" s="568"/>
      <c r="L10" s="313">
        <f t="shared" si="0"/>
        <v>0</v>
      </c>
      <c r="M10" s="318"/>
    </row>
    <row r="11" spans="1:15" s="315" customFormat="1" ht="21" customHeight="1">
      <c r="B11" s="559" t="s">
        <v>3642</v>
      </c>
      <c r="C11" s="559"/>
      <c r="D11" s="559"/>
      <c r="E11" s="559"/>
      <c r="F11" s="568"/>
      <c r="G11" s="568">
        <v>1500</v>
      </c>
      <c r="H11" s="568"/>
      <c r="I11" s="568">
        <v>1500</v>
      </c>
      <c r="J11" s="568"/>
      <c r="K11" s="568"/>
      <c r="L11" s="313">
        <f t="shared" si="0"/>
        <v>0</v>
      </c>
      <c r="M11" s="318"/>
      <c r="O11" s="370"/>
    </row>
    <row r="12" spans="1:15" ht="21" customHeight="1">
      <c r="B12" s="559" t="s">
        <v>3643</v>
      </c>
      <c r="C12" s="559"/>
      <c r="D12" s="559"/>
      <c r="E12" s="559"/>
      <c r="F12" s="568"/>
      <c r="G12" s="568">
        <v>1500</v>
      </c>
      <c r="H12" s="568"/>
      <c r="I12" s="568">
        <v>1500</v>
      </c>
      <c r="J12" s="568"/>
      <c r="K12" s="568"/>
      <c r="L12" s="313">
        <f t="shared" si="0"/>
        <v>0</v>
      </c>
      <c r="M12" s="318"/>
    </row>
    <row r="13" spans="1:15" ht="21" customHeight="1">
      <c r="B13" s="559" t="s">
        <v>3644</v>
      </c>
      <c r="C13" s="559"/>
      <c r="D13" s="559"/>
      <c r="E13" s="559"/>
      <c r="F13" s="568"/>
      <c r="G13" s="568">
        <v>750</v>
      </c>
      <c r="H13" s="568"/>
      <c r="I13" s="568">
        <v>750</v>
      </c>
      <c r="J13" s="568"/>
      <c r="K13" s="568"/>
      <c r="L13" s="313">
        <f t="shared" si="0"/>
        <v>0</v>
      </c>
      <c r="M13" s="318"/>
    </row>
    <row r="14" spans="1:15" s="315" customFormat="1" ht="21" customHeight="1">
      <c r="B14" s="559" t="s">
        <v>3645</v>
      </c>
      <c r="C14" s="559"/>
      <c r="D14" s="559"/>
      <c r="E14" s="559"/>
      <c r="F14" s="568"/>
      <c r="G14" s="568">
        <v>1000</v>
      </c>
      <c r="H14" s="568"/>
      <c r="I14" s="568">
        <v>1000</v>
      </c>
      <c r="J14" s="568"/>
      <c r="K14" s="568"/>
      <c r="L14" s="313">
        <f t="shared" si="0"/>
        <v>0</v>
      </c>
      <c r="M14" s="318"/>
    </row>
    <row r="15" spans="1:15" ht="21" customHeight="1">
      <c r="A15" s="1613" t="s">
        <v>242</v>
      </c>
      <c r="B15" s="559" t="s">
        <v>3648</v>
      </c>
      <c r="C15" s="559"/>
      <c r="D15" s="559"/>
      <c r="E15" s="559"/>
      <c r="F15" s="568">
        <v>454.4</v>
      </c>
      <c r="G15" s="568"/>
      <c r="H15" s="568"/>
      <c r="I15" s="568"/>
      <c r="J15" s="568"/>
      <c r="K15" s="568"/>
      <c r="L15" s="313">
        <f t="shared" si="0"/>
        <v>454.4</v>
      </c>
      <c r="M15" s="318"/>
    </row>
    <row r="16" spans="1:15" ht="21" customHeight="1">
      <c r="A16" s="1613"/>
      <c r="B16" s="1639" t="s">
        <v>3647</v>
      </c>
      <c r="C16" s="1639"/>
      <c r="D16" s="1639"/>
      <c r="E16" s="1640"/>
      <c r="F16" s="568">
        <v>1804.63</v>
      </c>
      <c r="G16" s="568"/>
      <c r="H16" s="568"/>
      <c r="I16" s="568"/>
      <c r="J16" s="568"/>
      <c r="K16" s="568"/>
      <c r="L16" s="313">
        <f t="shared" si="0"/>
        <v>1804.63</v>
      </c>
      <c r="M16" s="318"/>
    </row>
    <row r="17" spans="1:13" ht="21" customHeight="1">
      <c r="B17" s="1639" t="s">
        <v>3646</v>
      </c>
      <c r="C17" s="1639"/>
      <c r="D17" s="1639"/>
      <c r="E17" s="1640"/>
      <c r="F17" s="568"/>
      <c r="G17" s="568"/>
      <c r="H17" s="568">
        <v>5000</v>
      </c>
      <c r="I17" s="568"/>
      <c r="J17" s="568"/>
      <c r="K17" s="568"/>
      <c r="L17" s="313">
        <f t="shared" si="0"/>
        <v>5000</v>
      </c>
      <c r="M17" s="318"/>
    </row>
    <row r="18" spans="1:13" ht="21" customHeight="1">
      <c r="A18" s="322"/>
      <c r="B18" s="1639"/>
      <c r="C18" s="1639"/>
      <c r="D18" s="1639"/>
      <c r="E18" s="1640"/>
      <c r="F18" s="568"/>
      <c r="G18" s="568"/>
      <c r="H18" s="568"/>
      <c r="I18" s="568"/>
      <c r="J18" s="568"/>
      <c r="K18" s="568"/>
      <c r="L18" s="313">
        <f t="shared" si="0"/>
        <v>0</v>
      </c>
      <c r="M18" s="318"/>
    </row>
    <row r="19" spans="1:13" ht="21" customHeight="1">
      <c r="A19" s="322"/>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249"/>
    </row>
    <row r="33" spans="7:12">
      <c r="G33" s="221"/>
      <c r="L33" s="320"/>
    </row>
    <row r="34" spans="7:12">
      <c r="G34" s="221"/>
    </row>
  </sheetData>
  <sheetProtection algorithmName="SHA-512" hashValue="NaLCGgZA6+/dd5BmrBTD50tSxq3qMoaupcwMK+YZerLL8Ziu1G8OC3hNdgvzkvJOsXUgC2GUcp7ixzvlSnpM6Q==" saltValue="f0A7adiFN8E40Z9ZiVnvIg==" spinCount="100000" sheet="1" objects="1" scenarios="1"/>
  <mergeCells count="17">
    <mergeCell ref="A15:A16"/>
    <mergeCell ref="B2:L2"/>
    <mergeCell ref="B3:L3"/>
    <mergeCell ref="B5:E5"/>
    <mergeCell ref="G4:H4"/>
    <mergeCell ref="G5:H5"/>
    <mergeCell ref="B16:E16"/>
    <mergeCell ref="B17:E17"/>
    <mergeCell ref="B18:E18"/>
    <mergeCell ref="B19:E19"/>
    <mergeCell ref="B20:E20"/>
    <mergeCell ref="B26:E26"/>
    <mergeCell ref="B21:E21"/>
    <mergeCell ref="B22:E22"/>
    <mergeCell ref="B23:E23"/>
    <mergeCell ref="B24:E24"/>
    <mergeCell ref="B25:E25"/>
  </mergeCells>
  <phoneticPr fontId="0" type="noConversion"/>
  <pageMargins left="0.25" right="0.25" top="0.5" bottom="0.5" header="0.25" footer="0.25"/>
  <pageSetup paperSize="5" scale="99"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 Grants Approp Rsrv'!F27</f>
        <v>17010.98</v>
      </c>
      <c r="G8" s="1014">
        <f>+'11 Grants Approp Rsrv'!G27</f>
        <v>9580.11</v>
      </c>
      <c r="H8" s="1014">
        <f>+'11 Grants Approp Rsrv'!H27</f>
        <v>10701.439999999999</v>
      </c>
      <c r="I8" s="1014">
        <f>+'11 Grants Approp Rsrv'!I27</f>
        <v>13781.55</v>
      </c>
      <c r="J8" s="1014">
        <f>+'11 Grants Approp Rsrv'!J27</f>
        <v>0</v>
      </c>
      <c r="K8" s="1014">
        <f>+'11 Grants Approp Rsrv'!K27</f>
        <v>0</v>
      </c>
      <c r="L8" s="1015">
        <f>+'11 Grants Approp Rsrv'!L27</f>
        <v>23510.980000000003</v>
      </c>
      <c r="M8" s="701"/>
    </row>
    <row r="9" spans="1:15" ht="21" customHeight="1">
      <c r="B9" s="1645"/>
      <c r="C9" s="1645"/>
      <c r="D9" s="1645"/>
      <c r="E9" s="1646"/>
      <c r="F9" s="365"/>
      <c r="G9" s="365"/>
      <c r="H9" s="365"/>
      <c r="I9" s="365"/>
      <c r="J9" s="365"/>
      <c r="K9" s="365"/>
      <c r="L9" s="313">
        <f t="shared" ref="L9:L26" si="0">+F9+G9+H9-I9+J9-K9</f>
        <v>0</v>
      </c>
      <c r="M9" s="703"/>
    </row>
    <row r="10" spans="1:15" ht="21" customHeight="1">
      <c r="B10" s="1645"/>
      <c r="C10" s="1645"/>
      <c r="D10" s="1645"/>
      <c r="E10" s="1646"/>
      <c r="F10" s="365"/>
      <c r="G10" s="365"/>
      <c r="H10" s="365"/>
      <c r="I10" s="365"/>
      <c r="J10" s="365"/>
      <c r="K10" s="365"/>
      <c r="L10" s="313">
        <f t="shared" si="0"/>
        <v>0</v>
      </c>
      <c r="M10" s="318"/>
    </row>
    <row r="11" spans="1:15" ht="21" customHeight="1">
      <c r="B11" s="1645"/>
      <c r="C11" s="1645"/>
      <c r="D11" s="1645"/>
      <c r="E11" s="1646"/>
      <c r="F11" s="365"/>
      <c r="G11" s="365"/>
      <c r="H11" s="365"/>
      <c r="I11" s="365"/>
      <c r="J11" s="365"/>
      <c r="K11" s="365"/>
      <c r="L11" s="313">
        <f t="shared" si="0"/>
        <v>0</v>
      </c>
      <c r="M11" s="318"/>
      <c r="O11" s="370"/>
    </row>
    <row r="12" spans="1:15" ht="21" customHeight="1">
      <c r="B12" s="1645"/>
      <c r="C12" s="1645"/>
      <c r="D12" s="1645"/>
      <c r="E12" s="1646"/>
      <c r="F12" s="365"/>
      <c r="G12" s="365"/>
      <c r="H12" s="365"/>
      <c r="I12" s="365"/>
      <c r="J12" s="365"/>
      <c r="K12" s="365"/>
      <c r="L12" s="313">
        <f t="shared" si="0"/>
        <v>0</v>
      </c>
      <c r="M12" s="318"/>
    </row>
    <row r="13" spans="1:15" ht="21" customHeight="1">
      <c r="B13" s="1645"/>
      <c r="C13" s="1645"/>
      <c r="D13" s="1645"/>
      <c r="E13" s="1646"/>
      <c r="F13" s="365"/>
      <c r="G13" s="365"/>
      <c r="H13" s="365"/>
      <c r="I13" s="365"/>
      <c r="J13" s="365"/>
      <c r="K13" s="365"/>
      <c r="L13" s="313">
        <f t="shared" si="0"/>
        <v>0</v>
      </c>
      <c r="M13" s="318"/>
    </row>
    <row r="14" spans="1:15" ht="21" customHeight="1">
      <c r="B14" s="1645"/>
      <c r="C14" s="1645"/>
      <c r="D14" s="1645"/>
      <c r="E14" s="1646"/>
      <c r="F14" s="365"/>
      <c r="G14" s="365"/>
      <c r="H14" s="365"/>
      <c r="I14" s="365"/>
      <c r="J14" s="365"/>
      <c r="K14" s="365"/>
      <c r="L14" s="313">
        <f t="shared" si="0"/>
        <v>0</v>
      </c>
      <c r="M14" s="318"/>
    </row>
    <row r="15" spans="1:15" ht="21" customHeight="1">
      <c r="A15" s="1613" t="s">
        <v>3350</v>
      </c>
      <c r="B15" s="1645"/>
      <c r="C15" s="1645"/>
      <c r="D15" s="1645"/>
      <c r="E15" s="1646"/>
      <c r="F15" s="365"/>
      <c r="G15" s="365"/>
      <c r="H15" s="365"/>
      <c r="I15" s="365"/>
      <c r="J15" s="365"/>
      <c r="K15" s="365"/>
      <c r="L15" s="313">
        <f t="shared" si="0"/>
        <v>0</v>
      </c>
      <c r="M15" s="318"/>
    </row>
    <row r="16" spans="1:15" ht="21" customHeight="1">
      <c r="A16" s="1613"/>
      <c r="B16" s="1645"/>
      <c r="C16" s="1645"/>
      <c r="D16" s="1645"/>
      <c r="E16" s="1646"/>
      <c r="F16" s="365"/>
      <c r="G16" s="365"/>
      <c r="H16" s="365"/>
      <c r="I16" s="365"/>
      <c r="J16" s="365"/>
      <c r="K16" s="365"/>
      <c r="L16" s="313">
        <f t="shared" si="0"/>
        <v>0</v>
      </c>
      <c r="M16" s="318"/>
    </row>
    <row r="17" spans="1:13" ht="21" customHeight="1">
      <c r="B17" s="1645"/>
      <c r="C17" s="1645"/>
      <c r="D17" s="1645"/>
      <c r="E17" s="1646"/>
      <c r="F17" s="365"/>
      <c r="G17" s="365"/>
      <c r="H17" s="365"/>
      <c r="I17" s="365"/>
      <c r="J17" s="365"/>
      <c r="K17" s="365"/>
      <c r="L17" s="313">
        <f t="shared" si="0"/>
        <v>0</v>
      </c>
      <c r="M17" s="318"/>
    </row>
    <row r="18" spans="1:13" ht="21" customHeight="1">
      <c r="A18" s="748"/>
      <c r="B18" s="1645"/>
      <c r="C18" s="1645"/>
      <c r="D18" s="1645"/>
      <c r="E18" s="1646"/>
      <c r="F18" s="365"/>
      <c r="G18" s="365"/>
      <c r="H18" s="365"/>
      <c r="I18" s="365"/>
      <c r="J18" s="365"/>
      <c r="K18" s="365"/>
      <c r="L18" s="313">
        <f t="shared" si="0"/>
        <v>0</v>
      </c>
      <c r="M18" s="318"/>
    </row>
    <row r="19" spans="1:13" ht="21" customHeight="1">
      <c r="A19" s="748"/>
      <c r="B19" s="1645"/>
      <c r="C19" s="1645"/>
      <c r="D19" s="1645"/>
      <c r="E19" s="1646"/>
      <c r="F19" s="365"/>
      <c r="G19" s="365"/>
      <c r="H19" s="365"/>
      <c r="I19" s="365"/>
      <c r="J19" s="365"/>
      <c r="K19" s="365"/>
      <c r="L19" s="313">
        <f t="shared" si="0"/>
        <v>0</v>
      </c>
      <c r="M19" s="318"/>
    </row>
    <row r="20" spans="1:13" ht="21" customHeight="1">
      <c r="B20" s="1645"/>
      <c r="C20" s="1645"/>
      <c r="D20" s="1645"/>
      <c r="E20" s="1646"/>
      <c r="F20" s="365"/>
      <c r="G20" s="365"/>
      <c r="H20" s="365"/>
      <c r="I20" s="365"/>
      <c r="J20" s="365"/>
      <c r="K20" s="365"/>
      <c r="L20" s="313">
        <f t="shared" si="0"/>
        <v>0</v>
      </c>
      <c r="M20" s="318"/>
    </row>
    <row r="21" spans="1:13" ht="21" customHeight="1">
      <c r="B21" s="1645"/>
      <c r="C21" s="1645"/>
      <c r="D21" s="1645"/>
      <c r="E21" s="1646"/>
      <c r="F21" s="365"/>
      <c r="G21" s="365"/>
      <c r="H21" s="365"/>
      <c r="I21" s="365"/>
      <c r="J21" s="365"/>
      <c r="K21" s="365"/>
      <c r="L21" s="313">
        <f t="shared" si="0"/>
        <v>0</v>
      </c>
      <c r="M21" s="318"/>
    </row>
    <row r="22" spans="1:13" ht="21" customHeight="1">
      <c r="B22" s="1645"/>
      <c r="C22" s="1645"/>
      <c r="D22" s="1645"/>
      <c r="E22" s="1646"/>
      <c r="F22" s="365"/>
      <c r="G22" s="365"/>
      <c r="H22" s="365"/>
      <c r="I22" s="365"/>
      <c r="J22" s="365"/>
      <c r="K22" s="365"/>
      <c r="L22" s="313">
        <f t="shared" si="0"/>
        <v>0</v>
      </c>
      <c r="M22" s="318"/>
    </row>
    <row r="23" spans="1:13" ht="21" customHeight="1">
      <c r="B23" s="1645"/>
      <c r="C23" s="1645"/>
      <c r="D23" s="1645"/>
      <c r="E23" s="1646"/>
      <c r="F23" s="365"/>
      <c r="G23" s="365"/>
      <c r="H23" s="365"/>
      <c r="I23" s="365"/>
      <c r="J23" s="365"/>
      <c r="K23" s="365"/>
      <c r="L23" s="313">
        <f t="shared" si="0"/>
        <v>0</v>
      </c>
      <c r="M23" s="318"/>
    </row>
    <row r="24" spans="1:13" ht="21" customHeight="1">
      <c r="B24" s="1645"/>
      <c r="C24" s="1645"/>
      <c r="D24" s="1645"/>
      <c r="E24" s="1646"/>
      <c r="F24" s="365"/>
      <c r="G24" s="365"/>
      <c r="H24" s="365"/>
      <c r="I24" s="365"/>
      <c r="J24" s="365"/>
      <c r="K24" s="365"/>
      <c r="L24" s="313">
        <f t="shared" si="0"/>
        <v>0</v>
      </c>
      <c r="M24" s="318"/>
    </row>
    <row r="25" spans="1:13" ht="21" customHeight="1">
      <c r="B25" s="1645"/>
      <c r="C25" s="1645"/>
      <c r="D25" s="1645"/>
      <c r="E25" s="1646"/>
      <c r="F25" s="365"/>
      <c r="G25" s="365"/>
      <c r="H25" s="365"/>
      <c r="I25" s="365"/>
      <c r="J25" s="365"/>
      <c r="K25" s="365"/>
      <c r="L25" s="313">
        <f t="shared" si="0"/>
        <v>0</v>
      </c>
      <c r="M25" s="318"/>
    </row>
    <row r="26" spans="1:13" ht="21" customHeight="1">
      <c r="B26" s="1645"/>
      <c r="C26" s="1645"/>
      <c r="D26" s="1645"/>
      <c r="E26" s="1646"/>
      <c r="F26" s="365"/>
      <c r="G26" s="365"/>
      <c r="H26" s="365"/>
      <c r="I26" s="365"/>
      <c r="J26" s="365"/>
      <c r="K26" s="365"/>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5FWofvHoI9/Rr12StS3DudqbX2dDgpkvF7yHVjXWtZf9eqTzf3VlNmT294Jz8DVnEyFe81K2Dc6ZhW3CedPD9Q==" saltValue="s+a5htBfVke60cUQYAXVXg=="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 Grants Approp Rsrv'!F27</f>
        <v>17010.98</v>
      </c>
      <c r="G8" s="1014">
        <f>+'11.1 Grants Approp Rsrv'!G27</f>
        <v>9580.11</v>
      </c>
      <c r="H8" s="1014">
        <f>+'11.1 Grants Approp Rsrv'!H27</f>
        <v>10701.439999999999</v>
      </c>
      <c r="I8" s="1014">
        <f>+'11.1 Grants Approp Rsrv'!I27</f>
        <v>13781.55</v>
      </c>
      <c r="J8" s="1014">
        <f>+'11.1 Grants Approp Rsrv'!J27</f>
        <v>0</v>
      </c>
      <c r="K8" s="1014">
        <f>+'11.1 Grants Approp Rsrv'!K27</f>
        <v>0</v>
      </c>
      <c r="L8" s="1015">
        <f>+'11.1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3351</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v+k9ui2pYWixVGldb08XT1mMqMGgaIp9WZXHizApj8ZPqhsadNjDHK1WXawHEPfFOjZ7BOIMeNurv7u81AJXfQ==" saltValue="abFrHJiCScaM9uWwr6u0Cg=="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 Grants Approp Rsrv'!F27</f>
        <v>17010.98</v>
      </c>
      <c r="G8" s="1014">
        <f>+'11.2 Grants Approp Rsrv'!G27</f>
        <v>9580.11</v>
      </c>
      <c r="H8" s="1014">
        <f>+'11.2 Grants Approp Rsrv'!H27</f>
        <v>10701.439999999999</v>
      </c>
      <c r="I8" s="1014">
        <f>+'11.2 Grants Approp Rsrv'!I27</f>
        <v>13781.55</v>
      </c>
      <c r="J8" s="1014">
        <f>+'11.2 Grants Approp Rsrv'!J27</f>
        <v>0</v>
      </c>
      <c r="K8" s="1014">
        <f>+'11.2 Grants Approp Rsrv'!K27</f>
        <v>0</v>
      </c>
      <c r="L8" s="1015">
        <f>+'11.2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3352</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HZOg2pQamA2ywIihuKwQNnmr+FKVjprZNBGuPcqrA0hlpA+fYM6D3Q7sxSFWbqifAiHMo9Nva3fUZgBc0PTjow==" saltValue="4B+GgIUyebDx8dAOSumn1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 Grants Approp Rsrv'!F27</f>
        <v>17010.98</v>
      </c>
      <c r="G8" s="1014">
        <f>+'11.3 Grants Approp Rsrv'!G27</f>
        <v>9580.11</v>
      </c>
      <c r="H8" s="1014">
        <f>+'11.3 Grants Approp Rsrv'!H27</f>
        <v>10701.439999999999</v>
      </c>
      <c r="I8" s="1014">
        <f>+'11.3 Grants Approp Rsrv'!I27</f>
        <v>13781.55</v>
      </c>
      <c r="J8" s="1014">
        <f>+'11.3 Grants Approp Rsrv'!J27</f>
        <v>0</v>
      </c>
      <c r="K8" s="1014">
        <f>+'11.3 Grants Approp Rsrv'!K27</f>
        <v>0</v>
      </c>
      <c r="L8" s="1015">
        <f>+'11.3 Grants Approp Rsrv'!L27</f>
        <v>23510.980000000003</v>
      </c>
      <c r="M8" s="701"/>
    </row>
    <row r="9" spans="1:15" ht="21" customHeight="1">
      <c r="B9" s="1645"/>
      <c r="C9" s="1645"/>
      <c r="D9" s="1645"/>
      <c r="E9" s="1646"/>
      <c r="F9" s="568"/>
      <c r="G9" s="568"/>
      <c r="H9" s="568"/>
      <c r="I9" s="568"/>
      <c r="J9" s="568"/>
      <c r="K9" s="568"/>
      <c r="L9" s="313">
        <f t="shared" ref="L9:L26" si="0">+F9+G9+H9-I9+J9-K9</f>
        <v>0</v>
      </c>
      <c r="M9" s="703"/>
    </row>
    <row r="10" spans="1:15" ht="21" customHeight="1">
      <c r="B10" s="1645"/>
      <c r="C10" s="1645"/>
      <c r="D10" s="1645"/>
      <c r="E10" s="1646"/>
      <c r="F10" s="568"/>
      <c r="G10" s="568"/>
      <c r="H10" s="568"/>
      <c r="I10" s="568"/>
      <c r="J10" s="568"/>
      <c r="K10" s="568"/>
      <c r="L10" s="313">
        <f t="shared" si="0"/>
        <v>0</v>
      </c>
      <c r="M10" s="318"/>
    </row>
    <row r="11" spans="1:15" ht="21" customHeight="1">
      <c r="B11" s="1645"/>
      <c r="C11" s="1645"/>
      <c r="D11" s="1645"/>
      <c r="E11" s="1646"/>
      <c r="F11" s="568"/>
      <c r="G11" s="568"/>
      <c r="H11" s="568"/>
      <c r="I11" s="568"/>
      <c r="J11" s="568"/>
      <c r="K11" s="568"/>
      <c r="L11" s="313">
        <f t="shared" si="0"/>
        <v>0</v>
      </c>
      <c r="M11" s="318"/>
      <c r="O11" s="370"/>
    </row>
    <row r="12" spans="1:15" ht="21" customHeight="1">
      <c r="B12" s="1645"/>
      <c r="C12" s="1645"/>
      <c r="D12" s="1645"/>
      <c r="E12" s="1646"/>
      <c r="F12" s="568"/>
      <c r="G12" s="568"/>
      <c r="H12" s="568"/>
      <c r="I12" s="568"/>
      <c r="J12" s="568"/>
      <c r="K12" s="568"/>
      <c r="L12" s="313">
        <f t="shared" si="0"/>
        <v>0</v>
      </c>
      <c r="M12" s="318"/>
    </row>
    <row r="13" spans="1:15" ht="21" customHeight="1">
      <c r="B13" s="1645"/>
      <c r="C13" s="1645"/>
      <c r="D13" s="1645"/>
      <c r="E13" s="1646"/>
      <c r="F13" s="568"/>
      <c r="G13" s="568"/>
      <c r="H13" s="568"/>
      <c r="I13" s="568"/>
      <c r="J13" s="568"/>
      <c r="K13" s="568"/>
      <c r="L13" s="313">
        <f t="shared" si="0"/>
        <v>0</v>
      </c>
      <c r="M13" s="318"/>
    </row>
    <row r="14" spans="1:15" ht="21" customHeight="1">
      <c r="B14" s="1645"/>
      <c r="C14" s="1645"/>
      <c r="D14" s="1645"/>
      <c r="E14" s="1646"/>
      <c r="F14" s="568"/>
      <c r="G14" s="568"/>
      <c r="H14" s="568"/>
      <c r="I14" s="568"/>
      <c r="J14" s="568"/>
      <c r="K14" s="568"/>
      <c r="L14" s="313">
        <f t="shared" si="0"/>
        <v>0</v>
      </c>
      <c r="M14" s="318"/>
    </row>
    <row r="15" spans="1:15" ht="21" customHeight="1">
      <c r="A15" s="1613" t="s">
        <v>3353</v>
      </c>
      <c r="B15" s="1645"/>
      <c r="C15" s="1645"/>
      <c r="D15" s="1645"/>
      <c r="E15" s="1646"/>
      <c r="F15" s="568"/>
      <c r="G15" s="568"/>
      <c r="H15" s="568"/>
      <c r="I15" s="568"/>
      <c r="J15" s="568"/>
      <c r="K15" s="568"/>
      <c r="L15" s="313">
        <f t="shared" si="0"/>
        <v>0</v>
      </c>
      <c r="M15" s="318"/>
    </row>
    <row r="16" spans="1:15" ht="21" customHeight="1">
      <c r="A16" s="1613"/>
      <c r="B16" s="1645"/>
      <c r="C16" s="1645"/>
      <c r="D16" s="1645"/>
      <c r="E16" s="1646"/>
      <c r="F16" s="568"/>
      <c r="G16" s="568"/>
      <c r="H16" s="568"/>
      <c r="I16" s="568"/>
      <c r="J16" s="568"/>
      <c r="K16" s="568"/>
      <c r="L16" s="313">
        <f t="shared" si="0"/>
        <v>0</v>
      </c>
      <c r="M16" s="318"/>
    </row>
    <row r="17" spans="1:13" ht="21" customHeight="1">
      <c r="B17" s="1645"/>
      <c r="C17" s="1645"/>
      <c r="D17" s="1645"/>
      <c r="E17" s="1646"/>
      <c r="F17" s="568"/>
      <c r="G17" s="568"/>
      <c r="H17" s="568"/>
      <c r="I17" s="568"/>
      <c r="J17" s="568"/>
      <c r="K17" s="568"/>
      <c r="L17" s="313">
        <f t="shared" si="0"/>
        <v>0</v>
      </c>
      <c r="M17" s="318"/>
    </row>
    <row r="18" spans="1:13" ht="21" customHeight="1">
      <c r="A18" s="748"/>
      <c r="B18" s="1645"/>
      <c r="C18" s="1645"/>
      <c r="D18" s="1645"/>
      <c r="E18" s="1646"/>
      <c r="F18" s="568"/>
      <c r="G18" s="568"/>
      <c r="H18" s="568"/>
      <c r="I18" s="568"/>
      <c r="J18" s="568"/>
      <c r="K18" s="568"/>
      <c r="L18" s="313">
        <f t="shared" si="0"/>
        <v>0</v>
      </c>
      <c r="M18" s="318"/>
    </row>
    <row r="19" spans="1:13" ht="21" customHeight="1">
      <c r="A19" s="748"/>
      <c r="B19" s="1645"/>
      <c r="C19" s="1645"/>
      <c r="D19" s="1645"/>
      <c r="E19" s="1646"/>
      <c r="F19" s="568"/>
      <c r="G19" s="568"/>
      <c r="H19" s="568"/>
      <c r="I19" s="568"/>
      <c r="J19" s="568"/>
      <c r="K19" s="568"/>
      <c r="L19" s="313">
        <f t="shared" si="0"/>
        <v>0</v>
      </c>
      <c r="M19" s="318"/>
    </row>
    <row r="20" spans="1:13" ht="21" customHeight="1">
      <c r="B20" s="1645"/>
      <c r="C20" s="1645"/>
      <c r="D20" s="1645"/>
      <c r="E20" s="1646"/>
      <c r="F20" s="568"/>
      <c r="G20" s="568"/>
      <c r="H20" s="568"/>
      <c r="I20" s="568"/>
      <c r="J20" s="568"/>
      <c r="K20" s="568"/>
      <c r="L20" s="313">
        <f t="shared" si="0"/>
        <v>0</v>
      </c>
      <c r="M20" s="318"/>
    </row>
    <row r="21" spans="1:13" ht="21" customHeight="1">
      <c r="B21" s="1645"/>
      <c r="C21" s="1645"/>
      <c r="D21" s="1645"/>
      <c r="E21" s="1646"/>
      <c r="F21" s="568"/>
      <c r="G21" s="568"/>
      <c r="H21" s="568"/>
      <c r="I21" s="568"/>
      <c r="J21" s="568"/>
      <c r="K21" s="568"/>
      <c r="L21" s="313">
        <f t="shared" si="0"/>
        <v>0</v>
      </c>
      <c r="M21" s="318"/>
    </row>
    <row r="22" spans="1:13" ht="21" customHeight="1">
      <c r="B22" s="1645"/>
      <c r="C22" s="1645"/>
      <c r="D22" s="1645"/>
      <c r="E22" s="1646"/>
      <c r="F22" s="568"/>
      <c r="G22" s="568"/>
      <c r="H22" s="568"/>
      <c r="I22" s="568"/>
      <c r="J22" s="568"/>
      <c r="K22" s="568"/>
      <c r="L22" s="313">
        <f t="shared" si="0"/>
        <v>0</v>
      </c>
      <c r="M22" s="318"/>
    </row>
    <row r="23" spans="1:13" ht="21" customHeight="1">
      <c r="B23" s="1645"/>
      <c r="C23" s="1645"/>
      <c r="D23" s="1645"/>
      <c r="E23" s="1646"/>
      <c r="F23" s="568"/>
      <c r="G23" s="568"/>
      <c r="H23" s="568"/>
      <c r="I23" s="568"/>
      <c r="J23" s="568"/>
      <c r="K23" s="568"/>
      <c r="L23" s="313">
        <f t="shared" si="0"/>
        <v>0</v>
      </c>
      <c r="M23" s="318"/>
    </row>
    <row r="24" spans="1:13" ht="21" customHeight="1">
      <c r="B24" s="1645"/>
      <c r="C24" s="1645"/>
      <c r="D24" s="1645"/>
      <c r="E24" s="1646"/>
      <c r="F24" s="568"/>
      <c r="G24" s="568"/>
      <c r="H24" s="568"/>
      <c r="I24" s="568"/>
      <c r="J24" s="568"/>
      <c r="K24" s="568"/>
      <c r="L24" s="313">
        <f t="shared" si="0"/>
        <v>0</v>
      </c>
      <c r="M24" s="318"/>
    </row>
    <row r="25" spans="1:13" ht="21" customHeight="1">
      <c r="B25" s="1645"/>
      <c r="C25" s="1645"/>
      <c r="D25" s="1645"/>
      <c r="E25" s="1646"/>
      <c r="F25" s="568"/>
      <c r="G25" s="568"/>
      <c r="H25" s="568"/>
      <c r="I25" s="568"/>
      <c r="J25" s="568"/>
      <c r="K25" s="568"/>
      <c r="L25" s="313">
        <f t="shared" si="0"/>
        <v>0</v>
      </c>
      <c r="M25" s="318"/>
    </row>
    <row r="26" spans="1:13" ht="21" customHeight="1">
      <c r="B26" s="1645"/>
      <c r="C26" s="1645"/>
      <c r="D26" s="1645"/>
      <c r="E26" s="1646"/>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jA2jaIKZpkGsqVJ1bt7cIInwdg8Cwf4y7wh6j3kWcjpfhoTMcVzPOMgkuAmzdNpNDK2ghiXvIfMZVZxEB6hEmw==" saltValue="Uf8tEgn7uwGvNwjFEzuNu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+'11.4 Grants Approp Rsrv'!F27</f>
        <v>17010.98</v>
      </c>
      <c r="G8" s="1014">
        <f>+'11.4 Grants Approp Rsrv'!G27</f>
        <v>9580.11</v>
      </c>
      <c r="H8" s="1014">
        <f>+'11.4 Grants Approp Rsrv'!H27</f>
        <v>10701.439999999999</v>
      </c>
      <c r="I8" s="1014">
        <f>+'11.4 Grants Approp Rsrv'!I27</f>
        <v>13781.55</v>
      </c>
      <c r="J8" s="1014">
        <f>+'11.4 Grants Approp Rsrv'!J27</f>
        <v>0</v>
      </c>
      <c r="K8" s="1014">
        <f>+'11.4 Grants Approp Rsrv'!K27</f>
        <v>0</v>
      </c>
      <c r="L8" s="1015">
        <f>+'11.4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3354</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GQyen/veXbOVJ3ZaiPcZ6udyDyQ7vcK+ryskbigZuVVseIaBkQpZSyp6BveS9R2cwIYdjk3DK//2cQqWV1ffMg==" saltValue="88XqofaKwSK5YOReGex2M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+'11.5 Grants Approp Rsrv'!F27</f>
        <v>17010.98</v>
      </c>
      <c r="G8" s="1014">
        <f>+'11.5 Grants Approp Rsrv'!G27</f>
        <v>9580.11</v>
      </c>
      <c r="H8" s="1014">
        <f>+'11.5 Grants Approp Rsrv'!H27</f>
        <v>10701.439999999999</v>
      </c>
      <c r="I8" s="1014">
        <f>+'11.5 Grants Approp Rsrv'!I27</f>
        <v>13781.55</v>
      </c>
      <c r="J8" s="1014">
        <f>+'11.5 Grants Approp Rsrv'!J27</f>
        <v>0</v>
      </c>
      <c r="K8" s="1014">
        <f>+'11.5 Grants Approp Rsrv'!K27</f>
        <v>0</v>
      </c>
      <c r="L8" s="1015">
        <f>+'11.5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3355</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gAyXsoKS4uLIuGaD1cga3PZuzDj3m10D7ALDBL049ttN5rQep9i5Fp42Wgpz2gLInqE1d0sMmJKS19D3G2tmxw==" saltValue="s0Pe4K27AuFANQUjOiIhy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+'11.6 Grants Approp Rsrv'!F27</f>
        <v>17010.98</v>
      </c>
      <c r="G8" s="1014">
        <f>+'11.6 Grants Approp Rsrv'!G27</f>
        <v>9580.11</v>
      </c>
      <c r="H8" s="1014">
        <f>+'11.6 Grants Approp Rsrv'!H27</f>
        <v>10701.439999999999</v>
      </c>
      <c r="I8" s="1014">
        <f>+'11.6 Grants Approp Rsrv'!I27</f>
        <v>13781.55</v>
      </c>
      <c r="J8" s="1014">
        <f>+'11.6 Grants Approp Rsrv'!J27</f>
        <v>0</v>
      </c>
      <c r="K8" s="1014">
        <f>+'11.6 Grants Approp Rsrv'!K27</f>
        <v>0</v>
      </c>
      <c r="L8" s="1015">
        <f>+'11.6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3356</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sNuFYQiOMN6iV1MkWu3xXioSpSbfLcIVpPfThBHfzsT2Ki47UNXXAnsw/zGECUI6+bIX1BUWkrV3+uHsuc9C/Q==" saltValue="mtPJAB4JEUGXHwt8GSWkU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+'11.7 Grants Approp Rsrv'!F27</f>
        <v>17010.98</v>
      </c>
      <c r="G8" s="1014">
        <f>+'11.7 Grants Approp Rsrv'!G27</f>
        <v>9580.11</v>
      </c>
      <c r="H8" s="1014">
        <f>+'11.7 Grants Approp Rsrv'!H27</f>
        <v>10701.439999999999</v>
      </c>
      <c r="I8" s="1014">
        <f>+'11.7 Grants Approp Rsrv'!I27</f>
        <v>13781.55</v>
      </c>
      <c r="J8" s="1014">
        <f>+'11.7 Grants Approp Rsrv'!J27</f>
        <v>0</v>
      </c>
      <c r="K8" s="1014">
        <f>+'11.7 Grants Approp Rsrv'!K27</f>
        <v>0</v>
      </c>
      <c r="L8" s="1015">
        <f>+'11.7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3357</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6u0lXgkXpqibty84kTOFcE1Ur3f1y5JPRdYCEiReMx5cqe0NkOnMMFrGE5lPbXJ3O8khDy+LBpHcjiRDKLnqqQ==" saltValue="YwR9KeX3gB1TgL7R9GKHG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+'11.8 Grants Approp Rsrv'!F27</f>
        <v>17010.98</v>
      </c>
      <c r="G8" s="1014">
        <f>+'11.8 Grants Approp Rsrv'!G27</f>
        <v>9580.11</v>
      </c>
      <c r="H8" s="1014">
        <f>+'11.8 Grants Approp Rsrv'!H27</f>
        <v>10701.439999999999</v>
      </c>
      <c r="I8" s="1014">
        <f>+'11.8 Grants Approp Rsrv'!I27</f>
        <v>13781.55</v>
      </c>
      <c r="J8" s="1014">
        <f>+'11.8 Grants Approp Rsrv'!J27</f>
        <v>0</v>
      </c>
      <c r="K8" s="1014">
        <f>+'11.8 Grants Approp Rsrv'!K27</f>
        <v>0</v>
      </c>
      <c r="L8" s="1015">
        <f>+'11.8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3358</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Vn6GSR4qUI2cGP6Z0AmsZ4dVx5iOHzNayF5do1KRtG8VtqDEvrbpb1easjDuCAZtyS9eKtU5yUdrTrpgh3zCEw==" saltValue="fl1oGkrtXeAx8zDe/8qwQ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+'11.9 Grants Approp Rsrv'!F27</f>
        <v>17010.98</v>
      </c>
      <c r="G8" s="1014">
        <f>+'11.9 Grants Approp Rsrv'!G27</f>
        <v>9580.11</v>
      </c>
      <c r="H8" s="1014">
        <f>+'11.9 Grants Approp Rsrv'!H27</f>
        <v>10701.439999999999</v>
      </c>
      <c r="I8" s="1014">
        <f>+'11.9 Grants Approp Rsrv'!I27</f>
        <v>13781.55</v>
      </c>
      <c r="J8" s="1014">
        <f>+'11.9 Grants Approp Rsrv'!J27</f>
        <v>0</v>
      </c>
      <c r="K8" s="1014">
        <f>+'11.9 Grants Approp Rsrv'!K27</f>
        <v>0</v>
      </c>
      <c r="L8" s="1015">
        <f>+'11.9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3359</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dTLAC/k7d2EgwacMfOEMfwcP71LpsmpbRq6e9OXn3sst5cZabJkfAmG7LB2p0c5hWNWCcAw++Apua45DXFOh3Q==" saltValue="BcENV/XPLGkqQDITtxFLz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+'11.10 Grants Approp Rsrv'!F27</f>
        <v>17010.98</v>
      </c>
      <c r="G8" s="1014">
        <f>+'11.10 Grants Approp Rsrv'!G27</f>
        <v>9580.11</v>
      </c>
      <c r="H8" s="1014">
        <f>+'11.10 Grants Approp Rsrv'!H27</f>
        <v>10701.439999999999</v>
      </c>
      <c r="I8" s="1014">
        <f>+'11.10 Grants Approp Rsrv'!I27</f>
        <v>13781.55</v>
      </c>
      <c r="J8" s="1014">
        <f>+'11.10 Grants Approp Rsrv'!J27</f>
        <v>0</v>
      </c>
      <c r="K8" s="1014">
        <f>+'11.10 Grants Approp Rsrv'!K27</f>
        <v>0</v>
      </c>
      <c r="L8" s="1015">
        <f>+'11.10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3360</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jEEZ6bwdqCOPHJeLNAwI8xXFFy4R1D5nY2qB0FYhUqhHP1XZTU60fYGoYBACjui6cdErYs0OElDiRxJdTT9Ebw==" saltValue="2rI7CbUxPoIjpgHzdXH0Q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+'11.11 Grants Approp Rsrv'!F27</f>
        <v>17010.98</v>
      </c>
      <c r="G8" s="1014">
        <f>+'11.11 Grants Approp Rsrv'!G27</f>
        <v>9580.11</v>
      </c>
      <c r="H8" s="1014">
        <f>+'11.11 Grants Approp Rsrv'!H27</f>
        <v>10701.439999999999</v>
      </c>
      <c r="I8" s="1014">
        <f>+'11.11 Grants Approp Rsrv'!I27</f>
        <v>13781.55</v>
      </c>
      <c r="J8" s="1014">
        <f>+'11.11 Grants Approp Rsrv'!J27</f>
        <v>0</v>
      </c>
      <c r="K8" s="1014">
        <f>+'11.11 Grants Approp Rsrv'!K27</f>
        <v>0</v>
      </c>
      <c r="L8" s="1015">
        <f>+'11.11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3361</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E5nL18a3GmFhPU9VrxnuvvLPITf/x/1pTSsO1//pmsggnUtK83xzJ40QcveGLzLsE6wteJn4K/00bhM18GCgMA==" saltValue="7wELIEQfo1SSFG28WtLvR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+'11.12 Grants Approp Rsrv'!F27</f>
        <v>17010.98</v>
      </c>
      <c r="G8" s="1014">
        <f>+'11.12 Grants Approp Rsrv'!G27</f>
        <v>9580.11</v>
      </c>
      <c r="H8" s="1014">
        <f>+'11.12 Grants Approp Rsrv'!H27</f>
        <v>10701.439999999999</v>
      </c>
      <c r="I8" s="1014">
        <f>+'11.12 Grants Approp Rsrv'!I27</f>
        <v>13781.55</v>
      </c>
      <c r="J8" s="1014">
        <f>+'11.12 Grants Approp Rsrv'!J27</f>
        <v>0</v>
      </c>
      <c r="K8" s="1014">
        <f>+'11.12 Grants Approp Rsrv'!K27</f>
        <v>0</v>
      </c>
      <c r="L8" s="1015">
        <f>+'11.12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3362</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zEYUXf91xtXYJAkvW21D6Y3vBBQsdnOaKyRqmRI2dVoqMxHAgArmr9hgZiTEkektqVvhUBo/tRUGfNjPoyAtYQ==" saltValue="ZEsP8w0g/pYgPK31wqaxT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+'11.13 Grants Approp Rsrv'!F27</f>
        <v>17010.98</v>
      </c>
      <c r="G8" s="1014">
        <f>+'11.13 Grants Approp Rsrv'!G27</f>
        <v>9580.11</v>
      </c>
      <c r="H8" s="1014">
        <f>+'11.13 Grants Approp Rsrv'!H27</f>
        <v>10701.439999999999</v>
      </c>
      <c r="I8" s="1014">
        <f>+'11.13 Grants Approp Rsrv'!I27</f>
        <v>13781.55</v>
      </c>
      <c r="J8" s="1014">
        <f>+'11.13 Grants Approp Rsrv'!J27</f>
        <v>0</v>
      </c>
      <c r="K8" s="1014">
        <f>+'11.13 Grants Approp Rsrv'!K27</f>
        <v>0</v>
      </c>
      <c r="L8" s="1015">
        <f>+'11.13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3363</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LUVqBkJclJiNKEWxpAL9gakf3sM8dCc8EqpuP43+dylP1wnMNW6ifaNURrYzFi9tDC4/jnQcF48buwdk8SIVXA==" saltValue="KWUXDhKupfjOZhkD20szwg=="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+'11.14 Grants Approp Rsrv'!F27</f>
        <v>17010.98</v>
      </c>
      <c r="G8" s="1014">
        <f>+'11.14 Grants Approp Rsrv'!G27</f>
        <v>9580.11</v>
      </c>
      <c r="H8" s="1014">
        <f>+'11.14 Grants Approp Rsrv'!H27</f>
        <v>10701.439999999999</v>
      </c>
      <c r="I8" s="1014">
        <f>+'11.14 Grants Approp Rsrv'!I27</f>
        <v>13781.55</v>
      </c>
      <c r="J8" s="1014">
        <f>+'11.14 Grants Approp Rsrv'!J27</f>
        <v>0</v>
      </c>
      <c r="K8" s="1014">
        <f>+'11.14 Grants Approp Rsrv'!K27</f>
        <v>0</v>
      </c>
      <c r="L8" s="1015">
        <f>+'11.14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3364</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bX6kUR96rR0yhy5owgzfe59Q9Xc2i22XlV3zeGzJ6JlXmI2RPfwPkQT00YLZHPNfeSqO/Q/2tSJ0E7/4PGbefg==" saltValue="9/S04QJMMh7Nf5CU9faPRg=="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+'11.15 Grants Approp Rsrv'!F27</f>
        <v>17010.98</v>
      </c>
      <c r="G8" s="1014">
        <f>+'11.15 Grants Approp Rsrv'!G27</f>
        <v>9580.11</v>
      </c>
      <c r="H8" s="1014">
        <f>+'11.15 Grants Approp Rsrv'!H27</f>
        <v>10701.439999999999</v>
      </c>
      <c r="I8" s="1014">
        <f>+'11.15 Grants Approp Rsrv'!I27</f>
        <v>13781.55</v>
      </c>
      <c r="J8" s="1014">
        <f>+'11.15 Grants Approp Rsrv'!J27</f>
        <v>0</v>
      </c>
      <c r="K8" s="1014">
        <f>+'11.15 Grants Approp Rsrv'!K27</f>
        <v>0</v>
      </c>
      <c r="L8" s="1015">
        <f>+'11.15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3365</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hNtFnieXfFPETjlCYDJ0Zk1QNW4ft28suoL/IkqGMGgpGPJMXAPJptfM2LcnigjDhFJFjZiI0jtrA6r51YpCoQ==" saltValue="g0RmAeyFoXgwuMRuh6S8I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+'11.16 Grants Approp Rsrv'!F27</f>
        <v>17010.98</v>
      </c>
      <c r="G8" s="1014">
        <f>+'11.16 Grants Approp Rsrv'!G27</f>
        <v>9580.11</v>
      </c>
      <c r="H8" s="1014">
        <f>+'11.16 Grants Approp Rsrv'!H27</f>
        <v>10701.439999999999</v>
      </c>
      <c r="I8" s="1014">
        <f>+'11.16 Grants Approp Rsrv'!I27</f>
        <v>13781.55</v>
      </c>
      <c r="J8" s="1014">
        <f>+'11.16 Grants Approp Rsrv'!J27</f>
        <v>0</v>
      </c>
      <c r="K8" s="1014">
        <f>+'11.16 Grants Approp Rsrv'!K27</f>
        <v>0</v>
      </c>
      <c r="L8" s="1015">
        <f>+'11.16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3366</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7g9Bj13O/Qn4asZtub3SIZhEEo0WxMJfwUjwcFcwk6tt89oxYMu4nNUbjGfHS3U0X8NlmzFFzgCCCF38kkgAwQ==" saltValue="NBAgm1AeFRu9SEC+hjD44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dimension ref="A2: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+'11.17 Grants Approp Rsrv'!F27</f>
        <v>17010.98</v>
      </c>
      <c r="G8" s="1014">
        <f>+'11.17 Grants Approp Rsrv'!G27</f>
        <v>9580.11</v>
      </c>
      <c r="H8" s="1014">
        <f>+'11.17 Grants Approp Rsrv'!H27</f>
        <v>10701.439999999999</v>
      </c>
      <c r="I8" s="1014">
        <f>+'11.17 Grants Approp Rsrv'!I27</f>
        <v>13781.55</v>
      </c>
      <c r="J8" s="1014">
        <f>+'11.17 Grants Approp Rsrv'!J27</f>
        <v>0</v>
      </c>
      <c r="K8" s="1014">
        <f>+'11.17 Grants Approp Rsrv'!K27</f>
        <v>0</v>
      </c>
      <c r="L8" s="1015">
        <f>+'11.17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3367</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N0Pb9ckQPMpDsl7TVMzbDfxI4qQgr3oddLTB+9yH86Aq4wd9MoAr9nbc68whgrjLsErN1xPM3FDn+VKtDW8BfA==" saltValue="MRMucRJG6Y0N+3tMKBjzc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+'11.18 Grants Approp Rsrv'!F27</f>
        <v>17010.98</v>
      </c>
      <c r="G8" s="1014">
        <f>+'11.18 Grants Approp Rsrv'!G27</f>
        <v>9580.11</v>
      </c>
      <c r="H8" s="1014">
        <f>+'11.18 Grants Approp Rsrv'!H27</f>
        <v>10701.439999999999</v>
      </c>
      <c r="I8" s="1014">
        <f>+'11.18 Grants Approp Rsrv'!I27</f>
        <v>13781.55</v>
      </c>
      <c r="J8" s="1014">
        <f>+'11.18 Grants Approp Rsrv'!J27</f>
        <v>0</v>
      </c>
      <c r="K8" s="1014">
        <f>+'11.18 Grants Approp Rsrv'!K27</f>
        <v>0</v>
      </c>
      <c r="L8" s="1015">
        <f>+'11.18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3369</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pDmIQ+cWPmvg8FFBVE4/R+skCuCNFqrLh9ZPxqVx5xsl8skmXnSGx1oemHQiKF44vMxgAbtIB77r9yXj96vPqg==" saltValue="8lJvq6liEHvRZDZyzGYho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+'11.19 Grants Approp Rsrv'!F27</f>
        <v>17010.98</v>
      </c>
      <c r="G8" s="1014">
        <f>+'11.19 Grants Approp Rsrv'!G27</f>
        <v>9580.11</v>
      </c>
      <c r="H8" s="1014">
        <f>+'11.19 Grants Approp Rsrv'!H27</f>
        <v>10701.439999999999</v>
      </c>
      <c r="I8" s="1014">
        <f>+'11.19 Grants Approp Rsrv'!I27</f>
        <v>13781.55</v>
      </c>
      <c r="J8" s="1014">
        <f>+'11.19 Grants Approp Rsrv'!J27</f>
        <v>0</v>
      </c>
      <c r="K8" s="1014">
        <f>+'11.19 Grants Approp Rsrv'!K27</f>
        <v>0</v>
      </c>
      <c r="L8" s="1015">
        <f>+'11.19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3368</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zrWI/35T6r7PSVE4kLl247oxGdaD/d/GgMfcUYmuZKqqTCAAGb2N/OGDhtX8TyyWhV6uPFOlgP57admkUZ06vA==" saltValue="WO9jKpZgDuOTmSW5n3ph1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+'11.20 Grants Approp Rsrv'!F27</f>
        <v>17010.98</v>
      </c>
      <c r="G8" s="1014">
        <f>+'11.20 Grants Approp Rsrv'!G27</f>
        <v>9580.11</v>
      </c>
      <c r="H8" s="1014">
        <f>+'11.20 Grants Approp Rsrv'!H27</f>
        <v>10701.439999999999</v>
      </c>
      <c r="I8" s="1014">
        <f>+'11.20 Grants Approp Rsrv'!I27</f>
        <v>13781.55</v>
      </c>
      <c r="J8" s="1014">
        <f>+'11.20 Grants Approp Rsrv'!J27</f>
        <v>0</v>
      </c>
      <c r="K8" s="1014">
        <f>+'11.20 Grants Approp Rsrv'!K27</f>
        <v>0</v>
      </c>
      <c r="L8" s="1015">
        <f>+'11.20 Grants Approp Rsrv'!L27</f>
        <v>23510.980000000003</v>
      </c>
      <c r="M8" s="701"/>
    </row>
    <row r="9" spans="1:15" ht="21" customHeight="1">
      <c r="B9" s="1645"/>
      <c r="C9" s="1645"/>
      <c r="D9" s="1645"/>
      <c r="E9" s="1646"/>
      <c r="F9" s="568"/>
      <c r="G9" s="568"/>
      <c r="H9" s="568"/>
      <c r="I9" s="568"/>
      <c r="J9" s="568"/>
      <c r="K9" s="568"/>
      <c r="L9" s="313">
        <f t="shared" ref="L9:L26" si="0">+F9+G9+H9-I9+J9-K9</f>
        <v>0</v>
      </c>
      <c r="M9" s="703"/>
    </row>
    <row r="10" spans="1:15" ht="21" customHeight="1">
      <c r="B10" s="1645"/>
      <c r="C10" s="1645"/>
      <c r="D10" s="1645"/>
      <c r="E10" s="1646"/>
      <c r="F10" s="568"/>
      <c r="G10" s="568"/>
      <c r="H10" s="568"/>
      <c r="I10" s="568"/>
      <c r="J10" s="568"/>
      <c r="K10" s="568"/>
      <c r="L10" s="313">
        <f t="shared" si="0"/>
        <v>0</v>
      </c>
      <c r="M10" s="318"/>
    </row>
    <row r="11" spans="1:15" ht="21" customHeight="1">
      <c r="B11" s="1645"/>
      <c r="C11" s="1645"/>
      <c r="D11" s="1645"/>
      <c r="E11" s="1646"/>
      <c r="F11" s="568"/>
      <c r="G11" s="568"/>
      <c r="H11" s="568"/>
      <c r="I11" s="568"/>
      <c r="J11" s="568"/>
      <c r="K11" s="568"/>
      <c r="L11" s="313">
        <f t="shared" si="0"/>
        <v>0</v>
      </c>
      <c r="M11" s="318"/>
      <c r="O11" s="370"/>
    </row>
    <row r="12" spans="1:15" ht="21" customHeight="1">
      <c r="B12" s="1645"/>
      <c r="C12" s="1645"/>
      <c r="D12" s="1645"/>
      <c r="E12" s="1646"/>
      <c r="F12" s="568"/>
      <c r="G12" s="568"/>
      <c r="H12" s="568"/>
      <c r="I12" s="568"/>
      <c r="J12" s="568"/>
      <c r="K12" s="568"/>
      <c r="L12" s="313">
        <f t="shared" si="0"/>
        <v>0</v>
      </c>
      <c r="M12" s="318"/>
    </row>
    <row r="13" spans="1:15" ht="21" customHeight="1">
      <c r="B13" s="1645"/>
      <c r="C13" s="1645"/>
      <c r="D13" s="1645"/>
      <c r="E13" s="1646"/>
      <c r="F13" s="568"/>
      <c r="G13" s="568"/>
      <c r="H13" s="568"/>
      <c r="I13" s="568"/>
      <c r="J13" s="568"/>
      <c r="K13" s="568"/>
      <c r="L13" s="313">
        <f t="shared" si="0"/>
        <v>0</v>
      </c>
      <c r="M13" s="318"/>
    </row>
    <row r="14" spans="1:15" ht="21" customHeight="1">
      <c r="B14" s="1645"/>
      <c r="C14" s="1645"/>
      <c r="D14" s="1645"/>
      <c r="E14" s="1646"/>
      <c r="F14" s="568"/>
      <c r="G14" s="568"/>
      <c r="H14" s="568"/>
      <c r="I14" s="568"/>
      <c r="J14" s="568"/>
      <c r="K14" s="568"/>
      <c r="L14" s="313">
        <f t="shared" si="0"/>
        <v>0</v>
      </c>
      <c r="M14" s="318"/>
    </row>
    <row r="15" spans="1:15" ht="21" customHeight="1">
      <c r="A15" s="1613" t="s">
        <v>3370</v>
      </c>
      <c r="B15" s="1645"/>
      <c r="C15" s="1645"/>
      <c r="D15" s="1645"/>
      <c r="E15" s="1646"/>
      <c r="F15" s="568"/>
      <c r="G15" s="568"/>
      <c r="H15" s="568"/>
      <c r="I15" s="568"/>
      <c r="J15" s="568"/>
      <c r="K15" s="568"/>
      <c r="L15" s="313">
        <f t="shared" si="0"/>
        <v>0</v>
      </c>
      <c r="M15" s="318"/>
    </row>
    <row r="16" spans="1:15" ht="21" customHeight="1">
      <c r="A16" s="1613"/>
      <c r="B16" s="1645"/>
      <c r="C16" s="1645"/>
      <c r="D16" s="1645"/>
      <c r="E16" s="1646"/>
      <c r="F16" s="568"/>
      <c r="G16" s="568"/>
      <c r="H16" s="568"/>
      <c r="I16" s="568"/>
      <c r="J16" s="568"/>
      <c r="K16" s="568"/>
      <c r="L16" s="313">
        <f t="shared" si="0"/>
        <v>0</v>
      </c>
      <c r="M16" s="318"/>
    </row>
    <row r="17" spans="1:13" ht="21" customHeight="1">
      <c r="B17" s="1645"/>
      <c r="C17" s="1645"/>
      <c r="D17" s="1645"/>
      <c r="E17" s="1646"/>
      <c r="F17" s="568"/>
      <c r="G17" s="568"/>
      <c r="H17" s="568"/>
      <c r="I17" s="568"/>
      <c r="J17" s="568"/>
      <c r="K17" s="568"/>
      <c r="L17" s="313">
        <f t="shared" si="0"/>
        <v>0</v>
      </c>
      <c r="M17" s="318"/>
    </row>
    <row r="18" spans="1:13" ht="21" customHeight="1">
      <c r="A18" s="748"/>
      <c r="B18" s="1645"/>
      <c r="C18" s="1645"/>
      <c r="D18" s="1645"/>
      <c r="E18" s="1646"/>
      <c r="F18" s="568"/>
      <c r="G18" s="568"/>
      <c r="H18" s="568"/>
      <c r="I18" s="568"/>
      <c r="J18" s="568"/>
      <c r="K18" s="568"/>
      <c r="L18" s="313">
        <f t="shared" si="0"/>
        <v>0</v>
      </c>
      <c r="M18" s="318"/>
    </row>
    <row r="19" spans="1:13" ht="21" customHeight="1">
      <c r="A19" s="748"/>
      <c r="B19" s="1645"/>
      <c r="C19" s="1645"/>
      <c r="D19" s="1645"/>
      <c r="E19" s="1646"/>
      <c r="F19" s="568"/>
      <c r="G19" s="568"/>
      <c r="H19" s="568"/>
      <c r="I19" s="568"/>
      <c r="J19" s="568"/>
      <c r="K19" s="568"/>
      <c r="L19" s="313">
        <f t="shared" si="0"/>
        <v>0</v>
      </c>
      <c r="M19" s="318"/>
    </row>
    <row r="20" spans="1:13" ht="21" customHeight="1">
      <c r="B20" s="1645"/>
      <c r="C20" s="1645"/>
      <c r="D20" s="1645"/>
      <c r="E20" s="1646"/>
      <c r="F20" s="568"/>
      <c r="G20" s="568"/>
      <c r="H20" s="568"/>
      <c r="I20" s="568"/>
      <c r="J20" s="568"/>
      <c r="K20" s="568"/>
      <c r="L20" s="313">
        <f t="shared" si="0"/>
        <v>0</v>
      </c>
      <c r="M20" s="318"/>
    </row>
    <row r="21" spans="1:13" ht="21" customHeight="1">
      <c r="B21" s="1645"/>
      <c r="C21" s="1645"/>
      <c r="D21" s="1645"/>
      <c r="E21" s="1646"/>
      <c r="F21" s="568"/>
      <c r="G21" s="568"/>
      <c r="H21" s="568"/>
      <c r="I21" s="568"/>
      <c r="J21" s="568"/>
      <c r="K21" s="568"/>
      <c r="L21" s="313">
        <f t="shared" si="0"/>
        <v>0</v>
      </c>
      <c r="M21" s="318"/>
    </row>
    <row r="22" spans="1:13" ht="21" customHeight="1">
      <c r="B22" s="1645"/>
      <c r="C22" s="1645"/>
      <c r="D22" s="1645"/>
      <c r="E22" s="1646"/>
      <c r="F22" s="568"/>
      <c r="G22" s="568"/>
      <c r="H22" s="568"/>
      <c r="I22" s="568"/>
      <c r="J22" s="568"/>
      <c r="K22" s="568"/>
      <c r="L22" s="313">
        <f t="shared" si="0"/>
        <v>0</v>
      </c>
      <c r="M22" s="318"/>
    </row>
    <row r="23" spans="1:13" ht="21" customHeight="1">
      <c r="B23" s="1645"/>
      <c r="C23" s="1645"/>
      <c r="D23" s="1645"/>
      <c r="E23" s="1646"/>
      <c r="F23" s="568"/>
      <c r="G23" s="568"/>
      <c r="H23" s="568"/>
      <c r="I23" s="568"/>
      <c r="J23" s="568"/>
      <c r="K23" s="568"/>
      <c r="L23" s="313">
        <f t="shared" si="0"/>
        <v>0</v>
      </c>
      <c r="M23" s="318"/>
    </row>
    <row r="24" spans="1:13" ht="21" customHeight="1">
      <c r="B24" s="1645"/>
      <c r="C24" s="1645"/>
      <c r="D24" s="1645"/>
      <c r="E24" s="1646"/>
      <c r="F24" s="568"/>
      <c r="G24" s="568"/>
      <c r="H24" s="568"/>
      <c r="I24" s="568"/>
      <c r="J24" s="568"/>
      <c r="K24" s="568"/>
      <c r="L24" s="313">
        <f t="shared" si="0"/>
        <v>0</v>
      </c>
      <c r="M24" s="318"/>
    </row>
    <row r="25" spans="1:13" ht="21" customHeight="1">
      <c r="B25" s="1645"/>
      <c r="C25" s="1645"/>
      <c r="D25" s="1645"/>
      <c r="E25" s="1646"/>
      <c r="F25" s="568"/>
      <c r="G25" s="568"/>
      <c r="H25" s="568"/>
      <c r="I25" s="568"/>
      <c r="J25" s="568"/>
      <c r="K25" s="568"/>
      <c r="L25" s="313">
        <f t="shared" si="0"/>
        <v>0</v>
      </c>
      <c r="M25" s="318"/>
    </row>
    <row r="26" spans="1:13" ht="21" customHeight="1">
      <c r="B26" s="1645"/>
      <c r="C26" s="1645"/>
      <c r="D26" s="1645"/>
      <c r="E26" s="1646"/>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7lKhR/bwsEjOuEif+D6+USiR8AJTGHVjfuEzhAoINRS+SEYcOkQSlmPGsHIOVCgpbNlxL0yfI1X61cn61i83kA==" saltValue="nmg3sRfTqhBsnAmKWsjP/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+'11.21 Grants Approp Rsrv'!F27</f>
        <v>17010.98</v>
      </c>
      <c r="G8" s="1014">
        <f>+'11.21 Grants Approp Rsrv'!G27</f>
        <v>9580.11</v>
      </c>
      <c r="H8" s="1014">
        <f>+'11.21 Grants Approp Rsrv'!H27</f>
        <v>10701.439999999999</v>
      </c>
      <c r="I8" s="1014">
        <f>+'11.21 Grants Approp Rsrv'!I27</f>
        <v>13781.55</v>
      </c>
      <c r="J8" s="1014">
        <f>+'11.21 Grants Approp Rsrv'!J27</f>
        <v>0</v>
      </c>
      <c r="K8" s="1014">
        <f>+'11.21 Grants Approp Rsrv'!K27</f>
        <v>0</v>
      </c>
      <c r="L8" s="1015">
        <f>+'11.21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3371</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oRlu5UAmsgsIRlah9otfhPyq8vI2KMvnEckToybSGmPLtnCYs8mo/LJU4DL38DtVn2sG/G8dvT2o5pCB8guCMQ==" saltValue="kRJvjrhhpbkQs9Zs8WFay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+'11.22 Grants Approp Rsrv'!F27</f>
        <v>17010.98</v>
      </c>
      <c r="G8" s="1014">
        <f>+'11.22 Grants Approp Rsrv'!G27</f>
        <v>9580.11</v>
      </c>
      <c r="H8" s="1014">
        <f>+'11.22 Grants Approp Rsrv'!H27</f>
        <v>10701.439999999999</v>
      </c>
      <c r="I8" s="1014">
        <f>+'11.22 Grants Approp Rsrv'!I27</f>
        <v>13781.55</v>
      </c>
      <c r="J8" s="1014">
        <f>+'11.22 Grants Approp Rsrv'!J27</f>
        <v>0</v>
      </c>
      <c r="K8" s="1014">
        <f>+'11.22 Grants Approp Rsrv'!K27</f>
        <v>0</v>
      </c>
      <c r="L8" s="1015">
        <f>+'11.22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3372</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ou8+BBdXXYCNuAc30W+AMcZHEqZCONdC9nk82wWXlLDLcX+NvvHtbX/R9Z07vx3EEWlq+rcDgf+k7bjSLTMKTQ==" saltValue="hPqAnFlG6GMrCshaZP36D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+'11.23 Grants Approp Rsrv'!F27</f>
        <v>17010.98</v>
      </c>
      <c r="G8" s="1014">
        <f>+'11.23 Grants Approp Rsrv'!G27</f>
        <v>9580.11</v>
      </c>
      <c r="H8" s="1014">
        <f>+'11.23 Grants Approp Rsrv'!H27</f>
        <v>10701.439999999999</v>
      </c>
      <c r="I8" s="1014">
        <f>+'11.23 Grants Approp Rsrv'!I27</f>
        <v>13781.55</v>
      </c>
      <c r="J8" s="1014">
        <f>+'11.23 Grants Approp Rsrv'!J27</f>
        <v>0</v>
      </c>
      <c r="K8" s="1014">
        <f>+'11.23 Grants Approp Rsrv'!K27</f>
        <v>0</v>
      </c>
      <c r="L8" s="1015">
        <f>+'11.23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3373</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IBWBMbK+ZDs3I0lhLei8BagJr2DaLlti3RjwHZZ4SZWImgOTH9VmOULrP5XdvsVBfXzn91SbJ8JD91T6yG1y/Q==" saltValue="yedcqKvmQFJOTkud/V4+z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+'11.24 Grants Approp Rsrv'!F27</f>
        <v>17010.98</v>
      </c>
      <c r="G8" s="1014">
        <f>+'11.24 Grants Approp Rsrv'!G27</f>
        <v>9580.11</v>
      </c>
      <c r="H8" s="1014">
        <f>+'11.24 Grants Approp Rsrv'!H27</f>
        <v>10701.439999999999</v>
      </c>
      <c r="I8" s="1014">
        <f>+'11.24 Grants Approp Rsrv'!I27</f>
        <v>13781.55</v>
      </c>
      <c r="J8" s="1014">
        <f>+'11.24 Grants Approp Rsrv'!J27</f>
        <v>0</v>
      </c>
      <c r="K8" s="1014">
        <f>+'11.24 Grants Approp Rsrv'!K27</f>
        <v>0</v>
      </c>
      <c r="L8" s="1015">
        <f>+'11.24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3374</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aSKY4L+jf7ChDYNu0dLmvBk6wL4IAU7SDeg+lGaoTLyRk2WEgksg8IsaSEpkCykeipYc7SH0B/2Y8V6exOvHzQ==" saltValue="+hwqknsbTw6plSczNeDxC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7"/>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+'11.25 Grants Approp Rsrv'!F27</f>
        <v>17010.98</v>
      </c>
      <c r="G8" s="1014">
        <f>+'11.25 Grants Approp Rsrv'!G27</f>
        <v>9580.11</v>
      </c>
      <c r="H8" s="1014">
        <f>+'11.25 Grants Approp Rsrv'!H27</f>
        <v>10701.439999999999</v>
      </c>
      <c r="I8" s="1014">
        <f>+'11.25 Grants Approp Rsrv'!I27</f>
        <v>13781.55</v>
      </c>
      <c r="J8" s="1014">
        <f>+'11.25 Grants Approp Rsrv'!J27</f>
        <v>0</v>
      </c>
      <c r="K8" s="1014">
        <f>+'11.25 Grants Approp Rsrv'!K27</f>
        <v>0</v>
      </c>
      <c r="L8" s="1015">
        <f>+'11.25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3375</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gWTAk7Rx5pbqIB992Rem/9PDqDj5Bbz2hnTcvyt5mwidlFqJtK3LRx2L3NmT8yBz3OIgD7WpSUeW+PYWVLX5pA==" saltValue="J1zY1KHn/53DM6B61Z9jcg=="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+'11.26 Grants Approp Rsrv'!F27</f>
        <v>17010.98</v>
      </c>
      <c r="G8" s="1014">
        <f>+'11.26 Grants Approp Rsrv'!G27</f>
        <v>9580.11</v>
      </c>
      <c r="H8" s="1014">
        <f>+'11.26 Grants Approp Rsrv'!H27</f>
        <v>10701.439999999999</v>
      </c>
      <c r="I8" s="1014">
        <f>+'11.26 Grants Approp Rsrv'!I27</f>
        <v>13781.55</v>
      </c>
      <c r="J8" s="1014">
        <f>+'11.26 Grants Approp Rsrv'!J27</f>
        <v>0</v>
      </c>
      <c r="K8" s="1014">
        <f>+'11.26 Grants Approp Rsrv'!K27</f>
        <v>0</v>
      </c>
      <c r="L8" s="1015">
        <f>+'11.26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3376</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YS8OXdeAGgf/9NiNZjh0NFKXPTPQ6PafoM/bsvXwm5FxYHTz+PRO+lMMVVsCcJXHQmDH3hE+ncEMBtYjCdIb9w==" saltValue="NYFk/tRWsDJVj9+FFm/HX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+'11.27 Grants Approp Rsrv'!F27</f>
        <v>17010.98</v>
      </c>
      <c r="G8" s="1014">
        <f>+'11.27 Grants Approp Rsrv'!G27</f>
        <v>9580.11</v>
      </c>
      <c r="H8" s="1014">
        <f>+'11.27 Grants Approp Rsrv'!H27</f>
        <v>10701.439999999999</v>
      </c>
      <c r="I8" s="1014">
        <f>+'11.27 Grants Approp Rsrv'!I27</f>
        <v>13781.55</v>
      </c>
      <c r="J8" s="1014">
        <f>+'11.27 Grants Approp Rsrv'!J27</f>
        <v>0</v>
      </c>
      <c r="K8" s="1014">
        <f>+'11.27 Grants Approp Rsrv'!K27</f>
        <v>0</v>
      </c>
      <c r="L8" s="1015">
        <f>+'11.27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3377</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YGFP9RKCKU7AeH5QHRT3FnRj5x5Quu+uYwelwnVXYD8l0YRYReMSjY6dFwgqyH4vV1JZmhLC1I/c/D3ipLCyYA==" saltValue="NOPs+5WrHoRXMLGN4zsrOg=="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0"/>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+'11.28 Grants Approp Rsrv'!F27</f>
        <v>17010.98</v>
      </c>
      <c r="G8" s="1014">
        <f>+'11.28 Grants Approp Rsrv'!G27</f>
        <v>9580.11</v>
      </c>
      <c r="H8" s="1014">
        <f>+'11.28 Grants Approp Rsrv'!H27</f>
        <v>10701.439999999999</v>
      </c>
      <c r="I8" s="1014">
        <f>+'11.28 Grants Approp Rsrv'!I27</f>
        <v>13781.55</v>
      </c>
      <c r="J8" s="1014">
        <f>+'11.28 Grants Approp Rsrv'!J27</f>
        <v>0</v>
      </c>
      <c r="K8" s="1014">
        <f>+'11.28 Grants Approp Rsrv'!K27</f>
        <v>0</v>
      </c>
      <c r="L8" s="1015">
        <f>+'11.28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3378</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5YWCRsMwmxhZ+Z4MG+hX+8jvEYY3vNzuDWf+Oc50l5sA+mfdfTBP13ZkpDyzwP7r1EEun6rHiPu2R278uS+lDA==" saltValue="So5vI30ThCbkRV52afbzt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+'11.29 Grants Approp Rsrv'!F27</f>
        <v>17010.98</v>
      </c>
      <c r="G8" s="1014">
        <f>+'11.29 Grants Approp Rsrv'!G27</f>
        <v>9580.11</v>
      </c>
      <c r="H8" s="1014">
        <f>+'11.29 Grants Approp Rsrv'!H27</f>
        <v>10701.439999999999</v>
      </c>
      <c r="I8" s="1014">
        <f>+'11.29 Grants Approp Rsrv'!I27</f>
        <v>13781.55</v>
      </c>
      <c r="J8" s="1014">
        <f>+'11.29 Grants Approp Rsrv'!J27</f>
        <v>0</v>
      </c>
      <c r="K8" s="1014">
        <f>+'11.29 Grants Approp Rsrv'!K27</f>
        <v>0</v>
      </c>
      <c r="L8" s="1015">
        <f>+'11.29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3379</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MDxKCImUc61qeVmCzNl8XEVCIGgk/spnDVsvjBmEfguh3u8YBryxdm6EAlhOUuG4RjMcK5Ig7f62VIlkZP2AUg==" saltValue="XggYo/lkVDZZOaAm2Y/9r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+'11.30 Grants Approp Rsrv'!F27</f>
        <v>17010.98</v>
      </c>
      <c r="G8" s="1014">
        <f>+'11.30 Grants Approp Rsrv'!G27</f>
        <v>9580.11</v>
      </c>
      <c r="H8" s="1014">
        <f>+'11.30 Grants Approp Rsrv'!H27</f>
        <v>10701.439999999999</v>
      </c>
      <c r="I8" s="1014">
        <f>+'11.30 Grants Approp Rsrv'!I27</f>
        <v>13781.55</v>
      </c>
      <c r="J8" s="1014">
        <f>+'11.30 Grants Approp Rsrv'!J27</f>
        <v>0</v>
      </c>
      <c r="K8" s="1014">
        <f>+'11.30 Grants Approp Rsrv'!K27</f>
        <v>0</v>
      </c>
      <c r="L8" s="1015">
        <f>+'11.30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3380</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GexEjES4xFxUjHOcsaDLIZxJ8VtKVLyTDildIq6tzmurAD7OVDjSj7efj3S4O8vbtrEOsoWQLIWpFjZipClXTA==" saltValue="HPNHJ+nyThvvp0xfzB2wO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+'11.31 Grants Approp Rsrv'!F27</f>
        <v>17010.98</v>
      </c>
      <c r="G8" s="1014">
        <f>+'11.31 Grants Approp Rsrv'!G27</f>
        <v>9580.11</v>
      </c>
      <c r="H8" s="1014">
        <f>+'11.31 Grants Approp Rsrv'!H27</f>
        <v>10701.439999999999</v>
      </c>
      <c r="I8" s="1014">
        <f>+'11.31 Grants Approp Rsrv'!I27</f>
        <v>13781.55</v>
      </c>
      <c r="J8" s="1014">
        <f>+'11.31 Grants Approp Rsrv'!J27</f>
        <v>0</v>
      </c>
      <c r="K8" s="1014">
        <f>+'11.31 Grants Approp Rsrv'!K27</f>
        <v>0</v>
      </c>
      <c r="L8" s="1015">
        <f>+'11.31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3381</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q4FOidUhkt6NAsmbjk0PfZUMGjaeBm02x0FSKXdAlUs+ixv4sAwObrHl1PTPaFKpczT8JJdx9p3umKyCuamxRQ==" saltValue="tnMeTtQ4Afy3bopZfGvln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+'11.32 Grants Approp Rsrv'!F27</f>
        <v>17010.98</v>
      </c>
      <c r="G8" s="1014">
        <f>+'11.32 Grants Approp Rsrv'!G27</f>
        <v>9580.11</v>
      </c>
      <c r="H8" s="1014">
        <f>+'11.32 Grants Approp Rsrv'!H27</f>
        <v>10701.439999999999</v>
      </c>
      <c r="I8" s="1014">
        <f>+'11.32 Grants Approp Rsrv'!I27</f>
        <v>13781.55</v>
      </c>
      <c r="J8" s="1014">
        <f>+'11.32 Grants Approp Rsrv'!J27</f>
        <v>0</v>
      </c>
      <c r="K8" s="1014">
        <f>+'11.32 Grants Approp Rsrv'!K27</f>
        <v>0</v>
      </c>
      <c r="L8" s="1015">
        <f>+'11.32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3382</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vJmZydOVKzjznS1Pn6+q1F0avN5hf7r9k5XdMjpJaGgAnXwsGZqqz+t7Z7cK7GenPkIg0yWqCmSAJDX6MJLv4g==" saltValue="SRkVSzwU9hXvkZ/ugupcB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+'11.33 Grants Approp Rsrv'!F27</f>
        <v>17010.98</v>
      </c>
      <c r="G8" s="1014">
        <f>+'11.33 Grants Approp Rsrv'!G27</f>
        <v>9580.11</v>
      </c>
      <c r="H8" s="1014">
        <f>+'11.33 Grants Approp Rsrv'!H27</f>
        <v>10701.439999999999</v>
      </c>
      <c r="I8" s="1014">
        <f>+'11.33 Grants Approp Rsrv'!I27</f>
        <v>13781.55</v>
      </c>
      <c r="J8" s="1014">
        <f>+'11.33 Grants Approp Rsrv'!J27</f>
        <v>0</v>
      </c>
      <c r="K8" s="1014">
        <f>+'11.33 Grants Approp Rsrv'!K27</f>
        <v>0</v>
      </c>
      <c r="L8" s="1015">
        <f>+'11.33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3383</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GHV+tsNXQotGTRLfuvB3qmnERgmD4NgDZu2lKTOhURDBrfkZ39ii+9eTpi1yeDONJZORaXG8Ul6OGK/sYr/L3Q==" saltValue="F7y9FqD514OdYt5hcFTyF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+'11.34 Grants Approp Rsrv'!F27</f>
        <v>17010.98</v>
      </c>
      <c r="G8" s="1014">
        <f>+'11.34 Grants Approp Rsrv'!G27</f>
        <v>9580.11</v>
      </c>
      <c r="H8" s="1014">
        <f>+'11.34 Grants Approp Rsrv'!H27</f>
        <v>10701.439999999999</v>
      </c>
      <c r="I8" s="1014">
        <f>+'11.34 Grants Approp Rsrv'!I27</f>
        <v>13781.55</v>
      </c>
      <c r="J8" s="1014">
        <f>+'11.34 Grants Approp Rsrv'!J27</f>
        <v>0</v>
      </c>
      <c r="K8" s="1014">
        <f>+'11.34 Grants Approp Rsrv'!K27</f>
        <v>0</v>
      </c>
      <c r="L8" s="1015">
        <f>+'11.34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3384</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UPkeRTxANRlcvP+N0nmuC1YddKeR4d42WUx1eXTv2/lA8/VX+uOFLO58ShTDfz3VpjrGr7z5/BrJ3FKLgP0s6A==" saltValue="u0XOHeY4vE4Qa0xOahEZF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dimension ref="A2: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+'11.35 Grants Approp Rsrv'!F27</f>
        <v>17010.98</v>
      </c>
      <c r="G8" s="1014">
        <f>+'11.35 Grants Approp Rsrv'!G27</f>
        <v>9580.11</v>
      </c>
      <c r="H8" s="1014">
        <f>+'11.35 Grants Approp Rsrv'!H27</f>
        <v>10701.439999999999</v>
      </c>
      <c r="I8" s="1014">
        <f>+'11.35 Grants Approp Rsrv'!I27</f>
        <v>13781.55</v>
      </c>
      <c r="J8" s="1014">
        <f>+'11.35 Grants Approp Rsrv'!J27</f>
        <v>0</v>
      </c>
      <c r="K8" s="1014">
        <f>+'11.35 Grants Approp Rsrv'!K27</f>
        <v>0</v>
      </c>
      <c r="L8" s="1015">
        <f>+'11.35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3385</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ySFvFPNuFwcyg7laY5yjjWrIE4G6WXlOjwVR6otgsWczqs70J/BalAurhD87bJtYKM64aHdx3oyou8lo0XW8ZA==" saltValue="BOdL0HWsLBviYv//rWW4T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+'11.36 Grants Approp Rsrv'!F27</f>
        <v>17010.98</v>
      </c>
      <c r="G8" s="1014">
        <f>+'11.36 Grants Approp Rsrv'!G27</f>
        <v>9580.11</v>
      </c>
      <c r="H8" s="1014">
        <f>+'11.36 Grants Approp Rsrv'!H27</f>
        <v>10701.439999999999</v>
      </c>
      <c r="I8" s="1014">
        <f>+'11.36 Grants Approp Rsrv'!I27</f>
        <v>13781.55</v>
      </c>
      <c r="J8" s="1014">
        <f>+'11.36 Grants Approp Rsrv'!J27</f>
        <v>0</v>
      </c>
      <c r="K8" s="1014">
        <f>+'11.36 Grants Approp Rsrv'!K27</f>
        <v>0</v>
      </c>
      <c r="L8" s="1015">
        <f>+'11.36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3386</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PDcVBz7W4QLbDdYOlA3QfkSCpVSOkXHbrbsYVXY7nt3PeSrFvPz5WJoKlo2mr8x4wuZmdxac66PB2WwoTetG/g==" saltValue="fMCYANGypNjBoMwdvkjjAQ=="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+'11.37 Grants Approp Rsrv'!F27</f>
        <v>17010.98</v>
      </c>
      <c r="G8" s="1014">
        <f>+'11.37 Grants Approp Rsrv'!G27</f>
        <v>9580.11</v>
      </c>
      <c r="H8" s="1014">
        <f>+'11.37 Grants Approp Rsrv'!H27</f>
        <v>10701.439999999999</v>
      </c>
      <c r="I8" s="1014">
        <f>+'11.37 Grants Approp Rsrv'!I27</f>
        <v>13781.55</v>
      </c>
      <c r="J8" s="1014">
        <f>+'11.37 Grants Approp Rsrv'!J27</f>
        <v>0</v>
      </c>
      <c r="K8" s="1014">
        <f>+'11.37 Grants Approp Rsrv'!K27</f>
        <v>0</v>
      </c>
      <c r="L8" s="1015">
        <f>+'11.37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3387</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8sd7QojTPhWqab4CJSjKTMLw6yvAsmUtBsYBywLK+zH7brOh/b5QgQpyoIa5Pn2oxQP6xNmsRKIsP2nwktiMwQ==" saltValue="hn9FMkLOumtS59RQVX546A=="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+'11.38 Grants Approp Rsrv'!F27</f>
        <v>17010.98</v>
      </c>
      <c r="G8" s="1014">
        <f>+'11.38 Grants Approp Rsrv'!G27</f>
        <v>9580.11</v>
      </c>
      <c r="H8" s="1014">
        <f>+'11.38 Grants Approp Rsrv'!H27</f>
        <v>10701.439999999999</v>
      </c>
      <c r="I8" s="1014">
        <f>+'11.38 Grants Approp Rsrv'!I27</f>
        <v>13781.55</v>
      </c>
      <c r="J8" s="1014">
        <f>+'11.38 Grants Approp Rsrv'!J27</f>
        <v>0</v>
      </c>
      <c r="K8" s="1014">
        <f>+'11.38 Grants Approp Rsrv'!K27</f>
        <v>0</v>
      </c>
      <c r="L8" s="1015">
        <f>+'11.38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3388</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3323</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5GUB4QLkJ2C1B6v3Pdfo/nUKsv7sPAW0nshSDY8gG2gGombnQ4TC3J+OKDV7kt/APg7EnvZoYgRAc0WKIPGdOw==" saltValue="sggzE6Hg9lPKtYVgMRniXw==" spinCount="100000" sheet="1" objects="1" scenarios="1"/>
  <mergeCells count="24">
    <mergeCell ref="A15:A16"/>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18:E18"/>
    <mergeCell ref="B19:E19"/>
    <mergeCell ref="B20:E20"/>
    <mergeCell ref="B21:E21"/>
    <mergeCell ref="B22:E22"/>
    <mergeCell ref="B23:E23"/>
    <mergeCell ref="B24:E24"/>
    <mergeCell ref="B25:E25"/>
    <mergeCell ref="B26:E26"/>
  </mergeCells>
  <pageMargins left="0.25" right="0.25" top="0.5" bottom="0.5" header="0.25" footer="0.25"/>
  <pageSetup paperSize="5" scale="99" orientation="landscape"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1"/>
  <dimension ref="A1:O34"/>
  <sheetViews>
    <sheetView zoomScaleNormal="100" workbookViewId="0">
      <selection activeCell="B1" sqref="B1"/>
    </sheetView>
  </sheetViews>
  <sheetFormatPr defaultColWidth="9.109375" defaultRowHeight="13.2"/>
  <cols>
    <col min="1" max="1" width="5.6640625" style="315" customWidth="1"/>
    <col min="2" max="2" width="4.109375" style="315" customWidth="1"/>
    <col min="3" max="4" width="4.88671875" style="315" customWidth="1"/>
    <col min="5" max="5" width="43.44140625" style="315" customWidth="1"/>
    <col min="6" max="10" width="15.6640625" style="315" customWidth="1"/>
    <col min="11" max="11" width="15.5546875" style="315" customWidth="1"/>
    <col min="12" max="12" width="15.6640625" style="270" customWidth="1"/>
    <col min="13" max="13" width="10.88671875" style="315" bestFit="1" customWidth="1"/>
    <col min="14" max="16384" width="9.109375" style="315"/>
  </cols>
  <sheetData>
    <row r="1" spans="1:15">
      <c r="B1" s="844"/>
      <c r="C1" s="844"/>
      <c r="D1" s="844"/>
      <c r="E1" s="844"/>
      <c r="F1" s="844"/>
      <c r="G1" s="844"/>
      <c r="H1" s="844"/>
      <c r="I1" s="844"/>
      <c r="J1" s="844"/>
      <c r="K1" s="844"/>
      <c r="L1" s="830"/>
    </row>
    <row r="2" spans="1:15" ht="20.399999999999999">
      <c r="B2" s="1635" t="s">
        <v>247</v>
      </c>
      <c r="C2" s="1635"/>
      <c r="D2" s="1635"/>
      <c r="E2" s="1635"/>
      <c r="F2" s="1635"/>
      <c r="G2" s="1635"/>
      <c r="H2" s="1635"/>
      <c r="I2" s="1635"/>
      <c r="J2" s="1635"/>
      <c r="K2" s="1635"/>
      <c r="L2" s="1635"/>
    </row>
    <row r="3" spans="1:15" ht="21" thickBot="1">
      <c r="B3" s="1635" t="s">
        <v>111</v>
      </c>
      <c r="C3" s="1635"/>
      <c r="D3" s="1635"/>
      <c r="E3" s="1635"/>
      <c r="F3" s="1635"/>
      <c r="G3" s="1635"/>
      <c r="H3" s="1635"/>
      <c r="I3" s="1635"/>
      <c r="J3" s="1635"/>
      <c r="K3" s="1635"/>
      <c r="L3" s="1635"/>
    </row>
    <row r="4" spans="1:15" ht="13.8" thickTop="1">
      <c r="B4" s="877"/>
      <c r="C4" s="877"/>
      <c r="D4" s="877"/>
      <c r="E4" s="877"/>
      <c r="F4" s="878"/>
      <c r="G4" s="1647" t="str">
        <f>"Transferred from "&amp;TEXT('KEY INPUTS'!D34,"0")</f>
        <v>Transferred from 2020</v>
      </c>
      <c r="H4" s="1648"/>
      <c r="I4" s="878"/>
      <c r="J4" s="879"/>
      <c r="K4" s="877"/>
      <c r="L4" s="1008"/>
    </row>
    <row r="5" spans="1:15">
      <c r="B5" s="1636" t="s">
        <v>673</v>
      </c>
      <c r="C5" s="1636"/>
      <c r="D5" s="1636"/>
      <c r="E5" s="1637"/>
      <c r="F5" s="880" t="s">
        <v>559</v>
      </c>
      <c r="G5" s="1649" t="s">
        <v>245</v>
      </c>
      <c r="H5" s="1650"/>
      <c r="I5" s="880" t="s">
        <v>246</v>
      </c>
      <c r="J5" s="881" t="s">
        <v>228</v>
      </c>
      <c r="K5" s="985" t="s">
        <v>472</v>
      </c>
      <c r="L5" s="1009" t="s">
        <v>559</v>
      </c>
    </row>
    <row r="6" spans="1:15">
      <c r="B6" s="844"/>
      <c r="C6" s="844"/>
      <c r="D6" s="844"/>
      <c r="E6" s="844"/>
      <c r="F6" s="883" t="str">
        <f>'KEY INPUTS'!D47</f>
        <v>Jan. 1, 2020</v>
      </c>
      <c r="G6" s="880" t="s">
        <v>564</v>
      </c>
      <c r="H6" s="880" t="s">
        <v>243</v>
      </c>
      <c r="I6" s="880"/>
      <c r="J6" s="880"/>
      <c r="K6" s="885"/>
      <c r="L6" s="1010" t="str">
        <f>'KEY INPUTS'!D46</f>
        <v>Dec. 31, 2020</v>
      </c>
    </row>
    <row r="7" spans="1:15" ht="13.8" thickBot="1">
      <c r="B7" s="886"/>
      <c r="C7" s="886"/>
      <c r="D7" s="886"/>
      <c r="E7" s="886"/>
      <c r="F7" s="887"/>
      <c r="G7" s="888"/>
      <c r="H7" s="888" t="s">
        <v>244</v>
      </c>
      <c r="I7" s="887"/>
      <c r="J7" s="888"/>
      <c r="K7" s="889"/>
      <c r="L7" s="1011"/>
    </row>
    <row r="8" spans="1:15" ht="21" customHeight="1" thickTop="1">
      <c r="B8" s="1012" t="s">
        <v>3324</v>
      </c>
      <c r="C8" s="834"/>
      <c r="D8" s="834"/>
      <c r="E8" s="1013"/>
      <c r="F8" s="1014">
        <f>+'11.39 Grants Approp Rsrv'!F27</f>
        <v>17010.98</v>
      </c>
      <c r="G8" s="1014">
        <f>+'11.39 Grants Approp Rsrv'!G27</f>
        <v>9580.11</v>
      </c>
      <c r="H8" s="1014">
        <f>+'11.39 Grants Approp Rsrv'!H27</f>
        <v>10701.439999999999</v>
      </c>
      <c r="I8" s="1014">
        <f>+'11.39 Grants Approp Rsrv'!I27</f>
        <v>13781.55</v>
      </c>
      <c r="J8" s="1014">
        <f>+'11.39 Grants Approp Rsrv'!J27</f>
        <v>0</v>
      </c>
      <c r="K8" s="1014">
        <f>+'11.39 Grants Approp Rsrv'!K27</f>
        <v>0</v>
      </c>
      <c r="L8" s="1015">
        <f>+'11.39 Grants Approp Rsrv'!L27</f>
        <v>23510.980000000003</v>
      </c>
      <c r="M8" s="701"/>
    </row>
    <row r="9" spans="1:15" ht="21" customHeight="1">
      <c r="B9" s="1639"/>
      <c r="C9" s="1639"/>
      <c r="D9" s="1639"/>
      <c r="E9" s="1640"/>
      <c r="F9" s="568"/>
      <c r="G9" s="568"/>
      <c r="H9" s="568"/>
      <c r="I9" s="568"/>
      <c r="J9" s="568"/>
      <c r="K9" s="568"/>
      <c r="L9" s="313">
        <f t="shared" ref="L9:L26" si="0">+F9+G9+H9-I9+J9-K9</f>
        <v>0</v>
      </c>
      <c r="M9" s="703"/>
    </row>
    <row r="10" spans="1:15" ht="21" customHeight="1">
      <c r="B10" s="1639"/>
      <c r="C10" s="1639"/>
      <c r="D10" s="1639"/>
      <c r="E10" s="1640"/>
      <c r="F10" s="568"/>
      <c r="G10" s="568"/>
      <c r="H10" s="568"/>
      <c r="I10" s="568"/>
      <c r="J10" s="568"/>
      <c r="K10" s="568"/>
      <c r="L10" s="313">
        <f t="shared" si="0"/>
        <v>0</v>
      </c>
      <c r="M10" s="318"/>
    </row>
    <row r="11" spans="1:15" ht="21" customHeight="1">
      <c r="B11" s="1639"/>
      <c r="C11" s="1639"/>
      <c r="D11" s="1639"/>
      <c r="E11" s="1640"/>
      <c r="F11" s="568"/>
      <c r="G11" s="568"/>
      <c r="H11" s="568"/>
      <c r="I11" s="568"/>
      <c r="J11" s="568"/>
      <c r="K11" s="568"/>
      <c r="L11" s="313">
        <f t="shared" si="0"/>
        <v>0</v>
      </c>
      <c r="M11" s="318"/>
      <c r="O11" s="370"/>
    </row>
    <row r="12" spans="1:15" ht="21" customHeight="1">
      <c r="B12" s="1639"/>
      <c r="C12" s="1639"/>
      <c r="D12" s="1639"/>
      <c r="E12" s="1640"/>
      <c r="F12" s="568"/>
      <c r="G12" s="568"/>
      <c r="H12" s="568"/>
      <c r="I12" s="568"/>
      <c r="J12" s="568"/>
      <c r="K12" s="568"/>
      <c r="L12" s="313">
        <f t="shared" si="0"/>
        <v>0</v>
      </c>
      <c r="M12" s="318"/>
    </row>
    <row r="13" spans="1:15" ht="21" customHeight="1">
      <c r="B13" s="1639"/>
      <c r="C13" s="1639"/>
      <c r="D13" s="1639"/>
      <c r="E13" s="1640"/>
      <c r="F13" s="568"/>
      <c r="G13" s="568"/>
      <c r="H13" s="568"/>
      <c r="I13" s="568"/>
      <c r="J13" s="568"/>
      <c r="K13" s="568"/>
      <c r="L13" s="313">
        <f t="shared" si="0"/>
        <v>0</v>
      </c>
      <c r="M13" s="318"/>
    </row>
    <row r="14" spans="1:15" ht="21" customHeight="1">
      <c r="B14" s="1639"/>
      <c r="C14" s="1639"/>
      <c r="D14" s="1639"/>
      <c r="E14" s="1640"/>
      <c r="F14" s="568"/>
      <c r="G14" s="568"/>
      <c r="H14" s="568"/>
      <c r="I14" s="568"/>
      <c r="J14" s="568"/>
      <c r="K14" s="568"/>
      <c r="L14" s="313">
        <f t="shared" si="0"/>
        <v>0</v>
      </c>
      <c r="M14" s="318"/>
    </row>
    <row r="15" spans="1:15" ht="21" customHeight="1">
      <c r="A15" s="1613" t="s">
        <v>3389</v>
      </c>
      <c r="B15" s="1639"/>
      <c r="C15" s="1639"/>
      <c r="D15" s="1639"/>
      <c r="E15" s="1640"/>
      <c r="F15" s="568"/>
      <c r="G15" s="568"/>
      <c r="H15" s="568"/>
      <c r="I15" s="568"/>
      <c r="J15" s="568"/>
      <c r="K15" s="568"/>
      <c r="L15" s="313">
        <f t="shared" si="0"/>
        <v>0</v>
      </c>
      <c r="M15" s="318"/>
    </row>
    <row r="16" spans="1:15" ht="21" customHeight="1">
      <c r="A16" s="1613"/>
      <c r="B16" s="1639"/>
      <c r="C16" s="1639"/>
      <c r="D16" s="1639"/>
      <c r="E16" s="1640"/>
      <c r="F16" s="568"/>
      <c r="G16" s="568"/>
      <c r="H16" s="568"/>
      <c r="I16" s="568"/>
      <c r="J16" s="568"/>
      <c r="K16" s="568"/>
      <c r="L16" s="313">
        <f t="shared" si="0"/>
        <v>0</v>
      </c>
      <c r="M16" s="318"/>
    </row>
    <row r="17" spans="1:13" ht="21" customHeight="1">
      <c r="A17" s="1651"/>
      <c r="B17" s="1639"/>
      <c r="C17" s="1639"/>
      <c r="D17" s="1639"/>
      <c r="E17" s="1640"/>
      <c r="F17" s="568"/>
      <c r="G17" s="568"/>
      <c r="H17" s="568"/>
      <c r="I17" s="568"/>
      <c r="J17" s="568"/>
      <c r="K17" s="568"/>
      <c r="L17" s="313">
        <f t="shared" si="0"/>
        <v>0</v>
      </c>
      <c r="M17" s="318"/>
    </row>
    <row r="18" spans="1:13" ht="21" customHeight="1">
      <c r="A18" s="748"/>
      <c r="B18" s="1639"/>
      <c r="C18" s="1639"/>
      <c r="D18" s="1639"/>
      <c r="E18" s="1640"/>
      <c r="F18" s="568"/>
      <c r="G18" s="568"/>
      <c r="H18" s="568"/>
      <c r="I18" s="568"/>
      <c r="J18" s="568"/>
      <c r="K18" s="568"/>
      <c r="L18" s="313">
        <f t="shared" si="0"/>
        <v>0</v>
      </c>
      <c r="M18" s="318"/>
    </row>
    <row r="19" spans="1:13" ht="21" customHeight="1">
      <c r="A19" s="748"/>
      <c r="B19" s="1639"/>
      <c r="C19" s="1639"/>
      <c r="D19" s="1639"/>
      <c r="E19" s="1640"/>
      <c r="F19" s="568"/>
      <c r="G19" s="568"/>
      <c r="H19" s="568"/>
      <c r="I19" s="568"/>
      <c r="J19" s="568"/>
      <c r="K19" s="568"/>
      <c r="L19" s="313">
        <f t="shared" si="0"/>
        <v>0</v>
      </c>
      <c r="M19" s="318"/>
    </row>
    <row r="20" spans="1:13" ht="21" customHeight="1">
      <c r="B20" s="1639"/>
      <c r="C20" s="1639"/>
      <c r="D20" s="1639"/>
      <c r="E20" s="1640"/>
      <c r="F20" s="568"/>
      <c r="G20" s="568"/>
      <c r="H20" s="568"/>
      <c r="I20" s="568"/>
      <c r="J20" s="568"/>
      <c r="K20" s="568"/>
      <c r="L20" s="313">
        <f t="shared" si="0"/>
        <v>0</v>
      </c>
      <c r="M20" s="318"/>
    </row>
    <row r="21" spans="1:13" ht="21" customHeight="1">
      <c r="B21" s="1639"/>
      <c r="C21" s="1639"/>
      <c r="D21" s="1639"/>
      <c r="E21" s="1640"/>
      <c r="F21" s="568"/>
      <c r="G21" s="568"/>
      <c r="H21" s="568"/>
      <c r="I21" s="568"/>
      <c r="J21" s="568"/>
      <c r="K21" s="568"/>
      <c r="L21" s="313">
        <f t="shared" si="0"/>
        <v>0</v>
      </c>
      <c r="M21" s="318"/>
    </row>
    <row r="22" spans="1:13" ht="21" customHeight="1">
      <c r="B22" s="1639"/>
      <c r="C22" s="1639"/>
      <c r="D22" s="1639"/>
      <c r="E22" s="1640"/>
      <c r="F22" s="568"/>
      <c r="G22" s="568"/>
      <c r="H22" s="568"/>
      <c r="I22" s="568"/>
      <c r="J22" s="568"/>
      <c r="K22" s="568"/>
      <c r="L22" s="313">
        <f t="shared" si="0"/>
        <v>0</v>
      </c>
      <c r="M22" s="318"/>
    </row>
    <row r="23" spans="1:13" ht="21" customHeight="1">
      <c r="B23" s="1639"/>
      <c r="C23" s="1639"/>
      <c r="D23" s="1639"/>
      <c r="E23" s="1640"/>
      <c r="F23" s="568"/>
      <c r="G23" s="568"/>
      <c r="H23" s="568"/>
      <c r="I23" s="568"/>
      <c r="J23" s="568"/>
      <c r="K23" s="568"/>
      <c r="L23" s="313">
        <f t="shared" si="0"/>
        <v>0</v>
      </c>
      <c r="M23" s="318"/>
    </row>
    <row r="24" spans="1:13" ht="21" customHeight="1">
      <c r="B24" s="1639"/>
      <c r="C24" s="1639"/>
      <c r="D24" s="1639"/>
      <c r="E24" s="1640"/>
      <c r="F24" s="568"/>
      <c r="G24" s="568"/>
      <c r="H24" s="568"/>
      <c r="I24" s="568"/>
      <c r="J24" s="568"/>
      <c r="K24" s="568"/>
      <c r="L24" s="313">
        <f t="shared" si="0"/>
        <v>0</v>
      </c>
      <c r="M24" s="318"/>
    </row>
    <row r="25" spans="1:13" ht="21" customHeight="1">
      <c r="B25" s="1639"/>
      <c r="C25" s="1639"/>
      <c r="D25" s="1639"/>
      <c r="E25" s="1640"/>
      <c r="F25" s="568"/>
      <c r="G25" s="568"/>
      <c r="H25" s="568"/>
      <c r="I25" s="568"/>
      <c r="J25" s="568"/>
      <c r="K25" s="568"/>
      <c r="L25" s="313">
        <f t="shared" si="0"/>
        <v>0</v>
      </c>
      <c r="M25" s="318"/>
    </row>
    <row r="26" spans="1:13" ht="21" customHeight="1">
      <c r="B26" s="1639"/>
      <c r="C26" s="1639"/>
      <c r="D26" s="1639"/>
      <c r="E26" s="1640"/>
      <c r="F26" s="568"/>
      <c r="G26" s="568"/>
      <c r="H26" s="568"/>
      <c r="I26" s="568"/>
      <c r="J26" s="568"/>
      <c r="K26" s="568"/>
      <c r="L26" s="313">
        <f t="shared" si="0"/>
        <v>0</v>
      </c>
    </row>
    <row r="27" spans="1:13" ht="21" customHeight="1" thickBot="1">
      <c r="B27" s="323"/>
      <c r="C27" s="321" t="s">
        <v>3349</v>
      </c>
      <c r="D27" s="321"/>
      <c r="E27" s="312"/>
      <c r="F27" s="325">
        <f t="shared" ref="F27:K27" si="1">SUM(F8:F26)</f>
        <v>17010.98</v>
      </c>
      <c r="G27" s="325">
        <f>SUM(G8:G26)</f>
        <v>9580.11</v>
      </c>
      <c r="H27" s="325">
        <f t="shared" si="1"/>
        <v>10701.439999999999</v>
      </c>
      <c r="I27" s="325">
        <f t="shared" si="1"/>
        <v>13781.55</v>
      </c>
      <c r="J27" s="325">
        <f t="shared" si="1"/>
        <v>0</v>
      </c>
      <c r="K27" s="325">
        <f t="shared" si="1"/>
        <v>0</v>
      </c>
      <c r="L27" s="310">
        <f>SUM(L8:L26)</f>
        <v>23510.980000000003</v>
      </c>
    </row>
    <row r="28" spans="1:13" ht="13.8" thickTop="1"/>
    <row r="31" spans="1:13">
      <c r="F31" s="318"/>
      <c r="L31" s="320"/>
    </row>
    <row r="33" spans="7:12">
      <c r="G33" s="318"/>
      <c r="L33" s="320"/>
    </row>
    <row r="34" spans="7:12">
      <c r="G34" s="318"/>
    </row>
  </sheetData>
  <sheetProtection algorithmName="SHA-512" hashValue="E4Bc5HNmyXMarLLMnxhBl0O19YoFCF6P8FOgVsuZQAivj1u8xlPYjX20ersxUHmMdMZN8hAKpottmYYpghJ5jg==" saltValue="8bNkRdgjwYso2g0dEP80rQ==" spinCount="100000" sheet="1" objects="1" scenarios="1"/>
  <mergeCells count="24">
    <mergeCell ref="A15:A17"/>
    <mergeCell ref="B2:L2"/>
    <mergeCell ref="B3:L3"/>
    <mergeCell ref="G4:H4"/>
    <mergeCell ref="B5:E5"/>
    <mergeCell ref="G5:H5"/>
    <mergeCell ref="B9:E9"/>
    <mergeCell ref="B10:E10"/>
    <mergeCell ref="B11:E11"/>
    <mergeCell ref="B12:E12"/>
    <mergeCell ref="B13:E13"/>
    <mergeCell ref="B14:E14"/>
    <mergeCell ref="B15:E15"/>
    <mergeCell ref="B16:E16"/>
    <mergeCell ref="B17:E17"/>
    <mergeCell ref="B23:E23"/>
    <mergeCell ref="B24:E24"/>
    <mergeCell ref="B25:E25"/>
    <mergeCell ref="B26:E26"/>
    <mergeCell ref="B18:E18"/>
    <mergeCell ref="B19:E19"/>
    <mergeCell ref="B20:E20"/>
    <mergeCell ref="B21:E21"/>
    <mergeCell ref="B22:E22"/>
  </mergeCells>
  <pageMargins left="0.25" right="0.25" top="0.5" bottom="0.5" header="0.25" footer="0.25"/>
  <pageSetup paperSize="5" scale="99" orientation="landscape"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2"/>
  <dimension ref="A1:S32"/>
  <sheetViews>
    <sheetView topLeftCell="A4" zoomScaleNormal="100" workbookViewId="0">
      <selection activeCell="B1" sqref="B1"/>
    </sheetView>
  </sheetViews>
  <sheetFormatPr defaultRowHeight="13.2"/>
  <cols>
    <col min="1" max="1" width="5.6640625" customWidth="1"/>
    <col min="2" max="4" width="4.88671875" customWidth="1"/>
    <col min="5" max="5" width="48.44140625" customWidth="1"/>
    <col min="6" max="11" width="15.6640625" customWidth="1"/>
    <col min="12" max="12" width="10.5546875" bestFit="1" customWidth="1"/>
  </cols>
  <sheetData>
    <row r="1" spans="1:19">
      <c r="A1" s="317"/>
      <c r="B1" s="315"/>
      <c r="C1" s="315"/>
      <c r="D1" s="315"/>
      <c r="E1" s="315"/>
      <c r="F1" s="315"/>
      <c r="G1" s="315"/>
      <c r="H1" s="315"/>
      <c r="I1" s="315"/>
      <c r="J1" s="315"/>
      <c r="K1" s="315"/>
    </row>
    <row r="2" spans="1:19" ht="20.399999999999999">
      <c r="B2" s="1546" t="s">
        <v>249</v>
      </c>
      <c r="C2" s="1546"/>
      <c r="D2" s="1546"/>
      <c r="E2" s="1546"/>
      <c r="F2" s="1546"/>
      <c r="G2" s="1546"/>
      <c r="H2" s="1546"/>
      <c r="I2" s="1546"/>
      <c r="J2" s="1546"/>
      <c r="K2" s="1546"/>
    </row>
    <row r="3" spans="1:19" ht="21" thickBot="1">
      <c r="B3" s="1546" t="s">
        <v>111</v>
      </c>
      <c r="C3" s="1546"/>
      <c r="D3" s="1546"/>
      <c r="E3" s="1546"/>
      <c r="F3" s="1546"/>
      <c r="G3" s="1546"/>
      <c r="H3" s="1546"/>
      <c r="I3" s="1546"/>
      <c r="J3" s="1546"/>
      <c r="K3" s="1546"/>
    </row>
    <row r="4" spans="1:19" ht="13.8" thickTop="1">
      <c r="B4" s="11"/>
      <c r="C4" s="11"/>
      <c r="D4" s="11"/>
      <c r="E4" s="11"/>
      <c r="F4" s="12"/>
      <c r="G4" s="1641" t="str">
        <f>"Transferred from "&amp;TEXT('KEY INPUTS'!D34,"0")</f>
        <v>Transferred from 2020</v>
      </c>
      <c r="H4" s="1642"/>
      <c r="I4" s="12"/>
      <c r="J4" s="11"/>
      <c r="K4" s="18"/>
      <c r="L4" s="783"/>
    </row>
    <row r="5" spans="1:19">
      <c r="B5" s="1584" t="s">
        <v>673</v>
      </c>
      <c r="C5" s="1584"/>
      <c r="D5" s="1584"/>
      <c r="E5" s="1634"/>
      <c r="F5" s="275" t="s">
        <v>559</v>
      </c>
      <c r="G5" s="1643" t="s">
        <v>245</v>
      </c>
      <c r="H5" s="1644"/>
      <c r="I5" s="275" t="s">
        <v>672</v>
      </c>
      <c r="J5" s="699" t="s">
        <v>228</v>
      </c>
      <c r="K5" s="21" t="s">
        <v>559</v>
      </c>
    </row>
    <row r="6" spans="1:19">
      <c r="B6" s="315"/>
      <c r="C6" s="315"/>
      <c r="D6" s="315"/>
      <c r="E6" s="315"/>
      <c r="F6" s="292" t="str">
        <f>'KEY INPUTS'!D47</f>
        <v>Jan. 1, 2020</v>
      </c>
      <c r="G6" s="275" t="s">
        <v>564</v>
      </c>
      <c r="H6" s="275" t="s">
        <v>243</v>
      </c>
      <c r="I6" s="275"/>
      <c r="J6" s="987"/>
      <c r="K6" s="291" t="str">
        <f>'KEY INPUTS'!D46</f>
        <v>Dec. 31, 2020</v>
      </c>
    </row>
    <row r="7" spans="1:19" ht="13.8" thickBot="1">
      <c r="B7" s="10"/>
      <c r="C7" s="10"/>
      <c r="D7" s="10"/>
      <c r="E7" s="10"/>
      <c r="F7" s="14"/>
      <c r="G7" s="16"/>
      <c r="H7" s="16" t="s">
        <v>244</v>
      </c>
      <c r="I7" s="14"/>
      <c r="J7" s="17"/>
      <c r="K7" s="19"/>
    </row>
    <row r="8" spans="1:19" ht="21" customHeight="1" thickTop="1">
      <c r="B8" s="562"/>
      <c r="C8" s="633"/>
      <c r="D8" s="562"/>
      <c r="E8" s="704"/>
      <c r="F8" s="564"/>
      <c r="G8" s="564"/>
      <c r="H8" s="564"/>
      <c r="I8" s="564"/>
      <c r="J8" s="564"/>
      <c r="K8" s="132">
        <f>F8-G8-H8+I8+J8</f>
        <v>0</v>
      </c>
    </row>
    <row r="9" spans="1:19" ht="21" customHeight="1">
      <c r="B9" s="559"/>
      <c r="C9" s="560"/>
      <c r="D9" s="559"/>
      <c r="E9" s="570"/>
      <c r="F9" s="367"/>
      <c r="G9" s="367"/>
      <c r="H9" s="367"/>
      <c r="I9" s="367"/>
      <c r="J9" s="367"/>
      <c r="K9" s="132">
        <f t="shared" ref="K9:K26" si="0">F9-G9-H9+I9+J9</f>
        <v>0</v>
      </c>
    </row>
    <row r="10" spans="1:19" ht="21" customHeight="1">
      <c r="B10" s="559"/>
      <c r="C10" s="559"/>
      <c r="D10" s="559"/>
      <c r="E10" s="570"/>
      <c r="F10" s="367"/>
      <c r="G10" s="367"/>
      <c r="H10" s="367"/>
      <c r="I10" s="367"/>
      <c r="J10" s="367"/>
      <c r="K10" s="132">
        <f t="shared" si="0"/>
        <v>0</v>
      </c>
    </row>
    <row r="11" spans="1:19" ht="21" customHeight="1">
      <c r="B11" s="559"/>
      <c r="C11" s="559"/>
      <c r="D11" s="559"/>
      <c r="E11" s="570"/>
      <c r="F11" s="367"/>
      <c r="G11" s="367"/>
      <c r="H11" s="367"/>
      <c r="I11" s="367"/>
      <c r="J11" s="367"/>
      <c r="K11" s="132">
        <f t="shared" si="0"/>
        <v>0</v>
      </c>
      <c r="L11" s="221"/>
    </row>
    <row r="12" spans="1:19" ht="21" customHeight="1">
      <c r="B12" s="559"/>
      <c r="C12" s="559"/>
      <c r="D12" s="559"/>
      <c r="E12" s="570"/>
      <c r="F12" s="367"/>
      <c r="G12" s="367"/>
      <c r="H12" s="367"/>
      <c r="I12" s="367"/>
      <c r="J12" s="367"/>
      <c r="K12" s="132">
        <f t="shared" si="0"/>
        <v>0</v>
      </c>
      <c r="N12" s="315"/>
      <c r="O12" s="315"/>
      <c r="P12" s="315"/>
      <c r="Q12" s="315"/>
      <c r="R12" s="315"/>
      <c r="S12" s="315"/>
    </row>
    <row r="13" spans="1:19" ht="21" customHeight="1">
      <c r="B13" s="559"/>
      <c r="C13" s="559"/>
      <c r="D13" s="559"/>
      <c r="E13" s="570"/>
      <c r="F13" s="367"/>
      <c r="G13" s="367"/>
      <c r="H13" s="367"/>
      <c r="I13" s="367"/>
      <c r="J13" s="367"/>
      <c r="K13" s="132">
        <f t="shared" si="0"/>
        <v>0</v>
      </c>
      <c r="L13" s="221"/>
      <c r="N13" s="315"/>
      <c r="O13" s="315"/>
      <c r="P13" s="315"/>
      <c r="Q13" s="315"/>
      <c r="R13" s="315"/>
      <c r="S13" s="315"/>
    </row>
    <row r="14" spans="1:19" ht="21" customHeight="1">
      <c r="B14" s="559"/>
      <c r="C14" s="559"/>
      <c r="D14" s="559"/>
      <c r="E14" s="570"/>
      <c r="F14" s="367"/>
      <c r="G14" s="367"/>
      <c r="H14" s="367"/>
      <c r="I14" s="367"/>
      <c r="J14" s="367"/>
      <c r="K14" s="132">
        <f t="shared" si="0"/>
        <v>0</v>
      </c>
      <c r="N14" s="370"/>
      <c r="O14" s="315"/>
      <c r="P14" s="315"/>
      <c r="Q14" s="315"/>
      <c r="R14" s="315"/>
      <c r="S14" s="315"/>
    </row>
    <row r="15" spans="1:19" ht="21" customHeight="1">
      <c r="A15" s="1613" t="s">
        <v>248</v>
      </c>
      <c r="B15" s="559"/>
      <c r="C15" s="559"/>
      <c r="D15" s="559"/>
      <c r="E15" s="570"/>
      <c r="F15" s="367"/>
      <c r="G15" s="367"/>
      <c r="H15" s="367"/>
      <c r="I15" s="367"/>
      <c r="J15" s="367"/>
      <c r="K15" s="132">
        <f t="shared" si="0"/>
        <v>0</v>
      </c>
      <c r="L15" s="221"/>
      <c r="N15" s="315"/>
      <c r="O15" s="315"/>
      <c r="P15" s="315"/>
      <c r="Q15" s="315"/>
      <c r="R15" s="315"/>
      <c r="S15" s="315"/>
    </row>
    <row r="16" spans="1:19" ht="21" customHeight="1">
      <c r="A16" s="1613"/>
      <c r="B16" s="559"/>
      <c r="C16" s="559"/>
      <c r="D16" s="559"/>
      <c r="E16" s="570"/>
      <c r="F16" s="367"/>
      <c r="G16" s="367"/>
      <c r="H16" s="367"/>
      <c r="I16" s="367"/>
      <c r="J16" s="367"/>
      <c r="K16" s="132">
        <f t="shared" si="0"/>
        <v>0</v>
      </c>
      <c r="N16" s="315"/>
      <c r="O16" s="315"/>
      <c r="P16" s="315"/>
      <c r="Q16" s="315"/>
      <c r="R16" s="315"/>
      <c r="S16" s="315"/>
    </row>
    <row r="17" spans="1:19" ht="21" customHeight="1">
      <c r="A17" s="1613"/>
      <c r="B17" s="559"/>
      <c r="C17" s="559"/>
      <c r="D17" s="559"/>
      <c r="E17" s="570"/>
      <c r="F17" s="367"/>
      <c r="G17" s="367"/>
      <c r="H17" s="367"/>
      <c r="I17" s="367"/>
      <c r="J17" s="367"/>
      <c r="K17" s="132">
        <f t="shared" si="0"/>
        <v>0</v>
      </c>
      <c r="L17" s="221"/>
      <c r="N17" s="315"/>
      <c r="O17" s="315"/>
      <c r="P17" s="315"/>
      <c r="Q17" s="315"/>
      <c r="R17" s="315"/>
      <c r="S17" s="315"/>
    </row>
    <row r="18" spans="1:19" ht="21" customHeight="1">
      <c r="B18" s="559"/>
      <c r="C18" s="559"/>
      <c r="D18" s="559"/>
      <c r="E18" s="570"/>
      <c r="F18" s="367"/>
      <c r="G18" s="367"/>
      <c r="H18" s="367"/>
      <c r="I18" s="367"/>
      <c r="J18" s="367"/>
      <c r="K18" s="132">
        <f t="shared" si="0"/>
        <v>0</v>
      </c>
      <c r="N18" s="315"/>
      <c r="O18" s="315"/>
      <c r="P18" s="315"/>
      <c r="Q18" s="315"/>
      <c r="R18" s="315"/>
      <c r="S18" s="315"/>
    </row>
    <row r="19" spans="1:19" ht="21" customHeight="1">
      <c r="B19" s="559"/>
      <c r="C19" s="559"/>
      <c r="D19" s="559"/>
      <c r="E19" s="570"/>
      <c r="F19" s="367"/>
      <c r="G19" s="367"/>
      <c r="H19" s="367"/>
      <c r="I19" s="367"/>
      <c r="J19" s="367"/>
      <c r="K19" s="132">
        <f t="shared" si="0"/>
        <v>0</v>
      </c>
      <c r="L19" s="221"/>
      <c r="N19" s="315"/>
      <c r="O19" s="315"/>
      <c r="P19" s="315"/>
      <c r="Q19" s="315"/>
      <c r="R19" s="315"/>
      <c r="S19" s="315"/>
    </row>
    <row r="20" spans="1:19" ht="21" customHeight="1">
      <c r="B20" s="559"/>
      <c r="C20" s="559"/>
      <c r="D20" s="559"/>
      <c r="E20" s="570"/>
      <c r="F20" s="367"/>
      <c r="G20" s="367"/>
      <c r="H20" s="367"/>
      <c r="I20" s="367"/>
      <c r="J20" s="367"/>
      <c r="K20" s="132">
        <f t="shared" si="0"/>
        <v>0</v>
      </c>
      <c r="N20" s="315"/>
      <c r="O20" s="315"/>
      <c r="P20" s="315"/>
      <c r="Q20" s="315"/>
      <c r="R20" s="315"/>
      <c r="S20" s="315"/>
    </row>
    <row r="21" spans="1:19" s="315" customFormat="1" ht="21" customHeight="1">
      <c r="B21" s="559"/>
      <c r="C21" s="559"/>
      <c r="D21" s="559"/>
      <c r="E21" s="570"/>
      <c r="F21" s="367"/>
      <c r="G21" s="367"/>
      <c r="H21" s="367"/>
      <c r="I21" s="367"/>
      <c r="J21" s="367"/>
      <c r="K21" s="132">
        <f t="shared" si="0"/>
        <v>0</v>
      </c>
    </row>
    <row r="22" spans="1:19" s="315" customFormat="1" ht="21" customHeight="1">
      <c r="B22" s="559"/>
      <c r="C22" s="559"/>
      <c r="D22" s="559"/>
      <c r="E22" s="570"/>
      <c r="F22" s="367"/>
      <c r="G22" s="367"/>
      <c r="H22" s="367"/>
      <c r="I22" s="367"/>
      <c r="J22" s="367"/>
      <c r="K22" s="132">
        <f t="shared" si="0"/>
        <v>0</v>
      </c>
    </row>
    <row r="23" spans="1:19" ht="21" customHeight="1">
      <c r="B23" s="559"/>
      <c r="C23" s="559"/>
      <c r="D23" s="559"/>
      <c r="E23" s="570"/>
      <c r="F23" s="367"/>
      <c r="G23" s="367"/>
      <c r="H23" s="367"/>
      <c r="I23" s="367"/>
      <c r="J23" s="367"/>
      <c r="K23" s="132">
        <f t="shared" si="0"/>
        <v>0</v>
      </c>
      <c r="L23" s="284"/>
      <c r="N23" s="315"/>
      <c r="O23" s="315"/>
      <c r="P23" s="315"/>
      <c r="Q23" s="315"/>
      <c r="R23" s="315"/>
      <c r="S23" s="315"/>
    </row>
    <row r="24" spans="1:19" ht="21" customHeight="1">
      <c r="B24" s="559"/>
      <c r="C24" s="559"/>
      <c r="D24" s="559"/>
      <c r="E24" s="570"/>
      <c r="F24" s="367"/>
      <c r="G24" s="367"/>
      <c r="H24" s="367"/>
      <c r="I24" s="367"/>
      <c r="J24" s="367"/>
      <c r="K24" s="132">
        <f t="shared" si="0"/>
        <v>0</v>
      </c>
      <c r="N24" s="315"/>
      <c r="O24" s="315"/>
      <c r="P24" s="315"/>
      <c r="Q24" s="315"/>
      <c r="R24" s="315"/>
      <c r="S24" s="315"/>
    </row>
    <row r="25" spans="1:19" ht="21" customHeight="1">
      <c r="B25" s="559"/>
      <c r="C25" s="559"/>
      <c r="D25" s="559"/>
      <c r="E25" s="570"/>
      <c r="F25" s="367"/>
      <c r="G25" s="367"/>
      <c r="H25" s="367"/>
      <c r="I25" s="367"/>
      <c r="J25" s="367"/>
      <c r="K25" s="132">
        <f t="shared" si="0"/>
        <v>0</v>
      </c>
      <c r="L25" s="284"/>
      <c r="N25" s="315"/>
      <c r="O25" s="315"/>
      <c r="P25" s="315"/>
      <c r="Q25" s="315"/>
      <c r="R25" s="315"/>
      <c r="S25" s="315"/>
    </row>
    <row r="26" spans="1:19" ht="21" customHeight="1">
      <c r="B26" s="559"/>
      <c r="C26" s="559"/>
      <c r="D26" s="559"/>
      <c r="E26" s="570"/>
      <c r="F26" s="367"/>
      <c r="G26" s="367"/>
      <c r="H26" s="367"/>
      <c r="I26" s="367"/>
      <c r="J26" s="367"/>
      <c r="K26" s="132">
        <f t="shared" si="0"/>
        <v>0</v>
      </c>
      <c r="N26" s="315"/>
      <c r="O26" s="315"/>
      <c r="P26" s="315"/>
      <c r="Q26" s="315"/>
      <c r="R26" s="315"/>
      <c r="S26" s="315"/>
    </row>
    <row r="27" spans="1:19" ht="21" customHeight="1" thickBot="1">
      <c r="B27" s="27"/>
      <c r="C27" s="321" t="s">
        <v>3323</v>
      </c>
      <c r="D27" s="27"/>
      <c r="E27" s="41"/>
      <c r="F27" s="99">
        <f>SUM(F8:F26)</f>
        <v>0</v>
      </c>
      <c r="G27" s="99">
        <f t="shared" ref="G27:K27" si="1">SUM(G8:G26)</f>
        <v>0</v>
      </c>
      <c r="H27" s="99">
        <f t="shared" si="1"/>
        <v>0</v>
      </c>
      <c r="I27" s="99">
        <f>SUM(I8:I26)</f>
        <v>0</v>
      </c>
      <c r="J27" s="99">
        <f t="shared" si="1"/>
        <v>0</v>
      </c>
      <c r="K27" s="134">
        <f t="shared" si="1"/>
        <v>0</v>
      </c>
      <c r="L27" s="701"/>
    </row>
    <row r="28" spans="1:19" ht="13.8" thickTop="1"/>
    <row r="29" spans="1:19">
      <c r="K29" s="221"/>
    </row>
    <row r="30" spans="1:19">
      <c r="F30" s="221"/>
      <c r="G30" s="221"/>
      <c r="J30" s="221"/>
      <c r="K30" s="284"/>
    </row>
    <row r="32" spans="1:19">
      <c r="K32" s="221"/>
    </row>
  </sheetData>
  <sheetProtection password="CAF9" sheet="1" objects="1" scenarios="1"/>
  <mergeCells count="6">
    <mergeCell ref="B2:K2"/>
    <mergeCell ref="B3:K3"/>
    <mergeCell ref="A15:A17"/>
    <mergeCell ref="B5:E5"/>
    <mergeCell ref="G4:H4"/>
    <mergeCell ref="G5:H5"/>
  </mergeCells>
  <phoneticPr fontId="0" type="noConversion"/>
  <pageMargins left="0.25" right="0.25" top="0.5" bottom="0.5" header="0.25" footer="0.25"/>
  <pageSetup paperSize="5" scale="98" orientation="landscape" r:id="rId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48.44140625" style="315" customWidth="1"/>
    <col min="6" max="11" width="15.6640625" style="315" customWidth="1"/>
    <col min="12" max="12" width="10.5546875" style="315" bestFit="1" customWidth="1"/>
    <col min="13" max="16384" width="9.109375" style="315"/>
  </cols>
  <sheetData>
    <row r="1" spans="1:14">
      <c r="A1" s="317"/>
      <c r="B1" s="844"/>
      <c r="C1" s="844"/>
      <c r="D1" s="844"/>
      <c r="E1" s="844"/>
      <c r="F1" s="844"/>
      <c r="G1" s="844"/>
      <c r="H1" s="844"/>
      <c r="I1" s="844"/>
      <c r="J1" s="844"/>
      <c r="K1" s="844"/>
    </row>
    <row r="2" spans="1:14" ht="20.399999999999999">
      <c r="B2" s="1635" t="s">
        <v>249</v>
      </c>
      <c r="C2" s="1635"/>
      <c r="D2" s="1635"/>
      <c r="E2" s="1635"/>
      <c r="F2" s="1635"/>
      <c r="G2" s="1635"/>
      <c r="H2" s="1635"/>
      <c r="I2" s="1635"/>
      <c r="J2" s="1635"/>
      <c r="K2" s="1635"/>
    </row>
    <row r="3" spans="1:14" ht="21" thickBot="1">
      <c r="B3" s="1635" t="s">
        <v>111</v>
      </c>
      <c r="C3" s="1635"/>
      <c r="D3" s="1635"/>
      <c r="E3" s="1635"/>
      <c r="F3" s="1635"/>
      <c r="G3" s="1635"/>
      <c r="H3" s="1635"/>
      <c r="I3" s="1635"/>
      <c r="J3" s="1635"/>
      <c r="K3" s="1635"/>
    </row>
    <row r="4" spans="1:14" ht="13.8" thickTop="1">
      <c r="B4" s="877"/>
      <c r="C4" s="877"/>
      <c r="D4" s="877"/>
      <c r="E4" s="877"/>
      <c r="F4" s="878"/>
      <c r="G4" s="1647" t="str">
        <f>"Transferred from "&amp;TEXT('KEY INPUTS'!D34,"0")</f>
        <v>Transferred from 2020</v>
      </c>
      <c r="H4" s="1648"/>
      <c r="I4" s="878"/>
      <c r="J4" s="877"/>
      <c r="K4" s="854"/>
      <c r="L4" s="783"/>
    </row>
    <row r="5" spans="1:14">
      <c r="B5" s="1636" t="s">
        <v>673</v>
      </c>
      <c r="C5" s="1636"/>
      <c r="D5" s="1636"/>
      <c r="E5" s="1637"/>
      <c r="F5" s="880" t="s">
        <v>559</v>
      </c>
      <c r="G5" s="1649" t="s">
        <v>245</v>
      </c>
      <c r="H5" s="1650"/>
      <c r="I5" s="880" t="s">
        <v>672</v>
      </c>
      <c r="J5" s="1016" t="s">
        <v>228</v>
      </c>
      <c r="K5" s="855" t="s">
        <v>559</v>
      </c>
    </row>
    <row r="6" spans="1:14">
      <c r="B6" s="844"/>
      <c r="C6" s="844"/>
      <c r="D6" s="844"/>
      <c r="E6" s="844"/>
      <c r="F6" s="883" t="str">
        <f>'KEY INPUTS'!D47</f>
        <v>Jan. 1, 2020</v>
      </c>
      <c r="G6" s="880" t="s">
        <v>564</v>
      </c>
      <c r="H6" s="880" t="s">
        <v>243</v>
      </c>
      <c r="I6" s="880"/>
      <c r="J6" s="885"/>
      <c r="K6" s="856" t="str">
        <f>'KEY INPUTS'!D46</f>
        <v>Dec. 31, 2020</v>
      </c>
    </row>
    <row r="7" spans="1:14" ht="13.8" thickBot="1">
      <c r="B7" s="886"/>
      <c r="C7" s="886"/>
      <c r="D7" s="886"/>
      <c r="E7" s="886"/>
      <c r="F7" s="887"/>
      <c r="G7" s="888"/>
      <c r="H7" s="888" t="s">
        <v>244</v>
      </c>
      <c r="I7" s="887"/>
      <c r="J7" s="889"/>
      <c r="K7" s="857"/>
    </row>
    <row r="8" spans="1:14" ht="21" customHeight="1" thickTop="1">
      <c r="B8" s="874"/>
      <c r="C8" s="1017" t="s">
        <v>3324</v>
      </c>
      <c r="D8" s="874"/>
      <c r="E8" s="1017"/>
      <c r="F8" s="891">
        <f>+'12-Grants Unappropriated'!F27</f>
        <v>0</v>
      </c>
      <c r="G8" s="891">
        <f>+'12-Grants Unappropriated'!G27</f>
        <v>0</v>
      </c>
      <c r="H8" s="891">
        <f>+'12-Grants Unappropriated'!H27</f>
        <v>0</v>
      </c>
      <c r="I8" s="891">
        <f>+'12-Grants Unappropriated'!I27</f>
        <v>0</v>
      </c>
      <c r="J8" s="891">
        <f>+'12-Grants Unappropriated'!J27</f>
        <v>0</v>
      </c>
      <c r="K8" s="835">
        <f>+'12-Grants Unappropriated'!K27</f>
        <v>0</v>
      </c>
    </row>
    <row r="9" spans="1:14" ht="21" customHeight="1">
      <c r="B9" s="559"/>
      <c r="C9" s="560"/>
      <c r="D9" s="559"/>
      <c r="E9" s="570"/>
      <c r="F9" s="367"/>
      <c r="G9" s="367"/>
      <c r="H9" s="367"/>
      <c r="I9" s="367"/>
      <c r="J9" s="367"/>
      <c r="K9" s="132">
        <f t="shared" ref="K9:K26" si="0">F9-G9-H9+I9+J9</f>
        <v>0</v>
      </c>
    </row>
    <row r="10" spans="1:14" ht="21" customHeight="1">
      <c r="B10" s="559"/>
      <c r="C10" s="657"/>
      <c r="D10" s="368"/>
      <c r="E10" s="784"/>
      <c r="F10" s="655"/>
      <c r="G10" s="655"/>
      <c r="H10" s="655"/>
      <c r="I10" s="655"/>
      <c r="J10" s="655"/>
      <c r="K10" s="132">
        <f t="shared" si="0"/>
        <v>0</v>
      </c>
    </row>
    <row r="11" spans="1:14" ht="21" customHeight="1">
      <c r="B11" s="559"/>
      <c r="C11" s="559"/>
      <c r="D11" s="559"/>
      <c r="E11" s="570"/>
      <c r="F11" s="367"/>
      <c r="G11" s="367"/>
      <c r="H11" s="367"/>
      <c r="I11" s="367"/>
      <c r="J11" s="367"/>
      <c r="K11" s="132">
        <f t="shared" si="0"/>
        <v>0</v>
      </c>
      <c r="L11" s="318"/>
    </row>
    <row r="12" spans="1:14" ht="21" customHeight="1">
      <c r="B12" s="559"/>
      <c r="C12" s="559"/>
      <c r="D12" s="559"/>
      <c r="E12" s="570"/>
      <c r="F12" s="367"/>
      <c r="G12" s="367"/>
      <c r="H12" s="367"/>
      <c r="I12" s="367"/>
      <c r="J12" s="367"/>
      <c r="K12" s="132">
        <f t="shared" si="0"/>
        <v>0</v>
      </c>
    </row>
    <row r="13" spans="1:14" ht="21" customHeight="1">
      <c r="B13" s="559"/>
      <c r="C13" s="559"/>
      <c r="D13" s="559"/>
      <c r="E13" s="570"/>
      <c r="F13" s="367"/>
      <c r="G13" s="367"/>
      <c r="H13" s="367"/>
      <c r="I13" s="367"/>
      <c r="J13" s="367"/>
      <c r="K13" s="132">
        <f t="shared" si="0"/>
        <v>0</v>
      </c>
      <c r="L13" s="318"/>
    </row>
    <row r="14" spans="1:14" ht="21" customHeight="1">
      <c r="B14" s="559"/>
      <c r="C14" s="559"/>
      <c r="D14" s="559"/>
      <c r="E14" s="570"/>
      <c r="F14" s="367"/>
      <c r="G14" s="367"/>
      <c r="H14" s="367"/>
      <c r="I14" s="367"/>
      <c r="J14" s="367"/>
      <c r="K14" s="132">
        <f t="shared" si="0"/>
        <v>0</v>
      </c>
      <c r="N14" s="370"/>
    </row>
    <row r="15" spans="1:14" ht="21" customHeight="1">
      <c r="A15" s="1613" t="s">
        <v>3432</v>
      </c>
      <c r="B15" s="559"/>
      <c r="C15" s="559"/>
      <c r="D15" s="559"/>
      <c r="E15" s="570"/>
      <c r="F15" s="367"/>
      <c r="G15" s="367"/>
      <c r="H15" s="367"/>
      <c r="I15" s="367"/>
      <c r="J15" s="367"/>
      <c r="K15" s="132">
        <f t="shared" si="0"/>
        <v>0</v>
      </c>
      <c r="L15" s="318"/>
    </row>
    <row r="16" spans="1:14" ht="21" customHeight="1">
      <c r="A16" s="1613"/>
      <c r="B16" s="559"/>
      <c r="C16" s="559"/>
      <c r="D16" s="559"/>
      <c r="E16" s="570"/>
      <c r="F16" s="367"/>
      <c r="G16" s="367"/>
      <c r="H16" s="367"/>
      <c r="I16" s="367"/>
      <c r="J16" s="367"/>
      <c r="K16" s="132">
        <f t="shared" si="0"/>
        <v>0</v>
      </c>
    </row>
    <row r="17" spans="1:12" ht="21" customHeight="1">
      <c r="A17" s="1613"/>
      <c r="B17" s="559"/>
      <c r="C17" s="559"/>
      <c r="D17" s="559"/>
      <c r="E17" s="570"/>
      <c r="F17" s="367"/>
      <c r="G17" s="367"/>
      <c r="H17" s="367"/>
      <c r="I17" s="367"/>
      <c r="J17" s="367"/>
      <c r="K17" s="132">
        <f t="shared" si="0"/>
        <v>0</v>
      </c>
      <c r="L17" s="318"/>
    </row>
    <row r="18" spans="1:12" ht="21" customHeight="1">
      <c r="B18" s="559"/>
      <c r="C18" s="559"/>
      <c r="D18" s="559"/>
      <c r="E18" s="570"/>
      <c r="F18" s="367"/>
      <c r="G18" s="367"/>
      <c r="H18" s="367"/>
      <c r="I18" s="367"/>
      <c r="J18" s="367"/>
      <c r="K18" s="132">
        <f t="shared" si="0"/>
        <v>0</v>
      </c>
    </row>
    <row r="19" spans="1:12" ht="21" customHeight="1">
      <c r="B19" s="559"/>
      <c r="C19" s="559"/>
      <c r="D19" s="559"/>
      <c r="E19" s="570"/>
      <c r="F19" s="367"/>
      <c r="G19" s="367"/>
      <c r="H19" s="367"/>
      <c r="I19" s="367"/>
      <c r="J19" s="367"/>
      <c r="K19" s="132">
        <f t="shared" si="0"/>
        <v>0</v>
      </c>
      <c r="L19" s="318"/>
    </row>
    <row r="20" spans="1:12" ht="21" customHeight="1">
      <c r="B20" s="559"/>
      <c r="C20" s="559"/>
      <c r="D20" s="559"/>
      <c r="E20" s="570"/>
      <c r="F20" s="367"/>
      <c r="G20" s="367"/>
      <c r="H20" s="367"/>
      <c r="I20" s="367"/>
      <c r="J20" s="367"/>
      <c r="K20" s="132">
        <f t="shared" si="0"/>
        <v>0</v>
      </c>
    </row>
    <row r="21" spans="1:12" ht="21" customHeight="1">
      <c r="B21" s="559"/>
      <c r="C21" s="559"/>
      <c r="D21" s="559"/>
      <c r="E21" s="570"/>
      <c r="F21" s="367"/>
      <c r="G21" s="367"/>
      <c r="H21" s="367"/>
      <c r="I21" s="367"/>
      <c r="J21" s="367"/>
      <c r="K21" s="132">
        <f t="shared" si="0"/>
        <v>0</v>
      </c>
    </row>
    <row r="22" spans="1:12" ht="21" customHeight="1">
      <c r="B22" s="559"/>
      <c r="C22" s="559"/>
      <c r="D22" s="559"/>
      <c r="E22" s="570"/>
      <c r="F22" s="367"/>
      <c r="G22" s="367"/>
      <c r="H22" s="367"/>
      <c r="I22" s="367"/>
      <c r="J22" s="367"/>
      <c r="K22" s="132">
        <f t="shared" si="0"/>
        <v>0</v>
      </c>
    </row>
    <row r="23" spans="1:12" ht="21" customHeight="1">
      <c r="B23" s="559"/>
      <c r="C23" s="559"/>
      <c r="D23" s="559"/>
      <c r="E23" s="570"/>
      <c r="F23" s="367"/>
      <c r="G23" s="367"/>
      <c r="H23" s="367"/>
      <c r="I23" s="367"/>
      <c r="J23" s="367"/>
      <c r="K23" s="132">
        <f t="shared" si="0"/>
        <v>0</v>
      </c>
      <c r="L23" s="318"/>
    </row>
    <row r="24" spans="1:12" ht="21" customHeight="1">
      <c r="B24" s="559"/>
      <c r="C24" s="559"/>
      <c r="D24" s="559"/>
      <c r="E24" s="570"/>
      <c r="F24" s="367"/>
      <c r="G24" s="367"/>
      <c r="H24" s="367"/>
      <c r="I24" s="367"/>
      <c r="J24" s="367"/>
      <c r="K24" s="132">
        <f t="shared" si="0"/>
        <v>0</v>
      </c>
    </row>
    <row r="25" spans="1:12" ht="21" customHeight="1">
      <c r="B25" s="559"/>
      <c r="C25" s="559"/>
      <c r="D25" s="559"/>
      <c r="E25" s="570"/>
      <c r="F25" s="367"/>
      <c r="G25" s="367"/>
      <c r="H25" s="367"/>
      <c r="I25" s="367"/>
      <c r="J25" s="367"/>
      <c r="K25" s="132">
        <f t="shared" si="0"/>
        <v>0</v>
      </c>
      <c r="L25" s="318"/>
    </row>
    <row r="26" spans="1:12" ht="21" customHeight="1">
      <c r="B26" s="559"/>
      <c r="C26" s="559"/>
      <c r="D26" s="559"/>
      <c r="E26" s="570"/>
      <c r="F26" s="367"/>
      <c r="G26" s="367"/>
      <c r="H26" s="367"/>
      <c r="I26" s="367"/>
      <c r="J26" s="367"/>
      <c r="K26" s="132">
        <f t="shared" si="0"/>
        <v>0</v>
      </c>
    </row>
    <row r="27" spans="1:12" ht="21" customHeight="1" thickBot="1">
      <c r="B27" s="27"/>
      <c r="C27" s="321" t="s">
        <v>3323</v>
      </c>
      <c r="D27" s="27"/>
      <c r="E27" s="41"/>
      <c r="F27" s="99">
        <f>SUM(F8:F26)</f>
        <v>0</v>
      </c>
      <c r="G27" s="99">
        <f t="shared" ref="G27:K27" si="1">SUM(G8:G26)</f>
        <v>0</v>
      </c>
      <c r="H27" s="99">
        <f t="shared" si="1"/>
        <v>0</v>
      </c>
      <c r="I27" s="99">
        <f>SUM(I8:I26)</f>
        <v>0</v>
      </c>
      <c r="J27" s="99">
        <f t="shared" si="1"/>
        <v>0</v>
      </c>
      <c r="K27" s="134">
        <f t="shared" si="1"/>
        <v>0</v>
      </c>
      <c r="L27" s="701"/>
    </row>
    <row r="28" spans="1:12" ht="13.8" thickTop="1"/>
    <row r="29" spans="1:12">
      <c r="K29" s="318"/>
    </row>
    <row r="30" spans="1:12">
      <c r="F30" s="318"/>
      <c r="G30" s="318"/>
      <c r="J30" s="318"/>
      <c r="K30" s="318"/>
    </row>
    <row r="32" spans="1:12">
      <c r="K32" s="318"/>
    </row>
  </sheetData>
  <sheetProtection password="CAF9" sheet="1" objects="1" scenarios="1"/>
  <mergeCells count="6">
    <mergeCell ref="A15:A17"/>
    <mergeCell ref="B2:K2"/>
    <mergeCell ref="B3:K3"/>
    <mergeCell ref="G4:H4"/>
    <mergeCell ref="B5:E5"/>
    <mergeCell ref="G5:H5"/>
  </mergeCells>
  <pageMargins left="0.25" right="0.25" top="0.5" bottom="0.5" header="0.25" footer="0.25"/>
  <pageSetup paperSize="5" scale="98" orientation="landscape"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dimension ref="A1:N32"/>
  <sheetViews>
    <sheetView zoomScaleNormal="100" workbookViewId="0">
      <selection activeCell="B1" sqref="B1"/>
    </sheetView>
  </sheetViews>
  <sheetFormatPr defaultColWidth="9.109375" defaultRowHeight="13.2"/>
  <cols>
    <col min="1" max="1" width="5.6640625" style="315" customWidth="1"/>
    <col min="2" max="4" width="4.88671875" style="315" customWidth="1"/>
    <col min="5" max="5" width="48.44140625" style="315" customWidth="1"/>
    <col min="6" max="11" width="15.6640625" style="315" customWidth="1"/>
    <col min="12" max="12" width="10.5546875" style="315" bestFit="1" customWidth="1"/>
    <col min="13" max="16384" width="9.109375" style="315"/>
  </cols>
  <sheetData>
    <row r="1" spans="1:14">
      <c r="A1" s="317"/>
      <c r="B1" s="844"/>
      <c r="C1" s="844"/>
      <c r="D1" s="844"/>
      <c r="E1" s="844"/>
      <c r="F1" s="844"/>
      <c r="G1" s="844"/>
      <c r="H1" s="844"/>
      <c r="I1" s="844"/>
      <c r="J1" s="844"/>
      <c r="K1" s="844"/>
    </row>
    <row r="2" spans="1:14" ht="20.399999999999999">
      <c r="B2" s="1635" t="s">
        <v>249</v>
      </c>
      <c r="C2" s="1635"/>
      <c r="D2" s="1635"/>
      <c r="E2" s="1635"/>
      <c r="F2" s="1635"/>
      <c r="G2" s="1635"/>
      <c r="H2" s="1635"/>
      <c r="I2" s="1635"/>
      <c r="J2" s="1635"/>
      <c r="K2" s="1635"/>
    </row>
    <row r="3" spans="1:14" ht="21" thickBot="1">
      <c r="B3" s="1635" t="s">
        <v>111</v>
      </c>
      <c r="C3" s="1635"/>
      <c r="D3" s="1635"/>
      <c r="E3" s="1635"/>
      <c r="F3" s="1635"/>
      <c r="G3" s="1635"/>
      <c r="H3" s="1635"/>
      <c r="I3" s="1635"/>
      <c r="J3" s="1635"/>
      <c r="K3" s="1635"/>
    </row>
    <row r="4" spans="1:14" ht="13.8" thickTop="1">
      <c r="B4" s="877"/>
      <c r="C4" s="877"/>
      <c r="D4" s="877"/>
      <c r="E4" s="877"/>
      <c r="F4" s="878"/>
      <c r="G4" s="1647" t="str">
        <f>"Transferred from "&amp;TEXT('KEY INPUTS'!D34,"0")</f>
        <v>Transferred from 2020</v>
      </c>
      <c r="H4" s="1648"/>
      <c r="I4" s="878"/>
      <c r="J4" s="877"/>
      <c r="K4" s="854"/>
      <c r="L4" s="783"/>
    </row>
    <row r="5" spans="1:14">
      <c r="B5" s="1636" t="s">
        <v>673</v>
      </c>
      <c r="C5" s="1636"/>
      <c r="D5" s="1636"/>
      <c r="E5" s="1637"/>
      <c r="F5" s="880" t="s">
        <v>559</v>
      </c>
      <c r="G5" s="1649" t="s">
        <v>245</v>
      </c>
      <c r="H5" s="1650"/>
      <c r="I5" s="880" t="s">
        <v>672</v>
      </c>
      <c r="J5" s="1016" t="s">
        <v>228</v>
      </c>
      <c r="K5" s="855" t="s">
        <v>559</v>
      </c>
    </row>
    <row r="6" spans="1:14">
      <c r="B6" s="844"/>
      <c r="C6" s="844"/>
      <c r="D6" s="844"/>
      <c r="E6" s="844"/>
      <c r="F6" s="883" t="str">
        <f>'KEY INPUTS'!D47</f>
        <v>Jan. 1, 2020</v>
      </c>
      <c r="G6" s="880" t="s">
        <v>564</v>
      </c>
      <c r="H6" s="880" t="s">
        <v>243</v>
      </c>
      <c r="I6" s="880"/>
      <c r="J6" s="885"/>
      <c r="K6" s="856" t="str">
        <f>'KEY INPUTS'!D46</f>
        <v>Dec. 31, 2020</v>
      </c>
    </row>
    <row r="7" spans="1:14" ht="13.8" thickBot="1">
      <c r="B7" s="886"/>
      <c r="C7" s="886"/>
      <c r="D7" s="886"/>
      <c r="E7" s="886"/>
      <c r="F7" s="887"/>
      <c r="G7" s="888"/>
      <c r="H7" s="888" t="s">
        <v>244</v>
      </c>
      <c r="I7" s="887"/>
      <c r="J7" s="889"/>
      <c r="K7" s="857"/>
    </row>
    <row r="8" spans="1:14" ht="21" customHeight="1" thickTop="1">
      <c r="B8" s="874"/>
      <c r="C8" s="1017" t="s">
        <v>3324</v>
      </c>
      <c r="D8" s="874"/>
      <c r="E8" s="1017"/>
      <c r="F8" s="891">
        <f>+'12.1-Grants Unappropriated'!F27</f>
        <v>0</v>
      </c>
      <c r="G8" s="891">
        <f>+'12.1-Grants Unappropriated'!G27</f>
        <v>0</v>
      </c>
      <c r="H8" s="891">
        <f>+'12.1-Grants Unappropriated'!H27</f>
        <v>0</v>
      </c>
      <c r="I8" s="891">
        <f>+'12.1-Grants Unappropriated'!I27</f>
        <v>0</v>
      </c>
      <c r="J8" s="891">
        <f>+'12.1-Grants Unappropriated'!J27</f>
        <v>0</v>
      </c>
      <c r="K8" s="835">
        <f>+'12.1-Grants Unappropriated'!K27</f>
        <v>0</v>
      </c>
    </row>
    <row r="9" spans="1:14" ht="21" customHeight="1">
      <c r="B9" s="559"/>
      <c r="C9" s="560"/>
      <c r="D9" s="559"/>
      <c r="E9" s="570"/>
      <c r="F9" s="367"/>
      <c r="G9" s="367"/>
      <c r="H9" s="367"/>
      <c r="I9" s="367"/>
      <c r="J9" s="367"/>
      <c r="K9" s="132">
        <f t="shared" ref="K9:K26" si="0">F9-G9-H9+I9+J9</f>
        <v>0</v>
      </c>
    </row>
    <row r="10" spans="1:14" ht="21" customHeight="1">
      <c r="B10" s="559"/>
      <c r="C10" s="657"/>
      <c r="D10" s="368"/>
      <c r="E10" s="784"/>
      <c r="F10" s="655"/>
      <c r="G10" s="655"/>
      <c r="H10" s="655"/>
      <c r="I10" s="655"/>
      <c r="J10" s="655"/>
      <c r="K10" s="132">
        <f t="shared" si="0"/>
        <v>0</v>
      </c>
    </row>
    <row r="11" spans="1:14" ht="21" customHeight="1">
      <c r="B11" s="559"/>
      <c r="C11" s="559"/>
      <c r="D11" s="559"/>
      <c r="E11" s="570"/>
      <c r="F11" s="367"/>
      <c r="G11" s="367"/>
      <c r="H11" s="367"/>
      <c r="I11" s="367"/>
      <c r="J11" s="367"/>
      <c r="K11" s="132">
        <f t="shared" si="0"/>
        <v>0</v>
      </c>
      <c r="L11" s="318"/>
    </row>
    <row r="12" spans="1:14" ht="21" customHeight="1">
      <c r="B12" s="559"/>
      <c r="C12" s="559"/>
      <c r="D12" s="559"/>
      <c r="E12" s="570"/>
      <c r="F12" s="367"/>
      <c r="G12" s="367"/>
      <c r="H12" s="367"/>
      <c r="I12" s="367"/>
      <c r="J12" s="367"/>
      <c r="K12" s="132">
        <f t="shared" si="0"/>
        <v>0</v>
      </c>
    </row>
    <row r="13" spans="1:14" ht="21" customHeight="1">
      <c r="B13" s="559"/>
      <c r="C13" s="559"/>
      <c r="D13" s="559"/>
      <c r="E13" s="570"/>
      <c r="F13" s="367"/>
      <c r="G13" s="367"/>
      <c r="H13" s="367"/>
      <c r="I13" s="367"/>
      <c r="J13" s="367"/>
      <c r="K13" s="132">
        <f t="shared" si="0"/>
        <v>0</v>
      </c>
      <c r="L13" s="318"/>
    </row>
    <row r="14" spans="1:14" ht="21" customHeight="1">
      <c r="B14" s="559"/>
      <c r="C14" s="559"/>
      <c r="D14" s="559"/>
      <c r="E14" s="570"/>
      <c r="F14" s="367"/>
      <c r="G14" s="367"/>
      <c r="H14" s="367"/>
      <c r="I14" s="367"/>
      <c r="J14" s="367"/>
      <c r="K14" s="132">
        <f t="shared" si="0"/>
        <v>0</v>
      </c>
      <c r="N14" s="370"/>
    </row>
    <row r="15" spans="1:14" ht="21" customHeight="1">
      <c r="A15" s="1613" t="s">
        <v>3390</v>
      </c>
      <c r="B15" s="559"/>
      <c r="C15" s="559"/>
      <c r="D15" s="559"/>
      <c r="E15" s="570"/>
      <c r="F15" s="367"/>
      <c r="G15" s="367"/>
      <c r="H15" s="367"/>
      <c r="I15" s="367"/>
      <c r="J15" s="367"/>
      <c r="K15" s="132">
        <f t="shared" si="0"/>
        <v>0</v>
      </c>
      <c r="L15" s="318"/>
    </row>
    <row r="16" spans="1:14" ht="21" customHeight="1">
      <c r="A16" s="1613"/>
      <c r="B16" s="559"/>
      <c r="C16" s="559"/>
      <c r="D16" s="559"/>
      <c r="E16" s="570"/>
      <c r="F16" s="367"/>
      <c r="G16" s="367"/>
      <c r="H16" s="367"/>
      <c r="I16" s="367"/>
      <c r="J16" s="367"/>
      <c r="K16" s="132">
        <f t="shared" si="0"/>
        <v>0</v>
      </c>
    </row>
    <row r="17" spans="1:12" ht="21" customHeight="1">
      <c r="A17" s="1613"/>
      <c r="B17" s="559"/>
      <c r="C17" s="559"/>
      <c r="D17" s="559"/>
      <c r="E17" s="570"/>
      <c r="F17" s="367"/>
      <c r="G17" s="367"/>
      <c r="H17" s="367"/>
      <c r="I17" s="367"/>
      <c r="J17" s="367"/>
      <c r="K17" s="132">
        <f t="shared" si="0"/>
        <v>0</v>
      </c>
      <c r="L17" s="318"/>
    </row>
    <row r="18" spans="1:12" ht="21" customHeight="1">
      <c r="B18" s="559"/>
      <c r="C18" s="559"/>
      <c r="D18" s="559"/>
      <c r="E18" s="570"/>
      <c r="F18" s="367"/>
      <c r="G18" s="367"/>
      <c r="H18" s="367"/>
      <c r="I18" s="367"/>
      <c r="J18" s="367"/>
      <c r="K18" s="132">
        <f t="shared" si="0"/>
        <v>0</v>
      </c>
    </row>
    <row r="19" spans="1:12" ht="21" customHeight="1">
      <c r="B19" s="559"/>
      <c r="C19" s="559"/>
      <c r="D19" s="559"/>
      <c r="E19" s="570"/>
      <c r="F19" s="367"/>
      <c r="G19" s="367"/>
      <c r="H19" s="367"/>
      <c r="I19" s="367"/>
      <c r="J19" s="367"/>
      <c r="K19" s="132">
        <f t="shared" si="0"/>
        <v>0</v>
      </c>
      <c r="L19" s="318"/>
    </row>
    <row r="20" spans="1:12" ht="21" customHeight="1">
      <c r="B20" s="559"/>
      <c r="C20" s="559"/>
      <c r="D20" s="559"/>
      <c r="E20" s="570"/>
      <c r="F20" s="367"/>
      <c r="G20" s="367"/>
      <c r="H20" s="367"/>
      <c r="I20" s="367"/>
      <c r="J20" s="367"/>
      <c r="K20" s="132">
        <f t="shared" si="0"/>
        <v>0</v>
      </c>
    </row>
    <row r="21" spans="1:12" ht="21" customHeight="1">
      <c r="B21" s="559"/>
      <c r="C21" s="559"/>
      <c r="D21" s="559"/>
      <c r="E21" s="570"/>
      <c r="F21" s="367"/>
      <c r="G21" s="367"/>
      <c r="H21" s="367"/>
      <c r="I21" s="367"/>
      <c r="J21" s="367"/>
      <c r="K21" s="132">
        <f t="shared" si="0"/>
        <v>0</v>
      </c>
    </row>
    <row r="22" spans="1:12" ht="21" customHeight="1">
      <c r="B22" s="559"/>
      <c r="C22" s="559"/>
      <c r="D22" s="559"/>
      <c r="E22" s="570"/>
      <c r="F22" s="367"/>
      <c r="G22" s="367"/>
      <c r="H22" s="367"/>
      <c r="I22" s="367"/>
      <c r="J22" s="367"/>
      <c r="K22" s="132">
        <f t="shared" si="0"/>
        <v>0</v>
      </c>
    </row>
    <row r="23" spans="1:12" ht="21" customHeight="1">
      <c r="B23" s="559"/>
      <c r="C23" s="559"/>
      <c r="D23" s="559"/>
      <c r="E23" s="570"/>
      <c r="F23" s="367"/>
      <c r="G23" s="367"/>
      <c r="H23" s="367"/>
      <c r="I23" s="367"/>
      <c r="J23" s="367"/>
      <c r="K23" s="132">
        <f t="shared" si="0"/>
        <v>0</v>
      </c>
      <c r="L23" s="318"/>
    </row>
    <row r="24" spans="1:12" ht="21" customHeight="1">
      <c r="B24" s="559"/>
      <c r="C24" s="559"/>
      <c r="D24" s="559"/>
      <c r="E24" s="570"/>
      <c r="F24" s="367"/>
      <c r="G24" s="367"/>
      <c r="H24" s="367"/>
      <c r="I24" s="367"/>
      <c r="J24" s="367"/>
      <c r="K24" s="132">
        <f t="shared" si="0"/>
        <v>0</v>
      </c>
    </row>
    <row r="25" spans="1:12" ht="21" customHeight="1">
      <c r="B25" s="559"/>
      <c r="C25" s="559"/>
      <c r="D25" s="559"/>
      <c r="E25" s="570"/>
      <c r="F25" s="367"/>
      <c r="G25" s="367"/>
      <c r="H25" s="367"/>
      <c r="I25" s="367"/>
      <c r="J25" s="367"/>
      <c r="K25" s="132">
        <f t="shared" si="0"/>
        <v>0</v>
      </c>
      <c r="L25" s="318"/>
    </row>
    <row r="26" spans="1:12" ht="21" customHeight="1">
      <c r="B26" s="559"/>
      <c r="C26" s="559"/>
      <c r="D26" s="559"/>
      <c r="E26" s="570"/>
      <c r="F26" s="367"/>
      <c r="G26" s="367"/>
      <c r="H26" s="367"/>
      <c r="I26" s="367"/>
      <c r="J26" s="367"/>
      <c r="K26" s="132">
        <f t="shared" si="0"/>
        <v>0</v>
      </c>
    </row>
    <row r="27" spans="1:12" ht="21" customHeight="1" thickBot="1">
      <c r="B27" s="27"/>
      <c r="C27" s="321" t="s">
        <v>3323</v>
      </c>
      <c r="D27" s="27"/>
      <c r="E27" s="41"/>
      <c r="F27" s="99">
        <f>SUM(F8:F26)</f>
        <v>0</v>
      </c>
      <c r="G27" s="99">
        <f t="shared" ref="G27:K27" si="1">SUM(G8:G26)</f>
        <v>0</v>
      </c>
      <c r="H27" s="99">
        <f t="shared" si="1"/>
        <v>0</v>
      </c>
      <c r="I27" s="99">
        <f>SUM(I8:I26)</f>
        <v>0</v>
      </c>
      <c r="J27" s="99">
        <f t="shared" si="1"/>
        <v>0</v>
      </c>
      <c r="K27" s="134">
        <f t="shared" si="1"/>
        <v>0</v>
      </c>
      <c r="L27" s="701"/>
    </row>
    <row r="28" spans="1:12" ht="13.8" thickTop="1"/>
    <row r="29" spans="1:12">
      <c r="K29" s="318"/>
    </row>
    <row r="30" spans="1:12">
      <c r="F30" s="318"/>
      <c r="G30" s="318"/>
      <c r="J30" s="318"/>
      <c r="K30" s="318"/>
    </row>
    <row r="32" spans="1:12">
      <c r="K32" s="318"/>
    </row>
  </sheetData>
  <sheetProtection password="CAF9" sheet="1" objects="1" scenarios="1"/>
  <mergeCells count="6">
    <mergeCell ref="A15:A17"/>
    <mergeCell ref="B2:K2"/>
    <mergeCell ref="B3:K3"/>
    <mergeCell ref="G4:H4"/>
    <mergeCell ref="B5:E5"/>
    <mergeCell ref="G5:H5"/>
  </mergeCells>
  <pageMargins left="0.25" right="0.25" top="0.5" bottom="0.5" header="0.25" footer="0.25"/>
  <pageSetup paperSize="5" scale="98" orientation="landscape" r:id="rId1"/>
  <headerFooter alignWithMargins="0"/>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dimension ref="A1:N32"/>
  <sheetViews>
    <sheetView zoomScaleNormal="100" workbookViewId="0">
      <selection activeCell="G10" sqref="G10"/>
    </sheetView>
  </sheetViews>
  <sheetFormatPr defaultColWidth="9.109375" defaultRowHeight="13.2"/>
  <cols>
    <col min="1" max="1" width="5.6640625" style="315" customWidth="1"/>
    <col min="2" max="4" width="4.88671875" style="315" customWidth="1"/>
    <col min="5" max="5" width="48.44140625" style="315" customWidth="1"/>
    <col min="6" max="11" width="15.6640625" style="315" customWidth="1"/>
    <col min="12" max="12" width="10.5546875" style="315" bestFit="1" customWidth="1"/>
    <col min="13" max="16384" width="9.109375" style="315"/>
  </cols>
  <sheetData>
    <row r="1" spans="1:14">
      <c r="A1" s="317"/>
      <c r="B1" s="844"/>
      <c r="C1" s="844"/>
      <c r="D1" s="844"/>
      <c r="E1" s="844"/>
      <c r="F1" s="844"/>
      <c r="G1" s="844"/>
      <c r="H1" s="844"/>
      <c r="I1" s="844"/>
      <c r="J1" s="844"/>
      <c r="K1" s="844"/>
    </row>
    <row r="2" spans="1:14" ht="20.399999999999999">
      <c r="B2" s="1635" t="s">
        <v>249</v>
      </c>
      <c r="C2" s="1635"/>
      <c r="D2" s="1635"/>
      <c r="E2" s="1635"/>
      <c r="F2" s="1635"/>
      <c r="G2" s="1635"/>
      <c r="H2" s="1635"/>
      <c r="I2" s="1635"/>
      <c r="J2" s="1635"/>
      <c r="K2" s="1635"/>
    </row>
    <row r="3" spans="1:14" ht="21" thickBot="1">
      <c r="B3" s="1635" t="s">
        <v>111</v>
      </c>
      <c r="C3" s="1635"/>
      <c r="D3" s="1635"/>
      <c r="E3" s="1635"/>
      <c r="F3" s="1635"/>
      <c r="G3" s="1635"/>
      <c r="H3" s="1635"/>
      <c r="I3" s="1635"/>
      <c r="J3" s="1635"/>
      <c r="K3" s="1635"/>
    </row>
    <row r="4" spans="1:14" ht="13.8" thickTop="1">
      <c r="B4" s="877"/>
      <c r="C4" s="877"/>
      <c r="D4" s="877"/>
      <c r="E4" s="877"/>
      <c r="F4" s="878"/>
      <c r="G4" s="1647" t="str">
        <f>"Transferred from "&amp;TEXT('KEY INPUTS'!D34,"0")</f>
        <v>Transferred from 2020</v>
      </c>
      <c r="H4" s="1648"/>
      <c r="I4" s="878"/>
      <c r="J4" s="877"/>
      <c r="K4" s="854"/>
      <c r="L4" s="783"/>
    </row>
    <row r="5" spans="1:14">
      <c r="B5" s="1636" t="s">
        <v>673</v>
      </c>
      <c r="C5" s="1636"/>
      <c r="D5" s="1636"/>
      <c r="E5" s="1637"/>
      <c r="F5" s="880" t="s">
        <v>559</v>
      </c>
      <c r="G5" s="1649" t="s">
        <v>245</v>
      </c>
      <c r="H5" s="1650"/>
      <c r="I5" s="880" t="s">
        <v>672</v>
      </c>
      <c r="J5" s="1016" t="s">
        <v>228</v>
      </c>
      <c r="K5" s="855" t="s">
        <v>559</v>
      </c>
    </row>
    <row r="6" spans="1:14">
      <c r="B6" s="844"/>
      <c r="C6" s="844"/>
      <c r="D6" s="844"/>
      <c r="E6" s="844"/>
      <c r="F6" s="883" t="str">
        <f>'KEY INPUTS'!D47</f>
        <v>Jan. 1, 2020</v>
      </c>
      <c r="G6" s="880" t="s">
        <v>564</v>
      </c>
      <c r="H6" s="880" t="s">
        <v>243</v>
      </c>
      <c r="I6" s="880"/>
      <c r="J6" s="885"/>
      <c r="K6" s="856" t="str">
        <f>'KEY INPUTS'!D46</f>
        <v>Dec. 31, 2020</v>
      </c>
    </row>
    <row r="7" spans="1:14" ht="13.8" thickBot="1">
      <c r="B7" s="886"/>
      <c r="C7" s="886"/>
      <c r="D7" s="886"/>
      <c r="E7" s="886"/>
      <c r="F7" s="887"/>
      <c r="G7" s="888"/>
      <c r="H7" s="888" t="s">
        <v>244</v>
      </c>
      <c r="I7" s="887"/>
      <c r="J7" s="889"/>
      <c r="K7" s="857"/>
    </row>
    <row r="8" spans="1:14" ht="21" customHeight="1" thickTop="1">
      <c r="B8" s="874"/>
      <c r="C8" s="1017" t="s">
        <v>3324</v>
      </c>
      <c r="D8" s="874"/>
      <c r="E8" s="1017"/>
      <c r="F8" s="891">
        <f>+'12.2-Grants Unappropriated'!F27</f>
        <v>0</v>
      </c>
      <c r="G8" s="891">
        <f>+'12.2-Grants Unappropriated'!G27</f>
        <v>0</v>
      </c>
      <c r="H8" s="891">
        <f>+'12.2-Grants Unappropriated'!H27</f>
        <v>0</v>
      </c>
      <c r="I8" s="891">
        <f>+'12.2-Grants Unappropriated'!I27</f>
        <v>0</v>
      </c>
      <c r="J8" s="891">
        <f>+'12.2-Grants Unappropriated'!J27</f>
        <v>0</v>
      </c>
      <c r="K8" s="835">
        <f>+'12.2-Grants Unappropriated'!K27</f>
        <v>0</v>
      </c>
    </row>
    <row r="9" spans="1:14" ht="21" customHeight="1">
      <c r="B9" s="559" t="s">
        <v>3647</v>
      </c>
      <c r="C9" s="560"/>
      <c r="D9" s="559"/>
      <c r="E9" s="570"/>
      <c r="F9" s="367">
        <v>1062.42</v>
      </c>
      <c r="G9" s="367"/>
      <c r="H9" s="367"/>
      <c r="I9" s="367"/>
      <c r="J9" s="367"/>
      <c r="K9" s="132">
        <f t="shared" ref="K9:K26" si="0">F9-G9-H9+I9+J9</f>
        <v>1062.42</v>
      </c>
    </row>
    <row r="10" spans="1:14" ht="21" customHeight="1">
      <c r="B10" s="559" t="s">
        <v>3640</v>
      </c>
      <c r="C10" s="657"/>
      <c r="D10" s="368"/>
      <c r="E10" s="784"/>
      <c r="F10" s="655">
        <v>2330.11</v>
      </c>
      <c r="G10" s="655">
        <v>2330.11</v>
      </c>
      <c r="H10" s="655"/>
      <c r="I10" s="655"/>
      <c r="J10" s="655"/>
      <c r="K10" s="132">
        <f t="shared" si="0"/>
        <v>0</v>
      </c>
    </row>
    <row r="11" spans="1:14" ht="21" customHeight="1">
      <c r="B11" s="559" t="s">
        <v>3645</v>
      </c>
      <c r="C11" s="559"/>
      <c r="D11" s="559"/>
      <c r="E11" s="570"/>
      <c r="F11" s="367">
        <v>1000</v>
      </c>
      <c r="G11" s="367">
        <v>1000</v>
      </c>
      <c r="H11" s="367"/>
      <c r="I11" s="367"/>
      <c r="J11" s="367"/>
      <c r="K11" s="132">
        <f t="shared" si="0"/>
        <v>0</v>
      </c>
      <c r="L11" s="318"/>
    </row>
    <row r="12" spans="1:14" ht="21" customHeight="1">
      <c r="B12" s="559"/>
      <c r="C12" s="559"/>
      <c r="D12" s="559"/>
      <c r="E12" s="570"/>
      <c r="F12" s="367"/>
      <c r="G12" s="367"/>
      <c r="H12" s="367"/>
      <c r="I12" s="367"/>
      <c r="J12" s="367"/>
      <c r="K12" s="132">
        <f t="shared" si="0"/>
        <v>0</v>
      </c>
    </row>
    <row r="13" spans="1:14" ht="21" customHeight="1">
      <c r="B13" s="559"/>
      <c r="C13" s="559"/>
      <c r="D13" s="559"/>
      <c r="E13" s="570"/>
      <c r="F13" s="367"/>
      <c r="G13" s="367"/>
      <c r="H13" s="367"/>
      <c r="I13" s="367"/>
      <c r="J13" s="367"/>
      <c r="K13" s="132">
        <f t="shared" si="0"/>
        <v>0</v>
      </c>
      <c r="L13" s="318"/>
    </row>
    <row r="14" spans="1:14" ht="21" customHeight="1">
      <c r="B14" s="559"/>
      <c r="C14" s="559"/>
      <c r="D14" s="559"/>
      <c r="E14" s="570"/>
      <c r="F14" s="367"/>
      <c r="G14" s="367"/>
      <c r="H14" s="367"/>
      <c r="I14" s="367"/>
      <c r="J14" s="367"/>
      <c r="K14" s="132">
        <f t="shared" si="0"/>
        <v>0</v>
      </c>
      <c r="N14" s="370"/>
    </row>
    <row r="15" spans="1:14" ht="21" customHeight="1">
      <c r="A15" s="1613" t="s">
        <v>3391</v>
      </c>
      <c r="B15" s="559"/>
      <c r="C15" s="559"/>
      <c r="D15" s="559"/>
      <c r="E15" s="570"/>
      <c r="F15" s="367"/>
      <c r="G15" s="367"/>
      <c r="H15" s="367"/>
      <c r="I15" s="367"/>
      <c r="J15" s="367"/>
      <c r="K15" s="132">
        <f t="shared" si="0"/>
        <v>0</v>
      </c>
      <c r="L15" s="318"/>
    </row>
    <row r="16" spans="1:14" ht="21" customHeight="1">
      <c r="A16" s="1613"/>
      <c r="B16" s="559"/>
      <c r="C16" s="559"/>
      <c r="D16" s="559"/>
      <c r="E16" s="570"/>
      <c r="F16" s="367"/>
      <c r="G16" s="367"/>
      <c r="H16" s="367"/>
      <c r="I16" s="367"/>
      <c r="J16" s="367"/>
      <c r="K16" s="132">
        <f t="shared" si="0"/>
        <v>0</v>
      </c>
    </row>
    <row r="17" spans="1:12" ht="21" customHeight="1">
      <c r="A17" s="1613"/>
      <c r="B17" s="559"/>
      <c r="C17" s="559"/>
      <c r="D17" s="559"/>
      <c r="E17" s="570"/>
      <c r="F17" s="367"/>
      <c r="G17" s="367"/>
      <c r="H17" s="367"/>
      <c r="I17" s="367"/>
      <c r="J17" s="367"/>
      <c r="K17" s="132">
        <f t="shared" si="0"/>
        <v>0</v>
      </c>
      <c r="L17" s="318"/>
    </row>
    <row r="18" spans="1:12" ht="21" customHeight="1">
      <c r="B18" s="559"/>
      <c r="C18" s="559"/>
      <c r="D18" s="559"/>
      <c r="E18" s="570"/>
      <c r="F18" s="367"/>
      <c r="G18" s="367"/>
      <c r="H18" s="367"/>
      <c r="I18" s="367"/>
      <c r="J18" s="367"/>
      <c r="K18" s="132">
        <f t="shared" si="0"/>
        <v>0</v>
      </c>
    </row>
    <row r="19" spans="1:12" ht="21" customHeight="1">
      <c r="B19" s="559"/>
      <c r="C19" s="559"/>
      <c r="D19" s="559"/>
      <c r="E19" s="570"/>
      <c r="F19" s="367"/>
      <c r="G19" s="367"/>
      <c r="H19" s="367"/>
      <c r="I19" s="367"/>
      <c r="J19" s="367"/>
      <c r="K19" s="132">
        <f t="shared" si="0"/>
        <v>0</v>
      </c>
      <c r="L19" s="318"/>
    </row>
    <row r="20" spans="1:12" ht="21" customHeight="1">
      <c r="B20" s="559"/>
      <c r="C20" s="559"/>
      <c r="D20" s="559"/>
      <c r="E20" s="570"/>
      <c r="F20" s="367"/>
      <c r="G20" s="367"/>
      <c r="H20" s="367"/>
      <c r="I20" s="367"/>
      <c r="J20" s="367"/>
      <c r="K20" s="132">
        <f t="shared" si="0"/>
        <v>0</v>
      </c>
    </row>
    <row r="21" spans="1:12" ht="21" customHeight="1">
      <c r="B21" s="559"/>
      <c r="C21" s="559"/>
      <c r="D21" s="559"/>
      <c r="E21" s="570"/>
      <c r="F21" s="367"/>
      <c r="G21" s="367"/>
      <c r="H21" s="367"/>
      <c r="I21" s="367"/>
      <c r="J21" s="367"/>
      <c r="K21" s="132">
        <f t="shared" si="0"/>
        <v>0</v>
      </c>
    </row>
    <row r="22" spans="1:12" ht="21" customHeight="1">
      <c r="B22" s="559"/>
      <c r="C22" s="559"/>
      <c r="D22" s="559"/>
      <c r="E22" s="570"/>
      <c r="F22" s="367"/>
      <c r="G22" s="367"/>
      <c r="H22" s="367"/>
      <c r="I22" s="367"/>
      <c r="J22" s="367"/>
      <c r="K22" s="132">
        <f t="shared" si="0"/>
        <v>0</v>
      </c>
    </row>
    <row r="23" spans="1:12" ht="21" customHeight="1">
      <c r="B23" s="559"/>
      <c r="C23" s="559"/>
      <c r="D23" s="559"/>
      <c r="E23" s="570"/>
      <c r="F23" s="367"/>
      <c r="G23" s="367"/>
      <c r="H23" s="367"/>
      <c r="I23" s="367"/>
      <c r="J23" s="367"/>
      <c r="K23" s="132">
        <f t="shared" si="0"/>
        <v>0</v>
      </c>
      <c r="L23" s="318"/>
    </row>
    <row r="24" spans="1:12" ht="21" customHeight="1">
      <c r="B24" s="559"/>
      <c r="C24" s="559"/>
      <c r="D24" s="559"/>
      <c r="E24" s="570"/>
      <c r="F24" s="367"/>
      <c r="G24" s="367"/>
      <c r="H24" s="367"/>
      <c r="I24" s="367"/>
      <c r="J24" s="367"/>
      <c r="K24" s="132">
        <f t="shared" si="0"/>
        <v>0</v>
      </c>
    </row>
    <row r="25" spans="1:12" ht="21" customHeight="1">
      <c r="B25" s="559"/>
      <c r="C25" s="559"/>
      <c r="D25" s="559"/>
      <c r="E25" s="570"/>
      <c r="F25" s="367"/>
      <c r="G25" s="367"/>
      <c r="H25" s="367"/>
      <c r="I25" s="367"/>
      <c r="J25" s="367"/>
      <c r="K25" s="132">
        <f t="shared" si="0"/>
        <v>0</v>
      </c>
      <c r="L25" s="318"/>
    </row>
    <row r="26" spans="1:12" ht="21" customHeight="1">
      <c r="B26" s="559"/>
      <c r="C26" s="559"/>
      <c r="D26" s="559"/>
      <c r="E26" s="570"/>
      <c r="F26" s="367"/>
      <c r="G26" s="367"/>
      <c r="H26" s="367"/>
      <c r="I26" s="367"/>
      <c r="J26" s="367"/>
      <c r="K26" s="132">
        <f t="shared" si="0"/>
        <v>0</v>
      </c>
    </row>
    <row r="27" spans="1:12" ht="21" customHeight="1" thickBot="1">
      <c r="B27" s="27"/>
      <c r="C27" s="321" t="s">
        <v>3349</v>
      </c>
      <c r="D27" s="27"/>
      <c r="E27" s="41"/>
      <c r="F27" s="99">
        <f>SUM(F8:F26)</f>
        <v>4392.5300000000007</v>
      </c>
      <c r="G27" s="99">
        <f t="shared" ref="G27:K27" si="1">SUM(G8:G26)</f>
        <v>3330.11</v>
      </c>
      <c r="H27" s="99">
        <f t="shared" si="1"/>
        <v>0</v>
      </c>
      <c r="I27" s="99">
        <f>SUM(I8:I26)</f>
        <v>0</v>
      </c>
      <c r="J27" s="99">
        <f t="shared" si="1"/>
        <v>0</v>
      </c>
      <c r="K27" s="134">
        <f t="shared" si="1"/>
        <v>1062.42</v>
      </c>
      <c r="L27" s="701"/>
    </row>
    <row r="28" spans="1:12" ht="13.8" thickTop="1"/>
    <row r="29" spans="1:12">
      <c r="K29" s="318"/>
    </row>
    <row r="30" spans="1:12">
      <c r="F30" s="318"/>
      <c r="G30" s="318"/>
      <c r="J30" s="318"/>
      <c r="K30" s="318"/>
    </row>
    <row r="32" spans="1:12">
      <c r="K32" s="318"/>
    </row>
  </sheetData>
  <sheetProtection password="CAF9" sheet="1" objects="1" scenarios="1"/>
  <mergeCells count="6">
    <mergeCell ref="A15:A17"/>
    <mergeCell ref="B2:K2"/>
    <mergeCell ref="B3:K3"/>
    <mergeCell ref="G4:H4"/>
    <mergeCell ref="B5:E5"/>
    <mergeCell ref="G5:H5"/>
  </mergeCells>
  <pageMargins left="0.25" right="0.25" top="0.5" bottom="0.5" header="0.25" footer="0.25"/>
  <pageSetup paperSize="5" scale="98" orientation="landscape"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dimension ref="B5:R51"/>
  <sheetViews>
    <sheetView topLeftCell="A10" zoomScaleNormal="100" workbookViewId="0">
      <selection activeCell="G38" sqref="G38"/>
    </sheetView>
  </sheetViews>
  <sheetFormatPr defaultRowHeight="13.2"/>
  <cols>
    <col min="1" max="1" width="4.6640625" customWidth="1"/>
    <col min="2" max="2" width="4.88671875" customWidth="1"/>
    <col min="3" max="4" width="4.6640625" customWidth="1"/>
    <col min="5" max="5" width="33.6640625" customWidth="1"/>
    <col min="6" max="6" width="15.6640625" customWidth="1"/>
    <col min="7" max="8" width="16.6640625" customWidth="1"/>
    <col min="9" max="9" width="12.88671875" bestFit="1" customWidth="1"/>
  </cols>
  <sheetData>
    <row r="5" spans="2:18" ht="22.8">
      <c r="B5" s="1586" t="s">
        <v>265</v>
      </c>
      <c r="C5" s="1586"/>
      <c r="D5" s="1586"/>
      <c r="E5" s="1586"/>
      <c r="F5" s="1586"/>
      <c r="G5" s="1586"/>
      <c r="H5" s="1586"/>
      <c r="I5" s="701"/>
    </row>
    <row r="6" spans="2:18" ht="13.8" thickBot="1"/>
    <row r="7" spans="2:18" ht="36" customHeight="1" thickTop="1" thickBot="1">
      <c r="B7" s="1589"/>
      <c r="C7" s="1589"/>
      <c r="D7" s="1589"/>
      <c r="E7" s="1589"/>
      <c r="F7" s="1590"/>
      <c r="G7" s="4" t="s">
        <v>101</v>
      </c>
      <c r="H7" s="3" t="s">
        <v>102</v>
      </c>
    </row>
    <row r="8" spans="2:18" ht="21" customHeight="1" thickTop="1">
      <c r="B8" s="315" t="str">
        <f>'KEY INPUTS'!D25</f>
        <v>Balance - January 1, 2020</v>
      </c>
      <c r="C8" s="315"/>
      <c r="D8" s="315"/>
      <c r="E8" s="315"/>
      <c r="F8" s="315"/>
      <c r="G8" s="164" t="s">
        <v>317</v>
      </c>
      <c r="H8" s="165" t="s">
        <v>726</v>
      </c>
    </row>
    <row r="9" spans="2:18" ht="21" customHeight="1">
      <c r="B9" s="316"/>
      <c r="C9" s="316" t="s">
        <v>266</v>
      </c>
      <c r="D9" s="316"/>
      <c r="E9" s="316"/>
      <c r="F9" s="49"/>
      <c r="G9" s="144" t="s">
        <v>317</v>
      </c>
      <c r="H9" s="759">
        <v>0.52</v>
      </c>
      <c r="I9" s="284"/>
    </row>
    <row r="10" spans="2:18" ht="11.25" customHeight="1">
      <c r="B10" s="7"/>
      <c r="C10" s="7" t="s">
        <v>267</v>
      </c>
      <c r="D10" s="7"/>
      <c r="E10" s="7"/>
      <c r="F10" s="52"/>
      <c r="G10" s="166"/>
      <c r="H10" s="959"/>
    </row>
    <row r="11" spans="2:18">
      <c r="B11" s="277"/>
      <c r="C11" s="277" t="str">
        <f>"(Not in excess of  50% of Levy - "&amp;TEXT('KEY INPUTS'!D35,"0")&amp;" - "&amp;TEXT('KEY INPUTS'!D34,"0")&amp;")"</f>
        <v>(Not in excess of  50% of Levy - 2019 - 2020)</v>
      </c>
      <c r="D11" s="277"/>
      <c r="E11" s="277"/>
      <c r="F11" s="53"/>
      <c r="G11" s="308" t="s">
        <v>317</v>
      </c>
      <c r="H11" s="929"/>
      <c r="I11" s="284"/>
    </row>
    <row r="12" spans="2:18" ht="21" customHeight="1">
      <c r="B12" s="316" t="str">
        <f>"Levy School Year July 1, "&amp;TEXT('KEY INPUTS'!D34,"0")&amp;" - June 30, "&amp;TEXT('KEY INPUTS'!D33,"0")</f>
        <v>Levy School Year July 1, 2020 - June 30, 2021</v>
      </c>
      <c r="C12" s="316"/>
      <c r="D12" s="316"/>
      <c r="E12" s="316"/>
      <c r="F12" s="49"/>
      <c r="G12" s="303" t="s">
        <v>317</v>
      </c>
      <c r="H12" s="571"/>
      <c r="I12" s="221"/>
      <c r="L12" s="751" t="s">
        <v>3541</v>
      </c>
      <c r="M12" s="315"/>
      <c r="N12" s="315"/>
      <c r="O12" s="315"/>
      <c r="P12" s="315"/>
      <c r="Q12" s="315"/>
      <c r="R12" s="315"/>
    </row>
    <row r="13" spans="2:18" ht="21" customHeight="1">
      <c r="B13" s="316" t="str">
        <f>"Levy Calendar Year "&amp;TEXT('KEY INPUTS'!D34,"0")</f>
        <v>Levy Calendar Year 2020</v>
      </c>
      <c r="C13" s="316"/>
      <c r="D13" s="316"/>
      <c r="E13" s="316"/>
      <c r="F13" s="49"/>
      <c r="G13" s="303" t="s">
        <v>317</v>
      </c>
      <c r="H13" s="571">
        <v>3002795</v>
      </c>
      <c r="M13" s="315"/>
      <c r="N13" s="315"/>
      <c r="O13" s="315"/>
      <c r="P13" s="315"/>
      <c r="Q13" s="315"/>
      <c r="R13" s="315"/>
    </row>
    <row r="14" spans="2:18" ht="21" customHeight="1">
      <c r="B14" s="316" t="s">
        <v>268</v>
      </c>
      <c r="C14" s="316"/>
      <c r="D14" s="316"/>
      <c r="E14" s="316"/>
      <c r="F14" s="49"/>
      <c r="G14" s="367">
        <v>3002795</v>
      </c>
      <c r="H14" s="257" t="s">
        <v>726</v>
      </c>
      <c r="M14" s="370"/>
      <c r="N14" s="315"/>
      <c r="O14" s="315"/>
      <c r="P14" s="315"/>
      <c r="Q14" s="315"/>
      <c r="R14" s="315"/>
    </row>
    <row r="15" spans="2:18" ht="21" customHeight="1">
      <c r="B15" s="316" t="str">
        <f>'KEY INPUTS'!D26</f>
        <v>Balance - December 31, 2020</v>
      </c>
      <c r="C15" s="316"/>
      <c r="D15" s="316"/>
      <c r="E15" s="316"/>
      <c r="F15" s="49"/>
      <c r="G15" s="303" t="s">
        <v>317</v>
      </c>
      <c r="H15" s="257" t="s">
        <v>726</v>
      </c>
      <c r="M15" s="315"/>
      <c r="N15" s="315"/>
      <c r="O15" s="315"/>
      <c r="P15" s="315"/>
      <c r="Q15" s="315"/>
      <c r="R15" s="315"/>
    </row>
    <row r="16" spans="2:18" ht="21" customHeight="1">
      <c r="B16" s="316"/>
      <c r="C16" s="316" t="s">
        <v>266</v>
      </c>
      <c r="D16" s="316"/>
      <c r="E16" s="316"/>
      <c r="F16" s="49"/>
      <c r="G16" s="240">
        <f>+H9+H11+H12+H13-G14-G18</f>
        <v>0.52000000001862645</v>
      </c>
      <c r="H16" s="125" t="s">
        <v>726</v>
      </c>
      <c r="I16" s="733"/>
      <c r="M16" s="315"/>
      <c r="N16" s="315"/>
      <c r="O16" s="315"/>
      <c r="P16" s="315"/>
      <c r="Q16" s="315"/>
      <c r="R16" s="315"/>
    </row>
    <row r="17" spans="2:18" ht="11.25" customHeight="1">
      <c r="B17" s="7"/>
      <c r="C17" s="7" t="s">
        <v>267</v>
      </c>
      <c r="D17" s="7"/>
      <c r="E17" s="7"/>
      <c r="F17" s="52"/>
      <c r="G17" s="930"/>
      <c r="H17" s="73"/>
      <c r="I17" s="318"/>
      <c r="M17" s="315"/>
      <c r="N17" s="315"/>
      <c r="O17" s="315"/>
      <c r="P17" s="315"/>
      <c r="Q17" s="315"/>
      <c r="R17" s="315"/>
    </row>
    <row r="18" spans="2:18" ht="12.75" customHeight="1">
      <c r="B18" s="277"/>
      <c r="C18" s="277" t="str">
        <f>"(Not in excess of 50% of Levy - "&amp;TEXT('KEY INPUTS'!D34,"0")&amp;" - "&amp;TEXT('KEY INPUTS'!D33,"0")&amp;")"</f>
        <v>(Not in excess of 50% of Levy - 2020 - 2021)</v>
      </c>
      <c r="D18" s="277"/>
      <c r="E18" s="277"/>
      <c r="F18" s="960"/>
      <c r="G18" s="966"/>
      <c r="H18" s="126" t="s">
        <v>726</v>
      </c>
      <c r="I18" s="221"/>
      <c r="M18" s="315"/>
      <c r="N18" s="315"/>
      <c r="O18" s="315"/>
      <c r="P18" s="315"/>
      <c r="Q18" s="315"/>
      <c r="R18" s="315"/>
    </row>
    <row r="19" spans="2:18" ht="21" customHeight="1" thickBot="1">
      <c r="B19" s="43" t="s">
        <v>605</v>
      </c>
      <c r="C19" s="7"/>
      <c r="D19" s="7"/>
      <c r="E19" s="7"/>
      <c r="F19" s="7"/>
      <c r="G19" s="99">
        <f>SUM(G14:G18)</f>
        <v>3002795.52</v>
      </c>
      <c r="H19" s="80">
        <f>SUM(H8:H13)</f>
        <v>3002795.52</v>
      </c>
      <c r="I19" s="266"/>
      <c r="M19" s="315"/>
      <c r="N19" s="315"/>
      <c r="O19" s="315"/>
      <c r="P19" s="315"/>
      <c r="Q19" s="315"/>
      <c r="R19" s="315"/>
    </row>
    <row r="20" spans="2:18" ht="12.75" customHeight="1" thickTop="1">
      <c r="B20" s="42"/>
      <c r="C20" s="44" t="s">
        <v>315</v>
      </c>
      <c r="D20" s="42"/>
      <c r="E20" s="42"/>
      <c r="F20" s="42"/>
      <c r="G20" s="11"/>
      <c r="H20" s="11"/>
      <c r="M20" s="315"/>
      <c r="N20" s="315"/>
      <c r="O20" s="315"/>
      <c r="P20" s="315"/>
      <c r="Q20" s="315"/>
      <c r="R20" s="315"/>
    </row>
    <row r="21" spans="2:18" ht="12.75" customHeight="1">
      <c r="B21" s="44" t="s">
        <v>316</v>
      </c>
      <c r="C21" s="42"/>
      <c r="D21" s="42"/>
      <c r="E21" s="42"/>
      <c r="F21" s="42"/>
      <c r="G21" s="42"/>
      <c r="H21" s="42"/>
      <c r="M21" s="315"/>
      <c r="N21" s="315"/>
      <c r="O21" s="315"/>
      <c r="P21" s="315"/>
      <c r="Q21" s="315"/>
      <c r="R21" s="315"/>
    </row>
    <row r="22" spans="2:18" ht="21" customHeight="1">
      <c r="B22" s="42"/>
      <c r="C22" s="42"/>
      <c r="D22" s="42"/>
      <c r="E22" s="42"/>
      <c r="F22" s="42"/>
      <c r="G22" s="42"/>
      <c r="H22" s="42"/>
      <c r="M22" s="315"/>
      <c r="N22" s="315"/>
      <c r="O22" s="315"/>
      <c r="P22" s="315"/>
      <c r="Q22" s="315"/>
      <c r="R22" s="315"/>
    </row>
    <row r="23" spans="2:18" ht="21" customHeight="1">
      <c r="B23" s="42"/>
      <c r="C23" s="42"/>
      <c r="D23" s="42"/>
      <c r="E23" s="42"/>
      <c r="F23" s="42"/>
      <c r="G23" s="42"/>
      <c r="H23" s="42"/>
      <c r="M23" s="315"/>
      <c r="N23" s="315"/>
      <c r="O23" s="315"/>
      <c r="P23" s="315"/>
      <c r="Q23" s="315"/>
      <c r="R23" s="315"/>
    </row>
    <row r="24" spans="2:18" ht="21" customHeight="1">
      <c r="B24" s="42"/>
      <c r="C24" s="42"/>
      <c r="D24" s="42"/>
      <c r="E24" s="42"/>
      <c r="F24" s="42"/>
      <c r="G24" s="42"/>
      <c r="H24" s="42"/>
      <c r="M24" s="315"/>
      <c r="N24" s="315"/>
      <c r="O24" s="315"/>
      <c r="P24" s="315"/>
      <c r="Q24" s="315"/>
      <c r="R24" s="315"/>
    </row>
    <row r="25" spans="2:18" ht="21" customHeight="1">
      <c r="M25" s="315"/>
      <c r="N25" s="315"/>
      <c r="O25" s="315"/>
      <c r="P25" s="315"/>
      <c r="Q25" s="315"/>
      <c r="R25" s="315"/>
    </row>
    <row r="26" spans="2:18" ht="21" customHeight="1">
      <c r="B26" s="1586" t="s">
        <v>820</v>
      </c>
      <c r="C26" s="1586"/>
      <c r="D26" s="1586"/>
      <c r="E26" s="1586"/>
      <c r="F26" s="1586"/>
      <c r="G26" s="1586"/>
      <c r="H26" s="1586"/>
      <c r="M26" s="315"/>
      <c r="N26" s="315"/>
      <c r="O26" s="315"/>
      <c r="P26" s="315"/>
      <c r="Q26" s="315"/>
      <c r="R26" s="315"/>
    </row>
    <row r="27" spans="2:18" ht="21" customHeight="1" thickBot="1">
      <c r="B27" s="315"/>
      <c r="C27" s="315"/>
      <c r="D27" s="315"/>
      <c r="E27" s="315"/>
      <c r="F27" s="315"/>
      <c r="G27" s="315"/>
      <c r="H27" s="315"/>
    </row>
    <row r="28" spans="2:18" ht="30" customHeight="1" thickTop="1" thickBot="1">
      <c r="B28" s="1589"/>
      <c r="C28" s="1589"/>
      <c r="D28" s="1589"/>
      <c r="E28" s="1589"/>
      <c r="F28" s="1590"/>
      <c r="G28" s="4" t="s">
        <v>101</v>
      </c>
      <c r="H28" s="956" t="s">
        <v>102</v>
      </c>
    </row>
    <row r="29" spans="2:18" ht="21" customHeight="1" thickTop="1">
      <c r="B29" t="str">
        <f>B8</f>
        <v>Balance - January 1, 2020</v>
      </c>
      <c r="F29" s="38"/>
      <c r="G29" s="164" t="s">
        <v>317</v>
      </c>
      <c r="H29" s="575">
        <v>0</v>
      </c>
    </row>
    <row r="30" spans="2:18" ht="21" customHeight="1">
      <c r="B30" s="559"/>
      <c r="C30" s="559"/>
      <c r="D30" s="559"/>
      <c r="E30" s="559"/>
      <c r="F30" s="812"/>
      <c r="G30" s="674"/>
      <c r="H30" s="575"/>
    </row>
    <row r="31" spans="2:18" ht="21" customHeight="1">
      <c r="B31" s="274" t="str">
        <f>TEXT('KEY INPUTS'!D34,"0")&amp;" Levy"</f>
        <v>2020 Levy</v>
      </c>
      <c r="C31" s="5"/>
      <c r="D31" s="5"/>
      <c r="E31" s="5"/>
      <c r="F31" s="49"/>
      <c r="G31" s="144" t="s">
        <v>317</v>
      </c>
      <c r="H31" s="575"/>
    </row>
    <row r="32" spans="2:18" ht="21" customHeight="1">
      <c r="B32" s="559"/>
      <c r="C32" s="559"/>
      <c r="D32" s="559"/>
      <c r="E32" s="559"/>
      <c r="F32" s="812"/>
      <c r="G32" s="674"/>
      <c r="H32" s="575"/>
    </row>
    <row r="33" spans="2:8" ht="21" customHeight="1">
      <c r="B33" s="316" t="s">
        <v>821</v>
      </c>
      <c r="C33" s="316"/>
      <c r="D33" s="316"/>
      <c r="E33" s="316"/>
      <c r="F33" s="49"/>
      <c r="G33" s="144" t="s">
        <v>317</v>
      </c>
      <c r="H33" s="575"/>
    </row>
    <row r="34" spans="2:8" ht="21" customHeight="1">
      <c r="B34" s="559"/>
      <c r="C34" s="559"/>
      <c r="D34" s="559"/>
      <c r="E34" s="559"/>
      <c r="F34" s="812"/>
      <c r="G34" s="568"/>
      <c r="H34" s="961"/>
    </row>
    <row r="35" spans="2:8" ht="21" customHeight="1">
      <c r="B35" s="5" t="s">
        <v>765</v>
      </c>
      <c r="C35" s="5"/>
      <c r="D35" s="5"/>
      <c r="E35" s="5"/>
      <c r="F35" s="49"/>
      <c r="G35" s="568"/>
      <c r="H35" s="357" t="s">
        <v>726</v>
      </c>
    </row>
    <row r="36" spans="2:8" ht="21" customHeight="1">
      <c r="B36" s="559"/>
      <c r="C36" s="559"/>
      <c r="D36" s="559"/>
      <c r="E36" s="559"/>
      <c r="F36" s="812"/>
      <c r="G36" s="568"/>
      <c r="H36" s="961"/>
    </row>
    <row r="37" spans="2:8" ht="21" customHeight="1">
      <c r="B37" s="7" t="str">
        <f>B15</f>
        <v>Balance - December 31, 2020</v>
      </c>
      <c r="C37" s="7"/>
      <c r="D37" s="7"/>
      <c r="E37" s="7"/>
      <c r="F37" s="52"/>
      <c r="G37" s="568">
        <v>0</v>
      </c>
      <c r="H37" s="357" t="s">
        <v>726</v>
      </c>
    </row>
    <row r="38" spans="2:8" ht="21" customHeight="1" thickBot="1">
      <c r="B38" s="43" t="s">
        <v>316</v>
      </c>
      <c r="C38" s="7"/>
      <c r="D38" s="7"/>
      <c r="E38" s="7"/>
      <c r="F38" s="7"/>
      <c r="G38" s="99">
        <f>SUM(G30:G37)</f>
        <v>0</v>
      </c>
      <c r="H38" s="80">
        <f>SUM(H29:H36)</f>
        <v>0</v>
      </c>
    </row>
    <row r="39" spans="2:8" ht="21" customHeight="1" thickTop="1">
      <c r="B39" s="42"/>
      <c r="C39" s="42"/>
      <c r="D39" s="42"/>
      <c r="E39" s="42"/>
      <c r="F39" s="42"/>
      <c r="G39" s="11"/>
      <c r="H39" s="11"/>
    </row>
    <row r="41" spans="2:8">
      <c r="B41" s="1"/>
      <c r="C41" s="1"/>
      <c r="D41" s="1"/>
      <c r="E41" s="1"/>
      <c r="F41" s="1"/>
      <c r="G41" s="1"/>
      <c r="H41" s="1"/>
    </row>
    <row r="42" spans="2:8">
      <c r="B42" s="1"/>
      <c r="C42" s="1"/>
      <c r="D42" s="1"/>
      <c r="E42" s="1"/>
      <c r="F42" s="1"/>
      <c r="G42" s="1"/>
      <c r="H42" s="1"/>
    </row>
    <row r="43" spans="2:8">
      <c r="B43" s="1"/>
      <c r="C43" s="1"/>
      <c r="D43" s="1"/>
      <c r="E43" s="1"/>
      <c r="F43" s="1"/>
      <c r="G43" s="1"/>
      <c r="H43" s="1"/>
    </row>
    <row r="44" spans="2:8">
      <c r="B44" s="1"/>
      <c r="C44" s="1"/>
      <c r="D44" s="1"/>
      <c r="E44" s="1"/>
      <c r="F44" s="1"/>
      <c r="G44" s="1"/>
      <c r="H44" s="1"/>
    </row>
    <row r="45" spans="2:8">
      <c r="B45" s="1"/>
      <c r="C45" s="1"/>
      <c r="D45" s="1"/>
      <c r="E45" s="1"/>
      <c r="F45" s="1"/>
      <c r="G45" s="1"/>
      <c r="H45" s="1"/>
    </row>
    <row r="46" spans="2:8">
      <c r="B46" s="1"/>
      <c r="C46" s="1"/>
      <c r="D46" s="1"/>
      <c r="E46" s="1"/>
      <c r="F46" s="1"/>
      <c r="G46" s="1"/>
      <c r="H46" s="1"/>
    </row>
    <row r="47" spans="2:8">
      <c r="B47" s="1"/>
      <c r="C47" s="1"/>
      <c r="D47" s="1"/>
      <c r="E47" s="1"/>
      <c r="F47" s="1"/>
      <c r="G47" s="1"/>
      <c r="H47" s="1"/>
    </row>
    <row r="48" spans="2:8">
      <c r="B48" s="1"/>
      <c r="C48" s="1"/>
      <c r="D48" s="1"/>
      <c r="E48" s="1"/>
      <c r="F48" s="1"/>
      <c r="G48" s="1"/>
      <c r="H48" s="1"/>
    </row>
    <row r="49" spans="2:8">
      <c r="B49" s="1"/>
      <c r="C49" s="1"/>
      <c r="D49" s="1"/>
      <c r="E49" s="1"/>
      <c r="F49" s="1"/>
      <c r="G49" s="1"/>
      <c r="H49" s="1"/>
    </row>
    <row r="51" spans="2:8" ht="13.8">
      <c r="B51" s="1545" t="s">
        <v>269</v>
      </c>
      <c r="C51" s="1545"/>
      <c r="D51" s="1545"/>
      <c r="E51" s="1545"/>
      <c r="F51" s="1545"/>
      <c r="G51" s="1545"/>
      <c r="H51" s="1545"/>
    </row>
  </sheetData>
  <sheetProtection algorithmName="SHA-512" hashValue="wtt0cnSesru08o/9obd8BrpPvbftYvtaA9KkeGkw1Gsf/1qI0nAkae9KCbgwlj09UnginA1fRlpxZVM7pbfBHA==" saltValue="lFFyq1EalvjDcBRQdPdKsw==" spinCount="100000" sheet="1" objects="1" scenarios="1"/>
  <mergeCells count="5">
    <mergeCell ref="B7:F7"/>
    <mergeCell ref="B51:H51"/>
    <mergeCell ref="B5:H5"/>
    <mergeCell ref="B26:H26"/>
    <mergeCell ref="B28:F28"/>
  </mergeCells>
  <phoneticPr fontId="0" type="noConversion"/>
  <pageMargins left="0.25" right="0.25" top="0.5" bottom="0.5" header="0.25" footer="0.25"/>
  <pageSetup paperSize="5" orientation="portrait"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dimension ref="B5:P52"/>
  <sheetViews>
    <sheetView topLeftCell="A10" zoomScaleNormal="100" workbookViewId="0">
      <selection activeCell="G41" sqref="G41"/>
    </sheetView>
  </sheetViews>
  <sheetFormatPr defaultRowHeight="13.2"/>
  <cols>
    <col min="1" max="1" width="4.6640625" customWidth="1"/>
    <col min="2" max="2" width="4.88671875" customWidth="1"/>
    <col min="3" max="4" width="4.6640625" customWidth="1"/>
    <col min="5" max="5" width="33.6640625" customWidth="1"/>
    <col min="6" max="6" width="15.6640625" customWidth="1"/>
    <col min="7" max="8" width="16.6640625" customWidth="1"/>
    <col min="9" max="9" width="13.88671875" bestFit="1" customWidth="1"/>
    <col min="10" max="10" width="12.88671875" bestFit="1" customWidth="1"/>
    <col min="11" max="11" width="10.33203125" bestFit="1" customWidth="1"/>
  </cols>
  <sheetData>
    <row r="5" spans="2:16" ht="22.8">
      <c r="B5" s="1586" t="s">
        <v>727</v>
      </c>
      <c r="C5" s="1586"/>
      <c r="D5" s="1586"/>
      <c r="E5" s="1586"/>
      <c r="F5" s="1586"/>
      <c r="G5" s="1586"/>
      <c r="H5" s="1586"/>
      <c r="I5" s="701"/>
    </row>
    <row r="6" spans="2:16" ht="13.5" customHeight="1">
      <c r="B6" s="1652" t="s">
        <v>728</v>
      </c>
      <c r="C6" s="1652"/>
      <c r="D6" s="1652"/>
      <c r="E6" s="1652"/>
      <c r="F6" s="1652"/>
      <c r="G6" s="1652"/>
      <c r="H6" s="1652"/>
    </row>
    <row r="7" spans="2:16" ht="13.8" thickBot="1"/>
    <row r="8" spans="2:16" ht="36" customHeight="1" thickTop="1" thickBot="1">
      <c r="B8" s="1589"/>
      <c r="C8" s="1589"/>
      <c r="D8" s="1589"/>
      <c r="E8" s="1589"/>
      <c r="F8" s="1590"/>
      <c r="G8" s="4" t="s">
        <v>101</v>
      </c>
      <c r="H8" s="3" t="s">
        <v>102</v>
      </c>
    </row>
    <row r="9" spans="2:16" ht="21" customHeight="1" thickTop="1">
      <c r="B9" s="315" t="str">
        <f>'13-Other Taxes'!B8</f>
        <v>Balance - January 1, 2020</v>
      </c>
      <c r="C9" s="315"/>
      <c r="D9" s="315"/>
      <c r="E9" s="315"/>
      <c r="F9" s="315"/>
      <c r="G9" s="164" t="s">
        <v>317</v>
      </c>
      <c r="H9" s="165" t="s">
        <v>726</v>
      </c>
    </row>
    <row r="10" spans="2:16" ht="21" customHeight="1">
      <c r="B10" s="316"/>
      <c r="C10" s="316" t="s">
        <v>266</v>
      </c>
      <c r="D10" s="316"/>
      <c r="E10" s="316"/>
      <c r="F10" s="49"/>
      <c r="G10" s="144" t="s">
        <v>317</v>
      </c>
      <c r="H10" s="571">
        <v>0</v>
      </c>
      <c r="K10" s="315"/>
      <c r="L10" s="315"/>
      <c r="M10" s="315"/>
      <c r="N10" s="315"/>
      <c r="O10" s="315"/>
      <c r="P10" s="315"/>
    </row>
    <row r="11" spans="2:16" ht="11.25" customHeight="1">
      <c r="B11" s="7"/>
      <c r="C11" s="7" t="s">
        <v>267</v>
      </c>
      <c r="D11" s="7"/>
      <c r="E11" s="7"/>
      <c r="F11" s="52"/>
      <c r="G11" s="166"/>
      <c r="H11" s="959"/>
      <c r="K11" s="315"/>
      <c r="L11" s="315"/>
      <c r="M11" s="315"/>
      <c r="N11" s="315"/>
      <c r="O11" s="315"/>
      <c r="P11" s="315"/>
    </row>
    <row r="12" spans="2:16">
      <c r="B12" s="277"/>
      <c r="C12" s="277" t="str">
        <f>'13-Other Taxes'!C11</f>
        <v>(Not in excess of  50% of Levy - 2019 - 2020)</v>
      </c>
      <c r="D12" s="277"/>
      <c r="E12" s="277"/>
      <c r="F12" s="53"/>
      <c r="G12" s="156" t="s">
        <v>317</v>
      </c>
      <c r="H12" s="929"/>
      <c r="K12" s="370"/>
      <c r="L12" s="315"/>
      <c r="M12" s="315"/>
      <c r="N12" s="315"/>
      <c r="O12" s="315"/>
      <c r="P12" s="315"/>
    </row>
    <row r="13" spans="2:16" ht="21" customHeight="1">
      <c r="B13" s="316" t="str">
        <f>'13-Other Taxes'!B12</f>
        <v>Levy School Year July 1, 2020 - June 30, 2021</v>
      </c>
      <c r="C13" s="316"/>
      <c r="D13" s="316"/>
      <c r="E13" s="316"/>
      <c r="F13" s="49"/>
      <c r="G13" s="144" t="s">
        <v>317</v>
      </c>
      <c r="H13" s="571"/>
      <c r="K13" s="315"/>
      <c r="L13" s="315"/>
      <c r="M13" s="315"/>
      <c r="N13" s="315"/>
      <c r="O13" s="315"/>
      <c r="P13" s="315"/>
    </row>
    <row r="14" spans="2:16" ht="21" customHeight="1">
      <c r="B14" s="316" t="str">
        <f>'13-Other Taxes'!B13</f>
        <v>Levy Calendar Year 2020</v>
      </c>
      <c r="C14" s="316"/>
      <c r="D14" s="316"/>
      <c r="E14" s="316"/>
      <c r="F14" s="49"/>
      <c r="G14" s="144" t="s">
        <v>317</v>
      </c>
      <c r="H14" s="571"/>
      <c r="K14" s="315"/>
      <c r="L14" s="751" t="s">
        <v>3541</v>
      </c>
      <c r="M14" s="315"/>
      <c r="N14" s="315"/>
      <c r="O14" s="315"/>
      <c r="P14" s="315"/>
    </row>
    <row r="15" spans="2:16" ht="21" customHeight="1">
      <c r="B15" s="316" t="s">
        <v>268</v>
      </c>
      <c r="C15" s="316"/>
      <c r="D15" s="316"/>
      <c r="E15" s="316"/>
      <c r="F15" s="49"/>
      <c r="G15" s="367"/>
      <c r="H15" s="125" t="s">
        <v>726</v>
      </c>
      <c r="K15" s="315"/>
      <c r="L15" s="315"/>
      <c r="M15" s="315"/>
      <c r="N15" s="315"/>
      <c r="O15" s="315"/>
      <c r="P15" s="315"/>
    </row>
    <row r="16" spans="2:16" ht="21" customHeight="1">
      <c r="B16" s="316" t="str">
        <f>'13-Other Taxes'!B15</f>
        <v>Balance - December 31, 2020</v>
      </c>
      <c r="C16" s="316"/>
      <c r="D16" s="316"/>
      <c r="E16" s="316"/>
      <c r="F16" s="49"/>
      <c r="G16" s="963" t="s">
        <v>317</v>
      </c>
      <c r="H16" s="125" t="s">
        <v>726</v>
      </c>
      <c r="K16" s="315"/>
      <c r="L16" s="315"/>
      <c r="M16" s="315"/>
      <c r="N16" s="315"/>
      <c r="O16" s="315"/>
      <c r="P16" s="315"/>
    </row>
    <row r="17" spans="2:16" ht="21" customHeight="1">
      <c r="B17" s="316"/>
      <c r="C17" s="316" t="s">
        <v>266</v>
      </c>
      <c r="D17" s="316"/>
      <c r="E17" s="316"/>
      <c r="F17" s="49"/>
      <c r="G17" s="833">
        <f>+H10+H12+H13+H14-G15-G19</f>
        <v>0</v>
      </c>
      <c r="H17" s="125" t="s">
        <v>726</v>
      </c>
      <c r="K17" s="315"/>
      <c r="L17" s="315"/>
      <c r="M17" s="315"/>
      <c r="N17" s="315"/>
      <c r="O17" s="315"/>
      <c r="P17" s="315"/>
    </row>
    <row r="18" spans="2:16" ht="11.25" customHeight="1">
      <c r="B18" s="7"/>
      <c r="C18" s="7" t="s">
        <v>267</v>
      </c>
      <c r="D18" s="7"/>
      <c r="E18" s="7"/>
      <c r="F18" s="52"/>
      <c r="G18" s="964"/>
      <c r="H18" s="73"/>
      <c r="K18" s="315"/>
      <c r="L18" s="315"/>
      <c r="M18" s="315"/>
      <c r="N18" s="315"/>
      <c r="O18" s="315"/>
      <c r="P18" s="315"/>
    </row>
    <row r="19" spans="2:16" ht="12.75" customHeight="1">
      <c r="B19" s="277"/>
      <c r="C19" s="277" t="str">
        <f>'13-Other Taxes'!C18</f>
        <v>(Not in excess of 50% of Levy - 2020 - 2021)</v>
      </c>
      <c r="D19" s="277"/>
      <c r="E19" s="277"/>
      <c r="F19" s="53"/>
      <c r="G19" s="966">
        <v>0</v>
      </c>
      <c r="H19" s="126" t="s">
        <v>726</v>
      </c>
      <c r="K19" s="315"/>
      <c r="L19" s="315"/>
      <c r="M19" s="315"/>
      <c r="N19" s="315"/>
      <c r="O19" s="315"/>
      <c r="P19" s="315"/>
    </row>
    <row r="20" spans="2:16" ht="21" customHeight="1" thickBot="1">
      <c r="B20" s="44" t="s">
        <v>316</v>
      </c>
      <c r="C20" s="7"/>
      <c r="D20" s="7"/>
      <c r="E20" s="7"/>
      <c r="F20" s="7"/>
      <c r="G20" s="99">
        <f>SUM(G15:G19)</f>
        <v>0</v>
      </c>
      <c r="H20" s="80">
        <f>SUM(H9:H19)</f>
        <v>0</v>
      </c>
      <c r="K20" s="315"/>
      <c r="L20" s="315"/>
      <c r="M20" s="315"/>
      <c r="N20" s="315"/>
      <c r="O20" s="315"/>
      <c r="P20" s="315"/>
    </row>
    <row r="21" spans="2:16" ht="12.75" customHeight="1" thickTop="1">
      <c r="B21" s="42"/>
      <c r="C21" s="44"/>
      <c r="D21" s="42"/>
      <c r="E21" s="42"/>
      <c r="F21" s="42"/>
      <c r="G21" s="11"/>
      <c r="H21" s="11"/>
      <c r="K21" s="315"/>
      <c r="L21" s="315"/>
      <c r="M21" s="315"/>
      <c r="N21" s="315"/>
      <c r="O21" s="315"/>
      <c r="P21" s="315"/>
    </row>
    <row r="22" spans="2:16" ht="12.75" customHeight="1">
      <c r="B22" s="44"/>
      <c r="C22" s="42"/>
      <c r="D22" s="42"/>
      <c r="E22" s="42"/>
      <c r="F22" s="42"/>
      <c r="G22" s="42"/>
      <c r="H22" s="42"/>
      <c r="K22" s="315"/>
      <c r="L22" s="315"/>
      <c r="M22" s="315"/>
      <c r="N22" s="315"/>
      <c r="O22" s="315"/>
      <c r="P22" s="315"/>
    </row>
    <row r="23" spans="2:16" ht="21" customHeight="1">
      <c r="B23" s="42"/>
      <c r="C23" s="42"/>
      <c r="D23" s="42"/>
      <c r="E23" s="42"/>
      <c r="F23" s="42"/>
      <c r="G23" s="42"/>
      <c r="H23" s="42"/>
      <c r="K23" s="315"/>
      <c r="L23" s="315"/>
      <c r="M23" s="315"/>
      <c r="N23" s="315"/>
      <c r="O23" s="315"/>
      <c r="P23" s="315"/>
    </row>
    <row r="24" spans="2:16" ht="21" customHeight="1">
      <c r="B24" s="42"/>
      <c r="C24" s="42"/>
      <c r="D24" s="42"/>
      <c r="E24" s="42"/>
      <c r="F24" s="42"/>
      <c r="G24" s="42"/>
      <c r="H24" s="42"/>
      <c r="K24" s="315"/>
      <c r="L24" s="315"/>
      <c r="M24" s="315"/>
      <c r="N24" s="315"/>
      <c r="O24" s="315"/>
      <c r="P24" s="315"/>
    </row>
    <row r="25" spans="2:16" ht="21" customHeight="1">
      <c r="B25" s="42"/>
      <c r="C25" s="42"/>
      <c r="D25" s="42"/>
      <c r="E25" s="42"/>
      <c r="F25" s="42"/>
      <c r="G25" s="42"/>
      <c r="H25" s="42"/>
    </row>
    <row r="26" spans="2:16" ht="21" customHeight="1"/>
    <row r="27" spans="2:16" ht="21" customHeight="1">
      <c r="B27" s="1586" t="s">
        <v>729</v>
      </c>
      <c r="C27" s="1586"/>
      <c r="D27" s="1586"/>
      <c r="E27" s="1586"/>
      <c r="F27" s="1586"/>
      <c r="G27" s="1586"/>
      <c r="H27" s="1586"/>
    </row>
    <row r="28" spans="2:16" ht="21" customHeight="1" thickBot="1"/>
    <row r="29" spans="2:16" ht="30" customHeight="1" thickTop="1" thickBot="1">
      <c r="B29" s="1589"/>
      <c r="C29" s="1589"/>
      <c r="D29" s="1589"/>
      <c r="E29" s="1589"/>
      <c r="F29" s="1590"/>
      <c r="G29" s="4" t="s">
        <v>101</v>
      </c>
      <c r="H29" s="3" t="s">
        <v>102</v>
      </c>
    </row>
    <row r="30" spans="2:16" ht="21" customHeight="1" thickTop="1">
      <c r="B30" s="315" t="str">
        <f>B9</f>
        <v>Balance - January 1, 2020</v>
      </c>
      <c r="C30" s="315"/>
      <c r="D30" s="315"/>
      <c r="E30" s="315"/>
      <c r="F30" s="315"/>
      <c r="G30" s="164" t="s">
        <v>317</v>
      </c>
      <c r="H30" s="165" t="s">
        <v>726</v>
      </c>
    </row>
    <row r="31" spans="2:16" ht="21" customHeight="1">
      <c r="B31" s="316"/>
      <c r="C31" s="316" t="s">
        <v>266</v>
      </c>
      <c r="D31" s="316"/>
      <c r="E31" s="316"/>
      <c r="F31" s="49"/>
      <c r="G31" s="144" t="s">
        <v>317</v>
      </c>
      <c r="H31" s="571">
        <v>1280302.78</v>
      </c>
    </row>
    <row r="32" spans="2:16" ht="11.25" customHeight="1">
      <c r="B32" s="7"/>
      <c r="C32" s="7" t="s">
        <v>267</v>
      </c>
      <c r="D32" s="7"/>
      <c r="E32" s="7"/>
      <c r="F32" s="52"/>
      <c r="G32" s="309"/>
      <c r="H32" s="959"/>
    </row>
    <row r="33" spans="2:12" ht="12.75" customHeight="1">
      <c r="B33" s="277"/>
      <c r="C33" s="277" t="str">
        <f>C12</f>
        <v>(Not in excess of  50% of Levy - 2019 - 2020)</v>
      </c>
      <c r="D33" s="277"/>
      <c r="E33" s="277"/>
      <c r="F33" s="53"/>
      <c r="G33" s="308" t="s">
        <v>317</v>
      </c>
      <c r="H33" s="929">
        <v>238358.08</v>
      </c>
    </row>
    <row r="34" spans="2:12" ht="21" customHeight="1">
      <c r="B34" s="316" t="str">
        <f>B13</f>
        <v>Levy School Year July 1, 2020 - June 30, 2021</v>
      </c>
      <c r="C34" s="316"/>
      <c r="D34" s="316"/>
      <c r="E34" s="316"/>
      <c r="F34" s="49"/>
      <c r="G34" s="303" t="s">
        <v>317</v>
      </c>
      <c r="H34" s="571">
        <v>3119294</v>
      </c>
      <c r="K34" s="221"/>
    </row>
    <row r="35" spans="2:12" ht="21" customHeight="1">
      <c r="B35" s="316" t="str">
        <f>B14</f>
        <v>Levy Calendar Year 2020</v>
      </c>
      <c r="C35" s="316"/>
      <c r="D35" s="316"/>
      <c r="E35" s="316"/>
      <c r="F35" s="49"/>
      <c r="G35" s="303" t="s">
        <v>317</v>
      </c>
      <c r="H35" s="571"/>
      <c r="L35" s="751" t="s">
        <v>3541</v>
      </c>
    </row>
    <row r="36" spans="2:12" ht="21" customHeight="1">
      <c r="B36" s="316" t="s">
        <v>268</v>
      </c>
      <c r="C36" s="316"/>
      <c r="D36" s="316"/>
      <c r="E36" s="316"/>
      <c r="F36" s="49"/>
      <c r="G36" s="367">
        <v>3078305.5</v>
      </c>
      <c r="H36" s="257" t="s">
        <v>726</v>
      </c>
    </row>
    <row r="37" spans="2:12" ht="21" customHeight="1">
      <c r="B37" s="316" t="str">
        <f>B16</f>
        <v>Balance - December 31, 2020</v>
      </c>
      <c r="C37" s="316"/>
      <c r="D37" s="316"/>
      <c r="E37" s="316"/>
      <c r="F37" s="49"/>
      <c r="G37" s="303" t="s">
        <v>317</v>
      </c>
      <c r="H37" s="257" t="s">
        <v>726</v>
      </c>
    </row>
    <row r="38" spans="2:12" ht="21" customHeight="1">
      <c r="B38" s="316"/>
      <c r="C38" s="316" t="s">
        <v>266</v>
      </c>
      <c r="D38" s="316"/>
      <c r="E38" s="316"/>
      <c r="F38" s="49"/>
      <c r="G38" s="965">
        <f>+H31+H33+H34+H35-G36-G40</f>
        <v>1321291.2800000003</v>
      </c>
      <c r="H38" s="125" t="s">
        <v>726</v>
      </c>
    </row>
    <row r="39" spans="2:12" ht="11.25" customHeight="1">
      <c r="B39" s="7"/>
      <c r="C39" s="7" t="s">
        <v>267</v>
      </c>
      <c r="D39" s="7"/>
      <c r="E39" s="7"/>
      <c r="F39" s="52"/>
      <c r="G39" s="964"/>
      <c r="H39" s="167"/>
    </row>
    <row r="40" spans="2:12" ht="12.75" customHeight="1">
      <c r="B40" s="277"/>
      <c r="C40" s="277" t="str">
        <f>C19</f>
        <v>(Not in excess of 50% of Levy - 2020 - 2021)</v>
      </c>
      <c r="D40" s="277"/>
      <c r="E40" s="277"/>
      <c r="F40" s="53"/>
      <c r="G40" s="966">
        <v>238358.08</v>
      </c>
      <c r="H40" s="126" t="s">
        <v>726</v>
      </c>
    </row>
    <row r="41" spans="2:12" ht="21" customHeight="1" thickBot="1">
      <c r="B41" s="43" t="s">
        <v>316</v>
      </c>
      <c r="C41" s="7"/>
      <c r="D41" s="7"/>
      <c r="E41" s="7"/>
      <c r="F41" s="7"/>
      <c r="G41" s="99">
        <f>SUM(G34:G40)</f>
        <v>4637954.8600000003</v>
      </c>
      <c r="H41" s="80">
        <f>SUM(H30:H40)</f>
        <v>4637954.8600000003</v>
      </c>
    </row>
    <row r="42" spans="2:12" ht="21" customHeight="1" thickTop="1">
      <c r="B42" s="42"/>
      <c r="C42" s="42"/>
      <c r="D42" s="42"/>
      <c r="E42" s="42"/>
      <c r="F42" s="42"/>
      <c r="G42" s="11"/>
      <c r="H42" s="11"/>
    </row>
    <row r="44" spans="2:12">
      <c r="B44" s="1"/>
      <c r="C44" s="1"/>
      <c r="D44" s="1"/>
      <c r="E44" s="1"/>
      <c r="F44" s="1"/>
      <c r="G44" s="1"/>
      <c r="H44" s="1"/>
    </row>
    <row r="45" spans="2:12">
      <c r="B45" s="1"/>
      <c r="C45" s="1"/>
      <c r="D45" s="1"/>
      <c r="E45" s="1"/>
      <c r="F45" s="1"/>
      <c r="G45" s="1"/>
      <c r="H45" s="1"/>
    </row>
    <row r="46" spans="2:12">
      <c r="B46" s="1"/>
      <c r="C46" s="1"/>
      <c r="D46" s="1"/>
      <c r="E46" s="1"/>
      <c r="F46" s="1"/>
      <c r="G46" s="1"/>
      <c r="H46" s="1"/>
    </row>
    <row r="47" spans="2:12">
      <c r="B47" s="1"/>
      <c r="C47" s="1"/>
      <c r="D47" s="1"/>
      <c r="E47" s="1"/>
      <c r="F47" s="1"/>
      <c r="G47" s="1"/>
      <c r="H47" s="1"/>
    </row>
    <row r="48" spans="2:12">
      <c r="B48" s="1"/>
      <c r="C48" s="1"/>
      <c r="D48" s="1"/>
      <c r="E48" s="1"/>
      <c r="F48" s="1"/>
      <c r="G48" s="1"/>
      <c r="H48" s="1"/>
    </row>
    <row r="49" spans="2:8">
      <c r="B49" s="1"/>
      <c r="C49" s="1"/>
      <c r="D49" s="1"/>
      <c r="E49" s="1"/>
      <c r="F49" s="1"/>
      <c r="G49" s="1"/>
      <c r="H49" s="1"/>
    </row>
    <row r="50" spans="2:8">
      <c r="B50" s="1"/>
      <c r="C50" s="1"/>
      <c r="D50" s="1"/>
      <c r="E50" s="1"/>
      <c r="F50" s="1"/>
      <c r="G50" s="1"/>
      <c r="H50" s="1"/>
    </row>
    <row r="52" spans="2:8" ht="13.8">
      <c r="B52" s="1545" t="s">
        <v>730</v>
      </c>
      <c r="C52" s="1545"/>
      <c r="D52" s="1545"/>
      <c r="E52" s="1545"/>
      <c r="F52" s="1545"/>
      <c r="G52" s="1545"/>
      <c r="H52" s="1545"/>
    </row>
  </sheetData>
  <sheetProtection algorithmName="SHA-512" hashValue="9Wy8dOX8nwt3B0+7i+sZSRmYLWweh9wsJt3RRFZGCuVow+P8kbBpIjjDRVTxlkE8wNNPm2WhR8pwv0YmMEfbSA==" saltValue="ioeYQ4FOo+Mc2iTnz/c7JA==" spinCount="100000" sheet="1" objects="1" scenarios="1"/>
  <mergeCells count="6">
    <mergeCell ref="B8:F8"/>
    <mergeCell ref="B52:H52"/>
    <mergeCell ref="B5:H5"/>
    <mergeCell ref="B27:H27"/>
    <mergeCell ref="B29:F29"/>
    <mergeCell ref="B6:H6"/>
  </mergeCells>
  <phoneticPr fontId="0" type="noConversion"/>
  <pageMargins left="0.25" right="0.25" top="0.5" bottom="0.5" header="0.25" footer="0.25"/>
  <pageSetup paperSize="5" orientation="portrait"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dimension ref="B3:S47"/>
  <sheetViews>
    <sheetView topLeftCell="A10" zoomScaleNormal="100" workbookViewId="0">
      <selection activeCell="I38" sqref="I38"/>
    </sheetView>
  </sheetViews>
  <sheetFormatPr defaultRowHeight="13.2"/>
  <cols>
    <col min="1" max="1" width="4.6640625" customWidth="1"/>
    <col min="2" max="2" width="4.88671875" customWidth="1"/>
    <col min="3" max="6" width="4.6640625" customWidth="1"/>
    <col min="7" max="7" width="23.6640625" customWidth="1"/>
    <col min="8" max="8" width="15.6640625" customWidth="1"/>
    <col min="9" max="10" width="16.6640625" customWidth="1"/>
    <col min="11" max="11" width="10.109375" bestFit="1" customWidth="1"/>
  </cols>
  <sheetData>
    <row r="3" spans="2:19" ht="22.8">
      <c r="B3" s="1586" t="s">
        <v>166</v>
      </c>
      <c r="C3" s="1586"/>
      <c r="D3" s="1586"/>
      <c r="E3" s="1586"/>
      <c r="F3" s="1586"/>
      <c r="G3" s="1586"/>
      <c r="H3" s="1586"/>
      <c r="I3" s="1586"/>
      <c r="J3" s="1586"/>
      <c r="K3" s="701"/>
    </row>
    <row r="4" spans="2:19" ht="13.8" thickBot="1"/>
    <row r="5" spans="2:19" ht="36" customHeight="1" thickTop="1" thickBot="1">
      <c r="B5" s="1589"/>
      <c r="C5" s="1589"/>
      <c r="D5" s="1589"/>
      <c r="E5" s="1589"/>
      <c r="F5" s="1589"/>
      <c r="G5" s="1589"/>
      <c r="H5" s="1590"/>
      <c r="I5" s="4" t="s">
        <v>101</v>
      </c>
      <c r="J5" s="3" t="s">
        <v>102</v>
      </c>
    </row>
    <row r="6" spans="2:19" ht="21" customHeight="1" thickTop="1">
      <c r="B6" t="str">
        <f>'KEY INPUTS'!D25</f>
        <v>Balance - January 1, 2020</v>
      </c>
      <c r="I6" s="164" t="s">
        <v>317</v>
      </c>
      <c r="J6" s="165" t="s">
        <v>726</v>
      </c>
    </row>
    <row r="7" spans="2:19" ht="21" customHeight="1">
      <c r="B7" s="5"/>
      <c r="C7" s="5" t="s">
        <v>732</v>
      </c>
      <c r="D7" s="5"/>
      <c r="E7" s="5"/>
      <c r="F7" s="5"/>
      <c r="G7" s="5"/>
      <c r="H7" s="49"/>
      <c r="I7" s="144" t="s">
        <v>317</v>
      </c>
      <c r="J7" s="571">
        <v>0</v>
      </c>
    </row>
    <row r="8" spans="2:19" ht="21" customHeight="1">
      <c r="B8" s="5"/>
      <c r="C8" s="5" t="s">
        <v>733</v>
      </c>
      <c r="D8" s="5"/>
      <c r="E8" s="5"/>
      <c r="F8" s="5"/>
      <c r="G8" s="5"/>
      <c r="H8" s="49"/>
      <c r="I8" s="144" t="s">
        <v>317</v>
      </c>
      <c r="J8" s="571">
        <v>1154.71</v>
      </c>
      <c r="L8" s="284"/>
    </row>
    <row r="9" spans="2:19" ht="21" customHeight="1">
      <c r="B9" s="5"/>
      <c r="C9" s="5"/>
      <c r="D9" s="5"/>
      <c r="E9" s="5"/>
      <c r="F9" s="5"/>
      <c r="G9" s="5"/>
      <c r="H9" s="49"/>
      <c r="I9" s="303"/>
      <c r="J9" s="264"/>
      <c r="N9" s="315"/>
      <c r="O9" s="315"/>
      <c r="P9" s="315"/>
      <c r="Q9" s="315"/>
      <c r="R9" s="315"/>
      <c r="S9" s="315"/>
    </row>
    <row r="10" spans="2:19" ht="21" customHeight="1">
      <c r="B10" s="5" t="str">
        <f>'13-Other Taxes'!B31</f>
        <v>2020 Levy</v>
      </c>
      <c r="C10" s="5"/>
      <c r="D10" s="294" t="s">
        <v>933</v>
      </c>
      <c r="E10" s="5"/>
      <c r="F10" s="5"/>
      <c r="G10" s="5"/>
      <c r="H10" s="49"/>
      <c r="I10" s="303" t="s">
        <v>317</v>
      </c>
      <c r="J10" s="257" t="s">
        <v>726</v>
      </c>
      <c r="N10" s="315"/>
      <c r="O10" s="315"/>
      <c r="P10" s="315"/>
      <c r="Q10" s="315"/>
      <c r="R10" s="315"/>
      <c r="S10" s="315"/>
    </row>
    <row r="11" spans="2:19" ht="21" customHeight="1">
      <c r="B11" s="5"/>
      <c r="C11" s="5" t="s">
        <v>734</v>
      </c>
      <c r="D11" s="5"/>
      <c r="E11" s="5"/>
      <c r="F11" s="5"/>
      <c r="G11" s="5"/>
      <c r="H11" s="49"/>
      <c r="I11" s="303" t="s">
        <v>317</v>
      </c>
      <c r="J11" s="571">
        <v>1452227.26</v>
      </c>
      <c r="N11" s="370"/>
      <c r="O11" s="315"/>
      <c r="P11" s="315"/>
      <c r="Q11" s="315"/>
      <c r="R11" s="315"/>
      <c r="S11" s="315"/>
    </row>
    <row r="12" spans="2:19" ht="21" customHeight="1">
      <c r="B12" s="5"/>
      <c r="C12" s="5" t="s">
        <v>735</v>
      </c>
      <c r="D12" s="5"/>
      <c r="E12" s="5"/>
      <c r="F12" s="5"/>
      <c r="G12" s="5"/>
      <c r="H12" s="49"/>
      <c r="I12" s="303" t="s">
        <v>317</v>
      </c>
      <c r="J12" s="571">
        <v>0</v>
      </c>
      <c r="N12" s="315"/>
      <c r="O12" s="315"/>
      <c r="P12" s="315"/>
      <c r="Q12" s="315"/>
      <c r="R12" s="315"/>
      <c r="S12" s="315"/>
    </row>
    <row r="13" spans="2:19" ht="21" customHeight="1">
      <c r="B13" s="5"/>
      <c r="C13" s="5" t="s">
        <v>736</v>
      </c>
      <c r="D13" s="5"/>
      <c r="E13" s="5"/>
      <c r="F13" s="5"/>
      <c r="G13" s="5"/>
      <c r="H13" s="49"/>
      <c r="I13" s="303" t="s">
        <v>317</v>
      </c>
      <c r="J13" s="571">
        <v>0</v>
      </c>
      <c r="N13" s="315"/>
      <c r="O13" s="315"/>
      <c r="P13" s="315"/>
      <c r="Q13" s="315"/>
      <c r="R13" s="315"/>
      <c r="S13" s="315"/>
    </row>
    <row r="14" spans="2:19" ht="21" customHeight="1">
      <c r="B14" s="5"/>
      <c r="C14" s="5" t="s">
        <v>737</v>
      </c>
      <c r="D14" s="5"/>
      <c r="E14" s="5"/>
      <c r="F14" s="5"/>
      <c r="G14" s="5"/>
      <c r="H14" s="49"/>
      <c r="I14" s="303" t="s">
        <v>317</v>
      </c>
      <c r="J14" s="571">
        <v>87536.9</v>
      </c>
      <c r="N14" s="315"/>
      <c r="O14" s="315"/>
      <c r="P14" s="315"/>
      <c r="Q14" s="315"/>
      <c r="R14" s="315"/>
      <c r="S14" s="315"/>
    </row>
    <row r="15" spans="2:19" ht="21" customHeight="1">
      <c r="B15" s="5"/>
      <c r="C15" s="5" t="s">
        <v>733</v>
      </c>
      <c r="D15" s="5"/>
      <c r="E15" s="5"/>
      <c r="F15" s="5"/>
      <c r="G15" s="5"/>
      <c r="H15" s="49"/>
      <c r="I15" s="303" t="s">
        <v>317</v>
      </c>
      <c r="J15" s="571">
        <v>2184.35</v>
      </c>
      <c r="N15" s="315"/>
      <c r="O15" s="315"/>
      <c r="P15" s="315"/>
      <c r="Q15" s="315"/>
      <c r="R15" s="315"/>
      <c r="S15" s="315"/>
    </row>
    <row r="16" spans="2:19" ht="21" customHeight="1">
      <c r="B16" s="5" t="s">
        <v>268</v>
      </c>
      <c r="C16" s="5"/>
      <c r="D16" s="5"/>
      <c r="E16" s="5"/>
      <c r="F16" s="5"/>
      <c r="G16" s="5"/>
      <c r="H16" s="5"/>
      <c r="I16" s="367">
        <f>1539764.16+1154.71</f>
        <v>1540918.8699999999</v>
      </c>
      <c r="J16" s="257" t="s">
        <v>726</v>
      </c>
      <c r="K16" s="221"/>
      <c r="N16" s="315"/>
      <c r="O16" s="315"/>
      <c r="P16" s="315"/>
      <c r="Q16" s="315"/>
      <c r="R16" s="315"/>
      <c r="S16" s="315"/>
    </row>
    <row r="17" spans="2:19" ht="21" customHeight="1">
      <c r="B17" s="5" t="str">
        <f>'KEY INPUTS'!D26</f>
        <v>Balance - December 31, 2020</v>
      </c>
      <c r="C17" s="5"/>
      <c r="D17" s="5"/>
      <c r="E17" s="5"/>
      <c r="F17" s="5"/>
      <c r="G17" s="5"/>
      <c r="H17" s="5"/>
      <c r="I17" s="303" t="s">
        <v>317</v>
      </c>
      <c r="J17" s="257" t="s">
        <v>726</v>
      </c>
      <c r="N17" s="315"/>
      <c r="O17" s="315"/>
      <c r="P17" s="315"/>
      <c r="Q17" s="315"/>
      <c r="R17" s="315"/>
      <c r="S17" s="315"/>
    </row>
    <row r="18" spans="2:19" ht="21" customHeight="1">
      <c r="B18" s="5"/>
      <c r="C18" s="5" t="s">
        <v>732</v>
      </c>
      <c r="D18" s="5"/>
      <c r="E18" s="5"/>
      <c r="F18" s="5"/>
      <c r="G18" s="5"/>
      <c r="H18" s="5"/>
      <c r="I18" s="367">
        <v>0</v>
      </c>
      <c r="J18" s="125" t="s">
        <v>726</v>
      </c>
      <c r="N18" s="315"/>
      <c r="O18" s="315"/>
      <c r="P18" s="315"/>
      <c r="Q18" s="315"/>
      <c r="R18" s="315"/>
      <c r="S18" s="315"/>
    </row>
    <row r="19" spans="2:19" ht="21" customHeight="1" thickBot="1">
      <c r="B19" s="5"/>
      <c r="C19" s="5" t="s">
        <v>733</v>
      </c>
      <c r="D19" s="5"/>
      <c r="E19" s="5"/>
      <c r="F19" s="5"/>
      <c r="G19" s="5"/>
      <c r="H19" s="5"/>
      <c r="I19" s="76">
        <f>+J7+J8+J11+J12+J13+J14+J15-I16-I18</f>
        <v>2184.3500000000931</v>
      </c>
      <c r="J19" s="168" t="s">
        <v>726</v>
      </c>
      <c r="K19" s="221"/>
      <c r="N19" s="315"/>
      <c r="O19" s="315"/>
      <c r="P19" s="315"/>
      <c r="Q19" s="315"/>
      <c r="R19" s="315"/>
      <c r="S19" s="315"/>
    </row>
    <row r="20" spans="2:19" ht="21" customHeight="1" thickBot="1">
      <c r="B20" s="44"/>
      <c r="C20" s="7"/>
      <c r="D20" s="7"/>
      <c r="E20" s="7"/>
      <c r="F20" s="7"/>
      <c r="G20" s="7"/>
      <c r="H20" s="7"/>
      <c r="I20" s="79">
        <f>SUM(I6:I19)</f>
        <v>1543103.22</v>
      </c>
      <c r="J20" s="78">
        <f>SUM(J6:J19)</f>
        <v>1543103.22</v>
      </c>
      <c r="K20" s="221"/>
      <c r="N20" s="315"/>
      <c r="O20" s="315"/>
      <c r="P20" s="315"/>
      <c r="Q20" s="315"/>
      <c r="R20" s="315"/>
      <c r="S20" s="315"/>
    </row>
    <row r="21" spans="2:19" ht="12.75" customHeight="1" thickTop="1">
      <c r="B21" s="42"/>
      <c r="C21" s="44"/>
      <c r="D21" s="44"/>
      <c r="E21" s="44"/>
      <c r="F21" s="42"/>
      <c r="G21" s="42"/>
      <c r="H21" s="42"/>
      <c r="I21" s="11"/>
      <c r="J21" s="11"/>
      <c r="N21" s="315"/>
      <c r="O21" s="315"/>
      <c r="P21" s="315"/>
      <c r="Q21" s="315"/>
      <c r="R21" s="315"/>
      <c r="S21" s="315"/>
    </row>
    <row r="22" spans="2:19" ht="12.75" customHeight="1">
      <c r="B22" s="44"/>
      <c r="C22" s="42"/>
      <c r="D22" s="42"/>
      <c r="E22" s="42"/>
      <c r="F22" s="42"/>
      <c r="G22" s="42"/>
      <c r="H22" s="42"/>
      <c r="I22" s="42"/>
      <c r="J22" s="42"/>
      <c r="N22" s="315"/>
      <c r="O22" s="315"/>
      <c r="P22" s="315"/>
      <c r="Q22" s="315"/>
      <c r="R22" s="315"/>
      <c r="S22" s="315"/>
    </row>
    <row r="23" spans="2:19" ht="21" customHeight="1">
      <c r="N23" s="315"/>
      <c r="O23" s="315"/>
      <c r="P23" s="315"/>
      <c r="Q23" s="315"/>
      <c r="R23" s="315"/>
      <c r="S23" s="315"/>
    </row>
    <row r="24" spans="2:19" ht="21" customHeight="1">
      <c r="B24" s="1586" t="s">
        <v>731</v>
      </c>
      <c r="C24" s="1586"/>
      <c r="D24" s="1586"/>
      <c r="E24" s="1586"/>
      <c r="F24" s="1586"/>
      <c r="G24" s="1586"/>
      <c r="H24" s="1586"/>
      <c r="I24" s="1586"/>
      <c r="J24" s="1586"/>
    </row>
    <row r="25" spans="2:19" ht="12.75" customHeight="1" thickBot="1"/>
    <row r="26" spans="2:19" ht="33" customHeight="1" thickTop="1" thickBot="1">
      <c r="B26" s="1589"/>
      <c r="C26" s="1589"/>
      <c r="D26" s="1589"/>
      <c r="E26" s="1589"/>
      <c r="F26" s="1589"/>
      <c r="G26" s="1589"/>
      <c r="H26" s="1590"/>
      <c r="I26" s="4" t="s">
        <v>101</v>
      </c>
      <c r="J26" s="3" t="s">
        <v>102</v>
      </c>
    </row>
    <row r="27" spans="2:19" ht="21" customHeight="1" thickTop="1">
      <c r="B27" t="str">
        <f>B6</f>
        <v>Balance - January 1, 2020</v>
      </c>
      <c r="H27" s="38"/>
      <c r="I27" s="164" t="s">
        <v>317</v>
      </c>
      <c r="J27" s="571">
        <v>0</v>
      </c>
    </row>
    <row r="28" spans="2:19" ht="21" customHeight="1">
      <c r="B28" s="274" t="str">
        <f>TEXT('KEY INPUTS'!D34,"0")&amp;" Levy: (List Each Type of District Tax Separately - see Footnote)"</f>
        <v>2020 Levy: (List Each Type of District Tax Separately - see Footnote)</v>
      </c>
      <c r="C28" s="5"/>
      <c r="D28" s="5"/>
      <c r="E28" s="5"/>
      <c r="F28" s="5"/>
      <c r="G28" s="5"/>
      <c r="H28" s="5"/>
      <c r="I28" s="144" t="s">
        <v>317</v>
      </c>
      <c r="J28" s="967" t="s">
        <v>726</v>
      </c>
    </row>
    <row r="29" spans="2:19" ht="21" customHeight="1">
      <c r="B29" s="5"/>
      <c r="C29" s="373" t="s">
        <v>738</v>
      </c>
      <c r="D29" s="373"/>
      <c r="E29" s="373"/>
      <c r="F29" s="373"/>
      <c r="G29" s="576"/>
      <c r="H29" s="367"/>
      <c r="I29" s="144" t="s">
        <v>317</v>
      </c>
      <c r="J29" s="967" t="s">
        <v>726</v>
      </c>
    </row>
    <row r="30" spans="2:19" ht="21" customHeight="1">
      <c r="B30" s="5"/>
      <c r="C30" s="373" t="s">
        <v>739</v>
      </c>
      <c r="D30" s="373"/>
      <c r="E30" s="373"/>
      <c r="F30" s="373"/>
      <c r="G30" s="576"/>
      <c r="H30" s="367"/>
      <c r="I30" s="144" t="s">
        <v>317</v>
      </c>
      <c r="J30" s="967" t="s">
        <v>726</v>
      </c>
    </row>
    <row r="31" spans="2:19" ht="21" customHeight="1">
      <c r="B31" s="5"/>
      <c r="C31" s="373" t="s">
        <v>740</v>
      </c>
      <c r="D31" s="373"/>
      <c r="E31" s="373"/>
      <c r="F31" s="373"/>
      <c r="G31" s="576"/>
      <c r="H31" s="367"/>
      <c r="I31" s="144" t="s">
        <v>317</v>
      </c>
      <c r="J31" s="967" t="s">
        <v>726</v>
      </c>
    </row>
    <row r="32" spans="2:19" ht="21" customHeight="1">
      <c r="B32" s="30"/>
      <c r="C32" s="371" t="s">
        <v>741</v>
      </c>
      <c r="D32" s="371"/>
      <c r="E32" s="371"/>
      <c r="F32" s="371"/>
      <c r="G32" s="576"/>
      <c r="H32" s="655"/>
      <c r="I32" s="144" t="s">
        <v>317</v>
      </c>
      <c r="J32" s="967" t="s">
        <v>726</v>
      </c>
    </row>
    <row r="33" spans="2:10" ht="21" customHeight="1">
      <c r="B33" s="5"/>
      <c r="C33" s="559"/>
      <c r="D33" s="559"/>
      <c r="E33" s="559"/>
      <c r="F33" s="559"/>
      <c r="G33" s="812"/>
      <c r="H33" s="367"/>
      <c r="I33" s="144" t="s">
        <v>317</v>
      </c>
      <c r="J33" s="967" t="s">
        <v>726</v>
      </c>
    </row>
    <row r="34" spans="2:10" ht="21" customHeight="1">
      <c r="B34" s="5"/>
      <c r="C34" s="559"/>
      <c r="D34" s="559"/>
      <c r="E34" s="559"/>
      <c r="F34" s="559"/>
      <c r="G34" s="559"/>
      <c r="H34" s="367"/>
      <c r="I34" s="144" t="s">
        <v>317</v>
      </c>
      <c r="J34" s="967" t="s">
        <v>726</v>
      </c>
    </row>
    <row r="35" spans="2:10" ht="21" customHeight="1">
      <c r="B35" s="5"/>
      <c r="C35" s="559"/>
      <c r="D35" s="559"/>
      <c r="E35" s="559"/>
      <c r="F35" s="559"/>
      <c r="G35" s="559"/>
      <c r="H35" s="367"/>
      <c r="I35" s="144" t="s">
        <v>317</v>
      </c>
      <c r="J35" s="967" t="s">
        <v>726</v>
      </c>
    </row>
    <row r="36" spans="2:10" ht="21" customHeight="1">
      <c r="B36" s="274" t="str">
        <f>"Total "&amp;TEXT('KEY INPUTS'!D34,"0")&amp;" Levy"</f>
        <v>Total 2020 Levy</v>
      </c>
      <c r="C36" s="5"/>
      <c r="D36" s="5"/>
      <c r="E36" s="5"/>
      <c r="F36" s="5"/>
      <c r="G36" s="5"/>
      <c r="H36" s="49"/>
      <c r="I36" s="144" t="s">
        <v>317</v>
      </c>
      <c r="J36" s="654">
        <f>SUM(H29:H35)</f>
        <v>0</v>
      </c>
    </row>
    <row r="37" spans="2:10" ht="21" customHeight="1">
      <c r="B37" s="5" t="s">
        <v>268</v>
      </c>
      <c r="C37" s="5"/>
      <c r="D37" s="5"/>
      <c r="E37" s="5"/>
      <c r="F37" s="5"/>
      <c r="G37" s="5"/>
      <c r="H37" s="49"/>
      <c r="I37" s="367">
        <v>0</v>
      </c>
      <c r="J37" s="967" t="s">
        <v>726</v>
      </c>
    </row>
    <row r="38" spans="2:10" ht="21" customHeight="1" thickBot="1">
      <c r="B38" s="5" t="str">
        <f>B17</f>
        <v>Balance - December 31, 2020</v>
      </c>
      <c r="C38" s="5"/>
      <c r="D38" s="5"/>
      <c r="E38" s="5"/>
      <c r="F38" s="5"/>
      <c r="G38" s="5"/>
      <c r="H38" s="49"/>
      <c r="I38" s="198">
        <f>+J27+J36-I37</f>
        <v>0</v>
      </c>
      <c r="J38" s="968" t="s">
        <v>726</v>
      </c>
    </row>
    <row r="39" spans="2:10" ht="21" customHeight="1" thickBot="1">
      <c r="B39" s="43"/>
      <c r="C39" s="7"/>
      <c r="D39" s="7"/>
      <c r="E39" s="7"/>
      <c r="F39" s="7"/>
      <c r="G39" s="7"/>
      <c r="H39" s="7"/>
      <c r="I39" s="79">
        <f>SUM(I36:I38)</f>
        <v>0</v>
      </c>
      <c r="J39" s="969">
        <f>SUM(J27:J38)</f>
        <v>0</v>
      </c>
    </row>
    <row r="40" spans="2:10" ht="21" customHeight="1" thickTop="1">
      <c r="B40" s="42"/>
      <c r="C40" s="42"/>
      <c r="D40" s="42"/>
      <c r="E40" s="42"/>
      <c r="F40" s="42"/>
      <c r="G40" s="42"/>
      <c r="H40" s="42"/>
      <c r="I40" s="11"/>
      <c r="J40" s="11"/>
    </row>
    <row r="41" spans="2:10">
      <c r="B41" t="s">
        <v>743</v>
      </c>
    </row>
    <row r="42" spans="2:10">
      <c r="B42" s="1"/>
      <c r="C42" s="1"/>
      <c r="D42" s="1"/>
      <c r="E42" s="1"/>
      <c r="F42" s="1"/>
      <c r="G42" s="1"/>
      <c r="H42" s="1"/>
      <c r="I42" s="1"/>
      <c r="J42" s="1"/>
    </row>
    <row r="43" spans="2:10">
      <c r="B43" s="1"/>
      <c r="C43" s="1"/>
      <c r="D43" s="1"/>
      <c r="E43" s="1"/>
      <c r="F43" s="1"/>
      <c r="G43" s="1"/>
      <c r="H43" s="1"/>
      <c r="I43" s="1"/>
      <c r="J43" s="1"/>
    </row>
    <row r="44" spans="2:10">
      <c r="B44" s="1"/>
      <c r="C44" s="1"/>
      <c r="D44" s="1"/>
      <c r="E44" s="1"/>
      <c r="F44" s="1"/>
      <c r="G44" s="1"/>
      <c r="H44" s="1"/>
      <c r="I44" s="1"/>
      <c r="J44" s="1"/>
    </row>
    <row r="45" spans="2:10">
      <c r="B45" s="1"/>
      <c r="C45" s="1"/>
      <c r="D45" s="1"/>
      <c r="E45" s="1"/>
      <c r="F45" s="1"/>
      <c r="G45" s="1"/>
      <c r="H45" s="1"/>
      <c r="I45" s="1"/>
      <c r="J45" s="1"/>
    </row>
    <row r="47" spans="2:10" ht="13.8">
      <c r="B47" s="1545" t="s">
        <v>742</v>
      </c>
      <c r="C47" s="1545"/>
      <c r="D47" s="1545"/>
      <c r="E47" s="1545"/>
      <c r="F47" s="1545"/>
      <c r="G47" s="1545"/>
      <c r="H47" s="1545"/>
      <c r="I47" s="1545"/>
      <c r="J47" s="1545"/>
    </row>
  </sheetData>
  <sheetProtection algorithmName="SHA-512" hashValue="SZW6p5jLJb/FGXPOlnVPM71JaI/ItmUUYS9PnPn3/yVAC0tF62wteNb8yL9zVHvw7leCGzeYKLHL0FbBlKdsbw==" saltValue="fR1QsfOfPYx3oJlOdOyWyA==" spinCount="100000" sheet="1" objects="1" scenarios="1"/>
  <mergeCells count="5">
    <mergeCell ref="B5:H5"/>
    <mergeCell ref="B47:J47"/>
    <mergeCell ref="B3:J3"/>
    <mergeCell ref="B24:J24"/>
    <mergeCell ref="B26:H26"/>
  </mergeCells>
  <phoneticPr fontId="0" type="noConversion"/>
  <pageMargins left="0.25" right="0.25" top="0.5" bottom="0.5" header="0.25" footer="0.25"/>
  <pageSetup paperSize="5" orientation="portrait" r:id="rId1"/>
  <headerFooter alignWithMargins="0"/>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dimension ref="B2:K52"/>
  <sheetViews>
    <sheetView topLeftCell="A19" zoomScaleNormal="100" workbookViewId="0">
      <selection activeCell="H21" sqref="H21"/>
    </sheetView>
  </sheetViews>
  <sheetFormatPr defaultRowHeight="13.2"/>
  <cols>
    <col min="1" max="1" width="4.6640625" customWidth="1"/>
    <col min="2" max="3" width="3.6640625" customWidth="1"/>
    <col min="4" max="4" width="4.6640625" customWidth="1"/>
    <col min="6" max="6" width="16.6640625" customWidth="1"/>
    <col min="7" max="7" width="8.6640625" customWidth="1"/>
    <col min="8" max="10" width="16.6640625" customWidth="1"/>
    <col min="11" max="11" width="13.5546875" bestFit="1" customWidth="1"/>
  </cols>
  <sheetData>
    <row r="2" spans="2:11" ht="22.8">
      <c r="B2" s="1586" t="str">
        <f>"STATEMENT OF GENERAL BUDGET REVENUES "&amp;TEXT('KEY INPUTS'!D34,"0")</f>
        <v>STATEMENT OF GENERAL BUDGET REVENUES 2020</v>
      </c>
      <c r="C2" s="1586"/>
      <c r="D2" s="1586"/>
      <c r="E2" s="1586"/>
      <c r="F2" s="1586"/>
      <c r="G2" s="1586"/>
      <c r="H2" s="1586"/>
      <c r="I2" s="1586"/>
      <c r="J2" s="1586"/>
    </row>
    <row r="3" spans="2:11" ht="13.8" thickBot="1"/>
    <row r="4" spans="2:11" ht="13.8" thickTop="1">
      <c r="B4" s="1657" t="s">
        <v>172</v>
      </c>
      <c r="C4" s="1657"/>
      <c r="D4" s="1657"/>
      <c r="E4" s="1657"/>
      <c r="F4" s="1657"/>
      <c r="G4" s="1658"/>
      <c r="H4" s="12" t="s">
        <v>564</v>
      </c>
      <c r="I4" s="12" t="s">
        <v>671</v>
      </c>
      <c r="J4" s="54" t="s">
        <v>179</v>
      </c>
    </row>
    <row r="5" spans="2:11" ht="13.8" thickBot="1">
      <c r="B5" s="1659"/>
      <c r="C5" s="1659"/>
      <c r="D5" s="1659"/>
      <c r="E5" s="1659"/>
      <c r="F5" s="1659"/>
      <c r="G5" s="1660"/>
      <c r="H5" s="56" t="s">
        <v>176</v>
      </c>
      <c r="I5" s="56" t="s">
        <v>177</v>
      </c>
      <c r="J5" s="55" t="s">
        <v>178</v>
      </c>
    </row>
    <row r="6" spans="2:11" ht="21" customHeight="1" thickTop="1">
      <c r="B6" s="276" t="s">
        <v>173</v>
      </c>
      <c r="C6" s="276"/>
      <c r="D6" s="276"/>
      <c r="E6" s="276"/>
      <c r="F6" s="276"/>
      <c r="G6" s="58"/>
      <c r="H6" s="1018">
        <v>390000</v>
      </c>
      <c r="I6" s="214">
        <f>+H6</f>
        <v>390000</v>
      </c>
      <c r="J6" s="215">
        <f>+I6-H6</f>
        <v>0</v>
      </c>
      <c r="K6" s="318"/>
    </row>
    <row r="7" spans="2:11" ht="10.5" customHeight="1">
      <c r="B7" s="34" t="s">
        <v>174</v>
      </c>
      <c r="C7" s="315"/>
      <c r="D7" s="315"/>
      <c r="E7" s="315"/>
      <c r="F7" s="315"/>
      <c r="G7" s="750"/>
      <c r="H7" s="104"/>
      <c r="I7" s="104"/>
      <c r="J7" s="223"/>
    </row>
    <row r="8" spans="2:11" ht="13.8">
      <c r="B8" s="277" t="s">
        <v>175</v>
      </c>
      <c r="C8" s="277"/>
      <c r="D8" s="277"/>
      <c r="E8" s="277"/>
      <c r="F8" s="277"/>
      <c r="G8" s="59"/>
      <c r="H8" s="583"/>
      <c r="I8" s="583"/>
      <c r="J8" s="224">
        <f>+I8-H8</f>
        <v>0</v>
      </c>
    </row>
    <row r="9" spans="2:11" ht="21" customHeight="1">
      <c r="B9" s="316" t="s">
        <v>180</v>
      </c>
      <c r="C9" s="316"/>
      <c r="D9" s="316"/>
      <c r="E9" s="316"/>
      <c r="F9" s="316"/>
      <c r="G9" s="316"/>
      <c r="H9" s="144" t="s">
        <v>662</v>
      </c>
      <c r="I9" s="144" t="s">
        <v>662</v>
      </c>
      <c r="J9" s="125" t="s">
        <v>662</v>
      </c>
    </row>
    <row r="10" spans="2:11" ht="21" customHeight="1">
      <c r="B10" s="316"/>
      <c r="C10" s="316"/>
      <c r="D10" s="316" t="s">
        <v>181</v>
      </c>
      <c r="E10" s="316"/>
      <c r="F10" s="316"/>
      <c r="G10" s="316"/>
      <c r="H10" s="365">
        <v>578710.07999999996</v>
      </c>
      <c r="I10" s="365">
        <v>630874.39</v>
      </c>
      <c r="J10" s="212">
        <f>+I10-H10</f>
        <v>52164.310000000056</v>
      </c>
      <c r="K10" s="318"/>
    </row>
    <row r="11" spans="2:11" ht="21" customHeight="1">
      <c r="B11" s="316"/>
      <c r="C11" s="316"/>
      <c r="D11" s="316" t="s">
        <v>853</v>
      </c>
      <c r="E11" s="316"/>
      <c r="F11" s="316"/>
      <c r="G11" s="316"/>
      <c r="H11" s="330">
        <f>+'17a Totals-Budget Revenues'!H43</f>
        <v>10701.439999999999</v>
      </c>
      <c r="I11" s="330">
        <f>+H11</f>
        <v>10701.439999999999</v>
      </c>
      <c r="J11" s="212">
        <f>+I11-H11</f>
        <v>0</v>
      </c>
    </row>
    <row r="12" spans="2:11" ht="21" customHeight="1">
      <c r="B12" s="5"/>
      <c r="C12" s="5"/>
      <c r="D12" s="559"/>
      <c r="E12" s="559"/>
      <c r="F12" s="559"/>
      <c r="G12" s="559"/>
      <c r="H12" s="365"/>
      <c r="I12" s="365"/>
      <c r="J12" s="212">
        <f t="shared" ref="J12:J13" si="0">+I12-H12</f>
        <v>0</v>
      </c>
    </row>
    <row r="13" spans="2:11" ht="21" customHeight="1" thickBot="1">
      <c r="B13" s="5"/>
      <c r="C13" s="5"/>
      <c r="D13" s="559"/>
      <c r="E13" s="559"/>
      <c r="F13" s="559"/>
      <c r="G13" s="559"/>
      <c r="H13" s="628"/>
      <c r="I13" s="628"/>
      <c r="J13" s="939">
        <f t="shared" si="0"/>
        <v>0</v>
      </c>
    </row>
    <row r="14" spans="2:11" ht="21" customHeight="1" thickTop="1">
      <c r="B14" s="5" t="s">
        <v>854</v>
      </c>
      <c r="C14" s="5"/>
      <c r="D14" s="5"/>
      <c r="E14" s="5"/>
      <c r="F14" s="5"/>
      <c r="G14" s="60"/>
      <c r="H14" s="302">
        <f>SUM(H10:H13)</f>
        <v>589411.5199999999</v>
      </c>
      <c r="I14" s="302">
        <f>SUM(I10:I13)</f>
        <v>641575.82999999996</v>
      </c>
      <c r="J14" s="224">
        <f>SUM(J10:J13)</f>
        <v>52164.310000000056</v>
      </c>
      <c r="K14" s="318"/>
    </row>
    <row r="15" spans="2:11" ht="21" customHeight="1">
      <c r="B15" s="5" t="s">
        <v>855</v>
      </c>
      <c r="C15" s="5"/>
      <c r="D15" s="5"/>
      <c r="E15" s="5"/>
      <c r="F15" s="5"/>
      <c r="G15" s="60"/>
      <c r="H15" s="365">
        <v>90000</v>
      </c>
      <c r="I15" s="330">
        <f>+'26-Delinquent Taxes and Liens'!M22</f>
        <v>126022.93</v>
      </c>
      <c r="J15" s="212">
        <f>+I15-H15</f>
        <v>36022.929999999993</v>
      </c>
      <c r="K15" s="318"/>
    </row>
    <row r="16" spans="2:11" ht="21" customHeight="1">
      <c r="B16" s="5"/>
      <c r="C16" s="5"/>
      <c r="D16" s="5"/>
      <c r="E16" s="5"/>
      <c r="F16" s="5"/>
      <c r="G16" s="5"/>
      <c r="H16" s="330"/>
      <c r="I16" s="330"/>
      <c r="J16" s="212"/>
    </row>
    <row r="17" spans="2:11" ht="21" customHeight="1">
      <c r="B17" s="5" t="s">
        <v>856</v>
      </c>
      <c r="C17" s="5"/>
      <c r="D17" s="5"/>
      <c r="E17" s="5"/>
      <c r="F17" s="5"/>
      <c r="G17" s="5"/>
      <c r="H17" s="303" t="s">
        <v>662</v>
      </c>
      <c r="I17" s="303" t="s">
        <v>662</v>
      </c>
      <c r="J17" s="125" t="s">
        <v>662</v>
      </c>
    </row>
    <row r="18" spans="2:11" ht="21" customHeight="1">
      <c r="B18" s="5"/>
      <c r="C18" s="31" t="s">
        <v>857</v>
      </c>
      <c r="D18" s="31"/>
      <c r="E18" s="5"/>
      <c r="F18" s="5"/>
      <c r="G18" s="60"/>
      <c r="H18" s="365">
        <v>1456029.65</v>
      </c>
      <c r="I18" s="303" t="s">
        <v>662</v>
      </c>
      <c r="J18" s="125" t="s">
        <v>662</v>
      </c>
    </row>
    <row r="19" spans="2:11" ht="21" customHeight="1">
      <c r="B19" s="5"/>
      <c r="C19" s="31" t="s">
        <v>858</v>
      </c>
      <c r="D19" s="31"/>
      <c r="E19" s="5"/>
      <c r="F19" s="5"/>
      <c r="G19" s="60"/>
      <c r="H19" s="365">
        <v>0</v>
      </c>
      <c r="I19" s="144" t="s">
        <v>662</v>
      </c>
      <c r="J19" s="125" t="s">
        <v>662</v>
      </c>
    </row>
    <row r="20" spans="2:11" s="315" customFormat="1" ht="21" customHeight="1">
      <c r="B20" s="316"/>
      <c r="C20" s="31" t="s">
        <v>3412</v>
      </c>
      <c r="D20" s="31"/>
      <c r="E20" s="316"/>
      <c r="F20" s="316"/>
      <c r="G20" s="59"/>
      <c r="H20" s="365">
        <v>74257.66</v>
      </c>
      <c r="I20" s="144" t="s">
        <v>662</v>
      </c>
      <c r="J20" s="988" t="s">
        <v>662</v>
      </c>
    </row>
    <row r="21" spans="2:11" ht="21" customHeight="1" thickBot="1">
      <c r="B21" s="5"/>
      <c r="C21" s="31"/>
      <c r="D21" s="31" t="s">
        <v>275</v>
      </c>
      <c r="E21" s="5"/>
      <c r="F21" s="5"/>
      <c r="G21" s="59"/>
      <c r="H21" s="225">
        <f>+H19+H18+H20</f>
        <v>1530287.3099999998</v>
      </c>
      <c r="I21" s="225">
        <f>+I40</f>
        <v>1702590.4999999998</v>
      </c>
      <c r="J21" s="223">
        <f>+I21-H21</f>
        <v>172303.18999999994</v>
      </c>
      <c r="K21" s="305"/>
    </row>
    <row r="22" spans="2:11" ht="21" customHeight="1" thickTop="1" thickBot="1">
      <c r="H22" s="213">
        <f>+H21+H15+H14+H8+H6</f>
        <v>2599698.8299999996</v>
      </c>
      <c r="I22" s="213">
        <f>+I21+I15+I14+I8+I6</f>
        <v>2860189.26</v>
      </c>
      <c r="J22" s="226">
        <f>+J21+J15+J14+J8+J6</f>
        <v>260490.43</v>
      </c>
      <c r="K22" s="318"/>
    </row>
    <row r="23" spans="2:11" ht="13.8" thickTop="1"/>
    <row r="24" spans="2:11">
      <c r="H24" s="221"/>
      <c r="J24" s="221"/>
    </row>
    <row r="25" spans="2:11">
      <c r="I25" s="221"/>
    </row>
    <row r="26" spans="2:11" ht="22.8">
      <c r="B26" s="1586" t="s">
        <v>859</v>
      </c>
      <c r="C26" s="1586"/>
      <c r="D26" s="1586"/>
      <c r="E26" s="1586"/>
      <c r="F26" s="1586"/>
      <c r="G26" s="1586"/>
      <c r="H26" s="1586"/>
      <c r="I26" s="1586"/>
      <c r="J26" s="1586"/>
    </row>
    <row r="27" spans="2:11" ht="12.75" customHeight="1" thickBot="1">
      <c r="B27" s="26"/>
      <c r="C27" s="26"/>
      <c r="D27" s="26"/>
      <c r="E27" s="26"/>
      <c r="F27" s="26"/>
      <c r="G27" s="26"/>
      <c r="H27" s="26"/>
      <c r="I27" s="26"/>
      <c r="J27" s="26"/>
    </row>
    <row r="28" spans="2:11" ht="26.1" customHeight="1" thickTop="1" thickBot="1">
      <c r="B28" s="61"/>
      <c r="C28" s="61"/>
      <c r="D28" s="61"/>
      <c r="E28" s="61"/>
      <c r="F28" s="61"/>
      <c r="G28" s="61"/>
      <c r="H28" s="61"/>
      <c r="I28" s="4" t="s">
        <v>101</v>
      </c>
      <c r="J28" s="3" t="s">
        <v>102</v>
      </c>
    </row>
    <row r="29" spans="2:11" ht="21" customHeight="1" thickTop="1">
      <c r="B29" s="62" t="s">
        <v>861</v>
      </c>
      <c r="C29" s="22"/>
      <c r="D29" s="22"/>
      <c r="E29" s="22"/>
      <c r="F29" s="22"/>
      <c r="G29" s="22"/>
      <c r="H29" s="50"/>
      <c r="I29" s="143" t="s">
        <v>662</v>
      </c>
      <c r="J29" s="215">
        <f>+'22-CY Levy'!L48</f>
        <v>9089719.3900000006</v>
      </c>
    </row>
    <row r="30" spans="2:11" ht="21" customHeight="1">
      <c r="B30" s="5" t="s">
        <v>862</v>
      </c>
      <c r="C30" s="5"/>
      <c r="D30" s="5"/>
      <c r="E30" s="5"/>
      <c r="F30" s="5"/>
      <c r="G30" s="5"/>
      <c r="H30" s="49"/>
      <c r="I30" s="144" t="s">
        <v>662</v>
      </c>
      <c r="J30" s="125" t="s">
        <v>662</v>
      </c>
    </row>
    <row r="31" spans="2:11" ht="21" customHeight="1">
      <c r="B31" s="5"/>
      <c r="C31" s="5"/>
      <c r="D31" s="5" t="s">
        <v>863</v>
      </c>
      <c r="E31" s="5"/>
      <c r="F31" s="5"/>
      <c r="G31" s="5"/>
      <c r="H31" s="49"/>
      <c r="I31" s="330">
        <f>+'13-Other Taxes'!H12+'13-Other Taxes'!H13</f>
        <v>3002795</v>
      </c>
      <c r="J31" s="257" t="s">
        <v>662</v>
      </c>
    </row>
    <row r="32" spans="2:11" ht="21" customHeight="1">
      <c r="B32" s="5"/>
      <c r="C32" s="5"/>
      <c r="D32" s="5" t="s">
        <v>864</v>
      </c>
      <c r="E32" s="5"/>
      <c r="F32" s="5"/>
      <c r="G32" s="5"/>
      <c r="H32" s="49"/>
      <c r="I32" s="330">
        <f>+'14-Other Taxes'!H13+'14-Other Taxes'!H14</f>
        <v>0</v>
      </c>
      <c r="J32" s="257" t="s">
        <v>662</v>
      </c>
    </row>
    <row r="33" spans="2:11" ht="21" customHeight="1">
      <c r="B33" s="5"/>
      <c r="C33" s="5"/>
      <c r="D33" s="5" t="s">
        <v>865</v>
      </c>
      <c r="E33" s="5"/>
      <c r="F33" s="5"/>
      <c r="G33" s="5"/>
      <c r="H33" s="49"/>
      <c r="I33" s="330">
        <f>+'14-Other Taxes'!H34+'14-Other Taxes'!H35</f>
        <v>3119294</v>
      </c>
      <c r="J33" s="257" t="s">
        <v>662</v>
      </c>
    </row>
    <row r="34" spans="2:11" ht="21" customHeight="1">
      <c r="B34" s="5"/>
      <c r="C34" s="5"/>
      <c r="D34" s="5" t="s">
        <v>732</v>
      </c>
      <c r="E34" s="5"/>
      <c r="F34" s="5"/>
      <c r="G34" s="5"/>
      <c r="H34" s="49"/>
      <c r="I34" s="330">
        <f>+'15-Other Taxes'!J11+'15-Other Taxes'!J12+'15-Other Taxes'!J13+'15-Other Taxes'!J14</f>
        <v>1539764.16</v>
      </c>
      <c r="J34" s="257" t="s">
        <v>662</v>
      </c>
      <c r="K34" s="378"/>
    </row>
    <row r="35" spans="2:11" ht="21" customHeight="1">
      <c r="B35" s="5"/>
      <c r="C35" s="5"/>
      <c r="D35" s="5" t="s">
        <v>733</v>
      </c>
      <c r="E35" s="5"/>
      <c r="F35" s="5"/>
      <c r="G35" s="5"/>
      <c r="H35" s="49"/>
      <c r="I35" s="330">
        <f>+'15-Other Taxes'!J15</f>
        <v>2184.35</v>
      </c>
      <c r="J35" s="257" t="s">
        <v>662</v>
      </c>
      <c r="K35" s="378"/>
    </row>
    <row r="36" spans="2:11" ht="21" customHeight="1">
      <c r="B36" s="5"/>
      <c r="C36" s="5"/>
      <c r="D36" s="5" t="s">
        <v>866</v>
      </c>
      <c r="E36" s="5"/>
      <c r="F36" s="5"/>
      <c r="G36" s="5"/>
      <c r="H36" s="49"/>
      <c r="I36" s="330">
        <f>+'15-Other Taxes'!J36</f>
        <v>0</v>
      </c>
      <c r="J36" s="257" t="s">
        <v>662</v>
      </c>
    </row>
    <row r="37" spans="2:11" ht="21" customHeight="1">
      <c r="B37" s="5"/>
      <c r="C37" s="5"/>
      <c r="D37" s="5" t="s">
        <v>822</v>
      </c>
      <c r="E37" s="5"/>
      <c r="F37" s="5"/>
      <c r="G37" s="5"/>
      <c r="H37" s="49"/>
      <c r="I37" s="330">
        <f>'13-Other Taxes'!H31</f>
        <v>0</v>
      </c>
      <c r="J37" s="257" t="s">
        <v>662</v>
      </c>
    </row>
    <row r="38" spans="2:11" ht="21" customHeight="1">
      <c r="B38" s="5" t="s">
        <v>867</v>
      </c>
      <c r="C38" s="5"/>
      <c r="D38" s="5"/>
      <c r="E38" s="5"/>
      <c r="F38" s="5"/>
      <c r="G38" s="5"/>
      <c r="H38" s="49"/>
      <c r="I38" s="303" t="s">
        <v>662</v>
      </c>
      <c r="J38" s="304">
        <f>+'18-Budget Appropriations'!I15</f>
        <v>276908.62</v>
      </c>
      <c r="K38" s="318"/>
    </row>
    <row r="39" spans="2:11" ht="21" customHeight="1">
      <c r="B39" s="5" t="s">
        <v>271</v>
      </c>
      <c r="C39" s="5"/>
      <c r="D39" s="5"/>
      <c r="E39" s="5"/>
      <c r="F39" s="5"/>
      <c r="G39" s="5"/>
      <c r="H39" s="49"/>
      <c r="I39" s="303" t="s">
        <v>662</v>
      </c>
      <c r="J39" s="304">
        <f>IF(I51&lt;0,-I51,0)</f>
        <v>0</v>
      </c>
    </row>
    <row r="40" spans="2:11" ht="21" customHeight="1">
      <c r="B40" s="5" t="s">
        <v>272</v>
      </c>
      <c r="C40" s="5"/>
      <c r="D40" s="5"/>
      <c r="E40" s="5"/>
      <c r="F40" s="5"/>
      <c r="G40" s="5"/>
      <c r="H40" s="49"/>
      <c r="I40" s="330">
        <f>+J29+J38-I31-I32-I33-I34-I35-I36-I37</f>
        <v>1702590.4999999998</v>
      </c>
      <c r="J40" s="125" t="s">
        <v>662</v>
      </c>
      <c r="K40" s="318"/>
    </row>
    <row r="41" spans="2:11" ht="21" customHeight="1">
      <c r="B41" s="5" t="s">
        <v>273</v>
      </c>
      <c r="C41" s="5"/>
      <c r="D41" s="5"/>
      <c r="E41" s="5"/>
      <c r="F41" s="5"/>
      <c r="G41" s="5"/>
      <c r="H41" s="49"/>
      <c r="I41" s="365"/>
      <c r="J41" s="125" t="s">
        <v>662</v>
      </c>
    </row>
    <row r="42" spans="2:11" ht="21" customHeight="1" thickBot="1">
      <c r="B42" s="5" t="s">
        <v>274</v>
      </c>
      <c r="C42" s="5"/>
      <c r="D42" s="5"/>
      <c r="E42" s="5"/>
      <c r="F42" s="5"/>
      <c r="G42" s="5"/>
      <c r="H42" s="49"/>
      <c r="I42" s="996" t="s">
        <v>662</v>
      </c>
      <c r="J42" s="1019"/>
    </row>
    <row r="43" spans="2:11" ht="21" customHeight="1" thickTop="1" thickBot="1">
      <c r="B43" s="1661" t="s">
        <v>276</v>
      </c>
      <c r="C43" s="1661"/>
      <c r="D43" s="1661"/>
      <c r="E43" s="1661"/>
      <c r="F43" s="1661"/>
      <c r="G43" s="1661"/>
      <c r="H43" s="1661"/>
      <c r="I43" s="213">
        <f>SUM(I29:I42)</f>
        <v>9366628.0099999998</v>
      </c>
      <c r="J43" s="226">
        <f>SUM(J29:J42)</f>
        <v>9366628.0099999998</v>
      </c>
    </row>
    <row r="44" spans="2:11" ht="13.8" thickTop="1">
      <c r="B44" s="1662"/>
      <c r="C44" s="1662"/>
      <c r="D44" s="1662"/>
      <c r="E44" s="1662"/>
      <c r="F44" s="1662"/>
      <c r="G44" s="1662"/>
      <c r="H44" s="1662"/>
    </row>
    <row r="46" spans="2:11">
      <c r="I46" s="221"/>
    </row>
    <row r="48" spans="2:11" ht="13.8">
      <c r="B48" s="1545" t="s">
        <v>860</v>
      </c>
      <c r="C48" s="1545"/>
      <c r="D48" s="1545"/>
      <c r="E48" s="1545"/>
      <c r="F48" s="1545"/>
      <c r="G48" s="1545"/>
      <c r="H48" s="1545"/>
      <c r="I48" s="1545"/>
      <c r="J48" s="1545"/>
    </row>
    <row r="50" spans="7:9" ht="13.8" thickBot="1"/>
    <row r="51" spans="7:9">
      <c r="G51" s="1653" t="s">
        <v>481</v>
      </c>
      <c r="H51" s="1654"/>
      <c r="I51" s="197">
        <f>+J29-SUM(I31:I37)+J38</f>
        <v>1702590.5000000009</v>
      </c>
    </row>
    <row r="52" spans="7:9" ht="13.8" thickBot="1">
      <c r="G52" s="1655" t="s">
        <v>482</v>
      </c>
      <c r="H52" s="1656"/>
      <c r="I52" s="178"/>
    </row>
  </sheetData>
  <sheetProtection algorithmName="SHA-512" hashValue="beFJ4DV6OIJL8i/XAiPN0dgp6ROlo1v+DH7SD1BLjCDaVt9I5vHtQRXhLVZXG7wIMn4PluU5C8dMm7gxZZSNiw==" saltValue="st9voLpiyiye0AJ4fCt6dA==" spinCount="100000" sheet="1" objects="1" scenarios="1"/>
  <mergeCells count="7">
    <mergeCell ref="G51:H51"/>
    <mergeCell ref="G52:H52"/>
    <mergeCell ref="B4:G5"/>
    <mergeCell ref="B2:J2"/>
    <mergeCell ref="B26:J26"/>
    <mergeCell ref="B48:J48"/>
    <mergeCell ref="B43:H44"/>
  </mergeCells>
  <phoneticPr fontId="0" type="noConversion"/>
  <pageMargins left="0.25" right="0.25" top="0.5" bottom="0.5" header="0.25" footer="0.25"/>
  <pageSetup paperSize="5" orientation="portrait" r:id="rId1"/>
  <headerFooter alignWithMargins="0"/>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0"/>
  <dimension ref="B4:L52"/>
  <sheetViews>
    <sheetView topLeftCell="A19" zoomScaleNormal="100" zoomScaleSheetLayoutView="90" workbookViewId="0">
      <selection activeCell="B49" sqref="B49:J49"/>
    </sheetView>
  </sheetViews>
  <sheetFormatPr defaultRowHeight="13.2"/>
  <cols>
    <col min="1" max="3" width="4.6640625" customWidth="1"/>
    <col min="7" max="7" width="9.109375" customWidth="1"/>
    <col min="8" max="9" width="16.6640625" customWidth="1"/>
    <col min="10" max="10" width="19.5546875" customWidth="1"/>
  </cols>
  <sheetData>
    <row r="4" spans="2:12" ht="22.8">
      <c r="B4" s="1586" t="str">
        <f>'17-Budget Revenues'!B2:J2</f>
        <v>STATEMENT OF GENERAL BUDGET REVENUES 2020</v>
      </c>
      <c r="C4" s="1586"/>
      <c r="D4" s="1586"/>
      <c r="E4" s="1586"/>
      <c r="F4" s="1586"/>
      <c r="G4" s="1586"/>
      <c r="H4" s="1586"/>
      <c r="I4" s="1586"/>
      <c r="J4" s="1586"/>
    </row>
    <row r="5" spans="2:12" ht="13.8">
      <c r="B5" s="1545" t="s">
        <v>277</v>
      </c>
      <c r="C5" s="1545"/>
      <c r="D5" s="1545"/>
      <c r="E5" s="1545"/>
      <c r="F5" s="1545"/>
      <c r="G5" s="1545"/>
      <c r="H5" s="1545"/>
      <c r="I5" s="1545"/>
      <c r="J5" s="1545"/>
    </row>
    <row r="7" spans="2:12" ht="15.6">
      <c r="B7" s="1576" t="s">
        <v>278</v>
      </c>
      <c r="C7" s="1576"/>
      <c r="D7" s="1576"/>
      <c r="E7" s="1576"/>
      <c r="F7" s="1576"/>
      <c r="G7" s="1576"/>
      <c r="H7" s="1576"/>
      <c r="I7" s="1576"/>
      <c r="J7" s="1576"/>
    </row>
    <row r="8" spans="2:12" ht="8.25" customHeight="1" thickBot="1">
      <c r="B8" s="10"/>
      <c r="C8" s="10"/>
      <c r="D8" s="10"/>
      <c r="E8" s="10"/>
      <c r="F8" s="10"/>
      <c r="G8" s="10"/>
      <c r="H8" s="10"/>
      <c r="I8" s="10"/>
      <c r="J8" s="10"/>
    </row>
    <row r="9" spans="2:12" ht="32.1" customHeight="1" thickTop="1" thickBot="1">
      <c r="B9" s="1589" t="s">
        <v>172</v>
      </c>
      <c r="C9" s="1589"/>
      <c r="D9" s="1589"/>
      <c r="E9" s="1589"/>
      <c r="F9" s="1589"/>
      <c r="G9" s="1589"/>
      <c r="H9" s="4" t="s">
        <v>564</v>
      </c>
      <c r="I9" s="4" t="s">
        <v>671</v>
      </c>
      <c r="J9" s="982" t="s">
        <v>279</v>
      </c>
    </row>
    <row r="10" spans="2:12" ht="21.9" customHeight="1" thickTop="1" thickBot="1">
      <c r="B10" s="22"/>
      <c r="C10" s="22"/>
      <c r="D10" s="22"/>
      <c r="E10" s="22"/>
      <c r="F10" s="22"/>
      <c r="G10" s="22"/>
      <c r="H10" s="63"/>
      <c r="I10" s="63"/>
      <c r="J10" s="64"/>
    </row>
    <row r="11" spans="2:12" ht="21.9" customHeight="1" thickTop="1" thickBot="1">
      <c r="B11" s="633" t="s">
        <v>3638</v>
      </c>
      <c r="C11" s="559"/>
      <c r="D11" s="559"/>
      <c r="E11" s="559"/>
      <c r="F11" s="559"/>
      <c r="G11" s="559"/>
      <c r="H11" s="365">
        <v>5701.44</v>
      </c>
      <c r="I11" s="365">
        <f>H11</f>
        <v>5701.44</v>
      </c>
      <c r="J11" s="212">
        <f t="shared" ref="J11:J12" si="0">H11-I11</f>
        <v>0</v>
      </c>
      <c r="L11" s="1438" t="s">
        <v>3544</v>
      </c>
    </row>
    <row r="12" spans="2:12" ht="21.9" customHeight="1" thickTop="1">
      <c r="B12" s="633" t="s">
        <v>3649</v>
      </c>
      <c r="C12" s="559"/>
      <c r="D12" s="559"/>
      <c r="E12" s="559"/>
      <c r="F12" s="559"/>
      <c r="G12" s="559"/>
      <c r="H12" s="365">
        <v>5000</v>
      </c>
      <c r="I12" s="365">
        <f>+H12</f>
        <v>5000</v>
      </c>
      <c r="J12" s="212">
        <f t="shared" si="0"/>
        <v>0</v>
      </c>
    </row>
    <row r="13" spans="2:12" ht="21.9" customHeight="1">
      <c r="B13" s="560"/>
      <c r="C13" s="559"/>
      <c r="D13" s="559"/>
      <c r="E13" s="559"/>
      <c r="F13" s="559"/>
      <c r="G13" s="559"/>
      <c r="H13" s="365"/>
      <c r="I13" s="365">
        <f t="shared" ref="I13:I42" si="1">+H13</f>
        <v>0</v>
      </c>
      <c r="J13" s="212">
        <f t="shared" ref="J13:J42" si="2">H13-I13</f>
        <v>0</v>
      </c>
    </row>
    <row r="14" spans="2:12" ht="21.9" customHeight="1">
      <c r="B14" s="560"/>
      <c r="C14" s="559"/>
      <c r="D14" s="559"/>
      <c r="E14" s="559"/>
      <c r="F14" s="559"/>
      <c r="G14" s="559"/>
      <c r="H14" s="365"/>
      <c r="I14" s="365">
        <f t="shared" si="1"/>
        <v>0</v>
      </c>
      <c r="J14" s="212">
        <f t="shared" si="2"/>
        <v>0</v>
      </c>
    </row>
    <row r="15" spans="2:12" ht="21.9" customHeight="1">
      <c r="B15" s="560"/>
      <c r="C15" s="559"/>
      <c r="D15" s="559"/>
      <c r="E15" s="559"/>
      <c r="F15" s="559"/>
      <c r="G15" s="559"/>
      <c r="H15" s="365"/>
      <c r="I15" s="365">
        <f t="shared" si="1"/>
        <v>0</v>
      </c>
      <c r="J15" s="212">
        <f t="shared" si="2"/>
        <v>0</v>
      </c>
    </row>
    <row r="16" spans="2:12" ht="21.9" customHeight="1">
      <c r="B16" s="560"/>
      <c r="C16" s="559"/>
      <c r="D16" s="559"/>
      <c r="E16" s="559"/>
      <c r="F16" s="559"/>
      <c r="G16" s="559"/>
      <c r="H16" s="365"/>
      <c r="I16" s="365">
        <f t="shared" si="1"/>
        <v>0</v>
      </c>
      <c r="J16" s="212">
        <f t="shared" si="2"/>
        <v>0</v>
      </c>
    </row>
    <row r="17" spans="2:10" ht="21.9" customHeight="1">
      <c r="B17" s="560"/>
      <c r="C17" s="559"/>
      <c r="D17" s="559"/>
      <c r="E17" s="559"/>
      <c r="F17" s="559"/>
      <c r="G17" s="559"/>
      <c r="H17" s="365"/>
      <c r="I17" s="365">
        <f t="shared" si="1"/>
        <v>0</v>
      </c>
      <c r="J17" s="212">
        <f t="shared" si="2"/>
        <v>0</v>
      </c>
    </row>
    <row r="18" spans="2:10" ht="21.9" customHeight="1">
      <c r="B18" s="560"/>
      <c r="C18" s="559"/>
      <c r="D18" s="559"/>
      <c r="E18" s="559"/>
      <c r="F18" s="559"/>
      <c r="G18" s="559"/>
      <c r="H18" s="365"/>
      <c r="I18" s="365">
        <f t="shared" si="1"/>
        <v>0</v>
      </c>
      <c r="J18" s="212">
        <f t="shared" si="2"/>
        <v>0</v>
      </c>
    </row>
    <row r="19" spans="2:10" ht="21.9" customHeight="1">
      <c r="B19" s="560"/>
      <c r="C19" s="559"/>
      <c r="D19" s="559"/>
      <c r="E19" s="559"/>
      <c r="F19" s="559"/>
      <c r="G19" s="559"/>
      <c r="H19" s="365"/>
      <c r="I19" s="365">
        <f t="shared" si="1"/>
        <v>0</v>
      </c>
      <c r="J19" s="212">
        <f t="shared" si="2"/>
        <v>0</v>
      </c>
    </row>
    <row r="20" spans="2:10" ht="21.9" customHeight="1">
      <c r="B20" s="560"/>
      <c r="C20" s="559"/>
      <c r="D20" s="559"/>
      <c r="E20" s="559"/>
      <c r="F20" s="559"/>
      <c r="G20" s="559"/>
      <c r="H20" s="365"/>
      <c r="I20" s="365">
        <f t="shared" si="1"/>
        <v>0</v>
      </c>
      <c r="J20" s="212">
        <f t="shared" si="2"/>
        <v>0</v>
      </c>
    </row>
    <row r="21" spans="2:10" ht="21.9" customHeight="1">
      <c r="B21" s="560"/>
      <c r="C21" s="559"/>
      <c r="D21" s="559"/>
      <c r="E21" s="559"/>
      <c r="F21" s="559"/>
      <c r="G21" s="559"/>
      <c r="H21" s="365"/>
      <c r="I21" s="365">
        <f t="shared" si="1"/>
        <v>0</v>
      </c>
      <c r="J21" s="212">
        <f t="shared" si="2"/>
        <v>0</v>
      </c>
    </row>
    <row r="22" spans="2:10" ht="21.9" customHeight="1">
      <c r="B22" s="560"/>
      <c r="C22" s="559"/>
      <c r="D22" s="559"/>
      <c r="E22" s="559"/>
      <c r="F22" s="559"/>
      <c r="G22" s="559"/>
      <c r="H22" s="365"/>
      <c r="I22" s="365">
        <f t="shared" si="1"/>
        <v>0</v>
      </c>
      <c r="J22" s="212">
        <f t="shared" si="2"/>
        <v>0</v>
      </c>
    </row>
    <row r="23" spans="2:10" ht="21.9" customHeight="1">
      <c r="B23" s="560"/>
      <c r="C23" s="559"/>
      <c r="D23" s="559"/>
      <c r="E23" s="559"/>
      <c r="F23" s="559"/>
      <c r="G23" s="559"/>
      <c r="H23" s="365"/>
      <c r="I23" s="365">
        <f t="shared" si="1"/>
        <v>0</v>
      </c>
      <c r="J23" s="212">
        <f t="shared" si="2"/>
        <v>0</v>
      </c>
    </row>
    <row r="24" spans="2:10" ht="21.9" customHeight="1">
      <c r="B24" s="560"/>
      <c r="C24" s="559"/>
      <c r="D24" s="559"/>
      <c r="E24" s="559"/>
      <c r="F24" s="559"/>
      <c r="G24" s="559"/>
      <c r="H24" s="365"/>
      <c r="I24" s="365">
        <f t="shared" si="1"/>
        <v>0</v>
      </c>
      <c r="J24" s="212">
        <f t="shared" si="2"/>
        <v>0</v>
      </c>
    </row>
    <row r="25" spans="2:10" ht="21.9" customHeight="1">
      <c r="B25" s="560"/>
      <c r="C25" s="559"/>
      <c r="D25" s="559"/>
      <c r="E25" s="559"/>
      <c r="F25" s="559"/>
      <c r="G25" s="559"/>
      <c r="H25" s="365"/>
      <c r="I25" s="365">
        <f t="shared" si="1"/>
        <v>0</v>
      </c>
      <c r="J25" s="212">
        <f t="shared" si="2"/>
        <v>0</v>
      </c>
    </row>
    <row r="26" spans="2:10" ht="21.9" customHeight="1">
      <c r="B26" s="560"/>
      <c r="C26" s="559"/>
      <c r="D26" s="559"/>
      <c r="E26" s="559"/>
      <c r="F26" s="559"/>
      <c r="G26" s="559"/>
      <c r="H26" s="365"/>
      <c r="I26" s="365">
        <f t="shared" si="1"/>
        <v>0</v>
      </c>
      <c r="J26" s="212">
        <f t="shared" si="2"/>
        <v>0</v>
      </c>
    </row>
    <row r="27" spans="2:10" ht="21.9" customHeight="1">
      <c r="B27" s="560"/>
      <c r="C27" s="559"/>
      <c r="D27" s="559"/>
      <c r="E27" s="559"/>
      <c r="F27" s="559"/>
      <c r="G27" s="559"/>
      <c r="H27" s="365"/>
      <c r="I27" s="365">
        <f t="shared" si="1"/>
        <v>0</v>
      </c>
      <c r="J27" s="212">
        <f t="shared" si="2"/>
        <v>0</v>
      </c>
    </row>
    <row r="28" spans="2:10" ht="21.9" customHeight="1">
      <c r="B28" s="560"/>
      <c r="C28" s="559"/>
      <c r="D28" s="559"/>
      <c r="E28" s="559"/>
      <c r="F28" s="559"/>
      <c r="G28" s="559"/>
      <c r="H28" s="365"/>
      <c r="I28" s="365">
        <f t="shared" si="1"/>
        <v>0</v>
      </c>
      <c r="J28" s="212">
        <f t="shared" si="2"/>
        <v>0</v>
      </c>
    </row>
    <row r="29" spans="2:10" s="315" customFormat="1" ht="21.9" customHeight="1">
      <c r="B29" s="560"/>
      <c r="C29" s="559"/>
      <c r="D29" s="559"/>
      <c r="E29" s="559"/>
      <c r="F29" s="559"/>
      <c r="G29" s="559"/>
      <c r="H29" s="365"/>
      <c r="I29" s="365">
        <f t="shared" si="1"/>
        <v>0</v>
      </c>
      <c r="J29" s="212">
        <f t="shared" si="2"/>
        <v>0</v>
      </c>
    </row>
    <row r="30" spans="2:10" s="315" customFormat="1" ht="21.9" customHeight="1">
      <c r="B30" s="560"/>
      <c r="C30" s="559"/>
      <c r="D30" s="559"/>
      <c r="E30" s="559"/>
      <c r="F30" s="559"/>
      <c r="G30" s="559"/>
      <c r="H30" s="365"/>
      <c r="I30" s="365">
        <f t="shared" si="1"/>
        <v>0</v>
      </c>
      <c r="J30" s="212">
        <f t="shared" si="2"/>
        <v>0</v>
      </c>
    </row>
    <row r="31" spans="2:10" s="315" customFormat="1" ht="21.9" customHeight="1">
      <c r="B31" s="560"/>
      <c r="C31" s="559"/>
      <c r="D31" s="559"/>
      <c r="E31" s="559"/>
      <c r="F31" s="559"/>
      <c r="G31" s="559"/>
      <c r="H31" s="365"/>
      <c r="I31" s="365">
        <f t="shared" si="1"/>
        <v>0</v>
      </c>
      <c r="J31" s="212">
        <f t="shared" si="2"/>
        <v>0</v>
      </c>
    </row>
    <row r="32" spans="2:10" ht="21.9" customHeight="1">
      <c r="B32" s="560"/>
      <c r="C32" s="559"/>
      <c r="D32" s="559"/>
      <c r="E32" s="559"/>
      <c r="F32" s="559"/>
      <c r="G32" s="559"/>
      <c r="H32" s="365"/>
      <c r="I32" s="365">
        <f t="shared" si="1"/>
        <v>0</v>
      </c>
      <c r="J32" s="212">
        <f t="shared" si="2"/>
        <v>0</v>
      </c>
    </row>
    <row r="33" spans="2:11" ht="21.9" customHeight="1">
      <c r="B33" s="560"/>
      <c r="C33" s="559"/>
      <c r="D33" s="559"/>
      <c r="E33" s="559"/>
      <c r="F33" s="559"/>
      <c r="G33" s="559"/>
      <c r="H33" s="365"/>
      <c r="I33" s="365">
        <f t="shared" si="1"/>
        <v>0</v>
      </c>
      <c r="J33" s="212">
        <f t="shared" si="2"/>
        <v>0</v>
      </c>
    </row>
    <row r="34" spans="2:11" ht="21.9" customHeight="1">
      <c r="B34" s="560"/>
      <c r="C34" s="559"/>
      <c r="D34" s="559"/>
      <c r="E34" s="559"/>
      <c r="F34" s="559"/>
      <c r="G34" s="559"/>
      <c r="H34" s="365"/>
      <c r="I34" s="365">
        <f t="shared" si="1"/>
        <v>0</v>
      </c>
      <c r="J34" s="212">
        <f t="shared" si="2"/>
        <v>0</v>
      </c>
    </row>
    <row r="35" spans="2:11" ht="21.9" customHeight="1">
      <c r="B35" s="560"/>
      <c r="C35" s="559"/>
      <c r="D35" s="559"/>
      <c r="E35" s="559"/>
      <c r="F35" s="559"/>
      <c r="G35" s="559"/>
      <c r="H35" s="365"/>
      <c r="I35" s="365">
        <f t="shared" si="1"/>
        <v>0</v>
      </c>
      <c r="J35" s="212">
        <f t="shared" si="2"/>
        <v>0</v>
      </c>
    </row>
    <row r="36" spans="2:11" ht="21.9" customHeight="1">
      <c r="B36" s="560"/>
      <c r="C36" s="559"/>
      <c r="D36" s="559"/>
      <c r="E36" s="559"/>
      <c r="F36" s="559"/>
      <c r="G36" s="559"/>
      <c r="H36" s="365"/>
      <c r="I36" s="365">
        <f t="shared" si="1"/>
        <v>0</v>
      </c>
      <c r="J36" s="212">
        <f t="shared" si="2"/>
        <v>0</v>
      </c>
    </row>
    <row r="37" spans="2:11" ht="21.9" customHeight="1">
      <c r="B37" s="560"/>
      <c r="C37" s="559"/>
      <c r="D37" s="559"/>
      <c r="E37" s="559"/>
      <c r="F37" s="559"/>
      <c r="G37" s="559"/>
      <c r="H37" s="365"/>
      <c r="I37" s="365">
        <f t="shared" si="1"/>
        <v>0</v>
      </c>
      <c r="J37" s="212">
        <f t="shared" si="2"/>
        <v>0</v>
      </c>
    </row>
    <row r="38" spans="2:11" ht="21.9" customHeight="1">
      <c r="B38" s="560"/>
      <c r="C38" s="559"/>
      <c r="D38" s="559"/>
      <c r="E38" s="559"/>
      <c r="F38" s="559"/>
      <c r="G38" s="559"/>
      <c r="H38" s="365"/>
      <c r="I38" s="365">
        <f t="shared" si="1"/>
        <v>0</v>
      </c>
      <c r="J38" s="212">
        <f t="shared" si="2"/>
        <v>0</v>
      </c>
    </row>
    <row r="39" spans="2:11" ht="21.9" customHeight="1">
      <c r="B39" s="560"/>
      <c r="C39" s="559"/>
      <c r="D39" s="559"/>
      <c r="E39" s="559"/>
      <c r="F39" s="559"/>
      <c r="G39" s="559"/>
      <c r="H39" s="365"/>
      <c r="I39" s="365">
        <f t="shared" si="1"/>
        <v>0</v>
      </c>
      <c r="J39" s="212">
        <f t="shared" si="2"/>
        <v>0</v>
      </c>
    </row>
    <row r="40" spans="2:11" ht="21.9" customHeight="1">
      <c r="B40" s="560"/>
      <c r="C40" s="559"/>
      <c r="D40" s="559"/>
      <c r="E40" s="559"/>
      <c r="F40" s="559"/>
      <c r="G40" s="559"/>
      <c r="H40" s="365"/>
      <c r="I40" s="365">
        <f t="shared" si="1"/>
        <v>0</v>
      </c>
      <c r="J40" s="212">
        <f t="shared" si="2"/>
        <v>0</v>
      </c>
    </row>
    <row r="41" spans="2:11" ht="21.9" customHeight="1">
      <c r="B41" s="560"/>
      <c r="C41" s="559"/>
      <c r="D41" s="559"/>
      <c r="E41" s="559"/>
      <c r="F41" s="559"/>
      <c r="G41" s="559"/>
      <c r="H41" s="365"/>
      <c r="I41" s="365">
        <f t="shared" si="1"/>
        <v>0</v>
      </c>
      <c r="J41" s="212">
        <f t="shared" si="2"/>
        <v>0</v>
      </c>
    </row>
    <row r="42" spans="2:11" ht="21.9" customHeight="1">
      <c r="B42" s="560"/>
      <c r="C42" s="559"/>
      <c r="D42" s="559"/>
      <c r="E42" s="559"/>
      <c r="F42" s="559"/>
      <c r="G42" s="559"/>
      <c r="H42" s="365"/>
      <c r="I42" s="365">
        <f t="shared" si="1"/>
        <v>0</v>
      </c>
      <c r="J42" s="212">
        <f t="shared" si="2"/>
        <v>0</v>
      </c>
    </row>
    <row r="43" spans="2:11" ht="21.9" customHeight="1" thickBot="1">
      <c r="B43" s="27"/>
      <c r="C43" s="321" t="s">
        <v>3323</v>
      </c>
      <c r="D43" s="27"/>
      <c r="E43" s="27"/>
      <c r="F43" s="27"/>
      <c r="G43" s="27"/>
      <c r="H43" s="105">
        <f>SUM(H10:H42)</f>
        <v>10701.439999999999</v>
      </c>
      <c r="I43" s="105">
        <f>SUM(I10:I42)</f>
        <v>10701.439999999999</v>
      </c>
      <c r="J43" s="232">
        <f>SUM(J10:J42)</f>
        <v>0</v>
      </c>
      <c r="K43" s="318"/>
    </row>
    <row r="44" spans="2:11" ht="13.8" thickTop="1">
      <c r="B44" t="s">
        <v>293</v>
      </c>
    </row>
    <row r="45" spans="2:11">
      <c r="B45" t="s">
        <v>294</v>
      </c>
    </row>
    <row r="46" spans="2:11">
      <c r="B46" t="s">
        <v>295</v>
      </c>
      <c r="H46" s="221"/>
    </row>
    <row r="48" spans="2:11">
      <c r="B48" t="s">
        <v>296</v>
      </c>
      <c r="E48" s="1573" t="s">
        <v>3625</v>
      </c>
      <c r="F48" s="1570"/>
      <c r="G48" s="1570"/>
      <c r="H48" s="1570"/>
    </row>
    <row r="49" spans="2:10" ht="13.8">
      <c r="B49" s="1545" t="s">
        <v>878</v>
      </c>
      <c r="C49" s="1545"/>
      <c r="D49" s="1545"/>
      <c r="E49" s="1545"/>
      <c r="F49" s="1545"/>
      <c r="G49" s="1545"/>
      <c r="H49" s="1545"/>
      <c r="I49" s="1545"/>
      <c r="J49" s="1545"/>
    </row>
    <row r="52" spans="2:10">
      <c r="I52" s="221"/>
    </row>
  </sheetData>
  <sheetProtection algorithmName="SHA-512" hashValue="sbDcwsPD5ix582vK4rMcJo9kUaR8HkkBMJ/03IgJh1JGm7o7yEpDrK6BdZgSPeUUwgfetjjiXDl703vWYCER/g==" saltValue="psGsNyGPV4kfb0cfFNkxmw==" spinCount="100000" sheet="1" objects="1" scenarios="1"/>
  <mergeCells count="6">
    <mergeCell ref="B49:J49"/>
    <mergeCell ref="B4:J4"/>
    <mergeCell ref="B5:J5"/>
    <mergeCell ref="B7:J7"/>
    <mergeCell ref="B9:G9"/>
    <mergeCell ref="E48:H48"/>
  </mergeCells>
  <phoneticPr fontId="0" type="noConversion"/>
  <pageMargins left="0.25" right="0.25" top="0.5" bottom="0.5" header="0.25" footer="0.25"/>
  <pageSetup paperSize="5" scale="98" orientation="portrait" r:id="rId1"/>
  <headerFooter alignWithMargins="0"/>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B4:L52"/>
  <sheetViews>
    <sheetView zoomScaleNormal="100" zoomScaleSheetLayoutView="90" workbookViewId="0">
      <selection activeCell="N16" sqref="N16"/>
    </sheetView>
  </sheetViews>
  <sheetFormatPr defaultColWidth="9.109375" defaultRowHeight="13.2"/>
  <cols>
    <col min="1" max="3" width="4.6640625" style="315" customWidth="1"/>
    <col min="4" max="6" width="9.109375" style="315"/>
    <col min="7" max="7" width="9.109375" style="315" customWidth="1"/>
    <col min="8" max="9" width="16.6640625" style="315" customWidth="1"/>
    <col min="10" max="10" width="19.5546875" style="315" customWidth="1"/>
    <col min="11" max="16384" width="9.109375" style="315"/>
  </cols>
  <sheetData>
    <row r="4" spans="2:12" ht="22.8">
      <c r="B4" s="1586" t="str">
        <f>'17-Budget Revenues'!B2:J2</f>
        <v>STATEMENT OF GENERAL BUDGET REVENUES 2020</v>
      </c>
      <c r="C4" s="1586"/>
      <c r="D4" s="1586"/>
      <c r="E4" s="1586"/>
      <c r="F4" s="1586"/>
      <c r="G4" s="1586"/>
      <c r="H4" s="1586"/>
      <c r="I4" s="1586"/>
      <c r="J4" s="1586"/>
    </row>
    <row r="5" spans="2:12" ht="13.8">
      <c r="B5" s="1545" t="s">
        <v>277</v>
      </c>
      <c r="C5" s="1545"/>
      <c r="D5" s="1545"/>
      <c r="E5" s="1545"/>
      <c r="F5" s="1545"/>
      <c r="G5" s="1545"/>
      <c r="H5" s="1545"/>
      <c r="I5" s="1545"/>
      <c r="J5" s="1545"/>
    </row>
    <row r="7" spans="2:12" ht="15.6">
      <c r="B7" s="1576" t="s">
        <v>278</v>
      </c>
      <c r="C7" s="1576"/>
      <c r="D7" s="1576"/>
      <c r="E7" s="1576"/>
      <c r="F7" s="1576"/>
      <c r="G7" s="1576"/>
      <c r="H7" s="1576"/>
      <c r="I7" s="1576"/>
      <c r="J7" s="1576"/>
    </row>
    <row r="8" spans="2:12" ht="8.25" customHeight="1" thickBot="1">
      <c r="B8" s="10"/>
      <c r="C8" s="10"/>
      <c r="D8" s="10"/>
      <c r="E8" s="10"/>
      <c r="F8" s="10"/>
      <c r="G8" s="10"/>
      <c r="H8" s="10"/>
      <c r="I8" s="10"/>
      <c r="J8" s="10"/>
    </row>
    <row r="9" spans="2:12" ht="32.1" customHeight="1" thickTop="1" thickBot="1">
      <c r="B9" s="1589" t="s">
        <v>172</v>
      </c>
      <c r="C9" s="1589"/>
      <c r="D9" s="1589"/>
      <c r="E9" s="1589"/>
      <c r="F9" s="1589"/>
      <c r="G9" s="1589"/>
      <c r="H9" s="4" t="s">
        <v>564</v>
      </c>
      <c r="I9" s="4" t="s">
        <v>671</v>
      </c>
      <c r="J9" s="747" t="s">
        <v>279</v>
      </c>
    </row>
    <row r="10" spans="2:12" ht="21.9" customHeight="1" thickTop="1">
      <c r="B10" s="785" t="s">
        <v>3324</v>
      </c>
      <c r="C10" s="276"/>
      <c r="D10" s="276"/>
      <c r="E10" s="276"/>
      <c r="F10" s="276"/>
      <c r="G10" s="276"/>
      <c r="H10" s="63">
        <f>+'17a-Budget Revenues'!H43</f>
        <v>10701.439999999999</v>
      </c>
      <c r="I10" s="63">
        <f>+'17a-Budget Revenues'!I43</f>
        <v>10701.439999999999</v>
      </c>
      <c r="J10" s="64">
        <f>+'17a-Budget Revenues'!J43</f>
        <v>0</v>
      </c>
    </row>
    <row r="11" spans="2:12" ht="21.9" customHeight="1">
      <c r="B11" s="560"/>
      <c r="C11" s="559"/>
      <c r="D11" s="559"/>
      <c r="E11" s="559"/>
      <c r="F11" s="559"/>
      <c r="G11" s="559"/>
      <c r="H11" s="365"/>
      <c r="I11" s="365">
        <f t="shared" ref="I11:I42" si="0">+H11</f>
        <v>0</v>
      </c>
      <c r="J11" s="212">
        <f t="shared" ref="J11:J42" si="1">H11-I11</f>
        <v>0</v>
      </c>
      <c r="L11" s="1438" t="s">
        <v>3544</v>
      </c>
    </row>
    <row r="12" spans="2:12" ht="21.9" customHeight="1">
      <c r="B12" s="560"/>
      <c r="C12" s="559"/>
      <c r="D12" s="559"/>
      <c r="E12" s="559"/>
      <c r="F12" s="559"/>
      <c r="G12" s="559"/>
      <c r="H12" s="365"/>
      <c r="I12" s="365">
        <f t="shared" si="0"/>
        <v>0</v>
      </c>
      <c r="J12" s="212">
        <f t="shared" si="1"/>
        <v>0</v>
      </c>
    </row>
    <row r="13" spans="2:12" ht="21.9" customHeight="1">
      <c r="B13" s="560"/>
      <c r="C13" s="559"/>
      <c r="D13" s="559"/>
      <c r="E13" s="559"/>
      <c r="F13" s="559"/>
      <c r="G13" s="559"/>
      <c r="H13" s="365"/>
      <c r="I13" s="365">
        <f t="shared" si="0"/>
        <v>0</v>
      </c>
      <c r="J13" s="212">
        <f t="shared" si="1"/>
        <v>0</v>
      </c>
    </row>
    <row r="14" spans="2:12" ht="21.9" customHeight="1">
      <c r="B14" s="560"/>
      <c r="C14" s="559"/>
      <c r="D14" s="559"/>
      <c r="E14" s="559"/>
      <c r="F14" s="559"/>
      <c r="G14" s="559"/>
      <c r="H14" s="365"/>
      <c r="I14" s="365">
        <f t="shared" si="0"/>
        <v>0</v>
      </c>
      <c r="J14" s="212">
        <f t="shared" si="1"/>
        <v>0</v>
      </c>
    </row>
    <row r="15" spans="2:12" ht="21.9" customHeight="1">
      <c r="B15" s="560"/>
      <c r="C15" s="559"/>
      <c r="D15" s="559"/>
      <c r="E15" s="559"/>
      <c r="F15" s="559"/>
      <c r="G15" s="559"/>
      <c r="H15" s="365"/>
      <c r="I15" s="365">
        <f t="shared" si="0"/>
        <v>0</v>
      </c>
      <c r="J15" s="212">
        <f t="shared" si="1"/>
        <v>0</v>
      </c>
    </row>
    <row r="16" spans="2:12" ht="21.9" customHeight="1">
      <c r="B16" s="560"/>
      <c r="C16" s="559"/>
      <c r="D16" s="559"/>
      <c r="E16" s="559"/>
      <c r="F16" s="559"/>
      <c r="G16" s="559"/>
      <c r="H16" s="365"/>
      <c r="I16" s="365">
        <f t="shared" si="0"/>
        <v>0</v>
      </c>
      <c r="J16" s="212">
        <f t="shared" si="1"/>
        <v>0</v>
      </c>
    </row>
    <row r="17" spans="2:10" ht="21.9" customHeight="1">
      <c r="B17" s="560"/>
      <c r="C17" s="559"/>
      <c r="D17" s="559"/>
      <c r="E17" s="559"/>
      <c r="F17" s="559"/>
      <c r="G17" s="559"/>
      <c r="H17" s="365"/>
      <c r="I17" s="365">
        <f t="shared" si="0"/>
        <v>0</v>
      </c>
      <c r="J17" s="212">
        <f t="shared" si="1"/>
        <v>0</v>
      </c>
    </row>
    <row r="18" spans="2:10" ht="21.9" customHeight="1">
      <c r="B18" s="560"/>
      <c r="C18" s="559"/>
      <c r="D18" s="559"/>
      <c r="E18" s="559"/>
      <c r="F18" s="559"/>
      <c r="G18" s="559"/>
      <c r="H18" s="365"/>
      <c r="I18" s="365">
        <f t="shared" si="0"/>
        <v>0</v>
      </c>
      <c r="J18" s="212">
        <f t="shared" si="1"/>
        <v>0</v>
      </c>
    </row>
    <row r="19" spans="2:10" ht="21.9" customHeight="1">
      <c r="B19" s="560"/>
      <c r="C19" s="559"/>
      <c r="D19" s="559"/>
      <c r="E19" s="559"/>
      <c r="F19" s="559"/>
      <c r="G19" s="559"/>
      <c r="H19" s="365"/>
      <c r="I19" s="365">
        <f t="shared" si="0"/>
        <v>0</v>
      </c>
      <c r="J19" s="212">
        <f t="shared" si="1"/>
        <v>0</v>
      </c>
    </row>
    <row r="20" spans="2:10" ht="21.9" customHeight="1">
      <c r="B20" s="560"/>
      <c r="C20" s="559"/>
      <c r="D20" s="559"/>
      <c r="E20" s="559"/>
      <c r="F20" s="559"/>
      <c r="G20" s="559"/>
      <c r="H20" s="365"/>
      <c r="I20" s="365">
        <f t="shared" si="0"/>
        <v>0</v>
      </c>
      <c r="J20" s="212">
        <f t="shared" si="1"/>
        <v>0</v>
      </c>
    </row>
    <row r="21" spans="2:10" ht="21.9" customHeight="1">
      <c r="B21" s="560"/>
      <c r="C21" s="559"/>
      <c r="D21" s="559"/>
      <c r="E21" s="559"/>
      <c r="F21" s="559"/>
      <c r="G21" s="559"/>
      <c r="H21" s="365"/>
      <c r="I21" s="365">
        <f t="shared" si="0"/>
        <v>0</v>
      </c>
      <c r="J21" s="212">
        <f t="shared" si="1"/>
        <v>0</v>
      </c>
    </row>
    <row r="22" spans="2:10" ht="21.9" customHeight="1">
      <c r="B22" s="560"/>
      <c r="C22" s="559"/>
      <c r="D22" s="559"/>
      <c r="E22" s="559"/>
      <c r="F22" s="559"/>
      <c r="G22" s="559"/>
      <c r="H22" s="365"/>
      <c r="I22" s="365">
        <f t="shared" si="0"/>
        <v>0</v>
      </c>
      <c r="J22" s="212">
        <f t="shared" si="1"/>
        <v>0</v>
      </c>
    </row>
    <row r="23" spans="2:10" ht="21.9" customHeight="1">
      <c r="B23" s="560"/>
      <c r="C23" s="559"/>
      <c r="D23" s="559"/>
      <c r="E23" s="559"/>
      <c r="F23" s="559"/>
      <c r="G23" s="559"/>
      <c r="H23" s="365"/>
      <c r="I23" s="365">
        <f t="shared" si="0"/>
        <v>0</v>
      </c>
      <c r="J23" s="212">
        <f t="shared" si="1"/>
        <v>0</v>
      </c>
    </row>
    <row r="24" spans="2:10" ht="21.9" customHeight="1">
      <c r="B24" s="560"/>
      <c r="C24" s="559"/>
      <c r="D24" s="559"/>
      <c r="E24" s="559"/>
      <c r="F24" s="559"/>
      <c r="G24" s="559"/>
      <c r="H24" s="365"/>
      <c r="I24" s="365">
        <f t="shared" si="0"/>
        <v>0</v>
      </c>
      <c r="J24" s="212">
        <f t="shared" si="1"/>
        <v>0</v>
      </c>
    </row>
    <row r="25" spans="2:10" ht="21.9" customHeight="1">
      <c r="B25" s="560"/>
      <c r="C25" s="559"/>
      <c r="D25" s="559"/>
      <c r="E25" s="559"/>
      <c r="F25" s="559"/>
      <c r="G25" s="559"/>
      <c r="H25" s="365"/>
      <c r="I25" s="365">
        <f t="shared" si="0"/>
        <v>0</v>
      </c>
      <c r="J25" s="212">
        <f t="shared" si="1"/>
        <v>0</v>
      </c>
    </row>
    <row r="26" spans="2:10" ht="21.9" customHeight="1">
      <c r="B26" s="560"/>
      <c r="C26" s="559"/>
      <c r="D26" s="559"/>
      <c r="E26" s="559"/>
      <c r="F26" s="559"/>
      <c r="G26" s="559"/>
      <c r="H26" s="365"/>
      <c r="I26" s="365">
        <f t="shared" si="0"/>
        <v>0</v>
      </c>
      <c r="J26" s="212">
        <f t="shared" si="1"/>
        <v>0</v>
      </c>
    </row>
    <row r="27" spans="2:10" ht="21.9" customHeight="1">
      <c r="B27" s="560"/>
      <c r="C27" s="559"/>
      <c r="D27" s="559"/>
      <c r="E27" s="559"/>
      <c r="F27" s="559"/>
      <c r="G27" s="559"/>
      <c r="H27" s="365"/>
      <c r="I27" s="365">
        <f t="shared" si="0"/>
        <v>0</v>
      </c>
      <c r="J27" s="212">
        <f t="shared" si="1"/>
        <v>0</v>
      </c>
    </row>
    <row r="28" spans="2:10" ht="21.9" customHeight="1">
      <c r="B28" s="560"/>
      <c r="C28" s="559"/>
      <c r="D28" s="559"/>
      <c r="E28" s="559"/>
      <c r="F28" s="559"/>
      <c r="G28" s="559"/>
      <c r="H28" s="365"/>
      <c r="I28" s="365">
        <f t="shared" si="0"/>
        <v>0</v>
      </c>
      <c r="J28" s="212">
        <f t="shared" si="1"/>
        <v>0</v>
      </c>
    </row>
    <row r="29" spans="2:10" ht="21.9" customHeight="1">
      <c r="B29" s="560"/>
      <c r="C29" s="559"/>
      <c r="D29" s="559"/>
      <c r="E29" s="559"/>
      <c r="F29" s="559"/>
      <c r="G29" s="559"/>
      <c r="H29" s="365"/>
      <c r="I29" s="365">
        <f t="shared" si="0"/>
        <v>0</v>
      </c>
      <c r="J29" s="212">
        <f t="shared" si="1"/>
        <v>0</v>
      </c>
    </row>
    <row r="30" spans="2:10" ht="21.9" customHeight="1">
      <c r="B30" s="560"/>
      <c r="C30" s="559"/>
      <c r="D30" s="559"/>
      <c r="E30" s="559"/>
      <c r="F30" s="559"/>
      <c r="G30" s="559"/>
      <c r="H30" s="365"/>
      <c r="I30" s="365">
        <f t="shared" si="0"/>
        <v>0</v>
      </c>
      <c r="J30" s="212">
        <f t="shared" si="1"/>
        <v>0</v>
      </c>
    </row>
    <row r="31" spans="2:10" ht="21.9" customHeight="1">
      <c r="B31" s="560"/>
      <c r="C31" s="559"/>
      <c r="D31" s="559"/>
      <c r="E31" s="559"/>
      <c r="F31" s="559"/>
      <c r="G31" s="559"/>
      <c r="H31" s="365"/>
      <c r="I31" s="365">
        <f t="shared" si="0"/>
        <v>0</v>
      </c>
      <c r="J31" s="212">
        <f t="shared" si="1"/>
        <v>0</v>
      </c>
    </row>
    <row r="32" spans="2:10" ht="21.9" customHeight="1">
      <c r="B32" s="560"/>
      <c r="C32" s="559"/>
      <c r="D32" s="559"/>
      <c r="E32" s="559"/>
      <c r="F32" s="559"/>
      <c r="G32" s="559"/>
      <c r="H32" s="365"/>
      <c r="I32" s="365">
        <f t="shared" si="0"/>
        <v>0</v>
      </c>
      <c r="J32" s="212">
        <f t="shared" si="1"/>
        <v>0</v>
      </c>
    </row>
    <row r="33" spans="2:11" ht="21.9" customHeight="1">
      <c r="B33" s="560"/>
      <c r="C33" s="559"/>
      <c r="D33" s="559"/>
      <c r="E33" s="559"/>
      <c r="F33" s="559"/>
      <c r="G33" s="559"/>
      <c r="H33" s="365"/>
      <c r="I33" s="365">
        <f t="shared" si="0"/>
        <v>0</v>
      </c>
      <c r="J33" s="212">
        <f t="shared" si="1"/>
        <v>0</v>
      </c>
    </row>
    <row r="34" spans="2:11" ht="21.9" customHeight="1">
      <c r="B34" s="560"/>
      <c r="C34" s="559"/>
      <c r="D34" s="559"/>
      <c r="E34" s="559"/>
      <c r="F34" s="559"/>
      <c r="G34" s="559"/>
      <c r="H34" s="365"/>
      <c r="I34" s="365">
        <f t="shared" si="0"/>
        <v>0</v>
      </c>
      <c r="J34" s="212">
        <f t="shared" si="1"/>
        <v>0</v>
      </c>
    </row>
    <row r="35" spans="2:11" ht="21.9" customHeight="1">
      <c r="B35" s="560"/>
      <c r="C35" s="559"/>
      <c r="D35" s="559"/>
      <c r="E35" s="559"/>
      <c r="F35" s="559"/>
      <c r="G35" s="559"/>
      <c r="H35" s="365"/>
      <c r="I35" s="365">
        <f t="shared" si="0"/>
        <v>0</v>
      </c>
      <c r="J35" s="212">
        <f t="shared" si="1"/>
        <v>0</v>
      </c>
    </row>
    <row r="36" spans="2:11" ht="21.9" customHeight="1">
      <c r="B36" s="560"/>
      <c r="C36" s="559"/>
      <c r="D36" s="559"/>
      <c r="E36" s="559"/>
      <c r="F36" s="559"/>
      <c r="G36" s="559"/>
      <c r="H36" s="365"/>
      <c r="I36" s="365">
        <f t="shared" si="0"/>
        <v>0</v>
      </c>
      <c r="J36" s="212">
        <f t="shared" si="1"/>
        <v>0</v>
      </c>
    </row>
    <row r="37" spans="2:11" ht="21.9" customHeight="1">
      <c r="B37" s="560"/>
      <c r="C37" s="559"/>
      <c r="D37" s="559"/>
      <c r="E37" s="559"/>
      <c r="F37" s="559"/>
      <c r="G37" s="559"/>
      <c r="H37" s="365"/>
      <c r="I37" s="365">
        <f t="shared" si="0"/>
        <v>0</v>
      </c>
      <c r="J37" s="212">
        <f t="shared" si="1"/>
        <v>0</v>
      </c>
    </row>
    <row r="38" spans="2:11" ht="21.9" customHeight="1">
      <c r="B38" s="560"/>
      <c r="C38" s="559"/>
      <c r="D38" s="559"/>
      <c r="E38" s="559"/>
      <c r="F38" s="559"/>
      <c r="G38" s="559"/>
      <c r="H38" s="365"/>
      <c r="I38" s="365">
        <f t="shared" si="0"/>
        <v>0</v>
      </c>
      <c r="J38" s="212">
        <f t="shared" si="1"/>
        <v>0</v>
      </c>
    </row>
    <row r="39" spans="2:11" ht="21.9" customHeight="1">
      <c r="B39" s="560"/>
      <c r="C39" s="559"/>
      <c r="D39" s="559"/>
      <c r="E39" s="559"/>
      <c r="F39" s="559"/>
      <c r="G39" s="559"/>
      <c r="H39" s="365"/>
      <c r="I39" s="365">
        <f t="shared" si="0"/>
        <v>0</v>
      </c>
      <c r="J39" s="212">
        <f t="shared" si="1"/>
        <v>0</v>
      </c>
    </row>
    <row r="40" spans="2:11" ht="21.9" customHeight="1">
      <c r="B40" s="560"/>
      <c r="C40" s="559"/>
      <c r="D40" s="559"/>
      <c r="E40" s="559"/>
      <c r="F40" s="559"/>
      <c r="G40" s="559"/>
      <c r="H40" s="365"/>
      <c r="I40" s="365">
        <f t="shared" si="0"/>
        <v>0</v>
      </c>
      <c r="J40" s="212">
        <f t="shared" si="1"/>
        <v>0</v>
      </c>
    </row>
    <row r="41" spans="2:11" ht="21.9" customHeight="1">
      <c r="B41" s="560"/>
      <c r="C41" s="559"/>
      <c r="D41" s="559"/>
      <c r="E41" s="559"/>
      <c r="F41" s="559"/>
      <c r="G41" s="559"/>
      <c r="H41" s="365"/>
      <c r="I41" s="365">
        <f t="shared" si="0"/>
        <v>0</v>
      </c>
      <c r="J41" s="212">
        <f t="shared" si="1"/>
        <v>0</v>
      </c>
    </row>
    <row r="42" spans="2:11" ht="21.9" customHeight="1">
      <c r="B42" s="560"/>
      <c r="C42" s="559"/>
      <c r="D42" s="559"/>
      <c r="E42" s="559"/>
      <c r="F42" s="559"/>
      <c r="G42" s="559"/>
      <c r="H42" s="365"/>
      <c r="I42" s="365">
        <f t="shared" si="0"/>
        <v>0</v>
      </c>
      <c r="J42" s="212">
        <f t="shared" si="1"/>
        <v>0</v>
      </c>
    </row>
    <row r="43" spans="2:11" ht="21.9" customHeight="1" thickBot="1">
      <c r="B43" s="27"/>
      <c r="C43" s="321" t="s">
        <v>3323</v>
      </c>
      <c r="D43" s="27"/>
      <c r="E43" s="27"/>
      <c r="F43" s="27"/>
      <c r="G43" s="27"/>
      <c r="H43" s="105">
        <f>SUM(H10:H42)</f>
        <v>10701.439999999999</v>
      </c>
      <c r="I43" s="105">
        <f>SUM(I10:I42)</f>
        <v>10701.439999999999</v>
      </c>
      <c r="J43" s="232">
        <f>SUM(J10:J42)</f>
        <v>0</v>
      </c>
      <c r="K43" s="318"/>
    </row>
    <row r="44" spans="2:11" ht="13.8" thickTop="1">
      <c r="B44" s="315" t="s">
        <v>293</v>
      </c>
    </row>
    <row r="45" spans="2:11">
      <c r="B45" s="315" t="s">
        <v>294</v>
      </c>
    </row>
    <row r="46" spans="2:11">
      <c r="B46" s="315" t="s">
        <v>295</v>
      </c>
      <c r="H46" s="318"/>
    </row>
    <row r="48" spans="2:11">
      <c r="B48" s="315" t="s">
        <v>296</v>
      </c>
      <c r="E48" s="1570"/>
      <c r="F48" s="1570"/>
      <c r="G48" s="1570"/>
      <c r="H48" s="1570"/>
    </row>
    <row r="49" spans="2:10" ht="13.8">
      <c r="B49" s="1545" t="s">
        <v>3393</v>
      </c>
      <c r="C49" s="1545"/>
      <c r="D49" s="1545"/>
      <c r="E49" s="1545"/>
      <c r="F49" s="1545"/>
      <c r="G49" s="1545"/>
      <c r="H49" s="1545"/>
      <c r="I49" s="1545"/>
      <c r="J49" s="1545"/>
    </row>
    <row r="52" spans="2:10">
      <c r="I52" s="318"/>
    </row>
  </sheetData>
  <sheetProtection algorithmName="SHA-512" hashValue="c7wJWvwIYaZnmk7Aab8naetOoe3uux3BziY6gDZBZ1kVzYw53ZLJqbym/wV0SKM1PXcCnKqxDS6JRV3ydjnTCg==" saltValue="MFdcCofa6Cm5HIvk6fSclw=="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2"/>
  <dimension ref="B4:L52"/>
  <sheetViews>
    <sheetView zoomScaleNormal="100" zoomScaleSheetLayoutView="90" workbookViewId="0">
      <selection activeCell="B1" sqref="B1"/>
    </sheetView>
  </sheetViews>
  <sheetFormatPr defaultColWidth="9.109375" defaultRowHeight="13.2"/>
  <cols>
    <col min="1" max="3" width="4.6640625" style="315" customWidth="1"/>
    <col min="4" max="6" width="9.109375" style="315"/>
    <col min="7" max="7" width="9.109375" style="315" customWidth="1"/>
    <col min="8" max="9" width="16.6640625" style="315" customWidth="1"/>
    <col min="10" max="10" width="19.5546875" style="315" customWidth="1"/>
    <col min="11" max="16384" width="9.109375" style="315"/>
  </cols>
  <sheetData>
    <row r="4" spans="2:12" ht="22.8">
      <c r="B4" s="1586" t="str">
        <f>'17-Budget Revenues'!B2:J2</f>
        <v>STATEMENT OF GENERAL BUDGET REVENUES 2020</v>
      </c>
      <c r="C4" s="1586"/>
      <c r="D4" s="1586"/>
      <c r="E4" s="1586"/>
      <c r="F4" s="1586"/>
      <c r="G4" s="1586"/>
      <c r="H4" s="1586"/>
      <c r="I4" s="1586"/>
      <c r="J4" s="1586"/>
    </row>
    <row r="5" spans="2:12" ht="13.8">
      <c r="B5" s="1545" t="s">
        <v>277</v>
      </c>
      <c r="C5" s="1545"/>
      <c r="D5" s="1545"/>
      <c r="E5" s="1545"/>
      <c r="F5" s="1545"/>
      <c r="G5" s="1545"/>
      <c r="H5" s="1545"/>
      <c r="I5" s="1545"/>
      <c r="J5" s="1545"/>
    </row>
    <row r="7" spans="2:12" ht="15.6">
      <c r="B7" s="1576" t="s">
        <v>278</v>
      </c>
      <c r="C7" s="1576"/>
      <c r="D7" s="1576"/>
      <c r="E7" s="1576"/>
      <c r="F7" s="1576"/>
      <c r="G7" s="1576"/>
      <c r="H7" s="1576"/>
      <c r="I7" s="1576"/>
      <c r="J7" s="1576"/>
    </row>
    <row r="8" spans="2:12" ht="8.25" customHeight="1" thickBot="1">
      <c r="B8" s="10"/>
      <c r="C8" s="10"/>
      <c r="D8" s="10"/>
      <c r="E8" s="10"/>
      <c r="F8" s="10"/>
      <c r="G8" s="10"/>
      <c r="H8" s="10"/>
      <c r="I8" s="10"/>
      <c r="J8" s="10"/>
    </row>
    <row r="9" spans="2:12" ht="32.1" customHeight="1" thickTop="1" thickBot="1">
      <c r="B9" s="1589" t="s">
        <v>172</v>
      </c>
      <c r="C9" s="1589"/>
      <c r="D9" s="1589"/>
      <c r="E9" s="1589"/>
      <c r="F9" s="1589"/>
      <c r="G9" s="1589"/>
      <c r="H9" s="4" t="s">
        <v>564</v>
      </c>
      <c r="I9" s="4" t="s">
        <v>671</v>
      </c>
      <c r="J9" s="747" t="s">
        <v>279</v>
      </c>
    </row>
    <row r="10" spans="2:12" ht="21.9" customHeight="1" thickTop="1">
      <c r="B10" s="785" t="s">
        <v>3324</v>
      </c>
      <c r="C10" s="276"/>
      <c r="D10" s="276"/>
      <c r="E10" s="276"/>
      <c r="F10" s="276"/>
      <c r="G10" s="276"/>
      <c r="H10" s="63">
        <f>+'17a.1-Budget Revenues '!H43</f>
        <v>10701.439999999999</v>
      </c>
      <c r="I10" s="63">
        <f>+'17a.1-Budget Revenues '!I43</f>
        <v>10701.439999999999</v>
      </c>
      <c r="J10" s="64">
        <f>+'17a.1-Budget Revenues '!J43</f>
        <v>0</v>
      </c>
    </row>
    <row r="11" spans="2:12" ht="21.9" customHeight="1">
      <c r="B11" s="560"/>
      <c r="C11" s="559"/>
      <c r="D11" s="559"/>
      <c r="E11" s="559"/>
      <c r="F11" s="559"/>
      <c r="G11" s="559"/>
      <c r="H11" s="365"/>
      <c r="I11" s="365">
        <f t="shared" ref="I11:I42" si="0">+H11</f>
        <v>0</v>
      </c>
      <c r="J11" s="212">
        <f t="shared" ref="J11:J42" si="1">H11-I11</f>
        <v>0</v>
      </c>
      <c r="L11" s="1438" t="s">
        <v>3544</v>
      </c>
    </row>
    <row r="12" spans="2:12" ht="21.9" customHeight="1">
      <c r="B12" s="560"/>
      <c r="C12" s="559"/>
      <c r="D12" s="559"/>
      <c r="E12" s="559"/>
      <c r="F12" s="559"/>
      <c r="G12" s="559"/>
      <c r="H12" s="365"/>
      <c r="I12" s="365">
        <f t="shared" si="0"/>
        <v>0</v>
      </c>
      <c r="J12" s="212">
        <f t="shared" si="1"/>
        <v>0</v>
      </c>
    </row>
    <row r="13" spans="2:12" ht="21.9" customHeight="1">
      <c r="B13" s="560"/>
      <c r="C13" s="559"/>
      <c r="D13" s="559"/>
      <c r="E13" s="559"/>
      <c r="F13" s="559"/>
      <c r="G13" s="559"/>
      <c r="H13" s="365"/>
      <c r="I13" s="365">
        <f t="shared" si="0"/>
        <v>0</v>
      </c>
      <c r="J13" s="212">
        <f t="shared" si="1"/>
        <v>0</v>
      </c>
    </row>
    <row r="14" spans="2:12" ht="21.9" customHeight="1">
      <c r="B14" s="560"/>
      <c r="C14" s="559"/>
      <c r="D14" s="559"/>
      <c r="E14" s="559"/>
      <c r="F14" s="559"/>
      <c r="G14" s="559"/>
      <c r="H14" s="365"/>
      <c r="I14" s="365">
        <f t="shared" si="0"/>
        <v>0</v>
      </c>
      <c r="J14" s="212">
        <f t="shared" si="1"/>
        <v>0</v>
      </c>
    </row>
    <row r="15" spans="2:12" ht="21.9" customHeight="1">
      <c r="B15" s="560"/>
      <c r="C15" s="559"/>
      <c r="D15" s="559"/>
      <c r="E15" s="559"/>
      <c r="F15" s="559"/>
      <c r="G15" s="559"/>
      <c r="H15" s="365"/>
      <c r="I15" s="365">
        <f t="shared" si="0"/>
        <v>0</v>
      </c>
      <c r="J15" s="212">
        <f t="shared" si="1"/>
        <v>0</v>
      </c>
    </row>
    <row r="16" spans="2:12" ht="21.9" customHeight="1">
      <c r="B16" s="560"/>
      <c r="C16" s="559"/>
      <c r="D16" s="559"/>
      <c r="E16" s="559"/>
      <c r="F16" s="559"/>
      <c r="G16" s="559"/>
      <c r="H16" s="365"/>
      <c r="I16" s="365">
        <f t="shared" si="0"/>
        <v>0</v>
      </c>
      <c r="J16" s="212">
        <f t="shared" si="1"/>
        <v>0</v>
      </c>
    </row>
    <row r="17" spans="2:10" ht="21.9" customHeight="1">
      <c r="B17" s="560"/>
      <c r="C17" s="559"/>
      <c r="D17" s="559"/>
      <c r="E17" s="559"/>
      <c r="F17" s="559"/>
      <c r="G17" s="559"/>
      <c r="H17" s="365"/>
      <c r="I17" s="365">
        <f t="shared" si="0"/>
        <v>0</v>
      </c>
      <c r="J17" s="212">
        <f t="shared" si="1"/>
        <v>0</v>
      </c>
    </row>
    <row r="18" spans="2:10" ht="21.9" customHeight="1">
      <c r="B18" s="560"/>
      <c r="C18" s="559"/>
      <c r="D18" s="559"/>
      <c r="E18" s="559"/>
      <c r="F18" s="559"/>
      <c r="G18" s="559"/>
      <c r="H18" s="365"/>
      <c r="I18" s="365">
        <f t="shared" si="0"/>
        <v>0</v>
      </c>
      <c r="J18" s="212">
        <f t="shared" si="1"/>
        <v>0</v>
      </c>
    </row>
    <row r="19" spans="2:10" ht="21.9" customHeight="1">
      <c r="B19" s="560"/>
      <c r="C19" s="559"/>
      <c r="D19" s="559"/>
      <c r="E19" s="559"/>
      <c r="F19" s="559"/>
      <c r="G19" s="559"/>
      <c r="H19" s="365"/>
      <c r="I19" s="365">
        <f t="shared" si="0"/>
        <v>0</v>
      </c>
      <c r="J19" s="212">
        <f t="shared" si="1"/>
        <v>0</v>
      </c>
    </row>
    <row r="20" spans="2:10" ht="21.9" customHeight="1">
      <c r="B20" s="560"/>
      <c r="C20" s="559"/>
      <c r="D20" s="559"/>
      <c r="E20" s="559"/>
      <c r="F20" s="559"/>
      <c r="G20" s="559"/>
      <c r="H20" s="365"/>
      <c r="I20" s="365">
        <f t="shared" si="0"/>
        <v>0</v>
      </c>
      <c r="J20" s="212">
        <f t="shared" si="1"/>
        <v>0</v>
      </c>
    </row>
    <row r="21" spans="2:10" ht="21.9" customHeight="1">
      <c r="B21" s="560"/>
      <c r="C21" s="559"/>
      <c r="D21" s="559"/>
      <c r="E21" s="559"/>
      <c r="F21" s="559"/>
      <c r="G21" s="559"/>
      <c r="H21" s="365"/>
      <c r="I21" s="365">
        <f t="shared" si="0"/>
        <v>0</v>
      </c>
      <c r="J21" s="212">
        <f t="shared" si="1"/>
        <v>0</v>
      </c>
    </row>
    <row r="22" spans="2:10" ht="21.9" customHeight="1">
      <c r="B22" s="560"/>
      <c r="C22" s="559"/>
      <c r="D22" s="559"/>
      <c r="E22" s="559"/>
      <c r="F22" s="559"/>
      <c r="G22" s="559"/>
      <c r="H22" s="365"/>
      <c r="I22" s="365">
        <f t="shared" si="0"/>
        <v>0</v>
      </c>
      <c r="J22" s="212">
        <f t="shared" si="1"/>
        <v>0</v>
      </c>
    </row>
    <row r="23" spans="2:10" ht="21.9" customHeight="1">
      <c r="B23" s="560"/>
      <c r="C23" s="559"/>
      <c r="D23" s="559"/>
      <c r="E23" s="559"/>
      <c r="F23" s="559"/>
      <c r="G23" s="559"/>
      <c r="H23" s="365"/>
      <c r="I23" s="365">
        <f t="shared" si="0"/>
        <v>0</v>
      </c>
      <c r="J23" s="212">
        <f t="shared" si="1"/>
        <v>0</v>
      </c>
    </row>
    <row r="24" spans="2:10" ht="21.9" customHeight="1">
      <c r="B24" s="560"/>
      <c r="C24" s="559"/>
      <c r="D24" s="559"/>
      <c r="E24" s="559"/>
      <c r="F24" s="559"/>
      <c r="G24" s="559"/>
      <c r="H24" s="365"/>
      <c r="I24" s="365">
        <f t="shared" si="0"/>
        <v>0</v>
      </c>
      <c r="J24" s="212">
        <f t="shared" si="1"/>
        <v>0</v>
      </c>
    </row>
    <row r="25" spans="2:10" ht="21.9" customHeight="1">
      <c r="B25" s="560"/>
      <c r="C25" s="559"/>
      <c r="D25" s="559"/>
      <c r="E25" s="559"/>
      <c r="F25" s="559"/>
      <c r="G25" s="559"/>
      <c r="H25" s="365"/>
      <c r="I25" s="365">
        <f t="shared" si="0"/>
        <v>0</v>
      </c>
      <c r="J25" s="212">
        <f t="shared" si="1"/>
        <v>0</v>
      </c>
    </row>
    <row r="26" spans="2:10" ht="21.9" customHeight="1">
      <c r="B26" s="560"/>
      <c r="C26" s="559"/>
      <c r="D26" s="559"/>
      <c r="E26" s="559"/>
      <c r="F26" s="559"/>
      <c r="G26" s="559"/>
      <c r="H26" s="365"/>
      <c r="I26" s="365">
        <f t="shared" si="0"/>
        <v>0</v>
      </c>
      <c r="J26" s="212">
        <f t="shared" si="1"/>
        <v>0</v>
      </c>
    </row>
    <row r="27" spans="2:10" ht="21.9" customHeight="1">
      <c r="B27" s="560"/>
      <c r="C27" s="559"/>
      <c r="D27" s="559"/>
      <c r="E27" s="559"/>
      <c r="F27" s="559"/>
      <c r="G27" s="559"/>
      <c r="H27" s="365"/>
      <c r="I27" s="365">
        <f t="shared" si="0"/>
        <v>0</v>
      </c>
      <c r="J27" s="212">
        <f t="shared" si="1"/>
        <v>0</v>
      </c>
    </row>
    <row r="28" spans="2:10" ht="21.9" customHeight="1">
      <c r="B28" s="560"/>
      <c r="C28" s="559"/>
      <c r="D28" s="559"/>
      <c r="E28" s="559"/>
      <c r="F28" s="559"/>
      <c r="G28" s="559"/>
      <c r="H28" s="365"/>
      <c r="I28" s="365">
        <f t="shared" si="0"/>
        <v>0</v>
      </c>
      <c r="J28" s="212">
        <f t="shared" si="1"/>
        <v>0</v>
      </c>
    </row>
    <row r="29" spans="2:10" ht="21.9" customHeight="1">
      <c r="B29" s="560"/>
      <c r="C29" s="559"/>
      <c r="D29" s="559"/>
      <c r="E29" s="559"/>
      <c r="F29" s="559"/>
      <c r="G29" s="559"/>
      <c r="H29" s="365"/>
      <c r="I29" s="365">
        <f t="shared" si="0"/>
        <v>0</v>
      </c>
      <c r="J29" s="212">
        <f t="shared" si="1"/>
        <v>0</v>
      </c>
    </row>
    <row r="30" spans="2:10" ht="21.9" customHeight="1">
      <c r="B30" s="560"/>
      <c r="C30" s="559"/>
      <c r="D30" s="559"/>
      <c r="E30" s="559"/>
      <c r="F30" s="559"/>
      <c r="G30" s="559"/>
      <c r="H30" s="365"/>
      <c r="I30" s="365">
        <f t="shared" si="0"/>
        <v>0</v>
      </c>
      <c r="J30" s="212">
        <f t="shared" si="1"/>
        <v>0</v>
      </c>
    </row>
    <row r="31" spans="2:10" ht="21.9" customHeight="1">
      <c r="B31" s="560"/>
      <c r="C31" s="559"/>
      <c r="D31" s="559"/>
      <c r="E31" s="559"/>
      <c r="F31" s="559"/>
      <c r="G31" s="559"/>
      <c r="H31" s="365"/>
      <c r="I31" s="365">
        <f t="shared" si="0"/>
        <v>0</v>
      </c>
      <c r="J31" s="212">
        <f t="shared" si="1"/>
        <v>0</v>
      </c>
    </row>
    <row r="32" spans="2:10" ht="21.9" customHeight="1">
      <c r="B32" s="560"/>
      <c r="C32" s="559"/>
      <c r="D32" s="559"/>
      <c r="E32" s="559"/>
      <c r="F32" s="559"/>
      <c r="G32" s="559"/>
      <c r="H32" s="365"/>
      <c r="I32" s="365">
        <f t="shared" si="0"/>
        <v>0</v>
      </c>
      <c r="J32" s="212">
        <f t="shared" si="1"/>
        <v>0</v>
      </c>
    </row>
    <row r="33" spans="2:11" ht="21.9" customHeight="1">
      <c r="B33" s="560"/>
      <c r="C33" s="559"/>
      <c r="D33" s="559"/>
      <c r="E33" s="559"/>
      <c r="F33" s="559"/>
      <c r="G33" s="559"/>
      <c r="H33" s="365"/>
      <c r="I33" s="365">
        <f t="shared" si="0"/>
        <v>0</v>
      </c>
      <c r="J33" s="212">
        <f t="shared" si="1"/>
        <v>0</v>
      </c>
    </row>
    <row r="34" spans="2:11" ht="21.9" customHeight="1">
      <c r="B34" s="560"/>
      <c r="C34" s="559"/>
      <c r="D34" s="559"/>
      <c r="E34" s="559"/>
      <c r="F34" s="559"/>
      <c r="G34" s="559"/>
      <c r="H34" s="365"/>
      <c r="I34" s="365">
        <f t="shared" si="0"/>
        <v>0</v>
      </c>
      <c r="J34" s="212">
        <f t="shared" si="1"/>
        <v>0</v>
      </c>
    </row>
    <row r="35" spans="2:11" ht="21.9" customHeight="1">
      <c r="B35" s="560"/>
      <c r="C35" s="559"/>
      <c r="D35" s="559"/>
      <c r="E35" s="559"/>
      <c r="F35" s="559"/>
      <c r="G35" s="559"/>
      <c r="H35" s="365"/>
      <c r="I35" s="365">
        <f t="shared" si="0"/>
        <v>0</v>
      </c>
      <c r="J35" s="212">
        <f t="shared" si="1"/>
        <v>0</v>
      </c>
    </row>
    <row r="36" spans="2:11" ht="21.9" customHeight="1">
      <c r="B36" s="560"/>
      <c r="C36" s="559"/>
      <c r="D36" s="559"/>
      <c r="E36" s="559"/>
      <c r="F36" s="559"/>
      <c r="G36" s="559"/>
      <c r="H36" s="365"/>
      <c r="I36" s="365">
        <f t="shared" si="0"/>
        <v>0</v>
      </c>
      <c r="J36" s="212">
        <f t="shared" si="1"/>
        <v>0</v>
      </c>
    </row>
    <row r="37" spans="2:11" ht="21.9" customHeight="1">
      <c r="B37" s="560"/>
      <c r="C37" s="559"/>
      <c r="D37" s="559"/>
      <c r="E37" s="559"/>
      <c r="F37" s="559"/>
      <c r="G37" s="559"/>
      <c r="H37" s="365"/>
      <c r="I37" s="365">
        <f t="shared" si="0"/>
        <v>0</v>
      </c>
      <c r="J37" s="212">
        <f t="shared" si="1"/>
        <v>0</v>
      </c>
    </row>
    <row r="38" spans="2:11" ht="21.9" customHeight="1">
      <c r="B38" s="560"/>
      <c r="C38" s="559"/>
      <c r="D38" s="559"/>
      <c r="E38" s="559"/>
      <c r="F38" s="559"/>
      <c r="G38" s="559"/>
      <c r="H38" s="365"/>
      <c r="I38" s="365">
        <f t="shared" si="0"/>
        <v>0</v>
      </c>
      <c r="J38" s="212">
        <f t="shared" si="1"/>
        <v>0</v>
      </c>
    </row>
    <row r="39" spans="2:11" ht="21.9" customHeight="1">
      <c r="B39" s="560"/>
      <c r="C39" s="559"/>
      <c r="D39" s="559"/>
      <c r="E39" s="559"/>
      <c r="F39" s="559"/>
      <c r="G39" s="559"/>
      <c r="H39" s="365"/>
      <c r="I39" s="365">
        <f t="shared" si="0"/>
        <v>0</v>
      </c>
      <c r="J39" s="212">
        <f t="shared" si="1"/>
        <v>0</v>
      </c>
    </row>
    <row r="40" spans="2:11" ht="21.9" customHeight="1">
      <c r="B40" s="560"/>
      <c r="C40" s="559"/>
      <c r="D40" s="559"/>
      <c r="E40" s="559"/>
      <c r="F40" s="559"/>
      <c r="G40" s="559"/>
      <c r="H40" s="365"/>
      <c r="I40" s="365">
        <f t="shared" si="0"/>
        <v>0</v>
      </c>
      <c r="J40" s="212">
        <f t="shared" si="1"/>
        <v>0</v>
      </c>
    </row>
    <row r="41" spans="2:11" ht="21.9" customHeight="1">
      <c r="B41" s="560"/>
      <c r="C41" s="559"/>
      <c r="D41" s="559"/>
      <c r="E41" s="559"/>
      <c r="F41" s="559"/>
      <c r="G41" s="559"/>
      <c r="H41" s="365"/>
      <c r="I41" s="365">
        <f t="shared" si="0"/>
        <v>0</v>
      </c>
      <c r="J41" s="212">
        <f t="shared" si="1"/>
        <v>0</v>
      </c>
    </row>
    <row r="42" spans="2:11" ht="21.9" customHeight="1">
      <c r="B42" s="560"/>
      <c r="C42" s="559"/>
      <c r="D42" s="559"/>
      <c r="E42" s="559"/>
      <c r="F42" s="559"/>
      <c r="G42" s="559"/>
      <c r="H42" s="365"/>
      <c r="I42" s="365">
        <f t="shared" si="0"/>
        <v>0</v>
      </c>
      <c r="J42" s="212">
        <f t="shared" si="1"/>
        <v>0</v>
      </c>
    </row>
    <row r="43" spans="2:11" ht="21.9" customHeight="1" thickBot="1">
      <c r="B43" s="27"/>
      <c r="C43" s="321" t="s">
        <v>3323</v>
      </c>
      <c r="D43" s="27"/>
      <c r="E43" s="27"/>
      <c r="F43" s="27"/>
      <c r="G43" s="27"/>
      <c r="H43" s="105">
        <f>SUM(H10:H42)</f>
        <v>10701.439999999999</v>
      </c>
      <c r="I43" s="105">
        <f>SUM(I10:I42)</f>
        <v>10701.439999999999</v>
      </c>
      <c r="J43" s="232">
        <f>SUM(J10:J42)</f>
        <v>0</v>
      </c>
      <c r="K43" s="318"/>
    </row>
    <row r="44" spans="2:11" ht="13.8" thickTop="1">
      <c r="B44" s="315" t="s">
        <v>293</v>
      </c>
    </row>
    <row r="45" spans="2:11">
      <c r="B45" s="315" t="s">
        <v>294</v>
      </c>
    </row>
    <row r="46" spans="2:11">
      <c r="B46" s="315" t="s">
        <v>295</v>
      </c>
      <c r="H46" s="318"/>
    </row>
    <row r="48" spans="2:11">
      <c r="B48" s="315" t="s">
        <v>296</v>
      </c>
      <c r="E48" s="1570"/>
      <c r="F48" s="1570"/>
      <c r="G48" s="1570"/>
      <c r="H48" s="1570"/>
    </row>
    <row r="49" spans="2:10" ht="13.8">
      <c r="B49" s="1545" t="s">
        <v>3392</v>
      </c>
      <c r="C49" s="1545"/>
      <c r="D49" s="1545"/>
      <c r="E49" s="1545"/>
      <c r="F49" s="1545"/>
      <c r="G49" s="1545"/>
      <c r="H49" s="1545"/>
      <c r="I49" s="1545"/>
      <c r="J49" s="1545"/>
    </row>
    <row r="52" spans="2:10">
      <c r="I52" s="318"/>
    </row>
  </sheetData>
  <sheetProtection algorithmName="SHA-512" hashValue="RwEd7zlA2F0Ute7ElqWlGYBscGYVtH/OPcnNIx4FexXYrOXafHs5vi0YWnZwLIqFFQE80FeayROnQXxkIxH8MA==" saltValue="iuOLtgbPntkZtvG6WWMHJw=="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3"/>
  <dimension ref="B4:L52"/>
  <sheetViews>
    <sheetView zoomScaleNormal="100" zoomScaleSheetLayoutView="90" workbookViewId="0">
      <selection activeCell="B1" sqref="B1"/>
    </sheetView>
  </sheetViews>
  <sheetFormatPr defaultColWidth="9.109375" defaultRowHeight="13.2"/>
  <cols>
    <col min="1" max="3" width="4.6640625" style="315" customWidth="1"/>
    <col min="4" max="6" width="9.109375" style="315"/>
    <col min="7" max="7" width="9.109375" style="315" customWidth="1"/>
    <col min="8" max="9" width="16.6640625" style="315" customWidth="1"/>
    <col min="10" max="10" width="19.5546875" style="315" customWidth="1"/>
    <col min="11" max="16384" width="9.109375" style="315"/>
  </cols>
  <sheetData>
    <row r="4" spans="2:12" ht="22.8">
      <c r="B4" s="1586" t="str">
        <f>'17-Budget Revenues'!B2:J2</f>
        <v>STATEMENT OF GENERAL BUDGET REVENUES 2020</v>
      </c>
      <c r="C4" s="1586"/>
      <c r="D4" s="1586"/>
      <c r="E4" s="1586"/>
      <c r="F4" s="1586"/>
      <c r="G4" s="1586"/>
      <c r="H4" s="1586"/>
      <c r="I4" s="1586"/>
      <c r="J4" s="1586"/>
    </row>
    <row r="5" spans="2:12" ht="13.8">
      <c r="B5" s="1545" t="s">
        <v>277</v>
      </c>
      <c r="C5" s="1545"/>
      <c r="D5" s="1545"/>
      <c r="E5" s="1545"/>
      <c r="F5" s="1545"/>
      <c r="G5" s="1545"/>
      <c r="H5" s="1545"/>
      <c r="I5" s="1545"/>
      <c r="J5" s="1545"/>
    </row>
    <row r="7" spans="2:12" ht="15.6">
      <c r="B7" s="1576" t="s">
        <v>278</v>
      </c>
      <c r="C7" s="1576"/>
      <c r="D7" s="1576"/>
      <c r="E7" s="1576"/>
      <c r="F7" s="1576"/>
      <c r="G7" s="1576"/>
      <c r="H7" s="1576"/>
      <c r="I7" s="1576"/>
      <c r="J7" s="1576"/>
    </row>
    <row r="8" spans="2:12" ht="8.25" customHeight="1" thickBot="1">
      <c r="B8" s="10"/>
      <c r="C8" s="10"/>
      <c r="D8" s="10"/>
      <c r="E8" s="10"/>
      <c r="F8" s="10"/>
      <c r="G8" s="10"/>
      <c r="H8" s="10"/>
      <c r="I8" s="10"/>
      <c r="J8" s="10"/>
    </row>
    <row r="9" spans="2:12" ht="32.1" customHeight="1" thickTop="1" thickBot="1">
      <c r="B9" s="1589" t="s">
        <v>172</v>
      </c>
      <c r="C9" s="1589"/>
      <c r="D9" s="1589"/>
      <c r="E9" s="1589"/>
      <c r="F9" s="1589"/>
      <c r="G9" s="1589"/>
      <c r="H9" s="4" t="s">
        <v>564</v>
      </c>
      <c r="I9" s="4" t="s">
        <v>671</v>
      </c>
      <c r="J9" s="747" t="s">
        <v>279</v>
      </c>
    </row>
    <row r="10" spans="2:12" ht="21.9" customHeight="1" thickTop="1">
      <c r="B10" s="785" t="s">
        <v>3324</v>
      </c>
      <c r="C10" s="276"/>
      <c r="D10" s="276"/>
      <c r="E10" s="276"/>
      <c r="F10" s="276"/>
      <c r="G10" s="276"/>
      <c r="H10" s="63">
        <f>+'17a.2-Budget Revenues'!H43</f>
        <v>10701.439999999999</v>
      </c>
      <c r="I10" s="63">
        <f>+'17a.2-Budget Revenues'!I43</f>
        <v>10701.439999999999</v>
      </c>
      <c r="J10" s="64">
        <f>+'17a.2-Budget Revenues'!J43</f>
        <v>0</v>
      </c>
    </row>
    <row r="11" spans="2:12" ht="21.9" customHeight="1">
      <c r="B11" s="560"/>
      <c r="C11" s="559"/>
      <c r="D11" s="559"/>
      <c r="E11" s="559"/>
      <c r="F11" s="559"/>
      <c r="G11" s="559"/>
      <c r="H11" s="365"/>
      <c r="I11" s="365">
        <f t="shared" ref="I11:I42" si="0">+H11</f>
        <v>0</v>
      </c>
      <c r="J11" s="212">
        <f t="shared" ref="J11:J42" si="1">H11-I11</f>
        <v>0</v>
      </c>
      <c r="L11" s="1438" t="s">
        <v>3544</v>
      </c>
    </row>
    <row r="12" spans="2:12" ht="21.9" customHeight="1">
      <c r="B12" s="560"/>
      <c r="C12" s="559"/>
      <c r="D12" s="559"/>
      <c r="E12" s="559"/>
      <c r="F12" s="559"/>
      <c r="G12" s="559"/>
      <c r="H12" s="365"/>
      <c r="I12" s="365">
        <f t="shared" si="0"/>
        <v>0</v>
      </c>
      <c r="J12" s="212">
        <f t="shared" si="1"/>
        <v>0</v>
      </c>
    </row>
    <row r="13" spans="2:12" ht="21.9" customHeight="1">
      <c r="B13" s="560"/>
      <c r="C13" s="559"/>
      <c r="D13" s="559"/>
      <c r="E13" s="559"/>
      <c r="F13" s="559"/>
      <c r="G13" s="559"/>
      <c r="H13" s="365"/>
      <c r="I13" s="365">
        <f t="shared" si="0"/>
        <v>0</v>
      </c>
      <c r="J13" s="212">
        <f t="shared" si="1"/>
        <v>0</v>
      </c>
    </row>
    <row r="14" spans="2:12" ht="21.9" customHeight="1">
      <c r="B14" s="560"/>
      <c r="C14" s="559"/>
      <c r="D14" s="559"/>
      <c r="E14" s="559"/>
      <c r="F14" s="559"/>
      <c r="G14" s="559"/>
      <c r="H14" s="365"/>
      <c r="I14" s="365">
        <f t="shared" si="0"/>
        <v>0</v>
      </c>
      <c r="J14" s="212">
        <f t="shared" si="1"/>
        <v>0</v>
      </c>
    </row>
    <row r="15" spans="2:12" ht="21.9" customHeight="1">
      <c r="B15" s="560"/>
      <c r="C15" s="559"/>
      <c r="D15" s="559"/>
      <c r="E15" s="559"/>
      <c r="F15" s="559"/>
      <c r="G15" s="559"/>
      <c r="H15" s="365"/>
      <c r="I15" s="365">
        <f t="shared" si="0"/>
        <v>0</v>
      </c>
      <c r="J15" s="212">
        <f t="shared" si="1"/>
        <v>0</v>
      </c>
    </row>
    <row r="16" spans="2:12" ht="21.9" customHeight="1">
      <c r="B16" s="560"/>
      <c r="C16" s="559"/>
      <c r="D16" s="559"/>
      <c r="E16" s="559"/>
      <c r="F16" s="559"/>
      <c r="G16" s="559"/>
      <c r="H16" s="365"/>
      <c r="I16" s="365">
        <f t="shared" si="0"/>
        <v>0</v>
      </c>
      <c r="J16" s="212">
        <f t="shared" si="1"/>
        <v>0</v>
      </c>
    </row>
    <row r="17" spans="2:10" ht="21.9" customHeight="1">
      <c r="B17" s="560"/>
      <c r="C17" s="559"/>
      <c r="D17" s="559"/>
      <c r="E17" s="559"/>
      <c r="F17" s="559"/>
      <c r="G17" s="559"/>
      <c r="H17" s="365"/>
      <c r="I17" s="365">
        <f t="shared" si="0"/>
        <v>0</v>
      </c>
      <c r="J17" s="212">
        <f t="shared" si="1"/>
        <v>0</v>
      </c>
    </row>
    <row r="18" spans="2:10" ht="21.9" customHeight="1">
      <c r="B18" s="560"/>
      <c r="C18" s="559"/>
      <c r="D18" s="559"/>
      <c r="E18" s="559"/>
      <c r="F18" s="559"/>
      <c r="G18" s="559"/>
      <c r="H18" s="365"/>
      <c r="I18" s="365">
        <f t="shared" si="0"/>
        <v>0</v>
      </c>
      <c r="J18" s="212">
        <f t="shared" si="1"/>
        <v>0</v>
      </c>
    </row>
    <row r="19" spans="2:10" ht="21.9" customHeight="1">
      <c r="B19" s="560"/>
      <c r="C19" s="559"/>
      <c r="D19" s="559"/>
      <c r="E19" s="559"/>
      <c r="F19" s="559"/>
      <c r="G19" s="559"/>
      <c r="H19" s="365"/>
      <c r="I19" s="365">
        <f t="shared" si="0"/>
        <v>0</v>
      </c>
      <c r="J19" s="212">
        <f t="shared" si="1"/>
        <v>0</v>
      </c>
    </row>
    <row r="20" spans="2:10" ht="21.9" customHeight="1">
      <c r="B20" s="560"/>
      <c r="C20" s="559"/>
      <c r="D20" s="559"/>
      <c r="E20" s="559"/>
      <c r="F20" s="559"/>
      <c r="G20" s="559"/>
      <c r="H20" s="365"/>
      <c r="I20" s="365">
        <f t="shared" si="0"/>
        <v>0</v>
      </c>
      <c r="J20" s="212">
        <f t="shared" si="1"/>
        <v>0</v>
      </c>
    </row>
    <row r="21" spans="2:10" ht="21.9" customHeight="1">
      <c r="B21" s="560"/>
      <c r="C21" s="559"/>
      <c r="D21" s="559"/>
      <c r="E21" s="559"/>
      <c r="F21" s="559"/>
      <c r="G21" s="559"/>
      <c r="H21" s="365"/>
      <c r="I21" s="365">
        <f t="shared" si="0"/>
        <v>0</v>
      </c>
      <c r="J21" s="212">
        <f t="shared" si="1"/>
        <v>0</v>
      </c>
    </row>
    <row r="22" spans="2:10" ht="21.9" customHeight="1">
      <c r="B22" s="560"/>
      <c r="C22" s="559"/>
      <c r="D22" s="559"/>
      <c r="E22" s="559"/>
      <c r="F22" s="559"/>
      <c r="G22" s="559"/>
      <c r="H22" s="365"/>
      <c r="I22" s="365">
        <f t="shared" si="0"/>
        <v>0</v>
      </c>
      <c r="J22" s="212">
        <f t="shared" si="1"/>
        <v>0</v>
      </c>
    </row>
    <row r="23" spans="2:10" ht="21.9" customHeight="1">
      <c r="B23" s="560"/>
      <c r="C23" s="559"/>
      <c r="D23" s="559"/>
      <c r="E23" s="559"/>
      <c r="F23" s="559"/>
      <c r="G23" s="559"/>
      <c r="H23" s="365"/>
      <c r="I23" s="365">
        <f t="shared" si="0"/>
        <v>0</v>
      </c>
      <c r="J23" s="212">
        <f t="shared" si="1"/>
        <v>0</v>
      </c>
    </row>
    <row r="24" spans="2:10" ht="21.9" customHeight="1">
      <c r="B24" s="560"/>
      <c r="C24" s="559"/>
      <c r="D24" s="559"/>
      <c r="E24" s="559"/>
      <c r="F24" s="559"/>
      <c r="G24" s="559"/>
      <c r="H24" s="365"/>
      <c r="I24" s="365">
        <f t="shared" si="0"/>
        <v>0</v>
      </c>
      <c r="J24" s="212">
        <f t="shared" si="1"/>
        <v>0</v>
      </c>
    </row>
    <row r="25" spans="2:10" ht="21.9" customHeight="1">
      <c r="B25" s="560"/>
      <c r="C25" s="559"/>
      <c r="D25" s="559"/>
      <c r="E25" s="559"/>
      <c r="F25" s="559"/>
      <c r="G25" s="559"/>
      <c r="H25" s="365"/>
      <c r="I25" s="365">
        <f t="shared" si="0"/>
        <v>0</v>
      </c>
      <c r="J25" s="212">
        <f t="shared" si="1"/>
        <v>0</v>
      </c>
    </row>
    <row r="26" spans="2:10" ht="21.9" customHeight="1">
      <c r="B26" s="560"/>
      <c r="C26" s="559"/>
      <c r="D26" s="559"/>
      <c r="E26" s="559"/>
      <c r="F26" s="559"/>
      <c r="G26" s="559"/>
      <c r="H26" s="365"/>
      <c r="I26" s="365">
        <f t="shared" si="0"/>
        <v>0</v>
      </c>
      <c r="J26" s="212">
        <f t="shared" si="1"/>
        <v>0</v>
      </c>
    </row>
    <row r="27" spans="2:10" ht="21.9" customHeight="1">
      <c r="B27" s="560"/>
      <c r="C27" s="559"/>
      <c r="D27" s="559"/>
      <c r="E27" s="559"/>
      <c r="F27" s="559"/>
      <c r="G27" s="559"/>
      <c r="H27" s="365"/>
      <c r="I27" s="365">
        <f t="shared" si="0"/>
        <v>0</v>
      </c>
      <c r="J27" s="212">
        <f t="shared" si="1"/>
        <v>0</v>
      </c>
    </row>
    <row r="28" spans="2:10" ht="21.9" customHeight="1">
      <c r="B28" s="560"/>
      <c r="C28" s="559"/>
      <c r="D28" s="559"/>
      <c r="E28" s="559"/>
      <c r="F28" s="559"/>
      <c r="G28" s="559"/>
      <c r="H28" s="365"/>
      <c r="I28" s="365">
        <f t="shared" si="0"/>
        <v>0</v>
      </c>
      <c r="J28" s="212">
        <f t="shared" si="1"/>
        <v>0</v>
      </c>
    </row>
    <row r="29" spans="2:10" ht="21.9" customHeight="1">
      <c r="B29" s="560"/>
      <c r="C29" s="559"/>
      <c r="D29" s="559"/>
      <c r="E29" s="559"/>
      <c r="F29" s="559"/>
      <c r="G29" s="559"/>
      <c r="H29" s="365"/>
      <c r="I29" s="365">
        <f t="shared" si="0"/>
        <v>0</v>
      </c>
      <c r="J29" s="212">
        <f t="shared" si="1"/>
        <v>0</v>
      </c>
    </row>
    <row r="30" spans="2:10" ht="21.9" customHeight="1">
      <c r="B30" s="560"/>
      <c r="C30" s="559"/>
      <c r="D30" s="559"/>
      <c r="E30" s="559"/>
      <c r="F30" s="559"/>
      <c r="G30" s="559"/>
      <c r="H30" s="365"/>
      <c r="I30" s="365">
        <f t="shared" si="0"/>
        <v>0</v>
      </c>
      <c r="J30" s="212">
        <f t="shared" si="1"/>
        <v>0</v>
      </c>
    </row>
    <row r="31" spans="2:10" ht="21.9" customHeight="1">
      <c r="B31" s="560"/>
      <c r="C31" s="559"/>
      <c r="D31" s="559"/>
      <c r="E31" s="559"/>
      <c r="F31" s="559"/>
      <c r="G31" s="559"/>
      <c r="H31" s="365"/>
      <c r="I31" s="365">
        <f t="shared" si="0"/>
        <v>0</v>
      </c>
      <c r="J31" s="212">
        <f t="shared" si="1"/>
        <v>0</v>
      </c>
    </row>
    <row r="32" spans="2:10" ht="21.9" customHeight="1">
      <c r="B32" s="560"/>
      <c r="C32" s="559"/>
      <c r="D32" s="559"/>
      <c r="E32" s="559"/>
      <c r="F32" s="559"/>
      <c r="G32" s="559"/>
      <c r="H32" s="365"/>
      <c r="I32" s="365">
        <f t="shared" si="0"/>
        <v>0</v>
      </c>
      <c r="J32" s="212">
        <f t="shared" si="1"/>
        <v>0</v>
      </c>
    </row>
    <row r="33" spans="2:11" ht="21.9" customHeight="1">
      <c r="B33" s="560"/>
      <c r="C33" s="559"/>
      <c r="D33" s="559"/>
      <c r="E33" s="559"/>
      <c r="F33" s="559"/>
      <c r="G33" s="559"/>
      <c r="H33" s="365"/>
      <c r="I33" s="365">
        <f t="shared" si="0"/>
        <v>0</v>
      </c>
      <c r="J33" s="212">
        <f t="shared" si="1"/>
        <v>0</v>
      </c>
    </row>
    <row r="34" spans="2:11" ht="21.9" customHeight="1">
      <c r="B34" s="560"/>
      <c r="C34" s="559"/>
      <c r="D34" s="559"/>
      <c r="E34" s="559"/>
      <c r="F34" s="559"/>
      <c r="G34" s="559"/>
      <c r="H34" s="365"/>
      <c r="I34" s="365">
        <f t="shared" si="0"/>
        <v>0</v>
      </c>
      <c r="J34" s="212">
        <f t="shared" si="1"/>
        <v>0</v>
      </c>
    </row>
    <row r="35" spans="2:11" ht="21.9" customHeight="1">
      <c r="B35" s="560"/>
      <c r="C35" s="559"/>
      <c r="D35" s="559"/>
      <c r="E35" s="559"/>
      <c r="F35" s="559"/>
      <c r="G35" s="559"/>
      <c r="H35" s="365"/>
      <c r="I35" s="365">
        <f t="shared" si="0"/>
        <v>0</v>
      </c>
      <c r="J35" s="212">
        <f t="shared" si="1"/>
        <v>0</v>
      </c>
    </row>
    <row r="36" spans="2:11" ht="21.9" customHeight="1">
      <c r="B36" s="560"/>
      <c r="C36" s="559"/>
      <c r="D36" s="559"/>
      <c r="E36" s="559"/>
      <c r="F36" s="559"/>
      <c r="G36" s="559"/>
      <c r="H36" s="365"/>
      <c r="I36" s="365">
        <f t="shared" si="0"/>
        <v>0</v>
      </c>
      <c r="J36" s="212">
        <f t="shared" si="1"/>
        <v>0</v>
      </c>
    </row>
    <row r="37" spans="2:11" ht="21.9" customHeight="1">
      <c r="B37" s="560"/>
      <c r="C37" s="559"/>
      <c r="D37" s="559"/>
      <c r="E37" s="559"/>
      <c r="F37" s="559"/>
      <c r="G37" s="559"/>
      <c r="H37" s="365"/>
      <c r="I37" s="365">
        <f t="shared" si="0"/>
        <v>0</v>
      </c>
      <c r="J37" s="212">
        <f t="shared" si="1"/>
        <v>0</v>
      </c>
    </row>
    <row r="38" spans="2:11" ht="21.9" customHeight="1">
      <c r="B38" s="560"/>
      <c r="C38" s="559"/>
      <c r="D38" s="559"/>
      <c r="E38" s="559"/>
      <c r="F38" s="559"/>
      <c r="G38" s="559"/>
      <c r="H38" s="365"/>
      <c r="I38" s="365">
        <f t="shared" si="0"/>
        <v>0</v>
      </c>
      <c r="J38" s="212">
        <f t="shared" si="1"/>
        <v>0</v>
      </c>
    </row>
    <row r="39" spans="2:11" ht="21.9" customHeight="1">
      <c r="B39" s="560"/>
      <c r="C39" s="559"/>
      <c r="D39" s="559"/>
      <c r="E39" s="559"/>
      <c r="F39" s="559"/>
      <c r="G39" s="559"/>
      <c r="H39" s="365"/>
      <c r="I39" s="365">
        <f t="shared" si="0"/>
        <v>0</v>
      </c>
      <c r="J39" s="212">
        <f t="shared" si="1"/>
        <v>0</v>
      </c>
    </row>
    <row r="40" spans="2:11" ht="21.9" customHeight="1">
      <c r="B40" s="560"/>
      <c r="C40" s="559"/>
      <c r="D40" s="559"/>
      <c r="E40" s="559"/>
      <c r="F40" s="559"/>
      <c r="G40" s="559"/>
      <c r="H40" s="365"/>
      <c r="I40" s="365">
        <f t="shared" si="0"/>
        <v>0</v>
      </c>
      <c r="J40" s="212">
        <f t="shared" si="1"/>
        <v>0</v>
      </c>
    </row>
    <row r="41" spans="2:11" ht="21.9" customHeight="1">
      <c r="B41" s="560"/>
      <c r="C41" s="559"/>
      <c r="D41" s="559"/>
      <c r="E41" s="559"/>
      <c r="F41" s="559"/>
      <c r="G41" s="559"/>
      <c r="H41" s="365"/>
      <c r="I41" s="365">
        <f t="shared" si="0"/>
        <v>0</v>
      </c>
      <c r="J41" s="212">
        <f t="shared" si="1"/>
        <v>0</v>
      </c>
    </row>
    <row r="42" spans="2:11" ht="21.9" customHeight="1">
      <c r="B42" s="560"/>
      <c r="C42" s="559"/>
      <c r="D42" s="559"/>
      <c r="E42" s="559"/>
      <c r="F42" s="559"/>
      <c r="G42" s="559"/>
      <c r="H42" s="365"/>
      <c r="I42" s="365">
        <f t="shared" si="0"/>
        <v>0</v>
      </c>
      <c r="J42" s="212">
        <f t="shared" si="1"/>
        <v>0</v>
      </c>
    </row>
    <row r="43" spans="2:11" ht="21.9" customHeight="1" thickBot="1">
      <c r="B43" s="27"/>
      <c r="C43" s="321" t="s">
        <v>3323</v>
      </c>
      <c r="D43" s="27"/>
      <c r="E43" s="27"/>
      <c r="F43" s="27"/>
      <c r="G43" s="27"/>
      <c r="H43" s="105">
        <f>SUM(H10:H42)</f>
        <v>10701.439999999999</v>
      </c>
      <c r="I43" s="105">
        <f>SUM(I10:I42)</f>
        <v>10701.439999999999</v>
      </c>
      <c r="J43" s="232">
        <f>SUM(J10:J42)</f>
        <v>0</v>
      </c>
      <c r="K43" s="318"/>
    </row>
    <row r="44" spans="2:11" ht="13.8" thickTop="1">
      <c r="B44" s="315" t="s">
        <v>293</v>
      </c>
    </row>
    <row r="45" spans="2:11">
      <c r="B45" s="315" t="s">
        <v>294</v>
      </c>
    </row>
    <row r="46" spans="2:11">
      <c r="B46" s="315" t="s">
        <v>295</v>
      </c>
      <c r="H46" s="318"/>
    </row>
    <row r="48" spans="2:11">
      <c r="B48" s="315" t="s">
        <v>296</v>
      </c>
      <c r="E48" s="1570"/>
      <c r="F48" s="1570"/>
      <c r="G48" s="1570"/>
      <c r="H48" s="1570"/>
    </row>
    <row r="49" spans="2:10" ht="13.8">
      <c r="B49" s="1545" t="s">
        <v>3394</v>
      </c>
      <c r="C49" s="1545"/>
      <c r="D49" s="1545"/>
      <c r="E49" s="1545"/>
      <c r="F49" s="1545"/>
      <c r="G49" s="1545"/>
      <c r="H49" s="1545"/>
      <c r="I49" s="1545"/>
      <c r="J49" s="1545"/>
    </row>
    <row r="52" spans="2:10">
      <c r="I52" s="318"/>
    </row>
  </sheetData>
  <sheetProtection algorithmName="SHA-512" hashValue="RWjE31OLS354lic3HpfiQBBGp7jH6rxfsKvCS225bPrJQtQmrV2+9m3EHTn4EwlT85i2FVottpzfbpycG4W00Q==" saltValue="8EJx/OFjQujDLttrBbtIWg=="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4"/>
  <dimension ref="B4:L52"/>
  <sheetViews>
    <sheetView zoomScaleNormal="100" zoomScaleSheetLayoutView="90" workbookViewId="0">
      <selection activeCell="B1" sqref="B1"/>
    </sheetView>
  </sheetViews>
  <sheetFormatPr defaultColWidth="9.109375" defaultRowHeight="13.2"/>
  <cols>
    <col min="1" max="3" width="4.6640625" style="315" customWidth="1"/>
    <col min="4" max="6" width="9.109375" style="315"/>
    <col min="7" max="7" width="9.109375" style="315" customWidth="1"/>
    <col min="8" max="9" width="16.6640625" style="315" customWidth="1"/>
    <col min="10" max="10" width="19.5546875" style="315" customWidth="1"/>
    <col min="11" max="16384" width="9.109375" style="315"/>
  </cols>
  <sheetData>
    <row r="4" spans="2:12" ht="22.8">
      <c r="B4" s="1586" t="str">
        <f>'17-Budget Revenues'!B2:J2</f>
        <v>STATEMENT OF GENERAL BUDGET REVENUES 2020</v>
      </c>
      <c r="C4" s="1586"/>
      <c r="D4" s="1586"/>
      <c r="E4" s="1586"/>
      <c r="F4" s="1586"/>
      <c r="G4" s="1586"/>
      <c r="H4" s="1586"/>
      <c r="I4" s="1586"/>
      <c r="J4" s="1586"/>
    </row>
    <row r="5" spans="2:12" ht="13.8">
      <c r="B5" s="1545" t="s">
        <v>277</v>
      </c>
      <c r="C5" s="1545"/>
      <c r="D5" s="1545"/>
      <c r="E5" s="1545"/>
      <c r="F5" s="1545"/>
      <c r="G5" s="1545"/>
      <c r="H5" s="1545"/>
      <c r="I5" s="1545"/>
      <c r="J5" s="1545"/>
    </row>
    <row r="7" spans="2:12" ht="15.6">
      <c r="B7" s="1576" t="s">
        <v>278</v>
      </c>
      <c r="C7" s="1576"/>
      <c r="D7" s="1576"/>
      <c r="E7" s="1576"/>
      <c r="F7" s="1576"/>
      <c r="G7" s="1576"/>
      <c r="H7" s="1576"/>
      <c r="I7" s="1576"/>
      <c r="J7" s="1576"/>
    </row>
    <row r="8" spans="2:12" ht="8.25" customHeight="1" thickBot="1">
      <c r="B8" s="10"/>
      <c r="C8" s="10"/>
      <c r="D8" s="10"/>
      <c r="E8" s="10"/>
      <c r="F8" s="10"/>
      <c r="G8" s="10"/>
      <c r="H8" s="10"/>
      <c r="I8" s="10"/>
      <c r="J8" s="10"/>
    </row>
    <row r="9" spans="2:12" ht="32.1" customHeight="1" thickTop="1" thickBot="1">
      <c r="B9" s="1589" t="s">
        <v>172</v>
      </c>
      <c r="C9" s="1589"/>
      <c r="D9" s="1589"/>
      <c r="E9" s="1589"/>
      <c r="F9" s="1589"/>
      <c r="G9" s="1589"/>
      <c r="H9" s="4" t="s">
        <v>564</v>
      </c>
      <c r="I9" s="4" t="s">
        <v>671</v>
      </c>
      <c r="J9" s="747" t="s">
        <v>279</v>
      </c>
    </row>
    <row r="10" spans="2:12" ht="21.9" customHeight="1" thickTop="1">
      <c r="B10" s="785" t="s">
        <v>3324</v>
      </c>
      <c r="C10" s="276"/>
      <c r="D10" s="276"/>
      <c r="E10" s="276"/>
      <c r="F10" s="276"/>
      <c r="G10" s="276"/>
      <c r="H10" s="63">
        <f>+'17a.3-Budget Revenues'!H43</f>
        <v>10701.439999999999</v>
      </c>
      <c r="I10" s="63">
        <f>+'17a.3-Budget Revenues'!I43</f>
        <v>10701.439999999999</v>
      </c>
      <c r="J10" s="64">
        <f>+'17a.3-Budget Revenues'!J43</f>
        <v>0</v>
      </c>
    </row>
    <row r="11" spans="2:12" ht="21.9" customHeight="1">
      <c r="B11" s="560"/>
      <c r="C11" s="559"/>
      <c r="D11" s="559"/>
      <c r="E11" s="559"/>
      <c r="F11" s="559"/>
      <c r="G11" s="559"/>
      <c r="H11" s="365"/>
      <c r="I11" s="365">
        <f t="shared" ref="I11:I42" si="0">+H11</f>
        <v>0</v>
      </c>
      <c r="J11" s="212">
        <f t="shared" ref="J11:J42" si="1">H11-I11</f>
        <v>0</v>
      </c>
      <c r="L11" s="1438" t="s">
        <v>3544</v>
      </c>
    </row>
    <row r="12" spans="2:12" ht="21.9" customHeight="1">
      <c r="B12" s="560"/>
      <c r="C12" s="559"/>
      <c r="D12" s="559"/>
      <c r="E12" s="559"/>
      <c r="F12" s="559"/>
      <c r="G12" s="559"/>
      <c r="H12" s="365"/>
      <c r="I12" s="365">
        <f t="shared" si="0"/>
        <v>0</v>
      </c>
      <c r="J12" s="212">
        <f t="shared" si="1"/>
        <v>0</v>
      </c>
    </row>
    <row r="13" spans="2:12" ht="21.9" customHeight="1">
      <c r="B13" s="560"/>
      <c r="C13" s="559"/>
      <c r="D13" s="559"/>
      <c r="E13" s="559"/>
      <c r="F13" s="559"/>
      <c r="G13" s="559"/>
      <c r="H13" s="365"/>
      <c r="I13" s="365">
        <f t="shared" si="0"/>
        <v>0</v>
      </c>
      <c r="J13" s="212">
        <f t="shared" si="1"/>
        <v>0</v>
      </c>
    </row>
    <row r="14" spans="2:12" ht="21.9" customHeight="1">
      <c r="B14" s="560"/>
      <c r="C14" s="559"/>
      <c r="D14" s="559"/>
      <c r="E14" s="559"/>
      <c r="F14" s="559"/>
      <c r="G14" s="559"/>
      <c r="H14" s="365"/>
      <c r="I14" s="365">
        <f t="shared" si="0"/>
        <v>0</v>
      </c>
      <c r="J14" s="212">
        <f t="shared" si="1"/>
        <v>0</v>
      </c>
    </row>
    <row r="15" spans="2:12" ht="21.9" customHeight="1">
      <c r="B15" s="560"/>
      <c r="C15" s="559"/>
      <c r="D15" s="559"/>
      <c r="E15" s="559"/>
      <c r="F15" s="559"/>
      <c r="G15" s="559"/>
      <c r="H15" s="365"/>
      <c r="I15" s="365">
        <f t="shared" si="0"/>
        <v>0</v>
      </c>
      <c r="J15" s="212">
        <f t="shared" si="1"/>
        <v>0</v>
      </c>
    </row>
    <row r="16" spans="2:12" ht="21.9" customHeight="1">
      <c r="B16" s="560"/>
      <c r="C16" s="559"/>
      <c r="D16" s="559"/>
      <c r="E16" s="559"/>
      <c r="F16" s="559"/>
      <c r="G16" s="559"/>
      <c r="H16" s="365"/>
      <c r="I16" s="365">
        <f t="shared" si="0"/>
        <v>0</v>
      </c>
      <c r="J16" s="212">
        <f t="shared" si="1"/>
        <v>0</v>
      </c>
    </row>
    <row r="17" spans="2:10" ht="21.9" customHeight="1">
      <c r="B17" s="560"/>
      <c r="C17" s="559"/>
      <c r="D17" s="559"/>
      <c r="E17" s="559"/>
      <c r="F17" s="559"/>
      <c r="G17" s="559"/>
      <c r="H17" s="365"/>
      <c r="I17" s="365">
        <f t="shared" si="0"/>
        <v>0</v>
      </c>
      <c r="J17" s="212">
        <f t="shared" si="1"/>
        <v>0</v>
      </c>
    </row>
    <row r="18" spans="2:10" ht="21.9" customHeight="1">
      <c r="B18" s="560"/>
      <c r="C18" s="559"/>
      <c r="D18" s="559"/>
      <c r="E18" s="559"/>
      <c r="F18" s="559"/>
      <c r="G18" s="559"/>
      <c r="H18" s="365"/>
      <c r="I18" s="365">
        <f t="shared" si="0"/>
        <v>0</v>
      </c>
      <c r="J18" s="212">
        <f t="shared" si="1"/>
        <v>0</v>
      </c>
    </row>
    <row r="19" spans="2:10" ht="21.9" customHeight="1">
      <c r="B19" s="560"/>
      <c r="C19" s="559"/>
      <c r="D19" s="559"/>
      <c r="E19" s="559"/>
      <c r="F19" s="559"/>
      <c r="G19" s="559"/>
      <c r="H19" s="365"/>
      <c r="I19" s="365">
        <f t="shared" si="0"/>
        <v>0</v>
      </c>
      <c r="J19" s="212">
        <f t="shared" si="1"/>
        <v>0</v>
      </c>
    </row>
    <row r="20" spans="2:10" ht="21.9" customHeight="1">
      <c r="B20" s="560"/>
      <c r="C20" s="559"/>
      <c r="D20" s="559"/>
      <c r="E20" s="559"/>
      <c r="F20" s="559"/>
      <c r="G20" s="559"/>
      <c r="H20" s="365"/>
      <c r="I20" s="365">
        <f t="shared" si="0"/>
        <v>0</v>
      </c>
      <c r="J20" s="212">
        <f t="shared" si="1"/>
        <v>0</v>
      </c>
    </row>
    <row r="21" spans="2:10" ht="21.9" customHeight="1">
      <c r="B21" s="560"/>
      <c r="C21" s="559"/>
      <c r="D21" s="559"/>
      <c r="E21" s="559"/>
      <c r="F21" s="559"/>
      <c r="G21" s="559"/>
      <c r="H21" s="365"/>
      <c r="I21" s="365">
        <f t="shared" si="0"/>
        <v>0</v>
      </c>
      <c r="J21" s="212">
        <f t="shared" si="1"/>
        <v>0</v>
      </c>
    </row>
    <row r="22" spans="2:10" ht="21.9" customHeight="1">
      <c r="B22" s="560"/>
      <c r="C22" s="559"/>
      <c r="D22" s="559"/>
      <c r="E22" s="559"/>
      <c r="F22" s="559"/>
      <c r="G22" s="559"/>
      <c r="H22" s="365"/>
      <c r="I22" s="365">
        <f t="shared" si="0"/>
        <v>0</v>
      </c>
      <c r="J22" s="212">
        <f t="shared" si="1"/>
        <v>0</v>
      </c>
    </row>
    <row r="23" spans="2:10" ht="21.9" customHeight="1">
      <c r="B23" s="560"/>
      <c r="C23" s="559"/>
      <c r="D23" s="559"/>
      <c r="E23" s="559"/>
      <c r="F23" s="559"/>
      <c r="G23" s="559"/>
      <c r="H23" s="365"/>
      <c r="I23" s="365">
        <f t="shared" si="0"/>
        <v>0</v>
      </c>
      <c r="J23" s="212">
        <f t="shared" si="1"/>
        <v>0</v>
      </c>
    </row>
    <row r="24" spans="2:10" ht="21.9" customHeight="1">
      <c r="B24" s="560"/>
      <c r="C24" s="559"/>
      <c r="D24" s="559"/>
      <c r="E24" s="559"/>
      <c r="F24" s="559"/>
      <c r="G24" s="559"/>
      <c r="H24" s="365"/>
      <c r="I24" s="365">
        <f t="shared" si="0"/>
        <v>0</v>
      </c>
      <c r="J24" s="212">
        <f t="shared" si="1"/>
        <v>0</v>
      </c>
    </row>
    <row r="25" spans="2:10" ht="21.9" customHeight="1">
      <c r="B25" s="560"/>
      <c r="C25" s="559"/>
      <c r="D25" s="559"/>
      <c r="E25" s="559"/>
      <c r="F25" s="559"/>
      <c r="G25" s="559"/>
      <c r="H25" s="365"/>
      <c r="I25" s="365">
        <f t="shared" si="0"/>
        <v>0</v>
      </c>
      <c r="J25" s="212">
        <f t="shared" si="1"/>
        <v>0</v>
      </c>
    </row>
    <row r="26" spans="2:10" ht="21.9" customHeight="1">
      <c r="B26" s="560"/>
      <c r="C26" s="559"/>
      <c r="D26" s="559"/>
      <c r="E26" s="559"/>
      <c r="F26" s="559"/>
      <c r="G26" s="559"/>
      <c r="H26" s="365"/>
      <c r="I26" s="365">
        <f t="shared" si="0"/>
        <v>0</v>
      </c>
      <c r="J26" s="212">
        <f t="shared" si="1"/>
        <v>0</v>
      </c>
    </row>
    <row r="27" spans="2:10" ht="21.9" customHeight="1">
      <c r="B27" s="560"/>
      <c r="C27" s="559"/>
      <c r="D27" s="559"/>
      <c r="E27" s="559"/>
      <c r="F27" s="559"/>
      <c r="G27" s="559"/>
      <c r="H27" s="365"/>
      <c r="I27" s="365">
        <f t="shared" si="0"/>
        <v>0</v>
      </c>
      <c r="J27" s="212">
        <f t="shared" si="1"/>
        <v>0</v>
      </c>
    </row>
    <row r="28" spans="2:10" ht="21.9" customHeight="1">
      <c r="B28" s="560"/>
      <c r="C28" s="559"/>
      <c r="D28" s="559"/>
      <c r="E28" s="559"/>
      <c r="F28" s="559"/>
      <c r="G28" s="559"/>
      <c r="H28" s="365"/>
      <c r="I28" s="365">
        <f t="shared" si="0"/>
        <v>0</v>
      </c>
      <c r="J28" s="212">
        <f t="shared" si="1"/>
        <v>0</v>
      </c>
    </row>
    <row r="29" spans="2:10" ht="21.9" customHeight="1">
      <c r="B29" s="560"/>
      <c r="C29" s="559"/>
      <c r="D29" s="559"/>
      <c r="E29" s="559"/>
      <c r="F29" s="559"/>
      <c r="G29" s="559"/>
      <c r="H29" s="365"/>
      <c r="I29" s="365">
        <f t="shared" si="0"/>
        <v>0</v>
      </c>
      <c r="J29" s="212">
        <f t="shared" si="1"/>
        <v>0</v>
      </c>
    </row>
    <row r="30" spans="2:10" ht="21.9" customHeight="1">
      <c r="B30" s="560"/>
      <c r="C30" s="559"/>
      <c r="D30" s="559"/>
      <c r="E30" s="559"/>
      <c r="F30" s="559"/>
      <c r="G30" s="559"/>
      <c r="H30" s="365"/>
      <c r="I30" s="365">
        <f t="shared" si="0"/>
        <v>0</v>
      </c>
      <c r="J30" s="212">
        <f t="shared" si="1"/>
        <v>0</v>
      </c>
    </row>
    <row r="31" spans="2:10" ht="21.9" customHeight="1">
      <c r="B31" s="560"/>
      <c r="C31" s="559"/>
      <c r="D31" s="559"/>
      <c r="E31" s="559"/>
      <c r="F31" s="559"/>
      <c r="G31" s="559"/>
      <c r="H31" s="365"/>
      <c r="I31" s="365">
        <f t="shared" si="0"/>
        <v>0</v>
      </c>
      <c r="J31" s="212">
        <f t="shared" si="1"/>
        <v>0</v>
      </c>
    </row>
    <row r="32" spans="2:10" ht="21.9" customHeight="1">
      <c r="B32" s="560"/>
      <c r="C32" s="559"/>
      <c r="D32" s="559"/>
      <c r="E32" s="559"/>
      <c r="F32" s="559"/>
      <c r="G32" s="559"/>
      <c r="H32" s="365"/>
      <c r="I32" s="365">
        <f t="shared" si="0"/>
        <v>0</v>
      </c>
      <c r="J32" s="212">
        <f t="shared" si="1"/>
        <v>0</v>
      </c>
    </row>
    <row r="33" spans="2:11" ht="21.9" customHeight="1">
      <c r="B33" s="560"/>
      <c r="C33" s="559"/>
      <c r="D33" s="559"/>
      <c r="E33" s="559"/>
      <c r="F33" s="559"/>
      <c r="G33" s="559"/>
      <c r="H33" s="365"/>
      <c r="I33" s="365">
        <f t="shared" si="0"/>
        <v>0</v>
      </c>
      <c r="J33" s="212">
        <f t="shared" si="1"/>
        <v>0</v>
      </c>
    </row>
    <row r="34" spans="2:11" ht="21.9" customHeight="1">
      <c r="B34" s="560"/>
      <c r="C34" s="559"/>
      <c r="D34" s="559"/>
      <c r="E34" s="559"/>
      <c r="F34" s="559"/>
      <c r="G34" s="559"/>
      <c r="H34" s="365"/>
      <c r="I34" s="365">
        <f t="shared" si="0"/>
        <v>0</v>
      </c>
      <c r="J34" s="212">
        <f t="shared" si="1"/>
        <v>0</v>
      </c>
    </row>
    <row r="35" spans="2:11" ht="21.9" customHeight="1">
      <c r="B35" s="560"/>
      <c r="C35" s="559"/>
      <c r="D35" s="559"/>
      <c r="E35" s="559"/>
      <c r="F35" s="559"/>
      <c r="G35" s="559"/>
      <c r="H35" s="365"/>
      <c r="I35" s="365">
        <f t="shared" si="0"/>
        <v>0</v>
      </c>
      <c r="J35" s="212">
        <f t="shared" si="1"/>
        <v>0</v>
      </c>
    </row>
    <row r="36" spans="2:11" ht="21.9" customHeight="1">
      <c r="B36" s="560"/>
      <c r="C36" s="559"/>
      <c r="D36" s="559"/>
      <c r="E36" s="559"/>
      <c r="F36" s="559"/>
      <c r="G36" s="559"/>
      <c r="H36" s="365"/>
      <c r="I36" s="365">
        <f t="shared" si="0"/>
        <v>0</v>
      </c>
      <c r="J36" s="212">
        <f t="shared" si="1"/>
        <v>0</v>
      </c>
    </row>
    <row r="37" spans="2:11" ht="21.9" customHeight="1">
      <c r="B37" s="560"/>
      <c r="C37" s="559"/>
      <c r="D37" s="559"/>
      <c r="E37" s="559"/>
      <c r="F37" s="559"/>
      <c r="G37" s="559"/>
      <c r="H37" s="365"/>
      <c r="I37" s="365">
        <f t="shared" si="0"/>
        <v>0</v>
      </c>
      <c r="J37" s="212">
        <f t="shared" si="1"/>
        <v>0</v>
      </c>
    </row>
    <row r="38" spans="2:11" ht="21.9" customHeight="1">
      <c r="B38" s="560"/>
      <c r="C38" s="559"/>
      <c r="D38" s="559"/>
      <c r="E38" s="559"/>
      <c r="F38" s="559"/>
      <c r="G38" s="559"/>
      <c r="H38" s="365"/>
      <c r="I38" s="365">
        <f t="shared" si="0"/>
        <v>0</v>
      </c>
      <c r="J38" s="212">
        <f t="shared" si="1"/>
        <v>0</v>
      </c>
    </row>
    <row r="39" spans="2:11" ht="21.9" customHeight="1">
      <c r="B39" s="560"/>
      <c r="C39" s="559"/>
      <c r="D39" s="559"/>
      <c r="E39" s="559"/>
      <c r="F39" s="559"/>
      <c r="G39" s="559"/>
      <c r="H39" s="365"/>
      <c r="I39" s="365">
        <f t="shared" si="0"/>
        <v>0</v>
      </c>
      <c r="J39" s="212">
        <f t="shared" si="1"/>
        <v>0</v>
      </c>
    </row>
    <row r="40" spans="2:11" ht="21.9" customHeight="1">
      <c r="B40" s="560"/>
      <c r="C40" s="559"/>
      <c r="D40" s="559"/>
      <c r="E40" s="559"/>
      <c r="F40" s="559"/>
      <c r="G40" s="559"/>
      <c r="H40" s="365"/>
      <c r="I40" s="365">
        <f t="shared" si="0"/>
        <v>0</v>
      </c>
      <c r="J40" s="212">
        <f t="shared" si="1"/>
        <v>0</v>
      </c>
    </row>
    <row r="41" spans="2:11" ht="21.9" customHeight="1">
      <c r="B41" s="560"/>
      <c r="C41" s="559"/>
      <c r="D41" s="559"/>
      <c r="E41" s="559"/>
      <c r="F41" s="559"/>
      <c r="G41" s="559"/>
      <c r="H41" s="365"/>
      <c r="I41" s="365">
        <f t="shared" si="0"/>
        <v>0</v>
      </c>
      <c r="J41" s="212">
        <f t="shared" si="1"/>
        <v>0</v>
      </c>
    </row>
    <row r="42" spans="2:11" ht="21.9" customHeight="1">
      <c r="B42" s="560"/>
      <c r="C42" s="559"/>
      <c r="D42" s="559"/>
      <c r="E42" s="559"/>
      <c r="F42" s="559"/>
      <c r="G42" s="559"/>
      <c r="H42" s="365"/>
      <c r="I42" s="365">
        <f t="shared" si="0"/>
        <v>0</v>
      </c>
      <c r="J42" s="212">
        <f t="shared" si="1"/>
        <v>0</v>
      </c>
    </row>
    <row r="43" spans="2:11" ht="21.9" customHeight="1" thickBot="1">
      <c r="B43" s="27"/>
      <c r="C43" s="321" t="s">
        <v>3349</v>
      </c>
      <c r="D43" s="27"/>
      <c r="E43" s="27"/>
      <c r="F43" s="27"/>
      <c r="G43" s="27"/>
      <c r="H43" s="105">
        <f>SUM(H10:H42)</f>
        <v>10701.439999999999</v>
      </c>
      <c r="I43" s="105">
        <f>SUM(I10:I42)</f>
        <v>10701.439999999999</v>
      </c>
      <c r="J43" s="232">
        <f>SUM(J10:J42)</f>
        <v>0</v>
      </c>
      <c r="K43" s="318"/>
    </row>
    <row r="44" spans="2:11" ht="13.8" thickTop="1">
      <c r="B44" s="315" t="s">
        <v>293</v>
      </c>
    </row>
    <row r="45" spans="2:11">
      <c r="B45" s="315" t="s">
        <v>294</v>
      </c>
    </row>
    <row r="46" spans="2:11">
      <c r="B46" s="315" t="s">
        <v>295</v>
      </c>
      <c r="H46" s="318"/>
    </row>
    <row r="48" spans="2:11">
      <c r="B48" s="315" t="s">
        <v>296</v>
      </c>
      <c r="E48" s="1570"/>
      <c r="F48" s="1570"/>
      <c r="G48" s="1570"/>
      <c r="H48" s="1570"/>
    </row>
    <row r="49" spans="2:10" ht="13.8">
      <c r="B49" s="1545" t="s">
        <v>3395</v>
      </c>
      <c r="C49" s="1545"/>
      <c r="D49" s="1545"/>
      <c r="E49" s="1545"/>
      <c r="F49" s="1545"/>
      <c r="G49" s="1545"/>
      <c r="H49" s="1545"/>
      <c r="I49" s="1545"/>
      <c r="J49" s="1545"/>
    </row>
    <row r="52" spans="2:10">
      <c r="I52" s="318"/>
    </row>
  </sheetData>
  <sheetProtection algorithmName="SHA-512" hashValue="95uTHpJCAD0eDB8p00K6ZGxTbgo0xRbrlTgS+WVVz/iyyS22jiII4fSSyU5tdkStdhD3gTHFb591334XZNsEPA==" saltValue="ZqwbzEksLeMgaY8a+1zY4A=="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5"/>
  <dimension ref="B4:L54"/>
  <sheetViews>
    <sheetView zoomScaleNormal="100" workbookViewId="0">
      <selection activeCell="I14" sqref="I14"/>
    </sheetView>
  </sheetViews>
  <sheetFormatPr defaultRowHeight="13.2"/>
  <cols>
    <col min="1" max="1" width="3.6640625" customWidth="1"/>
    <col min="2" max="4" width="4.6640625" customWidth="1"/>
    <col min="7" max="7" width="23.5546875" customWidth="1"/>
    <col min="9" max="10" width="16.6640625" customWidth="1"/>
    <col min="11" max="12" width="13.5546875" bestFit="1" customWidth="1"/>
  </cols>
  <sheetData>
    <row r="4" spans="2:12" ht="20.399999999999999">
      <c r="B4" s="1546" t="str">
        <f>"STATEMENT OF GENERAL BUDGET APPROPRIATIONS "&amp;TEXT('KEY INPUTS'!D34,"0")</f>
        <v>STATEMENT OF GENERAL BUDGET APPROPRIATIONS 2020</v>
      </c>
      <c r="C4" s="1546"/>
      <c r="D4" s="1546"/>
      <c r="E4" s="1546"/>
      <c r="F4" s="1546"/>
      <c r="G4" s="1546"/>
      <c r="H4" s="1546"/>
      <c r="I4" s="1546"/>
      <c r="J4" s="1546"/>
    </row>
    <row r="5" spans="2:12" ht="13.8" thickBot="1">
      <c r="B5" s="10"/>
      <c r="C5" s="10"/>
      <c r="D5" s="10"/>
      <c r="E5" s="10"/>
      <c r="F5" s="10"/>
      <c r="G5" s="10"/>
      <c r="H5" s="10"/>
      <c r="I5" s="10"/>
      <c r="J5" s="10"/>
    </row>
    <row r="6" spans="2:12" ht="21.9" customHeight="1" thickTop="1">
      <c r="B6" s="276" t="str">
        <f>TEXT('KEY INPUTS'!D34,"0")&amp;" Budget as Adopted"</f>
        <v>2020 Budget as Adopted</v>
      </c>
      <c r="C6" s="22"/>
      <c r="D6" s="22"/>
      <c r="E6" s="22"/>
      <c r="F6" s="22"/>
      <c r="G6" s="22"/>
      <c r="H6" s="22"/>
      <c r="I6" s="50"/>
      <c r="J6" s="218">
        <f>+'17-Budget Revenues'!H22-J7</f>
        <v>2588997.3899999997</v>
      </c>
    </row>
    <row r="7" spans="2:12" ht="21.9" customHeight="1" thickBot="1">
      <c r="B7" s="274" t="str">
        <f>TEXT('KEY INPUTS'!D34,"0")&amp;" Budget - Added by N.J.S. 40A:4-87"</f>
        <v>2020 Budget - Added by N.J.S. 40A:4-87</v>
      </c>
      <c r="C7" s="5"/>
      <c r="D7" s="5"/>
      <c r="E7" s="5"/>
      <c r="F7" s="5"/>
      <c r="G7" s="5"/>
      <c r="H7" s="5"/>
      <c r="I7" s="49"/>
      <c r="J7" s="230">
        <f>+'17a Totals-Budget Revenues'!H43</f>
        <v>10701.439999999999</v>
      </c>
    </row>
    <row r="8" spans="2:12" ht="21.9" customHeight="1">
      <c r="B8" s="274" t="str">
        <f>"Appropriated for "&amp;TEXT('KEY INPUTS'!D34,"0")&amp;" (Budget Statement Item 9)"</f>
        <v>Appropriated for 2020 (Budget Statement Item 9)</v>
      </c>
      <c r="C8" s="5"/>
      <c r="D8" s="5"/>
      <c r="E8" s="5"/>
      <c r="F8" s="5"/>
      <c r="G8" s="5"/>
      <c r="H8" s="5"/>
      <c r="I8" s="49"/>
      <c r="J8" s="220">
        <f>+J7+J6</f>
        <v>2599698.8299999996</v>
      </c>
      <c r="K8" s="221"/>
      <c r="L8" s="221"/>
    </row>
    <row r="9" spans="2:12" ht="21.9" customHeight="1" thickBot="1">
      <c r="B9" s="274" t="str">
        <f>"Appropriated for "&amp;TEXT('KEY INPUTS'!D34,"0")&amp;" by Emergency Appropriation (Budget Statement Item 9)"</f>
        <v>Appropriated for 2020 by Emergency Appropriation (Budget Statement Item 9)</v>
      </c>
      <c r="C9" s="5"/>
      <c r="D9" s="5"/>
      <c r="E9" s="5"/>
      <c r="F9" s="5"/>
      <c r="G9" s="5"/>
      <c r="H9" s="5"/>
      <c r="I9" s="49"/>
      <c r="J9" s="577">
        <v>0</v>
      </c>
      <c r="K9" s="221"/>
    </row>
    <row r="10" spans="2:12" ht="21.9" customHeight="1">
      <c r="B10" s="5" t="s">
        <v>828</v>
      </c>
      <c r="C10" s="5"/>
      <c r="D10" s="5"/>
      <c r="E10" s="5"/>
      <c r="F10" s="5"/>
      <c r="G10" s="5"/>
      <c r="H10" s="5"/>
      <c r="I10" s="49"/>
      <c r="J10" s="220">
        <f>+J9+J8</f>
        <v>2599698.8299999996</v>
      </c>
      <c r="K10" s="221"/>
      <c r="L10" s="221"/>
    </row>
    <row r="11" spans="2:12" ht="21.9" customHeight="1" thickBot="1">
      <c r="B11" s="5" t="s">
        <v>829</v>
      </c>
      <c r="C11" s="5"/>
      <c r="D11" s="5"/>
      <c r="E11" s="5"/>
      <c r="F11" s="5"/>
      <c r="G11" s="5"/>
      <c r="H11" s="5"/>
      <c r="I11" s="49"/>
      <c r="J11" s="577">
        <v>0</v>
      </c>
      <c r="L11" s="221"/>
    </row>
    <row r="12" spans="2:12" ht="21.9" customHeight="1">
      <c r="B12" s="5"/>
      <c r="C12" s="5" t="s">
        <v>766</v>
      </c>
      <c r="D12" s="5"/>
      <c r="E12" s="5"/>
      <c r="F12" s="5"/>
      <c r="G12" s="5"/>
      <c r="H12" s="5"/>
      <c r="I12" s="49"/>
      <c r="J12" s="220">
        <f>+J10+J11</f>
        <v>2599698.8299999996</v>
      </c>
      <c r="K12" s="221"/>
    </row>
    <row r="13" spans="2:12" ht="21.9" customHeight="1">
      <c r="B13" s="5" t="s">
        <v>767</v>
      </c>
      <c r="C13" s="5"/>
      <c r="D13" s="5"/>
      <c r="E13" s="5"/>
      <c r="F13" s="5"/>
      <c r="G13" s="5"/>
      <c r="H13" s="5"/>
      <c r="I13" s="49"/>
      <c r="J13" s="74"/>
    </row>
    <row r="14" spans="2:12" ht="21.9" customHeight="1">
      <c r="B14" s="5"/>
      <c r="C14" s="5" t="s">
        <v>768</v>
      </c>
      <c r="D14" s="5"/>
      <c r="E14" s="5"/>
      <c r="F14" s="5"/>
      <c r="G14" s="5"/>
      <c r="H14" s="5"/>
      <c r="I14" s="365">
        <f>2114695.32+41440.76</f>
        <v>2156136.0799999996</v>
      </c>
      <c r="J14" s="74"/>
      <c r="K14" s="221"/>
    </row>
    <row r="15" spans="2:12" ht="21.9" customHeight="1">
      <c r="B15" s="5"/>
      <c r="C15" s="5" t="s">
        <v>769</v>
      </c>
      <c r="D15" s="5"/>
      <c r="E15" s="5"/>
      <c r="F15" s="5"/>
      <c r="G15" s="5"/>
      <c r="H15" s="5"/>
      <c r="I15" s="365">
        <v>276908.62</v>
      </c>
      <c r="J15" s="74"/>
      <c r="K15" s="221"/>
    </row>
    <row r="16" spans="2:12" ht="21.9" customHeight="1" thickBot="1">
      <c r="B16" s="5"/>
      <c r="C16" s="5" t="s">
        <v>770</v>
      </c>
      <c r="D16" s="5"/>
      <c r="E16" s="5"/>
      <c r="F16" s="5"/>
      <c r="G16" s="5"/>
      <c r="H16" s="5"/>
      <c r="I16" s="578">
        <v>115339.34</v>
      </c>
      <c r="J16" s="74"/>
      <c r="K16" s="221"/>
    </row>
    <row r="17" spans="2:12" ht="21.9" customHeight="1" thickBot="1">
      <c r="B17" s="5"/>
      <c r="C17" s="5"/>
      <c r="D17" s="5" t="s">
        <v>771</v>
      </c>
      <c r="E17" s="5"/>
      <c r="F17" s="5"/>
      <c r="G17" s="5"/>
      <c r="H17" s="5"/>
      <c r="I17" s="75"/>
      <c r="J17" s="230">
        <f>SUM(I14:I16)</f>
        <v>2548384.0399999996</v>
      </c>
      <c r="K17" s="221"/>
    </row>
    <row r="18" spans="2:12" ht="21.9" customHeight="1" thickBot="1">
      <c r="B18" s="27" t="s">
        <v>827</v>
      </c>
      <c r="C18" s="27"/>
      <c r="D18" s="27"/>
      <c r="E18" s="27"/>
      <c r="F18" s="27"/>
      <c r="G18" s="27"/>
      <c r="H18" s="27"/>
      <c r="I18" s="77"/>
      <c r="J18" s="227">
        <f>+J12-J17</f>
        <v>51314.790000000037</v>
      </c>
      <c r="K18" s="221"/>
      <c r="L18" s="221"/>
    </row>
    <row r="19" spans="2:12" ht="13.8" thickTop="1">
      <c r="K19" s="221"/>
    </row>
    <row r="20" spans="2:12">
      <c r="B20" s="203" t="s">
        <v>823</v>
      </c>
      <c r="K20" s="221"/>
    </row>
    <row r="21" spans="2:12">
      <c r="C21" s="34" t="s">
        <v>51</v>
      </c>
    </row>
    <row r="22" spans="2:12">
      <c r="C22" s="34" t="s">
        <v>824</v>
      </c>
    </row>
    <row r="23" spans="2:12">
      <c r="C23" s="34" t="s">
        <v>52</v>
      </c>
    </row>
    <row r="24" spans="2:12">
      <c r="C24" s="34"/>
      <c r="D24" s="34" t="s">
        <v>53</v>
      </c>
    </row>
    <row r="32" spans="2:12" ht="20.399999999999999">
      <c r="B32" s="1546" t="s">
        <v>830</v>
      </c>
      <c r="C32" s="1546"/>
      <c r="D32" s="1546"/>
      <c r="E32" s="1546"/>
      <c r="F32" s="1546"/>
      <c r="G32" s="1546"/>
      <c r="H32" s="1546"/>
      <c r="I32" s="1546"/>
      <c r="J32" s="1546"/>
    </row>
    <row r="33" spans="2:11" ht="20.399999999999999">
      <c r="B33" s="1546" t="s">
        <v>623</v>
      </c>
      <c r="C33" s="1546"/>
      <c r="D33" s="1546"/>
      <c r="E33" s="1546"/>
      <c r="F33" s="1546"/>
      <c r="G33" s="1546"/>
      <c r="H33" s="1546"/>
      <c r="I33" s="1546"/>
      <c r="J33" s="1546"/>
    </row>
    <row r="35" spans="2:11" ht="13.8">
      <c r="B35" s="1545" t="s">
        <v>624</v>
      </c>
      <c r="C35" s="1545"/>
      <c r="D35" s="1545"/>
      <c r="E35" s="1545"/>
      <c r="F35" s="1545"/>
      <c r="G35" s="1545"/>
      <c r="H35" s="1545"/>
      <c r="I35" s="1545"/>
      <c r="J35" s="1545"/>
    </row>
    <row r="36" spans="2:11" ht="13.8" thickBot="1">
      <c r="B36" s="10"/>
      <c r="C36" s="10"/>
      <c r="D36" s="10"/>
      <c r="E36" s="10"/>
      <c r="F36" s="10"/>
      <c r="G36" s="10"/>
      <c r="H36" s="10"/>
      <c r="I36" s="10"/>
      <c r="J36" s="10"/>
    </row>
    <row r="37" spans="2:11" ht="21" customHeight="1" thickTop="1">
      <c r="B37" s="276" t="str">
        <f>TEXT('KEY INPUTS'!D34,"0")&amp;" Authorizations"</f>
        <v>2020 Authorizations</v>
      </c>
      <c r="C37" s="22"/>
      <c r="D37" s="22"/>
      <c r="E37" s="22"/>
      <c r="F37" s="22"/>
      <c r="G37" s="22"/>
      <c r="H37" s="23"/>
      <c r="I37" s="1003"/>
      <c r="J37" s="844"/>
    </row>
    <row r="38" spans="2:11" ht="21" customHeight="1">
      <c r="B38" s="5"/>
      <c r="C38" s="5" t="s">
        <v>626</v>
      </c>
      <c r="D38" s="5"/>
      <c r="E38" s="5"/>
      <c r="F38" s="5"/>
      <c r="G38" s="5"/>
      <c r="H38" s="24"/>
      <c r="I38" s="367"/>
      <c r="J38" s="844"/>
    </row>
    <row r="39" spans="2:11" ht="21" customHeight="1" thickBot="1">
      <c r="B39" s="5"/>
      <c r="C39" s="5" t="s">
        <v>167</v>
      </c>
      <c r="D39" s="5"/>
      <c r="E39" s="5"/>
      <c r="F39" s="5"/>
      <c r="G39" s="5"/>
      <c r="H39" s="24"/>
      <c r="I39" s="1007"/>
      <c r="J39" s="844"/>
    </row>
    <row r="40" spans="2:11" ht="21" customHeight="1">
      <c r="B40" s="5"/>
      <c r="C40" s="5"/>
      <c r="D40" s="5" t="s">
        <v>627</v>
      </c>
      <c r="E40" s="5"/>
      <c r="F40" s="5"/>
      <c r="G40" s="5"/>
      <c r="H40" s="24"/>
      <c r="I40" s="1005"/>
      <c r="J40" s="973">
        <f>SUM(I38:I39)</f>
        <v>0</v>
      </c>
      <c r="K40" s="701"/>
    </row>
    <row r="41" spans="2:11" ht="21" customHeight="1">
      <c r="B41" s="5" t="s">
        <v>767</v>
      </c>
      <c r="C41" s="5"/>
      <c r="D41" s="5"/>
      <c r="E41" s="5"/>
      <c r="F41" s="5"/>
      <c r="G41" s="5"/>
      <c r="H41" s="24"/>
      <c r="I41" s="1004"/>
      <c r="J41" s="844"/>
    </row>
    <row r="42" spans="2:11" ht="21" customHeight="1">
      <c r="B42" s="5"/>
      <c r="C42" s="5" t="s">
        <v>628</v>
      </c>
      <c r="D42" s="5"/>
      <c r="E42" s="5"/>
      <c r="F42" s="5"/>
      <c r="G42" s="5"/>
      <c r="H42" s="24"/>
      <c r="I42" s="367"/>
      <c r="J42" s="844"/>
    </row>
    <row r="43" spans="2:11" ht="21" customHeight="1" thickBot="1">
      <c r="B43" s="5"/>
      <c r="C43" s="5" t="s">
        <v>770</v>
      </c>
      <c r="D43" s="5"/>
      <c r="E43" s="5"/>
      <c r="F43" s="5"/>
      <c r="G43" s="5"/>
      <c r="H43" s="24"/>
      <c r="I43" s="1007"/>
      <c r="J43" s="844"/>
    </row>
    <row r="44" spans="2:11" ht="21" customHeight="1" thickBot="1">
      <c r="B44" s="10"/>
      <c r="C44" s="10"/>
      <c r="D44" s="10" t="s">
        <v>771</v>
      </c>
      <c r="E44" s="10"/>
      <c r="F44" s="10"/>
      <c r="G44" s="10"/>
      <c r="H44" s="10"/>
      <c r="I44" s="1006"/>
      <c r="J44" s="975">
        <f>SUM(I42:I43)</f>
        <v>0</v>
      </c>
    </row>
    <row r="45" spans="2:11" ht="13.8" thickTop="1"/>
    <row r="54" spans="2:10" ht="13.8">
      <c r="B54" s="1545" t="s">
        <v>625</v>
      </c>
      <c r="C54" s="1545"/>
      <c r="D54" s="1545"/>
      <c r="E54" s="1545"/>
      <c r="F54" s="1545"/>
      <c r="G54" s="1545"/>
      <c r="H54" s="1545"/>
      <c r="I54" s="1545"/>
      <c r="J54" s="1545"/>
    </row>
  </sheetData>
  <sheetProtection algorithmName="SHA-512" hashValue="FbObpJe/XiUVYSxWpZLeDquEnVvrDGnOkAwFr4TqysK+36u7VojojtCimCpP/MIbjl1VxZeFTHM9b/lnc+Tlxw==" saltValue="6JjzzkZdUTfJEGYuHAWmpA==" spinCount="100000" sheet="1" objects="1" scenarios="1"/>
  <mergeCells count="5">
    <mergeCell ref="B54:J54"/>
    <mergeCell ref="B4:J4"/>
    <mergeCell ref="B32:J32"/>
    <mergeCell ref="B33:J33"/>
    <mergeCell ref="B35:J35"/>
  </mergeCells>
  <phoneticPr fontId="0" type="noConversion"/>
  <pageMargins left="0.25" right="0.25" top="0.5" bottom="0.5" header="0.25" footer="0.25"/>
  <pageSetup paperSize="5" orientation="portrait" r:id="rId1"/>
  <headerFooter alignWithMargins="0"/>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6"/>
  <dimension ref="B3:L48"/>
  <sheetViews>
    <sheetView topLeftCell="A19" zoomScaleNormal="100" workbookViewId="0">
      <selection activeCell="H37" sqref="H37"/>
    </sheetView>
  </sheetViews>
  <sheetFormatPr defaultRowHeight="13.2"/>
  <cols>
    <col min="1" max="3" width="4.6640625" customWidth="1"/>
    <col min="5" max="5" width="24.44140625" customWidth="1"/>
    <col min="8" max="9" width="16.6640625" style="270" customWidth="1"/>
    <col min="10" max="10" width="13.6640625" style="239" bestFit="1" customWidth="1"/>
    <col min="11" max="11" width="11.109375" bestFit="1" customWidth="1"/>
  </cols>
  <sheetData>
    <row r="3" spans="2:10" ht="22.8">
      <c r="B3" s="1586" t="str">
        <f>" RESULTS OF "&amp;TEXT('KEY INPUTS'!D34,"0")&amp;" OPERATION"</f>
        <v xml:space="preserve"> RESULTS OF 2020 OPERATION</v>
      </c>
      <c r="C3" s="1586"/>
      <c r="D3" s="1586"/>
      <c r="E3" s="1586"/>
      <c r="F3" s="1586"/>
      <c r="G3" s="1586"/>
      <c r="H3" s="1586"/>
      <c r="I3" s="1586"/>
    </row>
    <row r="4" spans="2:10" ht="13.8">
      <c r="B4" s="1545"/>
      <c r="C4" s="1545"/>
      <c r="D4" s="1545"/>
      <c r="E4" s="1545"/>
      <c r="F4" s="1545"/>
      <c r="G4" s="1545"/>
      <c r="H4" s="1545"/>
      <c r="I4" s="1545"/>
    </row>
    <row r="5" spans="2:10">
      <c r="B5" s="315"/>
      <c r="C5" s="315"/>
      <c r="D5" s="315"/>
      <c r="E5" s="315"/>
      <c r="F5" s="315"/>
      <c r="G5" s="315"/>
    </row>
    <row r="6" spans="2:10" ht="15.6">
      <c r="B6" s="1576" t="s">
        <v>629</v>
      </c>
      <c r="C6" s="1576"/>
      <c r="D6" s="1576"/>
      <c r="E6" s="1576"/>
      <c r="F6" s="1576"/>
      <c r="G6" s="1576"/>
      <c r="H6" s="1576"/>
      <c r="I6" s="1576"/>
    </row>
    <row r="7" spans="2:10" ht="15.6">
      <c r="B7" s="952"/>
      <c r="C7" s="952"/>
      <c r="D7" s="952"/>
      <c r="E7" s="952"/>
      <c r="F7" s="952"/>
      <c r="G7" s="952"/>
      <c r="H7" s="332"/>
      <c r="I7" s="332"/>
    </row>
    <row r="8" spans="2:10" ht="8.25" customHeight="1" thickBot="1">
      <c r="B8" s="10"/>
      <c r="C8" s="10"/>
      <c r="D8" s="10"/>
      <c r="E8" s="10"/>
      <c r="F8" s="10"/>
      <c r="G8" s="10"/>
      <c r="H8" s="333"/>
      <c r="I8" s="333"/>
    </row>
    <row r="9" spans="2:10" ht="32.1" customHeight="1" thickTop="1" thickBot="1">
      <c r="B9" s="1589"/>
      <c r="C9" s="1589"/>
      <c r="D9" s="1589"/>
      <c r="E9" s="1589"/>
      <c r="F9" s="1589"/>
      <c r="G9" s="1589"/>
      <c r="H9" s="252" t="s">
        <v>101</v>
      </c>
      <c r="I9" s="253" t="s">
        <v>102</v>
      </c>
    </row>
    <row r="10" spans="2:10" ht="21.9" customHeight="1" thickTop="1">
      <c r="B10" s="276" t="s">
        <v>744</v>
      </c>
      <c r="C10" s="276"/>
      <c r="D10" s="276"/>
      <c r="E10" s="276"/>
      <c r="F10" s="276"/>
      <c r="G10" s="276"/>
      <c r="H10" s="303" t="s">
        <v>662</v>
      </c>
      <c r="I10" s="334" t="s">
        <v>662</v>
      </c>
    </row>
    <row r="11" spans="2:10" ht="21.9" customHeight="1">
      <c r="B11" s="316"/>
      <c r="C11" s="316" t="s">
        <v>151</v>
      </c>
      <c r="D11" s="316"/>
      <c r="E11" s="316"/>
      <c r="F11" s="316"/>
      <c r="G11" s="316"/>
      <c r="H11" s="303" t="s">
        <v>662</v>
      </c>
      <c r="I11" s="304">
        <f>IF(+'17-Budget Revenues'!J14&gt;0, +'17-Budget Revenues'!J14," ")</f>
        <v>52164.310000000056</v>
      </c>
      <c r="J11" s="249"/>
    </row>
    <row r="12" spans="2:10" ht="21.9" customHeight="1">
      <c r="B12" s="316"/>
      <c r="C12" s="316" t="s">
        <v>152</v>
      </c>
      <c r="D12" s="316"/>
      <c r="E12" s="316"/>
      <c r="F12" s="316"/>
      <c r="G12" s="316"/>
      <c r="H12" s="303" t="s">
        <v>662</v>
      </c>
      <c r="I12" s="304">
        <f>IF(+'17-Budget Revenues'!J15&gt;0, +'17-Budget Revenues'!J15,0)</f>
        <v>36022.929999999993</v>
      </c>
      <c r="J12" s="249"/>
    </row>
    <row r="13" spans="2:10" ht="21.9" customHeight="1">
      <c r="B13" s="559"/>
      <c r="C13" s="559"/>
      <c r="D13" s="559"/>
      <c r="E13" s="559"/>
      <c r="F13" s="559"/>
      <c r="G13" s="559"/>
      <c r="H13" s="303" t="s">
        <v>662</v>
      </c>
      <c r="I13" s="581"/>
    </row>
    <row r="14" spans="2:10" ht="21.9" customHeight="1">
      <c r="B14" s="316"/>
      <c r="C14" s="316" t="s">
        <v>153</v>
      </c>
      <c r="D14" s="316"/>
      <c r="E14" s="316"/>
      <c r="F14" s="316"/>
      <c r="G14" s="316"/>
      <c r="H14" s="303" t="s">
        <v>662</v>
      </c>
      <c r="I14" s="304">
        <f>IF(+'17-Budget Revenues'!J21&gt;0, +'17-Budget Revenues'!J21,0)</f>
        <v>172303.18999999994</v>
      </c>
      <c r="J14" s="249"/>
    </row>
    <row r="15" spans="2:10" ht="21.9" customHeight="1">
      <c r="B15" s="316" t="str">
        <f>"Unexpended Balances of "&amp;TEXT('KEY INPUTS'!D34,"0")&amp;" Budget Appropriations"</f>
        <v>Unexpended Balances of 2020 Budget Appropriations</v>
      </c>
      <c r="C15" s="316"/>
      <c r="D15" s="316"/>
      <c r="E15" s="316"/>
      <c r="F15" s="316"/>
      <c r="G15" s="316"/>
      <c r="H15" s="303" t="s">
        <v>662</v>
      </c>
      <c r="I15" s="304">
        <f>+'18-Budget Appropriations'!J18</f>
        <v>51314.790000000037</v>
      </c>
      <c r="J15" s="249"/>
    </row>
    <row r="16" spans="2:10" ht="21.9" customHeight="1">
      <c r="B16" s="316" t="s">
        <v>356</v>
      </c>
      <c r="C16" s="316"/>
      <c r="D16" s="316"/>
      <c r="E16" s="316"/>
      <c r="F16" s="316"/>
      <c r="G16" s="316"/>
      <c r="H16" s="303" t="s">
        <v>662</v>
      </c>
      <c r="I16" s="304">
        <f>'20 Total-Misc Rev Not Ant'!H41</f>
        <v>28998.51</v>
      </c>
      <c r="J16" s="249"/>
    </row>
    <row r="17" spans="2:11" ht="11.25" customHeight="1">
      <c r="B17" s="7" t="s">
        <v>281</v>
      </c>
      <c r="C17" s="7"/>
      <c r="D17" s="7"/>
      <c r="E17" s="7"/>
      <c r="F17" s="7"/>
      <c r="G17" s="7"/>
      <c r="H17" s="1665" t="s">
        <v>662</v>
      </c>
      <c r="I17" s="1663">
        <f>+'27-Foreclosed Property'!L15</f>
        <v>0</v>
      </c>
    </row>
    <row r="18" spans="2:11" ht="12.75" customHeight="1">
      <c r="B18" s="277"/>
      <c r="C18" s="277" t="s">
        <v>282</v>
      </c>
      <c r="D18" s="277"/>
      <c r="E18" s="277"/>
      <c r="F18" s="277"/>
      <c r="G18" s="277"/>
      <c r="H18" s="1666"/>
      <c r="I18" s="1664"/>
    </row>
    <row r="19" spans="2:11" ht="21.9" customHeight="1">
      <c r="B19" s="316"/>
      <c r="C19" s="316" t="s">
        <v>292</v>
      </c>
      <c r="D19" s="316"/>
      <c r="E19" s="316"/>
      <c r="F19" s="316"/>
      <c r="G19" s="316"/>
      <c r="H19" s="303" t="s">
        <v>662</v>
      </c>
      <c r="I19" s="581"/>
    </row>
    <row r="20" spans="2:11" ht="21.9" customHeight="1">
      <c r="B20" s="316" t="s">
        <v>168</v>
      </c>
      <c r="C20" s="316"/>
      <c r="D20" s="316"/>
      <c r="E20" s="316"/>
      <c r="F20" s="316"/>
      <c r="G20" s="316"/>
      <c r="H20" s="303" t="s">
        <v>662</v>
      </c>
      <c r="I20" s="581"/>
    </row>
    <row r="21" spans="2:11" ht="21.9" customHeight="1">
      <c r="B21" s="316" t="str">
        <f>"Unexpended Balances of "&amp;TEXT('KEY INPUTS'!D35,"0")&amp;" Appropriation Reserves"</f>
        <v>Unexpended Balances of 2019 Appropriation Reserves</v>
      </c>
      <c r="C21" s="316"/>
      <c r="D21" s="316"/>
      <c r="E21" s="316"/>
      <c r="F21" s="316"/>
      <c r="G21" s="316"/>
      <c r="H21" s="303" t="s">
        <v>662</v>
      </c>
      <c r="I21" s="581">
        <v>40209.919999999998</v>
      </c>
      <c r="J21" s="249"/>
    </row>
    <row r="22" spans="2:11" ht="21.9" customHeight="1">
      <c r="B22" s="316" t="str">
        <f>"Prior Years Interfunds Returned in "&amp;TEXT('KEY INPUTS'!D34,"0")</f>
        <v>Prior Years Interfunds Returned in 2020</v>
      </c>
      <c r="C22" s="316"/>
      <c r="D22" s="316"/>
      <c r="E22" s="316"/>
      <c r="F22" s="316"/>
      <c r="G22" s="316"/>
      <c r="H22" s="303" t="s">
        <v>662</v>
      </c>
      <c r="I22" s="581"/>
      <c r="J22" s="249"/>
    </row>
    <row r="23" spans="2:11" ht="21.9" customHeight="1">
      <c r="B23" s="560" t="s">
        <v>3650</v>
      </c>
      <c r="C23" s="559"/>
      <c r="D23" s="559"/>
      <c r="E23" s="559"/>
      <c r="F23" s="559"/>
      <c r="G23" s="559"/>
      <c r="H23" s="303" t="s">
        <v>662</v>
      </c>
      <c r="I23" s="581">
        <v>816.62</v>
      </c>
    </row>
    <row r="24" spans="2:11" s="315" customFormat="1" ht="21.9" customHeight="1">
      <c r="B24" s="559"/>
      <c r="C24" s="559"/>
      <c r="D24" s="559"/>
      <c r="E24" s="559"/>
      <c r="F24" s="559"/>
      <c r="G24" s="559"/>
      <c r="H24" s="674"/>
      <c r="I24" s="581"/>
      <c r="J24" s="270"/>
    </row>
    <row r="25" spans="2:11" ht="21.9" customHeight="1">
      <c r="B25" s="560"/>
      <c r="C25" s="559"/>
      <c r="D25" s="559"/>
      <c r="E25" s="559"/>
      <c r="F25" s="559"/>
      <c r="G25" s="559"/>
      <c r="H25" s="303" t="s">
        <v>662</v>
      </c>
      <c r="I25" s="581"/>
      <c r="J25" s="320"/>
    </row>
    <row r="26" spans="2:11" ht="21.9" customHeight="1">
      <c r="B26" s="559"/>
      <c r="C26" s="559"/>
      <c r="D26" s="559"/>
      <c r="E26" s="559"/>
      <c r="F26" s="559"/>
      <c r="G26" s="559"/>
      <c r="H26" s="303" t="s">
        <v>662</v>
      </c>
      <c r="I26" s="581"/>
    </row>
    <row r="27" spans="2:11" ht="21.9" customHeight="1">
      <c r="B27" s="5" t="s">
        <v>306</v>
      </c>
      <c r="C27" s="5"/>
      <c r="D27" s="5"/>
      <c r="E27" s="5"/>
      <c r="F27" s="5"/>
      <c r="G27" s="5"/>
      <c r="H27" s="303" t="s">
        <v>662</v>
      </c>
      <c r="I27" s="257" t="s">
        <v>662</v>
      </c>
      <c r="J27" s="249"/>
    </row>
    <row r="28" spans="2:11" ht="21.9" customHeight="1">
      <c r="B28" s="5"/>
      <c r="C28" s="5" t="str">
        <f>'KEY INPUTS'!D25</f>
        <v>Balance - January 1, 2020</v>
      </c>
      <c r="D28" s="5"/>
      <c r="E28" s="5"/>
      <c r="F28" s="5"/>
      <c r="G28" s="5"/>
      <c r="H28" s="330">
        <f>+'13-Other Taxes'!H11+'14-Other Taxes'!H12+'14-Other Taxes'!H33</f>
        <v>238358.08</v>
      </c>
      <c r="I28" s="257" t="s">
        <v>662</v>
      </c>
      <c r="J28" s="249"/>
      <c r="K28" s="318"/>
    </row>
    <row r="29" spans="2:11" ht="21.9" customHeight="1">
      <c r="B29" s="5"/>
      <c r="C29" s="5" t="str">
        <f>'KEY INPUTS'!D26</f>
        <v>Balance - December 31, 2020</v>
      </c>
      <c r="D29" s="5"/>
      <c r="E29" s="5"/>
      <c r="F29" s="5"/>
      <c r="G29" s="5"/>
      <c r="H29" s="303" t="s">
        <v>662</v>
      </c>
      <c r="I29" s="304">
        <f>'13-Other Taxes'!G18+'14-Other Taxes'!G40+'14-Other Taxes'!G19</f>
        <v>238358.08</v>
      </c>
      <c r="J29" s="320"/>
      <c r="K29" s="318"/>
    </row>
    <row r="30" spans="2:11" ht="21.9" customHeight="1">
      <c r="B30" s="5" t="s">
        <v>215</v>
      </c>
      <c r="C30" s="5"/>
      <c r="D30" s="5"/>
      <c r="E30" s="5"/>
      <c r="F30" s="5"/>
      <c r="G30" s="5"/>
      <c r="H30" s="303" t="s">
        <v>662</v>
      </c>
      <c r="I30" s="257" t="s">
        <v>662</v>
      </c>
      <c r="J30" s="249"/>
      <c r="K30" s="318"/>
    </row>
    <row r="31" spans="2:11" ht="21.9" customHeight="1">
      <c r="B31" s="5"/>
      <c r="C31" s="5" t="s">
        <v>283</v>
      </c>
      <c r="D31" s="5"/>
      <c r="E31" s="5"/>
      <c r="F31" s="5"/>
      <c r="G31" s="5"/>
      <c r="H31" s="330">
        <f>IF(+'17-Budget Revenues'!J14&lt;0, -'17-Budget Revenues'!J14,0)</f>
        <v>0</v>
      </c>
      <c r="I31" s="257" t="s">
        <v>662</v>
      </c>
      <c r="J31" s="249"/>
    </row>
    <row r="32" spans="2:11" ht="21.9" customHeight="1">
      <c r="B32" s="5"/>
      <c r="C32" s="5" t="s">
        <v>152</v>
      </c>
      <c r="D32" s="5"/>
      <c r="E32" s="5"/>
      <c r="F32" s="5"/>
      <c r="G32" s="5"/>
      <c r="H32" s="330">
        <f>IF(+'17-Budget Revenues'!J15&lt;0, -'17-Budget Revenues'!J15,0)</f>
        <v>0</v>
      </c>
      <c r="I32" s="257" t="s">
        <v>662</v>
      </c>
      <c r="J32" s="249"/>
    </row>
    <row r="33" spans="2:12" ht="21.9" customHeight="1">
      <c r="B33" s="1435"/>
      <c r="C33" s="1435"/>
      <c r="D33" s="1435"/>
      <c r="E33" s="1435"/>
      <c r="F33" s="1435"/>
      <c r="G33" s="1436"/>
      <c r="H33" s="365"/>
      <c r="I33" s="257" t="s">
        <v>662</v>
      </c>
    </row>
    <row r="34" spans="2:12" ht="21.9" customHeight="1">
      <c r="B34" s="5"/>
      <c r="C34" s="5" t="s">
        <v>284</v>
      </c>
      <c r="D34" s="5"/>
      <c r="E34" s="5"/>
      <c r="F34" s="5"/>
      <c r="G34" s="5"/>
      <c r="H34" s="330">
        <f>IF(+'17-Budget Revenues'!J21&lt;0, -'17-Budget Revenues'!J21,0)</f>
        <v>0</v>
      </c>
      <c r="I34" s="257" t="s">
        <v>662</v>
      </c>
    </row>
    <row r="35" spans="2:12" ht="21.9" customHeight="1">
      <c r="B35" s="274" t="str">
        <f>"Interfund Advances Originating in "&amp;TEXT('KEY INPUTS'!D34,"0")</f>
        <v>Interfund Advances Originating in 2020</v>
      </c>
      <c r="C35" s="5"/>
      <c r="D35" s="5"/>
      <c r="E35" s="5"/>
      <c r="F35" s="5"/>
      <c r="G35" s="5"/>
      <c r="H35" s="365"/>
      <c r="I35" s="257" t="s">
        <v>662</v>
      </c>
      <c r="J35" s="320"/>
    </row>
    <row r="36" spans="2:12" ht="21.9" customHeight="1">
      <c r="B36" s="560" t="s">
        <v>3651</v>
      </c>
      <c r="C36" s="559"/>
      <c r="D36" s="559"/>
      <c r="E36" s="559"/>
      <c r="F36" s="559"/>
      <c r="G36" s="559"/>
      <c r="H36" s="365">
        <v>2.1</v>
      </c>
      <c r="I36" s="257" t="s">
        <v>662</v>
      </c>
    </row>
    <row r="37" spans="2:12" ht="21.9" customHeight="1">
      <c r="B37" s="559"/>
      <c r="C37" s="559"/>
      <c r="D37" s="559"/>
      <c r="E37" s="559"/>
      <c r="F37" s="559"/>
      <c r="G37" s="559"/>
      <c r="H37" s="365"/>
      <c r="I37" s="257" t="s">
        <v>662</v>
      </c>
    </row>
    <row r="38" spans="2:12" s="315" customFormat="1" ht="21.9" customHeight="1">
      <c r="B38" s="559"/>
      <c r="C38" s="559"/>
      <c r="D38" s="559"/>
      <c r="E38" s="559"/>
      <c r="F38" s="559"/>
      <c r="G38" s="559"/>
      <c r="H38" s="365"/>
      <c r="I38" s="1439"/>
      <c r="J38" s="270"/>
    </row>
    <row r="39" spans="2:12" s="315" customFormat="1" ht="21.9" customHeight="1">
      <c r="B39" s="559"/>
      <c r="C39" s="559"/>
      <c r="D39" s="559"/>
      <c r="E39" s="559"/>
      <c r="F39" s="559"/>
      <c r="G39" s="559"/>
      <c r="H39" s="365"/>
      <c r="I39" s="1439"/>
      <c r="J39" s="270"/>
    </row>
    <row r="40" spans="2:12" s="315" customFormat="1" ht="21.9" customHeight="1">
      <c r="B40" s="559"/>
      <c r="C40" s="559"/>
      <c r="D40" s="559"/>
      <c r="E40" s="559"/>
      <c r="F40" s="559"/>
      <c r="G40" s="559"/>
      <c r="H40" s="365"/>
      <c r="I40" s="1439"/>
      <c r="J40" s="270"/>
    </row>
    <row r="41" spans="2:12" ht="21.9" customHeight="1">
      <c r="B41" s="559"/>
      <c r="C41" s="559"/>
      <c r="D41" s="559"/>
      <c r="E41" s="559"/>
      <c r="F41" s="559"/>
      <c r="G41" s="559"/>
      <c r="H41" s="365"/>
      <c r="I41" s="257" t="s">
        <v>662</v>
      </c>
      <c r="J41" s="320"/>
    </row>
    <row r="42" spans="2:12" ht="21.9" customHeight="1">
      <c r="B42" s="559"/>
      <c r="C42" s="559"/>
      <c r="D42" s="559"/>
      <c r="E42" s="559"/>
      <c r="F42" s="559"/>
      <c r="G42" s="559"/>
      <c r="H42" s="365"/>
      <c r="I42" s="257" t="s">
        <v>662</v>
      </c>
    </row>
    <row r="43" spans="2:12" ht="21.9" customHeight="1">
      <c r="B43" s="5" t="s">
        <v>285</v>
      </c>
      <c r="C43" s="5"/>
      <c r="D43" s="5"/>
      <c r="E43" s="5"/>
      <c r="F43" s="5"/>
      <c r="G43" s="5"/>
      <c r="H43" s="303" t="s">
        <v>662</v>
      </c>
      <c r="I43" s="825">
        <f>IF(+J44&gt;0,0,J44*-1)</f>
        <v>0</v>
      </c>
      <c r="J43" s="249"/>
    </row>
    <row r="44" spans="2:12" ht="21.9" customHeight="1" thickBot="1">
      <c r="B44" s="5" t="s">
        <v>150</v>
      </c>
      <c r="C44" s="5"/>
      <c r="D44" s="5"/>
      <c r="E44" s="5"/>
      <c r="F44" s="5"/>
      <c r="G44" s="5"/>
      <c r="H44" s="307">
        <f>+IF(+J44&gt;0,J44,0)</f>
        <v>381828.17</v>
      </c>
      <c r="I44" s="335" t="s">
        <v>662</v>
      </c>
      <c r="J44" s="320">
        <f>SUM(I10:I42)-SUM(H10:H42)</f>
        <v>381828.17</v>
      </c>
      <c r="K44" s="701" t="s">
        <v>3413</v>
      </c>
      <c r="L44" s="221"/>
    </row>
    <row r="45" spans="2:12" ht="21.9" customHeight="1" thickBot="1">
      <c r="B45" s="7"/>
      <c r="C45" s="7"/>
      <c r="D45" s="7"/>
      <c r="E45" s="7"/>
      <c r="F45" s="7"/>
      <c r="G45" s="83"/>
      <c r="H45" s="336">
        <f>SUM(H10:H44)</f>
        <v>620188.35</v>
      </c>
      <c r="I45" s="337">
        <f>SUM(I10:I44)</f>
        <v>620188.35</v>
      </c>
      <c r="J45" s="249"/>
    </row>
    <row r="46" spans="2:12" ht="13.8" thickTop="1"/>
    <row r="47" spans="2:12" s="315" customFormat="1">
      <c r="H47" s="270"/>
      <c r="I47" s="270"/>
      <c r="J47" s="270"/>
    </row>
    <row r="48" spans="2:12" ht="13.8">
      <c r="B48" s="1545" t="s">
        <v>630</v>
      </c>
      <c r="C48" s="1545"/>
      <c r="D48" s="1545"/>
      <c r="E48" s="1545"/>
      <c r="F48" s="1545"/>
      <c r="G48" s="1545"/>
      <c r="H48" s="1545"/>
      <c r="I48" s="1545"/>
    </row>
  </sheetData>
  <sheetProtection algorithmName="SHA-512" hashValue="B6i35BDJOZ6WXznWvQJLeCvPCUi9UCLqkwzCPRCkvQwnqsaV42FCmVUb8nYXePJkc4mxDzMlNJz32auFq58zHg==" saltValue="SRXILMdYZajPBKXPASw1BQ==" spinCount="100000" sheet="1" objects="1" scenarios="1"/>
  <mergeCells count="7">
    <mergeCell ref="B48:I48"/>
    <mergeCell ref="B3:I3"/>
    <mergeCell ref="B4:I4"/>
    <mergeCell ref="B6:I6"/>
    <mergeCell ref="B9:G9"/>
    <mergeCell ref="I17:I18"/>
    <mergeCell ref="H17:H18"/>
  </mergeCells>
  <phoneticPr fontId="0" type="noConversion"/>
  <pageMargins left="0.25" right="0.25" top="0.5" bottom="0.5" header="0.25" footer="0.25"/>
  <pageSetup paperSize="5" orientation="portrait" r:id="rId1"/>
  <headerFooter alignWithMargins="0"/>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7"/>
  <dimension ref="B1:N55"/>
  <sheetViews>
    <sheetView topLeftCell="A19" zoomScaleNormal="100" workbookViewId="0">
      <selection activeCell="H27" sqref="H27"/>
    </sheetView>
  </sheetViews>
  <sheetFormatPr defaultRowHeight="13.2"/>
  <cols>
    <col min="1" max="3" width="4.6640625" customWidth="1"/>
    <col min="4" max="4" width="12.33203125" customWidth="1"/>
    <col min="5" max="5" width="22.6640625" customWidth="1"/>
    <col min="6" max="6" width="25.88671875" customWidth="1"/>
    <col min="8" max="8" width="16.6640625" customWidth="1"/>
    <col min="9" max="9" width="11.44140625" bestFit="1" customWidth="1"/>
    <col min="10" max="10" width="10.33203125" bestFit="1" customWidth="1"/>
    <col min="11" max="11" width="10.88671875" bestFit="1" customWidth="1"/>
    <col min="13" max="13" width="12.44140625" style="280" bestFit="1" customWidth="1"/>
    <col min="14" max="14" width="10.44140625" style="280" bestFit="1" customWidth="1"/>
  </cols>
  <sheetData>
    <row r="1" spans="2:11">
      <c r="B1" s="315"/>
      <c r="C1" s="315"/>
      <c r="D1" s="315"/>
      <c r="E1" s="315"/>
      <c r="F1" s="315"/>
      <c r="G1" s="315"/>
      <c r="H1" s="315"/>
    </row>
    <row r="2" spans="2:11">
      <c r="B2" s="315"/>
      <c r="C2" s="315"/>
      <c r="D2" s="315"/>
      <c r="E2" s="315"/>
      <c r="F2" s="315"/>
      <c r="G2" s="315"/>
      <c r="H2" s="315"/>
    </row>
    <row r="3" spans="2:11" ht="22.8">
      <c r="B3" s="1586" t="s">
        <v>632</v>
      </c>
      <c r="C3" s="1586"/>
      <c r="D3" s="1586"/>
      <c r="E3" s="1586"/>
      <c r="F3" s="1586"/>
      <c r="G3" s="1586"/>
      <c r="H3" s="1586"/>
    </row>
    <row r="4" spans="2:11" ht="22.8">
      <c r="B4" s="1586" t="s">
        <v>633</v>
      </c>
      <c r="C4" s="1586"/>
      <c r="D4" s="1586"/>
      <c r="E4" s="1586"/>
      <c r="F4" s="1586"/>
      <c r="G4" s="1586"/>
      <c r="H4" s="1586"/>
    </row>
    <row r="5" spans="2:11" ht="15.6">
      <c r="B5" s="979"/>
      <c r="C5" s="979"/>
      <c r="D5" s="979"/>
      <c r="E5" s="979"/>
      <c r="F5" s="979"/>
      <c r="G5" s="979"/>
      <c r="H5" s="979"/>
    </row>
    <row r="6" spans="2:11" ht="8.25" customHeight="1" thickBot="1">
      <c r="B6" s="10"/>
      <c r="C6" s="10"/>
      <c r="D6" s="10"/>
      <c r="E6" s="10"/>
      <c r="F6" s="10"/>
      <c r="G6" s="10"/>
      <c r="H6" s="10"/>
    </row>
    <row r="7" spans="2:11" ht="32.1" customHeight="1" thickTop="1" thickBot="1">
      <c r="B7" s="1667" t="s">
        <v>172</v>
      </c>
      <c r="C7" s="1667"/>
      <c r="D7" s="1667"/>
      <c r="E7" s="1667"/>
      <c r="F7" s="1667"/>
      <c r="G7" s="1667"/>
      <c r="H7" s="81" t="s">
        <v>631</v>
      </c>
    </row>
    <row r="8" spans="2:11" ht="21.9" customHeight="1" thickTop="1">
      <c r="B8" s="562" t="s">
        <v>3652</v>
      </c>
      <c r="C8" s="633"/>
      <c r="D8" s="562"/>
      <c r="E8" s="562"/>
      <c r="F8" s="562"/>
      <c r="G8" s="562"/>
      <c r="H8" s="579">
        <v>1440</v>
      </c>
    </row>
    <row r="9" spans="2:11" ht="21.9" customHeight="1">
      <c r="B9" s="559" t="s">
        <v>3653</v>
      </c>
      <c r="C9" s="560"/>
      <c r="D9" s="559"/>
      <c r="E9" s="559"/>
      <c r="F9" s="559"/>
      <c r="G9" s="559"/>
      <c r="H9" s="561">
        <v>20</v>
      </c>
      <c r="I9" s="221"/>
      <c r="J9" s="353"/>
      <c r="K9" s="318"/>
    </row>
    <row r="10" spans="2:11" ht="21.9" customHeight="1">
      <c r="B10" s="559" t="s">
        <v>3654</v>
      </c>
      <c r="C10" s="560"/>
      <c r="D10" s="559"/>
      <c r="E10" s="559"/>
      <c r="F10" s="559"/>
      <c r="G10" s="559"/>
      <c r="H10" s="561">
        <v>1600</v>
      </c>
      <c r="I10" s="221"/>
      <c r="J10" s="353"/>
      <c r="K10" s="318"/>
    </row>
    <row r="11" spans="2:11" ht="21.9" customHeight="1">
      <c r="B11" s="559" t="s">
        <v>3655</v>
      </c>
      <c r="C11" s="560"/>
      <c r="D11" s="559"/>
      <c r="E11" s="559"/>
      <c r="F11" s="559"/>
      <c r="G11" s="559"/>
      <c r="H11" s="561">
        <v>3000</v>
      </c>
      <c r="I11" s="221"/>
      <c r="J11" s="353"/>
      <c r="K11" s="318"/>
    </row>
    <row r="12" spans="2:11" ht="21.9" customHeight="1">
      <c r="B12" s="559" t="s">
        <v>3656</v>
      </c>
      <c r="C12" s="560"/>
      <c r="D12" s="559"/>
      <c r="E12" s="559"/>
      <c r="F12" s="559"/>
      <c r="G12" s="559"/>
      <c r="H12" s="561">
        <v>40</v>
      </c>
      <c r="I12" s="221"/>
      <c r="J12" s="270"/>
      <c r="K12" s="318"/>
    </row>
    <row r="13" spans="2:11" ht="21.9" customHeight="1">
      <c r="B13" s="559" t="s">
        <v>3657</v>
      </c>
      <c r="C13" s="560"/>
      <c r="D13" s="559"/>
      <c r="E13" s="559"/>
      <c r="F13" s="559"/>
      <c r="G13" s="559"/>
      <c r="H13" s="561">
        <v>325</v>
      </c>
      <c r="I13" s="221"/>
      <c r="J13" s="353"/>
      <c r="K13" s="318"/>
    </row>
    <row r="14" spans="2:11" ht="21.9" customHeight="1">
      <c r="B14" s="559" t="s">
        <v>3658</v>
      </c>
      <c r="C14" s="560"/>
      <c r="D14" s="559"/>
      <c r="E14" s="559"/>
      <c r="F14" s="559"/>
      <c r="G14" s="559"/>
      <c r="H14" s="561">
        <v>600</v>
      </c>
      <c r="I14" s="221"/>
      <c r="J14" s="353"/>
      <c r="K14" s="318"/>
    </row>
    <row r="15" spans="2:11" ht="21.9" customHeight="1">
      <c r="B15" s="559" t="s">
        <v>3659</v>
      </c>
      <c r="C15" s="560"/>
      <c r="D15" s="559"/>
      <c r="E15" s="559"/>
      <c r="F15" s="559"/>
      <c r="G15" s="559"/>
      <c r="H15" s="561">
        <v>1500</v>
      </c>
      <c r="I15" s="221"/>
      <c r="J15" s="353"/>
      <c r="K15" s="318"/>
    </row>
    <row r="16" spans="2:11" ht="21.9" customHeight="1">
      <c r="B16" s="559" t="s">
        <v>3660</v>
      </c>
      <c r="C16" s="559"/>
      <c r="D16" s="559"/>
      <c r="E16" s="559"/>
      <c r="F16" s="559"/>
      <c r="G16" s="559"/>
      <c r="H16" s="561">
        <v>8641.7800000000007</v>
      </c>
      <c r="I16" s="221"/>
      <c r="J16" s="353"/>
      <c r="K16" s="318"/>
    </row>
    <row r="17" spans="2:14" ht="21.9" customHeight="1">
      <c r="B17" s="559" t="s">
        <v>3661</v>
      </c>
      <c r="C17" s="559"/>
      <c r="D17" s="559"/>
      <c r="E17" s="559"/>
      <c r="F17" s="559"/>
      <c r="G17" s="559"/>
      <c r="H17" s="561">
        <v>161</v>
      </c>
      <c r="I17" s="221"/>
      <c r="J17" s="353"/>
      <c r="K17" s="318"/>
    </row>
    <row r="18" spans="2:14" ht="21.9" customHeight="1">
      <c r="B18" s="559" t="s">
        <v>3662</v>
      </c>
      <c r="C18" s="559"/>
      <c r="D18" s="559"/>
      <c r="E18" s="559"/>
      <c r="F18" s="559"/>
      <c r="G18" s="559"/>
      <c r="H18" s="561">
        <v>260</v>
      </c>
      <c r="J18" s="353"/>
      <c r="K18" s="318"/>
    </row>
    <row r="19" spans="2:14" ht="21.9" customHeight="1">
      <c r="B19" s="559" t="s">
        <v>3663</v>
      </c>
      <c r="C19" s="559"/>
      <c r="D19" s="559"/>
      <c r="E19" s="559"/>
      <c r="F19" s="559"/>
      <c r="G19" s="559"/>
      <c r="H19" s="561">
        <v>365</v>
      </c>
      <c r="J19" s="353"/>
      <c r="K19" s="318"/>
      <c r="L19" s="315"/>
    </row>
    <row r="20" spans="2:14" ht="21.9" customHeight="1">
      <c r="B20" s="559" t="s">
        <v>3664</v>
      </c>
      <c r="C20" s="559"/>
      <c r="D20" s="559"/>
      <c r="E20" s="559"/>
      <c r="F20" s="559"/>
      <c r="G20" s="559"/>
      <c r="H20" s="561">
        <v>200</v>
      </c>
      <c r="J20" s="270"/>
      <c r="K20" s="318"/>
    </row>
    <row r="21" spans="2:14" ht="21.9" customHeight="1">
      <c r="B21" s="560" t="s">
        <v>3667</v>
      </c>
      <c r="C21" s="559"/>
      <c r="D21" s="559"/>
      <c r="E21" s="559"/>
      <c r="F21" s="559"/>
      <c r="G21" s="559"/>
      <c r="H21" s="561">
        <v>3542.3</v>
      </c>
      <c r="J21" s="270"/>
      <c r="K21" s="318"/>
    </row>
    <row r="22" spans="2:14" ht="21.9" customHeight="1">
      <c r="B22" s="559" t="s">
        <v>3665</v>
      </c>
      <c r="C22" s="559"/>
      <c r="D22" s="559"/>
      <c r="E22" s="559"/>
      <c r="F22" s="559"/>
      <c r="G22" s="559"/>
      <c r="H22" s="561">
        <v>34</v>
      </c>
      <c r="J22" s="353"/>
      <c r="K22" s="318"/>
    </row>
    <row r="23" spans="2:14" ht="21.9" customHeight="1">
      <c r="B23" s="559" t="s">
        <v>3666</v>
      </c>
      <c r="C23" s="559"/>
      <c r="D23" s="559"/>
      <c r="E23" s="559"/>
      <c r="F23" s="559"/>
      <c r="G23" s="559"/>
      <c r="H23" s="561">
        <v>3088.57</v>
      </c>
      <c r="J23" s="353"/>
      <c r="K23" s="318"/>
    </row>
    <row r="24" spans="2:14" ht="21.9" customHeight="1">
      <c r="B24" s="560" t="s">
        <v>3668</v>
      </c>
      <c r="C24" s="559"/>
      <c r="D24" s="559"/>
      <c r="E24" s="559"/>
      <c r="F24" s="559"/>
      <c r="G24" s="559"/>
      <c r="H24" s="561">
        <v>3500</v>
      </c>
      <c r="J24" s="353"/>
      <c r="K24" s="318"/>
    </row>
    <row r="25" spans="2:14" ht="21.9" customHeight="1">
      <c r="B25" s="560" t="s">
        <v>3669</v>
      </c>
      <c r="C25" s="559"/>
      <c r="D25" s="559"/>
      <c r="E25" s="559"/>
      <c r="F25" s="559"/>
      <c r="G25" s="559"/>
      <c r="H25" s="561">
        <v>558.80999999999995</v>
      </c>
      <c r="J25" s="353"/>
      <c r="K25" s="318"/>
    </row>
    <row r="26" spans="2:14" ht="21.9" customHeight="1">
      <c r="B26" s="560" t="s">
        <v>3670</v>
      </c>
      <c r="C26" s="559"/>
      <c r="D26" s="559"/>
      <c r="E26" s="559"/>
      <c r="F26" s="559"/>
      <c r="G26" s="559"/>
      <c r="H26" s="561">
        <v>122.05</v>
      </c>
      <c r="J26" s="353"/>
      <c r="K26" s="318"/>
      <c r="L26" s="315"/>
    </row>
    <row r="27" spans="2:14" s="315" customFormat="1" ht="21.9" customHeight="1">
      <c r="B27" s="559"/>
      <c r="C27" s="559"/>
      <c r="D27" s="559"/>
      <c r="E27" s="559"/>
      <c r="F27" s="559"/>
      <c r="G27" s="559"/>
      <c r="H27" s="561"/>
      <c r="J27" s="270"/>
      <c r="K27" s="318"/>
      <c r="M27" s="280"/>
      <c r="N27" s="280"/>
    </row>
    <row r="28" spans="2:14" s="315" customFormat="1" ht="21.9" customHeight="1">
      <c r="B28" s="559"/>
      <c r="C28" s="559"/>
      <c r="D28" s="559"/>
      <c r="E28" s="559"/>
      <c r="F28" s="559"/>
      <c r="G28" s="559"/>
      <c r="H28" s="561"/>
      <c r="J28" s="270"/>
      <c r="K28" s="318"/>
      <c r="M28" s="280"/>
      <c r="N28" s="280"/>
    </row>
    <row r="29" spans="2:14" s="315" customFormat="1" ht="21.9" customHeight="1">
      <c r="B29" s="559"/>
      <c r="C29" s="559"/>
      <c r="D29" s="559"/>
      <c r="E29" s="559"/>
      <c r="F29" s="559"/>
      <c r="G29" s="559"/>
      <c r="H29" s="561"/>
      <c r="J29" s="353"/>
      <c r="K29" s="318"/>
      <c r="M29" s="280"/>
      <c r="N29" s="280"/>
    </row>
    <row r="30" spans="2:14" s="315" customFormat="1" ht="21.9" customHeight="1">
      <c r="B30" s="559"/>
      <c r="C30" s="559"/>
      <c r="D30" s="559"/>
      <c r="E30" s="559"/>
      <c r="F30" s="559"/>
      <c r="G30" s="559"/>
      <c r="H30" s="561"/>
      <c r="J30" s="270"/>
      <c r="K30" s="318"/>
      <c r="M30" s="280"/>
      <c r="N30" s="280"/>
    </row>
    <row r="31" spans="2:14" s="315" customFormat="1" ht="21.9" customHeight="1">
      <c r="B31" s="559"/>
      <c r="C31" s="559"/>
      <c r="D31" s="559"/>
      <c r="E31" s="559"/>
      <c r="F31" s="559"/>
      <c r="G31" s="559"/>
      <c r="H31" s="561"/>
      <c r="J31" s="353"/>
      <c r="K31" s="318"/>
      <c r="M31" s="280"/>
      <c r="N31" s="280"/>
    </row>
    <row r="32" spans="2:14" s="315" customFormat="1" ht="21.9" customHeight="1">
      <c r="B32" s="559"/>
      <c r="C32" s="559"/>
      <c r="D32" s="559"/>
      <c r="E32" s="559"/>
      <c r="F32" s="559"/>
      <c r="G32" s="559"/>
      <c r="H32" s="561"/>
      <c r="K32" s="318"/>
      <c r="N32" s="318"/>
    </row>
    <row r="33" spans="2:14" s="315" customFormat="1" ht="21.9" customHeight="1">
      <c r="B33" s="559"/>
      <c r="C33" s="559"/>
      <c r="D33" s="559"/>
      <c r="E33" s="559"/>
      <c r="F33" s="559"/>
      <c r="G33" s="559"/>
      <c r="H33" s="561"/>
      <c r="J33" s="331"/>
      <c r="K33" s="318"/>
      <c r="M33" s="280"/>
      <c r="N33" s="280"/>
    </row>
    <row r="34" spans="2:14" s="315" customFormat="1" ht="21.9" customHeight="1">
      <c r="B34" s="559"/>
      <c r="C34" s="559"/>
      <c r="D34" s="559"/>
      <c r="E34" s="559"/>
      <c r="F34" s="559"/>
      <c r="G34" s="559"/>
      <c r="H34" s="561"/>
      <c r="J34" s="331"/>
      <c r="K34" s="318"/>
      <c r="M34" s="280"/>
      <c r="N34" s="280"/>
    </row>
    <row r="35" spans="2:14" s="315" customFormat="1" ht="21.9" customHeight="1">
      <c r="B35" s="559"/>
      <c r="C35" s="559"/>
      <c r="D35" s="559"/>
      <c r="E35" s="559"/>
      <c r="F35" s="559"/>
      <c r="G35" s="559"/>
      <c r="H35" s="561"/>
      <c r="J35" s="331"/>
      <c r="K35" s="318"/>
      <c r="M35" s="280"/>
      <c r="N35" s="280"/>
    </row>
    <row r="36" spans="2:14" s="315" customFormat="1" ht="21.9" customHeight="1">
      <c r="B36" s="559"/>
      <c r="C36" s="559"/>
      <c r="D36" s="559"/>
      <c r="E36" s="559"/>
      <c r="F36" s="559"/>
      <c r="G36" s="559"/>
      <c r="H36" s="561"/>
      <c r="J36" s="331"/>
      <c r="K36" s="318"/>
      <c r="M36" s="280"/>
      <c r="N36" s="280"/>
    </row>
    <row r="37" spans="2:14" ht="21.9" customHeight="1">
      <c r="B37" s="559"/>
      <c r="C37" s="559"/>
      <c r="D37" s="559"/>
      <c r="E37" s="559"/>
      <c r="F37" s="559"/>
      <c r="G37" s="559"/>
      <c r="H37" s="561"/>
      <c r="K37" s="318"/>
    </row>
    <row r="38" spans="2:14" ht="21.9" customHeight="1">
      <c r="B38" s="559"/>
      <c r="C38" s="559"/>
      <c r="D38" s="559"/>
      <c r="E38" s="559"/>
      <c r="F38" s="559"/>
      <c r="G38" s="559"/>
      <c r="H38" s="561"/>
      <c r="K38" s="318"/>
    </row>
    <row r="39" spans="2:14" ht="21.9" customHeight="1">
      <c r="B39" s="559"/>
      <c r="C39" s="559"/>
      <c r="D39" s="559"/>
      <c r="E39" s="559"/>
      <c r="F39" s="559"/>
      <c r="G39" s="559"/>
      <c r="H39" s="561"/>
      <c r="K39" s="318"/>
    </row>
    <row r="40" spans="2:14" ht="21.9" customHeight="1" thickBot="1">
      <c r="B40" s="559"/>
      <c r="C40" s="559"/>
      <c r="D40" s="559"/>
      <c r="E40" s="559"/>
      <c r="F40" s="559"/>
      <c r="G40" s="559"/>
      <c r="H40" s="580"/>
    </row>
    <row r="41" spans="2:14" ht="21.9" customHeight="1" thickBot="1">
      <c r="B41" s="82" t="s">
        <v>270</v>
      </c>
      <c r="C41" s="316"/>
      <c r="D41" s="316"/>
      <c r="E41" s="316"/>
      <c r="F41" s="316"/>
      <c r="G41" s="316"/>
      <c r="H41" s="231">
        <f>SUM(H8:H40)</f>
        <v>28998.51</v>
      </c>
      <c r="J41" s="221"/>
    </row>
    <row r="42" spans="2:14" ht="13.8" thickTop="1"/>
    <row r="43" spans="2:14">
      <c r="I43" s="221"/>
    </row>
    <row r="44" spans="2:14">
      <c r="I44" s="221"/>
    </row>
    <row r="45" spans="2:14">
      <c r="I45" s="221"/>
    </row>
    <row r="46" spans="2:14">
      <c r="I46" s="221"/>
    </row>
    <row r="47" spans="2:14" ht="13.8">
      <c r="B47" s="1545" t="s">
        <v>634</v>
      </c>
      <c r="C47" s="1545"/>
      <c r="D47" s="1545"/>
      <c r="E47" s="1545"/>
      <c r="F47" s="1545"/>
      <c r="G47" s="1545"/>
      <c r="H47" s="1545"/>
    </row>
    <row r="48" spans="2:14">
      <c r="I48" s="221"/>
    </row>
    <row r="54" spans="8:8">
      <c r="H54" s="221"/>
    </row>
    <row r="55" spans="8:8">
      <c r="H55" s="221"/>
    </row>
  </sheetData>
  <sheetProtection password="CAF9" sheet="1" objects="1" scenarios="1"/>
  <sortState ref="C9:H23">
    <sortCondition ref="C9:C23"/>
  </sortState>
  <mergeCells count="4">
    <mergeCell ref="B47:H47"/>
    <mergeCell ref="B3:H3"/>
    <mergeCell ref="B4:H4"/>
    <mergeCell ref="B7:G7"/>
  </mergeCells>
  <phoneticPr fontId="0" type="noConversion"/>
  <conditionalFormatting sqref="J9:J18 J20:J31">
    <cfRule type="cellIs" dxfId="5" priority="4" stopIfTrue="1" operator="equal">
      <formula>0</formula>
    </cfRule>
  </conditionalFormatting>
  <conditionalFormatting sqref="J19">
    <cfRule type="cellIs" dxfId="4" priority="3" stopIfTrue="1" operator="equal">
      <formula>0</formula>
    </cfRule>
  </conditionalFormatting>
  <pageMargins left="0.25" right="0.25" top="0.5" bottom="0.5" header="0.25" footer="0.25"/>
  <pageSetup paperSize="5" orientation="portrait" r:id="rId1"/>
  <headerFooter alignWithMargins="0"/>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8"/>
  <dimension ref="B3:N55"/>
  <sheetViews>
    <sheetView workbookViewId="0">
      <selection activeCell="B1" sqref="B1"/>
    </sheetView>
  </sheetViews>
  <sheetFormatPr defaultColWidth="9.109375" defaultRowHeight="13.2"/>
  <cols>
    <col min="1" max="3" width="4.6640625" style="315" customWidth="1"/>
    <col min="4" max="4" width="12.33203125" style="315" customWidth="1"/>
    <col min="5" max="5" width="22.6640625" style="315" customWidth="1"/>
    <col min="6" max="6" width="25.88671875" style="315" customWidth="1"/>
    <col min="7" max="7" width="9.109375" style="315"/>
    <col min="8" max="8" width="16.6640625" style="315" customWidth="1"/>
    <col min="9" max="9" width="11.44140625" style="315" bestFit="1" customWidth="1"/>
    <col min="10" max="10" width="10.33203125" style="315" bestFit="1" customWidth="1"/>
    <col min="11" max="11" width="10.88671875" style="315" bestFit="1" customWidth="1"/>
    <col min="12" max="12" width="9.109375" style="315"/>
    <col min="13" max="13" width="12.44140625" style="280" bestFit="1" customWidth="1"/>
    <col min="14" max="14" width="10.44140625" style="280" bestFit="1" customWidth="1"/>
    <col min="15" max="16384" width="9.109375" style="315"/>
  </cols>
  <sheetData>
    <row r="3" spans="2:11" ht="22.8">
      <c r="B3" s="1586" t="s">
        <v>632</v>
      </c>
      <c r="C3" s="1586"/>
      <c r="D3" s="1586"/>
      <c r="E3" s="1586"/>
      <c r="F3" s="1586"/>
      <c r="G3" s="1586"/>
      <c r="H3" s="1586"/>
    </row>
    <row r="4" spans="2:11" ht="22.8">
      <c r="B4" s="1586" t="s">
        <v>633</v>
      </c>
      <c r="C4" s="1586"/>
      <c r="D4" s="1586"/>
      <c r="E4" s="1586"/>
      <c r="F4" s="1586"/>
      <c r="G4" s="1586"/>
      <c r="H4" s="1586"/>
    </row>
    <row r="5" spans="2:11" ht="15.6">
      <c r="B5" s="979"/>
      <c r="C5" s="979"/>
      <c r="D5" s="979"/>
      <c r="E5" s="979"/>
      <c r="F5" s="979"/>
      <c r="G5" s="979"/>
      <c r="H5" s="979"/>
    </row>
    <row r="6" spans="2:11" ht="8.25" customHeight="1" thickBot="1">
      <c r="B6" s="10"/>
      <c r="C6" s="10"/>
      <c r="D6" s="10"/>
      <c r="E6" s="10"/>
      <c r="F6" s="10"/>
      <c r="G6" s="10"/>
      <c r="H6" s="10"/>
    </row>
    <row r="7" spans="2:11" ht="32.1" customHeight="1" thickTop="1" thickBot="1">
      <c r="B7" s="1668" t="s">
        <v>172</v>
      </c>
      <c r="C7" s="1668"/>
      <c r="D7" s="1668"/>
      <c r="E7" s="1668"/>
      <c r="F7" s="1668"/>
      <c r="G7" s="1668"/>
      <c r="H7" s="1020" t="s">
        <v>631</v>
      </c>
    </row>
    <row r="8" spans="2:11" ht="21.9" customHeight="1" thickTop="1">
      <c r="B8" s="874"/>
      <c r="C8" s="873" t="s">
        <v>3324</v>
      </c>
      <c r="D8" s="874"/>
      <c r="E8" s="874"/>
      <c r="F8" s="874"/>
      <c r="G8" s="874"/>
      <c r="H8" s="875">
        <f>+'20-Misc Rev Not Ant'!H41</f>
        <v>28998.51</v>
      </c>
    </row>
    <row r="9" spans="2:11" ht="21.9" customHeight="1">
      <c r="B9" s="559"/>
      <c r="C9" s="560"/>
      <c r="D9" s="559"/>
      <c r="E9" s="559"/>
      <c r="F9" s="559"/>
      <c r="G9" s="559"/>
      <c r="H9" s="561"/>
      <c r="I9" s="318"/>
      <c r="J9" s="353"/>
      <c r="K9" s="318"/>
    </row>
    <row r="10" spans="2:11" ht="21.9" customHeight="1">
      <c r="B10" s="559"/>
      <c r="C10" s="560"/>
      <c r="D10" s="559"/>
      <c r="E10" s="559"/>
      <c r="F10" s="559"/>
      <c r="G10" s="559"/>
      <c r="H10" s="561"/>
      <c r="I10" s="318"/>
      <c r="J10" s="353"/>
      <c r="K10" s="318"/>
    </row>
    <row r="11" spans="2:11" ht="21.9" customHeight="1">
      <c r="B11" s="559"/>
      <c r="C11" s="560"/>
      <c r="D11" s="559"/>
      <c r="E11" s="559"/>
      <c r="F11" s="559"/>
      <c r="G11" s="559"/>
      <c r="H11" s="561"/>
      <c r="I11" s="318"/>
      <c r="J11" s="353"/>
      <c r="K11" s="318"/>
    </row>
    <row r="12" spans="2:11" ht="21.9" customHeight="1">
      <c r="B12" s="559"/>
      <c r="C12" s="560"/>
      <c r="D12" s="559"/>
      <c r="E12" s="559"/>
      <c r="F12" s="559"/>
      <c r="G12" s="559"/>
      <c r="H12" s="561"/>
      <c r="I12" s="318"/>
      <c r="J12" s="270"/>
      <c r="K12" s="318"/>
    </row>
    <row r="13" spans="2:11" ht="21.9" customHeight="1">
      <c r="B13" s="559"/>
      <c r="C13" s="560"/>
      <c r="D13" s="559"/>
      <c r="E13" s="559"/>
      <c r="F13" s="559"/>
      <c r="G13" s="559"/>
      <c r="H13" s="561"/>
      <c r="I13" s="318"/>
      <c r="J13" s="353"/>
      <c r="K13" s="318"/>
    </row>
    <row r="14" spans="2:11" ht="21.9" customHeight="1">
      <c r="B14" s="559"/>
      <c r="C14" s="560"/>
      <c r="D14" s="559"/>
      <c r="E14" s="559"/>
      <c r="F14" s="559"/>
      <c r="G14" s="559"/>
      <c r="H14" s="561"/>
      <c r="I14" s="318"/>
      <c r="J14" s="353"/>
      <c r="K14" s="318"/>
    </row>
    <row r="15" spans="2:11" ht="21.9" customHeight="1">
      <c r="B15" s="559"/>
      <c r="C15" s="560"/>
      <c r="D15" s="559"/>
      <c r="E15" s="559"/>
      <c r="F15" s="559"/>
      <c r="G15" s="559"/>
      <c r="H15" s="561"/>
      <c r="I15" s="318"/>
      <c r="J15" s="353"/>
      <c r="K15" s="318"/>
    </row>
    <row r="16" spans="2:11" ht="21.9" customHeight="1">
      <c r="B16" s="559"/>
      <c r="C16" s="560"/>
      <c r="D16" s="559"/>
      <c r="E16" s="559"/>
      <c r="F16" s="559"/>
      <c r="G16" s="559"/>
      <c r="H16" s="561"/>
      <c r="I16" s="318"/>
      <c r="J16" s="353"/>
      <c r="K16" s="318"/>
    </row>
    <row r="17" spans="2:14" ht="21.9" customHeight="1">
      <c r="B17" s="559"/>
      <c r="C17" s="559"/>
      <c r="D17" s="559"/>
      <c r="E17" s="559"/>
      <c r="F17" s="559"/>
      <c r="G17" s="559"/>
      <c r="H17" s="561"/>
      <c r="I17" s="318"/>
      <c r="J17" s="353"/>
      <c r="K17" s="318"/>
    </row>
    <row r="18" spans="2:14" ht="21.9" customHeight="1">
      <c r="B18" s="559"/>
      <c r="C18" s="559"/>
      <c r="D18" s="559"/>
      <c r="E18" s="559"/>
      <c r="F18" s="559"/>
      <c r="G18" s="559"/>
      <c r="H18" s="561"/>
      <c r="J18" s="353"/>
      <c r="K18" s="318"/>
    </row>
    <row r="19" spans="2:14" ht="21.9" customHeight="1">
      <c r="B19" s="559"/>
      <c r="C19" s="559"/>
      <c r="D19" s="559"/>
      <c r="E19" s="559"/>
      <c r="F19" s="559"/>
      <c r="G19" s="559"/>
      <c r="H19" s="561"/>
      <c r="J19" s="353"/>
      <c r="K19" s="318"/>
    </row>
    <row r="20" spans="2:14" ht="21.9" customHeight="1">
      <c r="B20" s="559"/>
      <c r="C20" s="559"/>
      <c r="D20" s="559"/>
      <c r="E20" s="559"/>
      <c r="F20" s="559"/>
      <c r="G20" s="559"/>
      <c r="H20" s="561"/>
      <c r="J20" s="270"/>
      <c r="K20" s="318"/>
    </row>
    <row r="21" spans="2:14" ht="21.9" customHeight="1">
      <c r="B21" s="559"/>
      <c r="C21" s="559"/>
      <c r="D21" s="559"/>
      <c r="E21" s="559"/>
      <c r="F21" s="559"/>
      <c r="G21" s="559"/>
      <c r="H21" s="561"/>
      <c r="J21" s="270"/>
      <c r="K21" s="318"/>
    </row>
    <row r="22" spans="2:14" ht="21.9" customHeight="1">
      <c r="B22" s="559"/>
      <c r="C22" s="559"/>
      <c r="D22" s="559"/>
      <c r="E22" s="559"/>
      <c r="F22" s="559"/>
      <c r="G22" s="559"/>
      <c r="H22" s="561"/>
      <c r="J22" s="353"/>
      <c r="K22" s="318"/>
    </row>
    <row r="23" spans="2:14" ht="21.9" customHeight="1">
      <c r="B23" s="559"/>
      <c r="C23" s="559"/>
      <c r="D23" s="559"/>
      <c r="E23" s="559"/>
      <c r="F23" s="559"/>
      <c r="G23" s="559"/>
      <c r="H23" s="561"/>
      <c r="J23" s="353"/>
      <c r="K23" s="318"/>
    </row>
    <row r="24" spans="2:14" ht="21.9" customHeight="1">
      <c r="B24" s="559"/>
      <c r="C24" s="559"/>
      <c r="D24" s="559"/>
      <c r="E24" s="559"/>
      <c r="F24" s="559"/>
      <c r="G24" s="559"/>
      <c r="H24" s="561"/>
      <c r="J24" s="353"/>
      <c r="K24" s="318"/>
    </row>
    <row r="25" spans="2:14" ht="21.9" customHeight="1">
      <c r="B25" s="559"/>
      <c r="C25" s="559"/>
      <c r="D25" s="559"/>
      <c r="E25" s="559"/>
      <c r="F25" s="559"/>
      <c r="G25" s="559"/>
      <c r="H25" s="561"/>
      <c r="J25" s="353"/>
      <c r="K25" s="318"/>
    </row>
    <row r="26" spans="2:14" ht="21.9" customHeight="1">
      <c r="B26" s="559"/>
      <c r="C26" s="559"/>
      <c r="D26" s="559"/>
      <c r="E26" s="559"/>
      <c r="F26" s="559"/>
      <c r="G26" s="559"/>
      <c r="H26" s="561"/>
      <c r="J26" s="353"/>
      <c r="K26" s="318"/>
    </row>
    <row r="27" spans="2:14" ht="21.9" customHeight="1">
      <c r="B27" s="559"/>
      <c r="C27" s="559"/>
      <c r="D27" s="559"/>
      <c r="E27" s="559"/>
      <c r="F27" s="559"/>
      <c r="G27" s="559"/>
      <c r="H27" s="561"/>
      <c r="J27" s="270"/>
      <c r="K27" s="318"/>
    </row>
    <row r="28" spans="2:14" ht="21.9" customHeight="1">
      <c r="B28" s="559"/>
      <c r="C28" s="559"/>
      <c r="D28" s="559"/>
      <c r="E28" s="559"/>
      <c r="F28" s="559"/>
      <c r="G28" s="559"/>
      <c r="H28" s="561"/>
      <c r="J28" s="270"/>
      <c r="K28" s="318"/>
    </row>
    <row r="29" spans="2:14" ht="21.9" customHeight="1">
      <c r="B29" s="559"/>
      <c r="C29" s="559"/>
      <c r="D29" s="559"/>
      <c r="E29" s="559"/>
      <c r="F29" s="559"/>
      <c r="G29" s="559"/>
      <c r="H29" s="561"/>
      <c r="J29" s="353"/>
      <c r="K29" s="318"/>
    </row>
    <row r="30" spans="2:14" ht="21.9" customHeight="1">
      <c r="B30" s="559"/>
      <c r="C30" s="559"/>
      <c r="D30" s="559"/>
      <c r="E30" s="559"/>
      <c r="F30" s="559"/>
      <c r="G30" s="559"/>
      <c r="H30" s="561"/>
      <c r="J30" s="270"/>
      <c r="K30" s="318"/>
    </row>
    <row r="31" spans="2:14" ht="21.9" customHeight="1">
      <c r="B31" s="559"/>
      <c r="C31" s="559"/>
      <c r="D31" s="559"/>
      <c r="E31" s="559"/>
      <c r="F31" s="559"/>
      <c r="G31" s="559"/>
      <c r="H31" s="561"/>
      <c r="J31" s="353"/>
      <c r="K31" s="318"/>
    </row>
    <row r="32" spans="2:14" ht="21.9" customHeight="1">
      <c r="B32" s="559"/>
      <c r="C32" s="559"/>
      <c r="D32" s="559"/>
      <c r="E32" s="559"/>
      <c r="F32" s="559"/>
      <c r="G32" s="559"/>
      <c r="H32" s="561"/>
      <c r="K32" s="318"/>
      <c r="M32" s="315"/>
      <c r="N32" s="318"/>
    </row>
    <row r="33" spans="2:11" ht="21.9" customHeight="1">
      <c r="B33" s="559"/>
      <c r="C33" s="559"/>
      <c r="D33" s="559"/>
      <c r="E33" s="559"/>
      <c r="F33" s="559"/>
      <c r="G33" s="559"/>
      <c r="H33" s="561"/>
      <c r="J33" s="331"/>
      <c r="K33" s="318"/>
    </row>
    <row r="34" spans="2:11" ht="21.9" customHeight="1">
      <c r="B34" s="559"/>
      <c r="C34" s="559"/>
      <c r="D34" s="559"/>
      <c r="E34" s="559"/>
      <c r="F34" s="559"/>
      <c r="G34" s="559"/>
      <c r="H34" s="561"/>
      <c r="J34" s="331"/>
      <c r="K34" s="318"/>
    </row>
    <row r="35" spans="2:11" ht="21.9" customHeight="1">
      <c r="B35" s="559"/>
      <c r="C35" s="559"/>
      <c r="D35" s="559"/>
      <c r="E35" s="559"/>
      <c r="F35" s="559"/>
      <c r="G35" s="559"/>
      <c r="H35" s="561"/>
      <c r="J35" s="331"/>
      <c r="K35" s="318"/>
    </row>
    <row r="36" spans="2:11" ht="21.9" customHeight="1">
      <c r="B36" s="559"/>
      <c r="C36" s="559"/>
      <c r="D36" s="559"/>
      <c r="E36" s="559"/>
      <c r="F36" s="559"/>
      <c r="G36" s="559"/>
      <c r="H36" s="561"/>
      <c r="J36" s="331"/>
      <c r="K36" s="318"/>
    </row>
    <row r="37" spans="2:11" ht="21.9" customHeight="1">
      <c r="B37" s="559"/>
      <c r="C37" s="559"/>
      <c r="D37" s="559"/>
      <c r="E37" s="559"/>
      <c r="F37" s="559"/>
      <c r="G37" s="559"/>
      <c r="H37" s="561"/>
      <c r="K37" s="318"/>
    </row>
    <row r="38" spans="2:11" ht="21.9" customHeight="1">
      <c r="B38" s="559"/>
      <c r="C38" s="559"/>
      <c r="D38" s="559"/>
      <c r="E38" s="559"/>
      <c r="F38" s="559"/>
      <c r="G38" s="559"/>
      <c r="H38" s="561"/>
      <c r="K38" s="318"/>
    </row>
    <row r="39" spans="2:11" ht="21.9" customHeight="1">
      <c r="B39" s="559"/>
      <c r="C39" s="559"/>
      <c r="D39" s="559"/>
      <c r="E39" s="559"/>
      <c r="F39" s="559"/>
      <c r="G39" s="559"/>
      <c r="H39" s="561"/>
      <c r="K39" s="318"/>
    </row>
    <row r="40" spans="2:11" ht="21.9" customHeight="1" thickBot="1">
      <c r="B40" s="559"/>
      <c r="C40" s="559"/>
      <c r="D40" s="559"/>
      <c r="E40" s="559"/>
      <c r="F40" s="559"/>
      <c r="G40" s="559"/>
      <c r="H40" s="580"/>
    </row>
    <row r="41" spans="2:11" ht="21.9" customHeight="1" thickBot="1">
      <c r="B41" s="82" t="s">
        <v>3397</v>
      </c>
      <c r="C41" s="316"/>
      <c r="D41" s="316"/>
      <c r="E41" s="316"/>
      <c r="F41" s="316"/>
      <c r="G41" s="316"/>
      <c r="H41" s="231">
        <f>SUM(H8:H40)</f>
        <v>28998.51</v>
      </c>
      <c r="J41" s="318"/>
    </row>
    <row r="42" spans="2:11" ht="13.8" thickTop="1"/>
    <row r="43" spans="2:11">
      <c r="I43" s="318"/>
    </row>
    <row r="44" spans="2:11">
      <c r="I44" s="318"/>
    </row>
    <row r="45" spans="2:11">
      <c r="I45" s="318"/>
    </row>
    <row r="46" spans="2:11">
      <c r="I46" s="318"/>
    </row>
    <row r="47" spans="2:11" ht="13.8">
      <c r="B47" s="1545" t="s">
        <v>3396</v>
      </c>
      <c r="C47" s="1545"/>
      <c r="D47" s="1545"/>
      <c r="E47" s="1545"/>
      <c r="F47" s="1545"/>
      <c r="G47" s="1545"/>
      <c r="H47" s="1545"/>
    </row>
    <row r="48" spans="2:11">
      <c r="I48" s="318"/>
    </row>
    <row r="54" spans="8:8">
      <c r="H54" s="318"/>
    </row>
    <row r="55" spans="8:8">
      <c r="H55" s="318"/>
    </row>
  </sheetData>
  <sheetProtection password="CAF9" sheet="1" objects="1" scenarios="1"/>
  <mergeCells count="4">
    <mergeCell ref="B3:H3"/>
    <mergeCell ref="B4:H4"/>
    <mergeCell ref="B7:G7"/>
    <mergeCell ref="B47:H47"/>
  </mergeCells>
  <conditionalFormatting sqref="J9:J18 J20:J31">
    <cfRule type="cellIs" dxfId="3" priority="2" stopIfTrue="1" operator="equal">
      <formula>0</formula>
    </cfRule>
  </conditionalFormatting>
  <conditionalFormatting sqref="J19">
    <cfRule type="cellIs" dxfId="2" priority="1" stopIfTrue="1" operator="equal">
      <formula>0</formula>
    </cfRule>
  </conditionalFormatting>
  <pageMargins left="0.25" right="0.25" top="0.5" bottom="0.5" header="0.25" footer="0.25"/>
  <pageSetup paperSize="5" orientation="portrait" r:id="rId1"/>
  <headerFooter alignWithMargins="0"/>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9"/>
  <dimension ref="B1:N55"/>
  <sheetViews>
    <sheetView workbookViewId="0">
      <selection activeCell="B1" sqref="B1"/>
    </sheetView>
  </sheetViews>
  <sheetFormatPr defaultColWidth="9.109375" defaultRowHeight="13.2"/>
  <cols>
    <col min="1" max="3" width="4.6640625" style="315" customWidth="1"/>
    <col min="4" max="4" width="12.33203125" style="315" customWidth="1"/>
    <col min="5" max="5" width="22.6640625" style="315" customWidth="1"/>
    <col min="6" max="6" width="25.88671875" style="315" customWidth="1"/>
    <col min="7" max="7" width="9.109375" style="315"/>
    <col min="8" max="8" width="16.6640625" style="315" customWidth="1"/>
    <col min="9" max="9" width="11.44140625" style="315" bestFit="1" customWidth="1"/>
    <col min="10" max="10" width="10.33203125" style="315" bestFit="1" customWidth="1"/>
    <col min="11" max="11" width="10.88671875" style="315" bestFit="1" customWidth="1"/>
    <col min="12" max="12" width="9.109375" style="315"/>
    <col min="13" max="13" width="12.44140625" style="280" bestFit="1" customWidth="1"/>
    <col min="14" max="14" width="10.44140625" style="280" bestFit="1" customWidth="1"/>
    <col min="15" max="16384" width="9.109375" style="315"/>
  </cols>
  <sheetData>
    <row r="1" spans="2:11">
      <c r="B1" s="844"/>
      <c r="C1" s="844"/>
      <c r="D1" s="844"/>
      <c r="E1" s="844"/>
      <c r="F1" s="844"/>
      <c r="G1" s="844"/>
      <c r="H1" s="844"/>
    </row>
    <row r="2" spans="2:11">
      <c r="B2" s="844"/>
      <c r="C2" s="844"/>
      <c r="D2" s="844"/>
      <c r="E2" s="844"/>
      <c r="F2" s="844"/>
      <c r="G2" s="844"/>
      <c r="H2" s="844"/>
    </row>
    <row r="3" spans="2:11" ht="22.8">
      <c r="B3" s="1601" t="s">
        <v>632</v>
      </c>
      <c r="C3" s="1601"/>
      <c r="D3" s="1601"/>
      <c r="E3" s="1601"/>
      <c r="F3" s="1601"/>
      <c r="G3" s="1601"/>
      <c r="H3" s="1601"/>
    </row>
    <row r="4" spans="2:11" ht="22.8">
      <c r="B4" s="1601" t="s">
        <v>633</v>
      </c>
      <c r="C4" s="1601"/>
      <c r="D4" s="1601"/>
      <c r="E4" s="1601"/>
      <c r="F4" s="1601"/>
      <c r="G4" s="1601"/>
      <c r="H4" s="1601"/>
    </row>
    <row r="5" spans="2:11" ht="15.6">
      <c r="B5" s="1021"/>
      <c r="C5" s="1021"/>
      <c r="D5" s="1021"/>
      <c r="E5" s="1021"/>
      <c r="F5" s="1021"/>
      <c r="G5" s="1021"/>
      <c r="H5" s="1021"/>
    </row>
    <row r="6" spans="2:11" ht="8.25" customHeight="1" thickBot="1">
      <c r="B6" s="886"/>
      <c r="C6" s="886"/>
      <c r="D6" s="886"/>
      <c r="E6" s="886"/>
      <c r="F6" s="886"/>
      <c r="G6" s="886"/>
      <c r="H6" s="886"/>
    </row>
    <row r="7" spans="2:11" ht="32.1" customHeight="1" thickTop="1" thickBot="1">
      <c r="B7" s="1668" t="s">
        <v>172</v>
      </c>
      <c r="C7" s="1668"/>
      <c r="D7" s="1668"/>
      <c r="E7" s="1668"/>
      <c r="F7" s="1668"/>
      <c r="G7" s="1668"/>
      <c r="H7" s="1020" t="s">
        <v>631</v>
      </c>
    </row>
    <row r="8" spans="2:11" ht="21.9" customHeight="1" thickTop="1">
      <c r="B8" s="874"/>
      <c r="C8" s="873" t="s">
        <v>3324</v>
      </c>
      <c r="D8" s="874"/>
      <c r="E8" s="874"/>
      <c r="F8" s="874"/>
      <c r="G8" s="874"/>
      <c r="H8" s="875">
        <f>+'20.1-Misc Rev Not Ant'!H41</f>
        <v>28998.51</v>
      </c>
    </row>
    <row r="9" spans="2:11" ht="21.9" customHeight="1">
      <c r="B9" s="559"/>
      <c r="C9" s="560"/>
      <c r="D9" s="559"/>
      <c r="E9" s="559"/>
      <c r="F9" s="559"/>
      <c r="G9" s="559"/>
      <c r="H9" s="561"/>
      <c r="I9" s="318"/>
      <c r="J9" s="353"/>
      <c r="K9" s="318"/>
    </row>
    <row r="10" spans="2:11" ht="21.9" customHeight="1">
      <c r="B10" s="559"/>
      <c r="C10" s="560"/>
      <c r="D10" s="559"/>
      <c r="E10" s="559"/>
      <c r="F10" s="559"/>
      <c r="G10" s="559"/>
      <c r="H10" s="561"/>
      <c r="I10" s="318"/>
      <c r="J10" s="353"/>
      <c r="K10" s="318"/>
    </row>
    <row r="11" spans="2:11" ht="21.9" customHeight="1">
      <c r="B11" s="559"/>
      <c r="C11" s="560"/>
      <c r="D11" s="559"/>
      <c r="E11" s="559"/>
      <c r="F11" s="559"/>
      <c r="G11" s="559"/>
      <c r="H11" s="561"/>
      <c r="I11" s="318"/>
      <c r="J11" s="353"/>
      <c r="K11" s="318"/>
    </row>
    <row r="12" spans="2:11" ht="21.9" customHeight="1">
      <c r="B12" s="559"/>
      <c r="C12" s="560"/>
      <c r="D12" s="559"/>
      <c r="E12" s="559"/>
      <c r="F12" s="559"/>
      <c r="G12" s="559"/>
      <c r="H12" s="561"/>
      <c r="I12" s="318"/>
      <c r="J12" s="270"/>
      <c r="K12" s="318"/>
    </row>
    <row r="13" spans="2:11" ht="21.9" customHeight="1">
      <c r="B13" s="559"/>
      <c r="C13" s="560"/>
      <c r="D13" s="559"/>
      <c r="E13" s="559"/>
      <c r="F13" s="559"/>
      <c r="G13" s="559"/>
      <c r="H13" s="561"/>
      <c r="I13" s="318"/>
      <c r="J13" s="353"/>
      <c r="K13" s="318"/>
    </row>
    <row r="14" spans="2:11" ht="21.9" customHeight="1">
      <c r="B14" s="559"/>
      <c r="C14" s="560"/>
      <c r="D14" s="559"/>
      <c r="E14" s="559"/>
      <c r="F14" s="559"/>
      <c r="G14" s="559"/>
      <c r="H14" s="561"/>
      <c r="I14" s="318"/>
      <c r="J14" s="353"/>
      <c r="K14" s="318"/>
    </row>
    <row r="15" spans="2:11" ht="21.9" customHeight="1">
      <c r="B15" s="559"/>
      <c r="C15" s="560"/>
      <c r="D15" s="559"/>
      <c r="E15" s="559"/>
      <c r="F15" s="559"/>
      <c r="G15" s="559"/>
      <c r="H15" s="561"/>
      <c r="I15" s="318"/>
      <c r="J15" s="353"/>
      <c r="K15" s="318"/>
    </row>
    <row r="16" spans="2:11" ht="21.9" customHeight="1">
      <c r="B16" s="559"/>
      <c r="C16" s="560"/>
      <c r="D16" s="559"/>
      <c r="E16" s="559"/>
      <c r="F16" s="559"/>
      <c r="G16" s="559"/>
      <c r="H16" s="561"/>
      <c r="I16" s="318"/>
      <c r="J16" s="353"/>
      <c r="K16" s="318"/>
    </row>
    <row r="17" spans="2:14" ht="21.9" customHeight="1">
      <c r="B17" s="559"/>
      <c r="C17" s="559"/>
      <c r="D17" s="559"/>
      <c r="E17" s="559"/>
      <c r="F17" s="559"/>
      <c r="G17" s="559"/>
      <c r="H17" s="561"/>
      <c r="I17" s="318"/>
      <c r="J17" s="353"/>
      <c r="K17" s="318"/>
    </row>
    <row r="18" spans="2:14" ht="21.9" customHeight="1">
      <c r="B18" s="559"/>
      <c r="C18" s="559"/>
      <c r="D18" s="559"/>
      <c r="E18" s="559"/>
      <c r="F18" s="559"/>
      <c r="G18" s="559"/>
      <c r="H18" s="561"/>
      <c r="J18" s="353"/>
      <c r="K18" s="318"/>
    </row>
    <row r="19" spans="2:14" ht="21.9" customHeight="1">
      <c r="B19" s="559"/>
      <c r="C19" s="559"/>
      <c r="D19" s="559"/>
      <c r="E19" s="559"/>
      <c r="F19" s="559"/>
      <c r="G19" s="559"/>
      <c r="H19" s="561"/>
      <c r="J19" s="353"/>
      <c r="K19" s="318"/>
    </row>
    <row r="20" spans="2:14" ht="21.9" customHeight="1">
      <c r="B20" s="559"/>
      <c r="C20" s="559"/>
      <c r="D20" s="559"/>
      <c r="E20" s="559"/>
      <c r="F20" s="559"/>
      <c r="G20" s="559"/>
      <c r="H20" s="561"/>
      <c r="J20" s="270"/>
      <c r="K20" s="318"/>
    </row>
    <row r="21" spans="2:14" ht="21.9" customHeight="1">
      <c r="B21" s="559"/>
      <c r="C21" s="559"/>
      <c r="D21" s="559"/>
      <c r="E21" s="559"/>
      <c r="F21" s="559"/>
      <c r="G21" s="559"/>
      <c r="H21" s="561"/>
      <c r="J21" s="270"/>
      <c r="K21" s="318"/>
    </row>
    <row r="22" spans="2:14" ht="21.9" customHeight="1">
      <c r="B22" s="559"/>
      <c r="C22" s="559"/>
      <c r="D22" s="559"/>
      <c r="E22" s="559"/>
      <c r="F22" s="559"/>
      <c r="G22" s="559"/>
      <c r="H22" s="561"/>
      <c r="J22" s="353"/>
      <c r="K22" s="318"/>
    </row>
    <row r="23" spans="2:14" ht="21.9" customHeight="1">
      <c r="B23" s="559"/>
      <c r="C23" s="559"/>
      <c r="D23" s="559"/>
      <c r="E23" s="559"/>
      <c r="F23" s="559"/>
      <c r="G23" s="559"/>
      <c r="H23" s="561"/>
      <c r="J23" s="353"/>
      <c r="K23" s="318"/>
    </row>
    <row r="24" spans="2:14" ht="21.9" customHeight="1">
      <c r="B24" s="559"/>
      <c r="C24" s="559"/>
      <c r="D24" s="559"/>
      <c r="E24" s="559"/>
      <c r="F24" s="559"/>
      <c r="G24" s="559"/>
      <c r="H24" s="561"/>
      <c r="J24" s="353"/>
      <c r="K24" s="318"/>
    </row>
    <row r="25" spans="2:14" ht="21.9" customHeight="1">
      <c r="B25" s="559"/>
      <c r="C25" s="559"/>
      <c r="D25" s="559"/>
      <c r="E25" s="559"/>
      <c r="F25" s="559"/>
      <c r="G25" s="559"/>
      <c r="H25" s="561"/>
      <c r="J25" s="353"/>
      <c r="K25" s="318"/>
    </row>
    <row r="26" spans="2:14" ht="21.9" customHeight="1">
      <c r="B26" s="559"/>
      <c r="C26" s="559"/>
      <c r="D26" s="559"/>
      <c r="E26" s="559"/>
      <c r="F26" s="559"/>
      <c r="G26" s="559"/>
      <c r="H26" s="561"/>
      <c r="J26" s="353"/>
      <c r="K26" s="318"/>
    </row>
    <row r="27" spans="2:14" ht="21.9" customHeight="1">
      <c r="B27" s="559"/>
      <c r="C27" s="559"/>
      <c r="D27" s="559"/>
      <c r="E27" s="559"/>
      <c r="F27" s="559"/>
      <c r="G27" s="559"/>
      <c r="H27" s="561"/>
      <c r="J27" s="270"/>
      <c r="K27" s="318"/>
    </row>
    <row r="28" spans="2:14" ht="21.9" customHeight="1">
      <c r="B28" s="559"/>
      <c r="C28" s="559"/>
      <c r="D28" s="559"/>
      <c r="E28" s="559"/>
      <c r="F28" s="559"/>
      <c r="G28" s="559"/>
      <c r="H28" s="561"/>
      <c r="J28" s="270"/>
      <c r="K28" s="318"/>
    </row>
    <row r="29" spans="2:14" ht="21.9" customHeight="1">
      <c r="B29" s="559"/>
      <c r="C29" s="559"/>
      <c r="D29" s="559"/>
      <c r="E29" s="559"/>
      <c r="F29" s="559"/>
      <c r="G29" s="559"/>
      <c r="H29" s="561"/>
      <c r="J29" s="353"/>
      <c r="K29" s="318"/>
    </row>
    <row r="30" spans="2:14" ht="21.9" customHeight="1">
      <c r="B30" s="559"/>
      <c r="C30" s="559"/>
      <c r="D30" s="559"/>
      <c r="E30" s="559"/>
      <c r="F30" s="559"/>
      <c r="G30" s="559"/>
      <c r="H30" s="561"/>
      <c r="J30" s="270"/>
      <c r="K30" s="318"/>
    </row>
    <row r="31" spans="2:14" ht="21.9" customHeight="1">
      <c r="B31" s="559"/>
      <c r="C31" s="559"/>
      <c r="D31" s="559"/>
      <c r="E31" s="559"/>
      <c r="F31" s="559"/>
      <c r="G31" s="559"/>
      <c r="H31" s="561"/>
      <c r="J31" s="353"/>
      <c r="K31" s="318"/>
    </row>
    <row r="32" spans="2:14" ht="21.9" customHeight="1">
      <c r="B32" s="559"/>
      <c r="C32" s="559"/>
      <c r="D32" s="559"/>
      <c r="E32" s="559"/>
      <c r="F32" s="559"/>
      <c r="G32" s="559"/>
      <c r="H32" s="561"/>
      <c r="K32" s="318"/>
      <c r="M32" s="315"/>
      <c r="N32" s="318"/>
    </row>
    <row r="33" spans="2:11" ht="21.9" customHeight="1">
      <c r="B33" s="559"/>
      <c r="C33" s="559"/>
      <c r="D33" s="559"/>
      <c r="E33" s="559"/>
      <c r="F33" s="559"/>
      <c r="G33" s="559"/>
      <c r="H33" s="561"/>
      <c r="J33" s="331"/>
      <c r="K33" s="318"/>
    </row>
    <row r="34" spans="2:11" ht="21.9" customHeight="1">
      <c r="B34" s="559"/>
      <c r="C34" s="559"/>
      <c r="D34" s="559"/>
      <c r="E34" s="559"/>
      <c r="F34" s="559"/>
      <c r="G34" s="559"/>
      <c r="H34" s="561"/>
      <c r="J34" s="331"/>
      <c r="K34" s="318"/>
    </row>
    <row r="35" spans="2:11" ht="21.9" customHeight="1">
      <c r="B35" s="559"/>
      <c r="C35" s="559"/>
      <c r="D35" s="559"/>
      <c r="E35" s="559"/>
      <c r="F35" s="559"/>
      <c r="G35" s="559"/>
      <c r="H35" s="561"/>
      <c r="J35" s="331"/>
      <c r="K35" s="318"/>
    </row>
    <row r="36" spans="2:11" ht="21.9" customHeight="1">
      <c r="B36" s="559"/>
      <c r="C36" s="559"/>
      <c r="D36" s="559"/>
      <c r="E36" s="559"/>
      <c r="F36" s="559"/>
      <c r="G36" s="559"/>
      <c r="H36" s="561"/>
      <c r="J36" s="331"/>
      <c r="K36" s="318"/>
    </row>
    <row r="37" spans="2:11" ht="21.9" customHeight="1">
      <c r="B37" s="559"/>
      <c r="C37" s="559"/>
      <c r="D37" s="559"/>
      <c r="E37" s="559"/>
      <c r="F37" s="559"/>
      <c r="G37" s="559"/>
      <c r="H37" s="561"/>
      <c r="K37" s="318"/>
    </row>
    <row r="38" spans="2:11" ht="21.9" customHeight="1">
      <c r="B38" s="559"/>
      <c r="C38" s="559"/>
      <c r="D38" s="559"/>
      <c r="E38" s="559"/>
      <c r="F38" s="559"/>
      <c r="G38" s="559"/>
      <c r="H38" s="561"/>
      <c r="K38" s="318"/>
    </row>
    <row r="39" spans="2:11" ht="21.9" customHeight="1">
      <c r="B39" s="559"/>
      <c r="C39" s="559"/>
      <c r="D39" s="559"/>
      <c r="E39" s="559"/>
      <c r="F39" s="559"/>
      <c r="G39" s="559"/>
      <c r="H39" s="561"/>
      <c r="K39" s="318"/>
    </row>
    <row r="40" spans="2:11" ht="21.9" customHeight="1" thickBot="1">
      <c r="B40" s="559"/>
      <c r="C40" s="559"/>
      <c r="D40" s="559"/>
      <c r="E40" s="559"/>
      <c r="F40" s="559"/>
      <c r="G40" s="559"/>
      <c r="H40" s="580"/>
    </row>
    <row r="41" spans="2:11" ht="21.9" customHeight="1" thickBot="1">
      <c r="B41" s="82" t="s">
        <v>270</v>
      </c>
      <c r="C41" s="316"/>
      <c r="D41" s="316"/>
      <c r="E41" s="316"/>
      <c r="F41" s="316"/>
      <c r="G41" s="316"/>
      <c r="H41" s="231">
        <f>SUM(H8:H40)</f>
        <v>28998.51</v>
      </c>
      <c r="J41" s="318"/>
    </row>
    <row r="42" spans="2:11" ht="13.8" thickTop="1"/>
    <row r="43" spans="2:11">
      <c r="I43" s="318"/>
    </row>
    <row r="44" spans="2:11">
      <c r="I44" s="318"/>
    </row>
    <row r="45" spans="2:11">
      <c r="I45" s="318"/>
    </row>
    <row r="46" spans="2:11">
      <c r="I46" s="318"/>
    </row>
    <row r="47" spans="2:11" ht="13.8">
      <c r="B47" s="1545" t="s">
        <v>3398</v>
      </c>
      <c r="C47" s="1545"/>
      <c r="D47" s="1545"/>
      <c r="E47" s="1545"/>
      <c r="F47" s="1545"/>
      <c r="G47" s="1545"/>
      <c r="H47" s="1545"/>
    </row>
    <row r="48" spans="2:11">
      <c r="I48" s="318"/>
    </row>
    <row r="54" spans="8:8">
      <c r="H54" s="318"/>
    </row>
    <row r="55" spans="8:8">
      <c r="H55" s="318"/>
    </row>
  </sheetData>
  <sheetProtection password="CAF9" sheet="1" objects="1" scenarios="1"/>
  <mergeCells count="4">
    <mergeCell ref="B3:H3"/>
    <mergeCell ref="B4:H4"/>
    <mergeCell ref="B7:G7"/>
    <mergeCell ref="B47:H47"/>
  </mergeCells>
  <conditionalFormatting sqref="J9:J18 J20:J31">
    <cfRule type="cellIs" dxfId="1" priority="2" stopIfTrue="1" operator="equal">
      <formula>0</formula>
    </cfRule>
  </conditionalFormatting>
  <conditionalFormatting sqref="J19">
    <cfRule type="cellIs" dxfId="0" priority="1" stopIfTrue="1" operator="equal">
      <formula>0</formula>
    </cfRule>
  </conditionalFormatting>
  <pageMargins left="0.25" right="0.25" top="0.5" bottom="0.5" header="0.25" footer="0.25"/>
  <pageSetup paperSize="5" orientation="portrait" r:id="rId1"/>
  <headerFooter alignWithMargins="0"/>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0"/>
  <dimension ref="B3:N52"/>
  <sheetViews>
    <sheetView topLeftCell="A10" zoomScaleNormal="100" workbookViewId="0">
      <selection activeCell="L8" sqref="L8"/>
    </sheetView>
  </sheetViews>
  <sheetFormatPr defaultRowHeight="13.2"/>
  <cols>
    <col min="1" max="5" width="4.6640625" customWidth="1"/>
    <col min="9" max="9" width="6.33203125" customWidth="1"/>
    <col min="11" max="12" width="16.6640625" customWidth="1"/>
    <col min="13" max="13" width="13.5546875" bestFit="1" customWidth="1"/>
    <col min="14" max="14" width="10.88671875" bestFit="1" customWidth="1"/>
  </cols>
  <sheetData>
    <row r="3" spans="2:13" ht="22.8">
      <c r="B3" s="1586" t="s">
        <v>307</v>
      </c>
      <c r="C3" s="1586"/>
      <c r="D3" s="1586"/>
      <c r="E3" s="1586"/>
      <c r="F3" s="1586"/>
      <c r="G3" s="1586"/>
      <c r="H3" s="1586"/>
      <c r="I3" s="1586"/>
      <c r="J3" s="1586"/>
      <c r="K3" s="1586"/>
      <c r="L3" s="1586"/>
    </row>
    <row r="4" spans="2:13" ht="22.8">
      <c r="B4" s="1670" t="str">
        <f>'KEY INPUTS'!D49</f>
        <v>YEAR  - 2020</v>
      </c>
      <c r="C4" s="1586"/>
      <c r="D4" s="1586"/>
      <c r="E4" s="1586"/>
      <c r="F4" s="1586"/>
      <c r="G4" s="1586"/>
      <c r="H4" s="1586"/>
      <c r="I4" s="1586"/>
      <c r="J4" s="1586"/>
      <c r="K4" s="1586"/>
      <c r="L4" s="1586"/>
    </row>
    <row r="5" spans="2:13" ht="13.8" thickBot="1"/>
    <row r="6" spans="2:13" ht="32.1" customHeight="1" thickTop="1" thickBot="1">
      <c r="B6" s="61"/>
      <c r="C6" s="61"/>
      <c r="D6" s="61"/>
      <c r="E6" s="61"/>
      <c r="F6" s="61"/>
      <c r="G6" s="61"/>
      <c r="H6" s="61"/>
      <c r="I6" s="61"/>
      <c r="J6" s="61"/>
      <c r="K6" s="4" t="s">
        <v>101</v>
      </c>
      <c r="L6" s="3" t="s">
        <v>102</v>
      </c>
    </row>
    <row r="7" spans="2:13" ht="21" customHeight="1" thickTop="1">
      <c r="B7" s="86" t="s">
        <v>308</v>
      </c>
      <c r="C7" s="22" t="str">
        <f>'KEY INPUTS'!D25</f>
        <v>Balance - January 1, 2020</v>
      </c>
      <c r="D7" s="22"/>
      <c r="E7" s="22"/>
      <c r="F7" s="22"/>
      <c r="G7" s="22"/>
      <c r="H7" s="22"/>
      <c r="I7" s="22"/>
      <c r="J7" s="22"/>
      <c r="K7" s="51" t="s">
        <v>662</v>
      </c>
      <c r="L7" s="582">
        <v>977287.91</v>
      </c>
      <c r="M7" s="733"/>
    </row>
    <row r="8" spans="2:13" ht="21" customHeight="1">
      <c r="B8" s="87" t="s">
        <v>309</v>
      </c>
      <c r="C8" s="559"/>
      <c r="D8" s="559"/>
      <c r="E8" s="559"/>
      <c r="F8" s="559"/>
      <c r="G8" s="559"/>
      <c r="H8" s="5"/>
      <c r="I8" s="5"/>
      <c r="J8" s="5"/>
      <c r="K8" s="46" t="s">
        <v>662</v>
      </c>
      <c r="L8" s="581"/>
    </row>
    <row r="9" spans="2:13" ht="21" customHeight="1">
      <c r="B9" s="87" t="s">
        <v>310</v>
      </c>
      <c r="C9" s="274" t="str">
        <f>"Excess Resulting from "&amp;TEXT('KEY INPUTS'!D34,"0")&amp;" Operations"</f>
        <v>Excess Resulting from 2020 Operations</v>
      </c>
      <c r="D9" s="5"/>
      <c r="E9" s="5"/>
      <c r="F9" s="5"/>
      <c r="G9" s="5"/>
      <c r="H9" s="5"/>
      <c r="I9" s="5"/>
      <c r="J9" s="5"/>
      <c r="K9" s="46" t="s">
        <v>662</v>
      </c>
      <c r="L9" s="212">
        <f>+'19-Results of Op-Cur Fnd'!H44</f>
        <v>381828.17</v>
      </c>
      <c r="M9" s="318"/>
    </row>
    <row r="10" spans="2:13" ht="21" customHeight="1">
      <c r="B10" s="87" t="s">
        <v>311</v>
      </c>
      <c r="C10" s="274" t="str">
        <f>"Amount Appropriated in the "&amp;TEXT('KEY INPUTS'!D34,"0")&amp;" Budget - Cash"</f>
        <v>Amount Appropriated in the 2020 Budget - Cash</v>
      </c>
      <c r="D10" s="5"/>
      <c r="E10" s="5"/>
      <c r="F10" s="5"/>
      <c r="G10" s="5"/>
      <c r="H10" s="5"/>
      <c r="I10" s="5"/>
      <c r="J10" s="5"/>
      <c r="K10" s="328">
        <f>+'17-Budget Revenues'!H6</f>
        <v>390000</v>
      </c>
      <c r="L10" s="47" t="s">
        <v>662</v>
      </c>
    </row>
    <row r="11" spans="2:13" ht="11.25" customHeight="1">
      <c r="B11" s="85" t="s">
        <v>312</v>
      </c>
      <c r="C11" s="273" t="str">
        <f>"Amount Appropriated in "&amp;TEXT('KEY INPUTS'!D34,"0")&amp;" Budget - with Prior Written-"</f>
        <v>Amount Appropriated in 2020 Budget - with Prior Written-</v>
      </c>
      <c r="K11" s="104"/>
      <c r="L11" s="976"/>
    </row>
    <row r="12" spans="2:13" ht="12.75" customHeight="1">
      <c r="B12" s="88"/>
      <c r="C12" s="30" t="s">
        <v>891</v>
      </c>
      <c r="D12" s="30"/>
      <c r="E12" s="30"/>
      <c r="F12" s="30"/>
      <c r="G12" s="30"/>
      <c r="H12" s="30"/>
      <c r="I12" s="30"/>
      <c r="J12" s="30"/>
      <c r="K12" s="103">
        <f>+'17-Budget Revenues'!H8</f>
        <v>0</v>
      </c>
      <c r="L12" s="977" t="s">
        <v>662</v>
      </c>
    </row>
    <row r="13" spans="2:13" ht="21" customHeight="1">
      <c r="B13" s="87" t="s">
        <v>313</v>
      </c>
      <c r="C13" s="559"/>
      <c r="D13" s="559"/>
      <c r="E13" s="559"/>
      <c r="F13" s="559"/>
      <c r="G13" s="559"/>
      <c r="H13" s="5"/>
      <c r="I13" s="5"/>
      <c r="J13" s="5"/>
      <c r="K13" s="365"/>
      <c r="L13" s="47" t="s">
        <v>662</v>
      </c>
    </row>
    <row r="14" spans="2:13" ht="21" customHeight="1" thickBot="1">
      <c r="B14" s="87" t="s">
        <v>314</v>
      </c>
      <c r="C14" s="5" t="str">
        <f>'KEY INPUTS'!D26</f>
        <v>Balance - December 31, 2020</v>
      </c>
      <c r="D14" s="5"/>
      <c r="E14" s="5"/>
      <c r="F14" s="5"/>
      <c r="G14" s="5"/>
      <c r="H14" s="5"/>
      <c r="I14" s="5"/>
      <c r="J14" s="5"/>
      <c r="K14" s="228">
        <f>+L7+L8+L9-K10-K12-K13</f>
        <v>969116.08000000007</v>
      </c>
      <c r="L14" s="48" t="s">
        <v>662</v>
      </c>
      <c r="M14" s="221"/>
    </row>
    <row r="15" spans="2:13" ht="21" customHeight="1" thickBot="1">
      <c r="K15" s="216">
        <f>SUM(K10:K14)</f>
        <v>1359116.08</v>
      </c>
      <c r="L15" s="227">
        <f>SUM(L7:L14)</f>
        <v>1359116.08</v>
      </c>
      <c r="M15" s="221"/>
    </row>
    <row r="16" spans="2:13" ht="13.8" thickTop="1"/>
    <row r="17" spans="2:13">
      <c r="L17" s="221"/>
    </row>
    <row r="19" spans="2:13" ht="17.399999999999999">
      <c r="B19" s="1596" t="str">
        <f>"ANALYSIS OF BALANCE DECEMBER 31, "&amp;TEXT('KEY INPUTS'!D34,"0")</f>
        <v>ANALYSIS OF BALANCE DECEMBER 31, 2020</v>
      </c>
      <c r="C19" s="1596"/>
      <c r="D19" s="1596"/>
      <c r="E19" s="1596"/>
      <c r="F19" s="1596"/>
      <c r="G19" s="1596"/>
      <c r="H19" s="1596"/>
      <c r="I19" s="1596"/>
      <c r="J19" s="1596"/>
      <c r="K19" s="1596"/>
      <c r="L19" s="1596"/>
    </row>
    <row r="20" spans="2:13" ht="17.399999999999999">
      <c r="B20" s="1596" t="s">
        <v>892</v>
      </c>
      <c r="C20" s="1596"/>
      <c r="D20" s="1596"/>
      <c r="E20" s="1596"/>
      <c r="F20" s="1596"/>
      <c r="G20" s="1596"/>
      <c r="H20" s="1596"/>
      <c r="I20" s="1596"/>
      <c r="J20" s="1596"/>
      <c r="K20" s="1596"/>
      <c r="L20" s="1596"/>
    </row>
    <row r="21" spans="2:13" ht="13.8" thickBot="1"/>
    <row r="22" spans="2:13" ht="32.1" customHeight="1" thickTop="1" thickBot="1">
      <c r="B22" s="61"/>
      <c r="C22" s="61"/>
      <c r="D22" s="61"/>
      <c r="E22" s="61"/>
      <c r="F22" s="61"/>
      <c r="G22" s="61"/>
      <c r="H22" s="61"/>
      <c r="I22" s="61"/>
      <c r="J22" s="61"/>
      <c r="K22" s="61"/>
      <c r="L22" s="89"/>
    </row>
    <row r="23" spans="2:13" ht="21" customHeight="1" thickTop="1" thickBot="1">
      <c r="B23" s="22" t="s">
        <v>202</v>
      </c>
      <c r="C23" s="22"/>
      <c r="D23" s="22"/>
      <c r="E23" s="22"/>
      <c r="F23" s="22"/>
      <c r="G23" s="22"/>
      <c r="H23" s="22"/>
      <c r="I23" s="22"/>
      <c r="J23" s="22"/>
      <c r="K23" s="50"/>
      <c r="L23" s="218">
        <f>+'3-Trial Bal-Current Fund'!G11</f>
        <v>2528099.85</v>
      </c>
      <c r="M23" s="733"/>
    </row>
    <row r="24" spans="2:13" ht="21" customHeight="1" thickTop="1">
      <c r="B24" s="5" t="s">
        <v>335</v>
      </c>
      <c r="C24" s="5"/>
      <c r="D24" s="5"/>
      <c r="E24" s="5"/>
      <c r="F24" s="5"/>
      <c r="G24" s="5"/>
      <c r="H24" s="5"/>
      <c r="I24" s="5"/>
      <c r="J24" s="5"/>
      <c r="K24" s="49"/>
      <c r="L24" s="579"/>
      <c r="M24" s="701"/>
    </row>
    <row r="25" spans="2:13" ht="21" customHeight="1" thickBot="1">
      <c r="B25" s="560"/>
      <c r="C25" s="559"/>
      <c r="D25" s="559"/>
      <c r="E25" s="559"/>
      <c r="F25" s="559"/>
      <c r="G25" s="559"/>
      <c r="H25" s="559"/>
      <c r="I25" s="559"/>
      <c r="J25" s="5"/>
      <c r="K25" s="49"/>
      <c r="L25" s="577"/>
    </row>
    <row r="26" spans="2:13" ht="21" customHeight="1">
      <c r="B26" s="5" t="s">
        <v>746</v>
      </c>
      <c r="C26" s="5"/>
      <c r="D26" s="5"/>
      <c r="E26" s="5"/>
      <c r="F26" s="5"/>
      <c r="G26" s="5"/>
      <c r="H26" s="5"/>
      <c r="I26" s="5"/>
      <c r="J26" s="5"/>
      <c r="K26" s="49"/>
      <c r="L26" s="220">
        <f>+L23+L24+L25</f>
        <v>2528099.85</v>
      </c>
    </row>
    <row r="27" spans="2:13" ht="21" customHeight="1" thickBot="1">
      <c r="B27" s="5" t="s">
        <v>386</v>
      </c>
      <c r="C27" s="5"/>
      <c r="D27" s="5"/>
      <c r="E27" s="5"/>
      <c r="F27" s="5"/>
      <c r="G27" s="5"/>
      <c r="H27" s="5"/>
      <c r="I27" s="5"/>
      <c r="J27" s="5"/>
      <c r="K27" s="49"/>
      <c r="L27" s="230">
        <f>+'3a.1-Trial Bal-Current Fund'!H25</f>
        <v>1558983.7700000005</v>
      </c>
      <c r="M27" s="701"/>
    </row>
    <row r="28" spans="2:13" ht="21" customHeight="1" thickBot="1">
      <c r="B28" s="5" t="s">
        <v>387</v>
      </c>
      <c r="C28" s="5"/>
      <c r="D28" s="5"/>
      <c r="E28" s="5"/>
      <c r="F28" s="5"/>
      <c r="G28" s="5"/>
      <c r="H28" s="5"/>
      <c r="I28" s="5"/>
      <c r="J28" s="5"/>
      <c r="K28" s="49"/>
      <c r="L28" s="220">
        <f>+L26-L27</f>
        <v>969116.07999999961</v>
      </c>
    </row>
    <row r="29" spans="2:13" ht="21" customHeight="1" thickTop="1">
      <c r="B29" s="5" t="s">
        <v>388</v>
      </c>
      <c r="C29" s="5"/>
      <c r="D29" s="5"/>
      <c r="E29" s="5"/>
      <c r="F29" s="5"/>
      <c r="G29" s="5"/>
      <c r="H29" s="5"/>
      <c r="I29" s="5"/>
      <c r="J29" s="5"/>
      <c r="K29" s="49"/>
      <c r="L29" s="579"/>
    </row>
    <row r="30" spans="2:13" ht="21" customHeight="1">
      <c r="B30" s="5" t="s">
        <v>393</v>
      </c>
      <c r="C30" s="5"/>
      <c r="D30" s="5"/>
      <c r="E30" s="5"/>
      <c r="F30" s="5"/>
      <c r="G30" s="5"/>
      <c r="H30" s="5"/>
      <c r="I30" s="5"/>
      <c r="J30" s="5"/>
      <c r="K30" s="24"/>
      <c r="L30" s="229"/>
    </row>
    <row r="31" spans="2:13" ht="22.5" customHeight="1">
      <c r="B31" s="5"/>
      <c r="C31" s="1669" t="s">
        <v>394</v>
      </c>
      <c r="D31" s="1669"/>
      <c r="E31" s="1669"/>
      <c r="F31" s="1669"/>
      <c r="G31" s="1669"/>
      <c r="H31" s="90"/>
      <c r="I31" s="5"/>
      <c r="J31" s="5"/>
      <c r="K31" s="328">
        <f>+'3-Trial Bal-Current Fund'!G13</f>
        <v>0</v>
      </c>
      <c r="L31" s="229"/>
    </row>
    <row r="32" spans="2:13" ht="21" customHeight="1">
      <c r="B32" s="5"/>
      <c r="C32" s="5" t="s">
        <v>389</v>
      </c>
      <c r="D32" s="5"/>
      <c r="E32" s="5"/>
      <c r="F32" s="5"/>
      <c r="G32" s="5"/>
      <c r="H32" s="5"/>
      <c r="I32" s="5"/>
      <c r="J32" s="5"/>
      <c r="K32" s="365"/>
      <c r="L32" s="229"/>
      <c r="M32" s="732"/>
    </row>
    <row r="33" spans="2:14" ht="21" customHeight="1">
      <c r="B33" s="5"/>
      <c r="C33" s="5" t="s">
        <v>390</v>
      </c>
      <c r="D33" s="5"/>
      <c r="E33" s="5"/>
      <c r="F33" s="5"/>
      <c r="G33" s="5"/>
      <c r="H33" s="5"/>
      <c r="I33" s="5"/>
      <c r="J33" s="5"/>
      <c r="K33" s="365"/>
      <c r="L33" s="229"/>
      <c r="M33" s="732"/>
    </row>
    <row r="34" spans="2:14" ht="21" customHeight="1">
      <c r="B34" s="5"/>
      <c r="C34" s="559"/>
      <c r="D34" s="559"/>
      <c r="E34" s="559"/>
      <c r="F34" s="559"/>
      <c r="G34" s="559"/>
      <c r="H34" s="559"/>
      <c r="I34" s="559"/>
      <c r="J34" s="559"/>
      <c r="K34" s="365"/>
      <c r="L34" s="229"/>
    </row>
    <row r="35" spans="2:14" ht="21" customHeight="1">
      <c r="B35" s="5"/>
      <c r="C35" s="559"/>
      <c r="D35" s="559"/>
      <c r="E35" s="559"/>
      <c r="F35" s="559"/>
      <c r="G35" s="559"/>
      <c r="H35" s="559"/>
      <c r="I35" s="559"/>
      <c r="J35" s="559"/>
      <c r="K35" s="365"/>
      <c r="L35" s="229"/>
    </row>
    <row r="36" spans="2:14" ht="21" customHeight="1">
      <c r="B36" s="5"/>
      <c r="C36" s="559"/>
      <c r="D36" s="559"/>
      <c r="E36" s="559"/>
      <c r="F36" s="559"/>
      <c r="G36" s="559"/>
      <c r="H36" s="559"/>
      <c r="I36" s="559"/>
      <c r="J36" s="559"/>
      <c r="K36" s="365"/>
      <c r="L36" s="229"/>
    </row>
    <row r="37" spans="2:14" ht="21" customHeight="1">
      <c r="B37" s="5"/>
      <c r="C37" s="559"/>
      <c r="D37" s="559"/>
      <c r="E37" s="559"/>
      <c r="F37" s="559"/>
      <c r="G37" s="559"/>
      <c r="H37" s="559"/>
      <c r="I37" s="559"/>
      <c r="J37" s="559"/>
      <c r="K37" s="365"/>
      <c r="L37" s="229"/>
    </row>
    <row r="38" spans="2:14" ht="21" customHeight="1" thickBot="1">
      <c r="B38" s="5"/>
      <c r="C38" s="5"/>
      <c r="D38" s="5" t="s">
        <v>391</v>
      </c>
      <c r="E38" s="5"/>
      <c r="F38" s="5"/>
      <c r="G38" s="5"/>
      <c r="H38" s="5"/>
      <c r="I38" s="5"/>
      <c r="J38" s="5"/>
      <c r="K38" s="75"/>
      <c r="L38" s="230">
        <f>SUM(K31:K37)</f>
        <v>0</v>
      </c>
    </row>
    <row r="39" spans="2:14" ht="21" customHeight="1" thickBot="1">
      <c r="B39" t="s">
        <v>923</v>
      </c>
      <c r="K39" s="38"/>
      <c r="L39" s="231">
        <f>+L28+L38</f>
        <v>969116.07999999961</v>
      </c>
      <c r="M39" s="221"/>
      <c r="N39" s="318"/>
    </row>
    <row r="40" spans="2:14" ht="14.4" thickTop="1">
      <c r="C40" t="s">
        <v>924</v>
      </c>
      <c r="L40" s="93"/>
    </row>
    <row r="41" spans="2:14">
      <c r="B41" s="273" t="str">
        <f>"# MAY NOT BE ANTICIPATED AS NON-CASH SURPLUS IN "&amp;TEXT('KEY INPUTS'!D33,"0")&amp;" BUDGET."</f>
        <v># MAY NOT BE ANTICIPATED AS NON-CASH SURPLUS IN 2021 BUDGET.</v>
      </c>
      <c r="L41" s="221"/>
    </row>
    <row r="42" spans="2:14">
      <c r="B42" t="s">
        <v>825</v>
      </c>
    </row>
    <row r="44" spans="2:14">
      <c r="B44" s="100" t="s">
        <v>925</v>
      </c>
    </row>
    <row r="45" spans="2:14">
      <c r="B45" s="100" t="s">
        <v>926</v>
      </c>
    </row>
    <row r="46" spans="2:14">
      <c r="B46" s="100" t="s">
        <v>0</v>
      </c>
    </row>
    <row r="50" spans="2:12" ht="13.8">
      <c r="B50" s="1545" t="s">
        <v>392</v>
      </c>
      <c r="C50" s="1545"/>
      <c r="D50" s="1545"/>
      <c r="E50" s="1545"/>
      <c r="F50" s="1545"/>
      <c r="G50" s="1545"/>
      <c r="H50" s="1545"/>
      <c r="I50" s="1545"/>
      <c r="J50" s="1545"/>
      <c r="K50" s="1545"/>
      <c r="L50" s="1545"/>
    </row>
    <row r="52" spans="2:12">
      <c r="L52" s="221"/>
    </row>
  </sheetData>
  <sheetProtection algorithmName="SHA-512" hashValue="kA7tWlVXz2XCn1XnY6u1BA7rfD+oozzHqe6f17sX0XI4sNiQTyXlYogDEAxuz5FWAV8pE6pJFuoJ0bUA6qV7xg==" saltValue="ghYKbKydbTIw8382Urklzw==" spinCount="100000" sheet="1" objects="1" scenarios="1"/>
  <mergeCells count="6">
    <mergeCell ref="C31:G31"/>
    <mergeCell ref="B50:L50"/>
    <mergeCell ref="B3:L3"/>
    <mergeCell ref="B4:L4"/>
    <mergeCell ref="B19:L19"/>
    <mergeCell ref="B20:L20"/>
  </mergeCells>
  <phoneticPr fontId="0" type="noConversion"/>
  <pageMargins left="0.25" right="0.25" top="0.5" bottom="0.5" header="0.25" footer="0.25"/>
  <pageSetup paperSize="5" orientation="portrait" r:id="rId1"/>
  <headerFooter alignWithMargins="0"/>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2:Q63"/>
  <sheetViews>
    <sheetView topLeftCell="A13" zoomScaleNormal="100" workbookViewId="0">
      <selection activeCell="L48" sqref="L48"/>
    </sheetView>
  </sheetViews>
  <sheetFormatPr defaultRowHeight="13.2"/>
  <cols>
    <col min="1" max="1" width="4.6640625" customWidth="1"/>
    <col min="2" max="2" width="4.33203125" customWidth="1"/>
    <col min="3" max="3" width="5.33203125" customWidth="1"/>
    <col min="4" max="4" width="4.6640625" customWidth="1"/>
    <col min="5" max="5" width="6.44140625" customWidth="1"/>
    <col min="6" max="6" width="7.6640625" customWidth="1"/>
    <col min="7" max="7" width="2.6640625" customWidth="1"/>
    <col min="8" max="8" width="9.6640625" customWidth="1"/>
    <col min="9" max="9" width="1.6640625" customWidth="1"/>
    <col min="10" max="10" width="16.6640625" customWidth="1"/>
    <col min="11" max="11" width="1.6640625" customWidth="1"/>
    <col min="12" max="12" width="16.6640625" customWidth="1"/>
    <col min="13" max="13" width="1.6640625" customWidth="1"/>
    <col min="14" max="14" width="16.6640625" customWidth="1"/>
    <col min="15" max="15" width="13.5546875" bestFit="1" customWidth="1"/>
    <col min="17" max="17" width="10.88671875" bestFit="1" customWidth="1"/>
  </cols>
  <sheetData>
    <row r="2" spans="2:17" ht="15.6">
      <c r="B2" s="1576" t="s">
        <v>395</v>
      </c>
      <c r="C2" s="1576"/>
      <c r="D2" s="1576"/>
      <c r="E2" s="1576"/>
      <c r="F2" s="1576"/>
      <c r="G2" s="1576"/>
      <c r="H2" s="1576"/>
      <c r="I2" s="1576"/>
      <c r="J2" s="1576"/>
      <c r="K2" s="1576"/>
      <c r="L2" s="1576"/>
      <c r="M2" s="1576"/>
      <c r="N2" s="1576"/>
    </row>
    <row r="3" spans="2:17" ht="22.8">
      <c r="B3" s="1586" t="str">
        <f>"CURRENT TAXES - "&amp;TEXT('KEY INPUTS'!D34,"0")&amp; " LEVY"</f>
        <v>CURRENT TAXES - 2020 LEVY</v>
      </c>
      <c r="C3" s="1586"/>
      <c r="D3" s="1586"/>
      <c r="E3" s="1586"/>
      <c r="F3" s="1586"/>
      <c r="G3" s="1586"/>
      <c r="H3" s="1586"/>
      <c r="I3" s="1586"/>
      <c r="J3" s="1586"/>
      <c r="K3" s="1586"/>
      <c r="L3" s="1586"/>
      <c r="M3" s="1586"/>
      <c r="N3" s="1586"/>
    </row>
    <row r="5" spans="2:17">
      <c r="B5" s="85" t="s">
        <v>308</v>
      </c>
      <c r="C5" t="s">
        <v>396</v>
      </c>
      <c r="L5" s="38"/>
      <c r="M5" t="s">
        <v>397</v>
      </c>
      <c r="N5" s="573">
        <v>9192779.1899999995</v>
      </c>
      <c r="O5" s="221"/>
      <c r="Q5" s="284"/>
    </row>
    <row r="6" spans="2:17">
      <c r="B6" s="85"/>
      <c r="G6" s="1" t="s">
        <v>398</v>
      </c>
      <c r="Q6" s="284"/>
    </row>
    <row r="7" spans="2:17">
      <c r="B7" s="85"/>
      <c r="F7" t="s">
        <v>399</v>
      </c>
      <c r="L7" s="38"/>
      <c r="M7" t="s">
        <v>397</v>
      </c>
      <c r="N7" s="573">
        <v>0</v>
      </c>
    </row>
    <row r="8" spans="2:17">
      <c r="B8" s="85"/>
    </row>
    <row r="9" spans="2:17">
      <c r="B9" s="85" t="s">
        <v>309</v>
      </c>
      <c r="C9" t="s">
        <v>826</v>
      </c>
      <c r="L9" s="38"/>
      <c r="M9" t="s">
        <v>397</v>
      </c>
      <c r="N9" s="573">
        <v>0</v>
      </c>
    </row>
    <row r="10" spans="2:17">
      <c r="B10" s="85"/>
    </row>
    <row r="11" spans="2:17">
      <c r="B11" s="85" t="s">
        <v>310</v>
      </c>
      <c r="C11" t="s">
        <v>403</v>
      </c>
    </row>
    <row r="12" spans="2:17">
      <c r="B12" s="85"/>
      <c r="C12" t="s">
        <v>401</v>
      </c>
      <c r="L12" s="38"/>
      <c r="M12" t="s">
        <v>397</v>
      </c>
      <c r="N12" s="573">
        <v>0</v>
      </c>
      <c r="O12" s="221"/>
    </row>
    <row r="13" spans="2:17">
      <c r="B13" s="85"/>
    </row>
    <row r="14" spans="2:17">
      <c r="B14" s="85" t="s">
        <v>311</v>
      </c>
      <c r="C14" t="s">
        <v>400</v>
      </c>
    </row>
    <row r="15" spans="2:17">
      <c r="B15" s="85"/>
      <c r="C15" t="s">
        <v>402</v>
      </c>
      <c r="L15" s="38"/>
      <c r="M15" t="s">
        <v>397</v>
      </c>
      <c r="N15" s="573">
        <v>13021.04</v>
      </c>
    </row>
    <row r="16" spans="2:17">
      <c r="B16" s="85"/>
    </row>
    <row r="17" spans="2:15">
      <c r="B17" s="85" t="s">
        <v>404</v>
      </c>
      <c r="C17" s="273" t="str">
        <f>"Subtotal "&amp;TEXT('KEY INPUTS'!D34,"0")&amp;" Levy"</f>
        <v>Subtotal 2020 Levy</v>
      </c>
      <c r="I17" t="s">
        <v>397</v>
      </c>
      <c r="J17" s="265">
        <f>SUM(N5:N15)</f>
        <v>9205800.2299999986</v>
      </c>
      <c r="K17" s="270"/>
      <c r="L17" s="270"/>
      <c r="M17" s="270"/>
      <c r="N17" s="270"/>
    </row>
    <row r="18" spans="2:15">
      <c r="B18" s="85" t="s">
        <v>405</v>
      </c>
      <c r="C18" t="s">
        <v>406</v>
      </c>
      <c r="I18" t="s">
        <v>397</v>
      </c>
      <c r="J18" s="573">
        <v>0</v>
      </c>
      <c r="K18" s="270"/>
      <c r="L18" s="270"/>
      <c r="M18" s="270"/>
      <c r="N18" s="270"/>
    </row>
    <row r="19" spans="2:15" ht="13.8" thickBot="1">
      <c r="B19" s="85" t="s">
        <v>407</v>
      </c>
      <c r="C19" s="273" t="str">
        <f>"Total "&amp;TEXT('KEY INPUTS'!D34,"0") &amp; " Tax Levy"</f>
        <v>Total 2020 Tax Levy</v>
      </c>
      <c r="J19" s="270"/>
      <c r="K19" s="270"/>
      <c r="L19" s="351"/>
      <c r="M19" s="270" t="s">
        <v>397</v>
      </c>
      <c r="N19" s="352">
        <f>+J17-J18</f>
        <v>9205800.2299999986</v>
      </c>
    </row>
    <row r="20" spans="2:15" ht="13.8" thickTop="1">
      <c r="B20" s="85"/>
      <c r="J20" s="270"/>
      <c r="K20" s="270"/>
      <c r="L20" s="270"/>
      <c r="M20" s="270"/>
      <c r="N20" s="270"/>
    </row>
    <row r="21" spans="2:15" ht="21" customHeight="1">
      <c r="B21" s="85" t="s">
        <v>313</v>
      </c>
      <c r="C21" t="s">
        <v>169</v>
      </c>
      <c r="J21" s="270"/>
      <c r="K21" s="270"/>
      <c r="L21" s="351"/>
      <c r="M21" s="270" t="s">
        <v>397</v>
      </c>
      <c r="N21" s="573">
        <v>0</v>
      </c>
      <c r="O21" s="221"/>
    </row>
    <row r="22" spans="2:15" ht="21" customHeight="1">
      <c r="B22" s="85" t="s">
        <v>314</v>
      </c>
      <c r="C22" t="s">
        <v>408</v>
      </c>
      <c r="J22" s="270"/>
      <c r="K22" s="270"/>
      <c r="L22" s="351"/>
      <c r="M22" s="270" t="s">
        <v>397</v>
      </c>
      <c r="N22" s="573">
        <v>0</v>
      </c>
    </row>
    <row r="23" spans="2:15" ht="21" customHeight="1">
      <c r="B23" s="85" t="s">
        <v>409</v>
      </c>
      <c r="C23" t="s">
        <v>876</v>
      </c>
      <c r="J23" s="270"/>
      <c r="K23" s="270"/>
      <c r="L23" s="351"/>
      <c r="M23" s="270" t="s">
        <v>397</v>
      </c>
      <c r="N23" s="573">
        <v>6460.62</v>
      </c>
      <c r="O23" s="221"/>
    </row>
    <row r="24" spans="2:15" ht="21" customHeight="1">
      <c r="B24" s="85" t="s">
        <v>410</v>
      </c>
      <c r="C24" t="s">
        <v>877</v>
      </c>
      <c r="J24" s="270"/>
      <c r="K24" s="270"/>
      <c r="L24" s="351"/>
      <c r="M24" s="270" t="s">
        <v>397</v>
      </c>
      <c r="N24" s="573">
        <v>0</v>
      </c>
    </row>
    <row r="25" spans="2:15" ht="21" customHeight="1">
      <c r="B25" s="85" t="s">
        <v>411</v>
      </c>
      <c r="C25" s="273" t="str">
        <f>"Collected in Cash:  In "&amp;TEXT('KEY INPUTS'!D35,"0")</f>
        <v>Collected in Cash:  In 2019</v>
      </c>
      <c r="J25" s="351"/>
      <c r="K25" s="270" t="s">
        <v>397</v>
      </c>
      <c r="L25" s="573">
        <v>60598.15</v>
      </c>
      <c r="M25" s="270"/>
      <c r="N25" s="270"/>
      <c r="O25" s="221"/>
    </row>
    <row r="26" spans="2:15" ht="21" customHeight="1">
      <c r="B26" s="85"/>
      <c r="F26" s="295" t="str">
        <f>"In "&amp;TEXT('KEY INPUTS'!D34,"0")&amp;" *"</f>
        <v>In 2020 *</v>
      </c>
      <c r="J26" s="351"/>
      <c r="K26" s="270" t="s">
        <v>397</v>
      </c>
      <c r="L26" s="573">
        <f>8992718.84+17652.4</f>
        <v>9010371.2400000002</v>
      </c>
      <c r="M26" s="270"/>
      <c r="N26" s="270"/>
      <c r="O26" s="221"/>
    </row>
    <row r="27" spans="2:15" ht="21" customHeight="1">
      <c r="B27" s="85"/>
      <c r="C27" t="s">
        <v>944</v>
      </c>
      <c r="J27" s="351"/>
      <c r="K27" s="270" t="s">
        <v>397</v>
      </c>
      <c r="L27" s="573">
        <v>0</v>
      </c>
      <c r="M27" s="270"/>
      <c r="N27" s="270"/>
    </row>
    <row r="28" spans="2:15">
      <c r="B28" s="85"/>
      <c r="J28" s="270"/>
      <c r="K28" s="270"/>
      <c r="L28" s="270"/>
      <c r="M28" s="270"/>
      <c r="N28" s="270"/>
    </row>
    <row r="29" spans="2:15">
      <c r="B29" s="85"/>
      <c r="C29" s="273" t="str">
        <f>"State's Share of "&amp;TEXT('KEY INPUTS'!D34,"0")&amp;" Senior Citizens"</f>
        <v>State's Share of 2020 Senior Citizens</v>
      </c>
      <c r="J29" s="270"/>
      <c r="K29" s="270"/>
      <c r="L29" s="270"/>
      <c r="M29" s="270"/>
      <c r="N29" s="270"/>
    </row>
    <row r="30" spans="2:15">
      <c r="B30" s="85"/>
      <c r="C30" t="s">
        <v>232</v>
      </c>
      <c r="J30" s="351"/>
      <c r="K30" s="270" t="s">
        <v>397</v>
      </c>
      <c r="L30" s="265">
        <f>+'23-SCVet Deductions'!G37</f>
        <v>18750</v>
      </c>
      <c r="M30" s="270"/>
      <c r="N30" s="270"/>
    </row>
    <row r="31" spans="2:15">
      <c r="B31" s="85"/>
      <c r="J31" s="270"/>
      <c r="K31" s="270"/>
      <c r="L31" s="270"/>
      <c r="M31" s="270"/>
      <c r="N31" s="270"/>
    </row>
    <row r="32" spans="2:15" ht="13.8" thickBot="1">
      <c r="B32" s="85"/>
      <c r="C32" t="s">
        <v>233</v>
      </c>
      <c r="J32" s="38"/>
      <c r="K32" t="s">
        <v>397</v>
      </c>
      <c r="L32" s="84">
        <f>SUM(L25:L30)</f>
        <v>9089719.3900000006</v>
      </c>
    </row>
    <row r="33" spans="2:15" ht="13.8" thickTop="1">
      <c r="B33" s="85"/>
    </row>
    <row r="34" spans="2:15" ht="21" customHeight="1" thickBot="1">
      <c r="B34" s="85" t="s">
        <v>234</v>
      </c>
      <c r="C34" t="s">
        <v>235</v>
      </c>
      <c r="M34" t="s">
        <v>397</v>
      </c>
      <c r="N34" s="84">
        <f>+SUM(N21:N24)+L32</f>
        <v>9096180.0099999998</v>
      </c>
    </row>
    <row r="35" spans="2:15" ht="21" customHeight="1" thickTop="1">
      <c r="B35" s="85" t="s">
        <v>236</v>
      </c>
      <c r="C35" s="273" t="str">
        <f>"Amount Outstanding  December 31, "&amp;TEXT('KEY INPUTS'!D34,"0")</f>
        <v>Amount Outstanding  December 31, 2020</v>
      </c>
      <c r="L35" s="38"/>
      <c r="M35" t="s">
        <v>397</v>
      </c>
      <c r="N35" s="67">
        <f>+N19-N34</f>
        <v>109620.21999999881</v>
      </c>
      <c r="O35" s="221"/>
    </row>
    <row r="36" spans="2:15">
      <c r="B36" s="85"/>
      <c r="N36" s="221"/>
    </row>
    <row r="37" spans="2:15">
      <c r="B37" s="85" t="s">
        <v>237</v>
      </c>
      <c r="C37" s="273" t="str">
        <f>"Percentage of Cash Collections to Total "&amp;TEXT('KEY INPUTS'!D34,"0")&amp;" Levy,"</f>
        <v>Percentage of Cash Collections to Total 2020 Levy,</v>
      </c>
      <c r="N37" s="221"/>
    </row>
    <row r="38" spans="2:15" ht="15.6">
      <c r="B38" s="85"/>
      <c r="C38" t="s">
        <v>239</v>
      </c>
      <c r="H38" s="760">
        <f>TRUNC(+L32/N19, 4)</f>
        <v>0.98729999999999996</v>
      </c>
      <c r="O38" s="221"/>
    </row>
    <row r="39" spans="2:15">
      <c r="B39" s="85"/>
      <c r="H39" s="57"/>
    </row>
    <row r="40" spans="2:15">
      <c r="B40" s="85"/>
    </row>
    <row r="41" spans="2:15">
      <c r="B41" s="91" t="s">
        <v>596</v>
      </c>
    </row>
    <row r="42" spans="2:15">
      <c r="B42" s="85"/>
    </row>
    <row r="43" spans="2:15">
      <c r="B43" s="85" t="s">
        <v>597</v>
      </c>
      <c r="C43" s="37" t="s">
        <v>598</v>
      </c>
    </row>
    <row r="44" spans="2:15">
      <c r="B44" s="85"/>
    </row>
    <row r="45" spans="2:15">
      <c r="B45" s="85"/>
      <c r="C45" t="s">
        <v>599</v>
      </c>
      <c r="K45" t="s">
        <v>397</v>
      </c>
      <c r="L45" s="67">
        <f>+L32</f>
        <v>9089719.3900000006</v>
      </c>
    </row>
    <row r="46" spans="2:15">
      <c r="B46" s="85"/>
      <c r="C46" t="s">
        <v>600</v>
      </c>
      <c r="D46" t="s">
        <v>601</v>
      </c>
    </row>
    <row r="47" spans="2:15">
      <c r="B47" s="85"/>
      <c r="D47" t="s">
        <v>602</v>
      </c>
      <c r="K47" t="s">
        <v>397</v>
      </c>
      <c r="L47" s="573">
        <v>0</v>
      </c>
    </row>
    <row r="48" spans="2:15" ht="21" customHeight="1">
      <c r="B48" s="85"/>
      <c r="C48" t="s">
        <v>603</v>
      </c>
      <c r="K48" t="s">
        <v>397</v>
      </c>
      <c r="L48" s="67">
        <f>+L45-L47</f>
        <v>9089719.3900000006</v>
      </c>
    </row>
    <row r="49" spans="1:14">
      <c r="B49" s="85"/>
    </row>
    <row r="50" spans="1:14">
      <c r="A50" s="100"/>
      <c r="B50" s="201" t="s">
        <v>1</v>
      </c>
      <c r="C50" s="100" t="s">
        <v>2</v>
      </c>
    </row>
    <row r="51" spans="1:14">
      <c r="A51" s="100"/>
      <c r="B51" s="100"/>
      <c r="C51" s="100" t="s">
        <v>3</v>
      </c>
    </row>
    <row r="52" spans="1:14">
      <c r="A52" s="100"/>
      <c r="B52" s="100"/>
      <c r="C52" s="100" t="s">
        <v>760</v>
      </c>
    </row>
    <row r="53" spans="1:14">
      <c r="A53" s="100"/>
      <c r="B53" s="100"/>
      <c r="C53" s="202" t="s">
        <v>305</v>
      </c>
    </row>
    <row r="54" spans="1:14">
      <c r="A54" s="100"/>
      <c r="B54" s="100"/>
      <c r="C54" s="100" t="s">
        <v>774</v>
      </c>
    </row>
    <row r="56" spans="1:14">
      <c r="A56" s="100"/>
      <c r="B56" s="201" t="s">
        <v>775</v>
      </c>
      <c r="C56" s="100" t="s">
        <v>382</v>
      </c>
    </row>
    <row r="57" spans="1:14">
      <c r="A57" s="100"/>
      <c r="B57" s="100"/>
      <c r="C57" s="100" t="s">
        <v>383</v>
      </c>
    </row>
    <row r="60" spans="1:14">
      <c r="A60" s="100"/>
      <c r="B60" s="282" t="str">
        <f>"* Include overpayments applied as part of "&amp;TEXT('KEY INPUTS'!D34,"0")&amp;" collections."</f>
        <v>* Include overpayments applied as part of 2020 collections.</v>
      </c>
      <c r="C60" s="100"/>
    </row>
    <row r="61" spans="1:14">
      <c r="A61" s="100"/>
      <c r="B61" s="100" t="s">
        <v>384</v>
      </c>
      <c r="C61" s="100"/>
      <c r="D61" s="100"/>
      <c r="E61" s="100"/>
    </row>
    <row r="62" spans="1:14">
      <c r="B62" s="100"/>
      <c r="C62" s="100"/>
      <c r="D62" s="100" t="s">
        <v>69</v>
      </c>
      <c r="E62" s="100"/>
    </row>
    <row r="63" spans="1:14" ht="13.8">
      <c r="B63" s="1545" t="s">
        <v>238</v>
      </c>
      <c r="C63" s="1545"/>
      <c r="D63" s="1545"/>
      <c r="E63" s="1545"/>
      <c r="F63" s="1545"/>
      <c r="G63" s="1545"/>
      <c r="H63" s="1545"/>
      <c r="I63" s="1545"/>
      <c r="J63" s="1545"/>
      <c r="K63" s="1545"/>
      <c r="L63" s="1545"/>
      <c r="M63" s="1545"/>
      <c r="N63" s="1545"/>
    </row>
  </sheetData>
  <sheetProtection algorithmName="SHA-512" hashValue="mW9vN4pQTB/Fo7c4ZP5RlNn23S5Fy+5XE7TDj/iaLMHkaCHpYp8hB8BG5zPmCaXZSvncAqrf5DiEA38GNr0CdA==" saltValue="4+0sct43NSMtzpr1hebH1g==" spinCount="100000" sheet="1" objects="1" scenarios="1"/>
  <mergeCells count="3">
    <mergeCell ref="B2:N2"/>
    <mergeCell ref="B3:N3"/>
    <mergeCell ref="B63:N63"/>
  </mergeCells>
  <phoneticPr fontId="0" type="noConversion"/>
  <pageMargins left="0.25" right="0.25" top="0.5" bottom="0.5" header="0.25" footer="0.25"/>
  <pageSetup paperSize="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1794" r:id="rId4" name="Check Box 2">
              <controlPr locked="0" defaultSize="0" autoFill="0" autoLine="0" autoPict="0" altText="">
                <anchor moveWithCells="1">
                  <from>
                    <xdr:col>11</xdr:col>
                    <xdr:colOff>800100</xdr:colOff>
                    <xdr:row>39</xdr:row>
                    <xdr:rowOff>106680</xdr:rowOff>
                  </from>
                  <to>
                    <xdr:col>11</xdr:col>
                    <xdr:colOff>1104900</xdr:colOff>
                    <xdr:row>41</xdr:row>
                    <xdr:rowOff>0</xdr:rowOff>
                  </to>
                </anchor>
              </controlPr>
            </control>
          </mc:Choice>
        </mc:AlternateContent>
      </controls>
    </mc:Choice>
  </mc:AlternateContent>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1"/>
  <dimension ref="B4:U61"/>
  <sheetViews>
    <sheetView topLeftCell="A16" zoomScaleNormal="100" workbookViewId="0">
      <selection activeCell="K39" sqref="K39"/>
    </sheetView>
  </sheetViews>
  <sheetFormatPr defaultRowHeight="13.2"/>
  <cols>
    <col min="1" max="1" width="4.6640625" customWidth="1"/>
    <col min="10" max="10" width="1.6640625" customWidth="1"/>
    <col min="11" max="11" width="16.6640625" customWidth="1"/>
  </cols>
  <sheetData>
    <row r="4" spans="2:21" ht="17.399999999999999">
      <c r="B4" s="1596" t="s">
        <v>604</v>
      </c>
      <c r="C4" s="1596"/>
      <c r="D4" s="1596"/>
      <c r="E4" s="1596"/>
      <c r="F4" s="1596"/>
      <c r="G4" s="1596"/>
      <c r="H4" s="1596"/>
      <c r="I4" s="1596"/>
      <c r="J4" s="1596"/>
      <c r="K4" s="1596"/>
    </row>
    <row r="6" spans="2:21" ht="15.6">
      <c r="B6" s="1547" t="str">
        <f xml:space="preserve"> "To Calculate Underlying Tax Collection Rate for "&amp;TEXT('KEY INPUTS'!D34,"0")</f>
        <v>To Calculate Underlying Tax Collection Rate for 2020</v>
      </c>
      <c r="C6" s="1547"/>
      <c r="D6" s="1547"/>
      <c r="E6" s="1547"/>
      <c r="F6" s="1547"/>
      <c r="G6" s="1547"/>
      <c r="H6" s="1547"/>
      <c r="I6" s="1547"/>
      <c r="J6" s="1547"/>
      <c r="K6" s="1547"/>
    </row>
    <row r="8" spans="2:21">
      <c r="B8" s="1584" t="s">
        <v>710</v>
      </c>
      <c r="C8" s="1584"/>
      <c r="D8" s="1584"/>
      <c r="E8" s="1584"/>
      <c r="F8" s="1584"/>
      <c r="G8" s="1584"/>
      <c r="H8" s="1584"/>
      <c r="I8" s="1584"/>
      <c r="J8" s="1584"/>
      <c r="K8" s="1584"/>
    </row>
    <row r="9" spans="2:21">
      <c r="B9" s="1584" t="s">
        <v>320</v>
      </c>
      <c r="C9" s="1584"/>
      <c r="D9" s="1584"/>
      <c r="E9" s="1584"/>
      <c r="F9" s="1584"/>
      <c r="G9" s="1584"/>
      <c r="H9" s="1584"/>
      <c r="I9" s="1584"/>
      <c r="J9" s="1584"/>
      <c r="K9" s="1584"/>
      <c r="N9" s="370"/>
      <c r="O9" s="315"/>
      <c r="P9" s="315"/>
      <c r="Q9" s="315"/>
      <c r="R9" s="315"/>
      <c r="S9" s="315"/>
      <c r="T9" s="315"/>
      <c r="U9" s="315"/>
    </row>
    <row r="10" spans="2:21">
      <c r="N10" s="315"/>
      <c r="O10" s="315"/>
      <c r="P10" s="315"/>
      <c r="Q10" s="315"/>
      <c r="R10" s="315"/>
      <c r="S10" s="315"/>
      <c r="T10" s="315"/>
      <c r="U10" s="315"/>
    </row>
    <row r="11" spans="2:21">
      <c r="N11" s="315"/>
      <c r="O11" s="315"/>
      <c r="P11" s="315"/>
      <c r="Q11" s="315"/>
      <c r="R11" s="315"/>
      <c r="S11" s="315"/>
      <c r="T11" s="315"/>
      <c r="U11" s="315"/>
    </row>
    <row r="12" spans="2:21">
      <c r="N12" s="315"/>
      <c r="O12" s="315"/>
      <c r="P12" s="315"/>
      <c r="Q12" s="315"/>
      <c r="R12" s="315"/>
      <c r="S12" s="315"/>
      <c r="T12" s="315"/>
      <c r="U12" s="315"/>
    </row>
    <row r="13" spans="2:21" ht="13.8">
      <c r="B13" s="92" t="s">
        <v>711</v>
      </c>
      <c r="N13" s="315"/>
      <c r="O13" s="315"/>
      <c r="P13" s="315"/>
      <c r="Q13" s="315"/>
      <c r="R13" s="315"/>
      <c r="S13" s="315"/>
      <c r="T13" s="315"/>
      <c r="U13" s="315"/>
    </row>
    <row r="14" spans="2:21">
      <c r="N14" s="315"/>
      <c r="O14" s="315"/>
      <c r="P14" s="315"/>
      <c r="Q14" s="315"/>
      <c r="R14" s="315"/>
      <c r="S14" s="315"/>
      <c r="T14" s="315"/>
      <c r="U14" s="315"/>
    </row>
    <row r="15" spans="2:21">
      <c r="K15" s="279"/>
      <c r="N15" s="315"/>
      <c r="O15" s="315"/>
      <c r="P15" s="315"/>
      <c r="Q15" s="315"/>
      <c r="R15" s="315"/>
      <c r="S15" s="315"/>
      <c r="T15" s="315"/>
      <c r="U15" s="315"/>
    </row>
    <row r="16" spans="2:21" ht="27.9" customHeight="1">
      <c r="B16" s="93" t="s">
        <v>712</v>
      </c>
      <c r="J16" t="s">
        <v>397</v>
      </c>
      <c r="K16" s="840">
        <f>+'22-CY Levy'!L32</f>
        <v>9089719.3900000006</v>
      </c>
      <c r="N16" s="315"/>
      <c r="O16" s="315"/>
      <c r="P16" s="315"/>
      <c r="Q16" s="315"/>
      <c r="R16" s="315"/>
      <c r="S16" s="315"/>
      <c r="T16" s="315"/>
      <c r="U16" s="315"/>
    </row>
    <row r="17" spans="2:21" ht="27.9" customHeight="1">
      <c r="B17" s="94" t="s">
        <v>713</v>
      </c>
      <c r="K17" s="571">
        <v>0</v>
      </c>
      <c r="N17" s="315"/>
      <c r="O17" s="315"/>
      <c r="P17" s="315"/>
      <c r="Q17" s="315"/>
      <c r="R17" s="315"/>
      <c r="S17" s="315"/>
      <c r="T17" s="315"/>
      <c r="U17" s="315"/>
    </row>
    <row r="18" spans="2:21" ht="27.9" customHeight="1">
      <c r="D18" s="92" t="s">
        <v>170</v>
      </c>
      <c r="J18" t="s">
        <v>397</v>
      </c>
      <c r="K18" s="970">
        <f>K16-K17</f>
        <v>9089719.3900000006</v>
      </c>
      <c r="N18" s="315"/>
      <c r="O18" s="315"/>
      <c r="P18" s="315"/>
      <c r="Q18" s="315"/>
      <c r="R18" s="315"/>
      <c r="S18" s="315"/>
      <c r="T18" s="315"/>
      <c r="U18" s="315"/>
    </row>
    <row r="19" spans="2:21" ht="27.75" customHeight="1">
      <c r="B19" s="281" t="str">
        <f>"Line 5c (sheet 22) Total "&amp;TEXT('KEY INPUTS'!D34,"0")&amp;" Tax Levy"</f>
        <v>Line 5c (sheet 22) Total 2020 Tax Levy</v>
      </c>
      <c r="J19" t="s">
        <v>397</v>
      </c>
      <c r="K19" s="654">
        <f>+'22-CY Levy'!N19</f>
        <v>9205800.2299999986</v>
      </c>
      <c r="N19" s="315"/>
      <c r="O19" s="315"/>
      <c r="P19" s="315"/>
      <c r="Q19" s="315"/>
      <c r="R19" s="315"/>
      <c r="S19" s="315"/>
      <c r="T19" s="315"/>
      <c r="U19" s="315"/>
    </row>
    <row r="20" spans="2:21">
      <c r="N20" s="315"/>
      <c r="O20" s="315"/>
      <c r="P20" s="315"/>
      <c r="Q20" s="315"/>
      <c r="R20" s="315"/>
      <c r="S20" s="315"/>
      <c r="T20" s="315"/>
      <c r="U20" s="315"/>
    </row>
    <row r="21" spans="2:21" ht="13.8">
      <c r="B21" s="93" t="s">
        <v>714</v>
      </c>
      <c r="N21" s="315"/>
      <c r="O21" s="315"/>
      <c r="P21" s="315"/>
      <c r="Q21" s="315"/>
      <c r="R21" s="315"/>
      <c r="S21" s="315"/>
      <c r="T21" s="315"/>
      <c r="U21" s="315"/>
    </row>
    <row r="22" spans="2:21" ht="13.8">
      <c r="B22" s="93" t="s">
        <v>715</v>
      </c>
      <c r="K22" s="761">
        <f>+K18/K19</f>
        <v>0.98739046719461587</v>
      </c>
    </row>
    <row r="28" spans="2:21">
      <c r="B28" s="30"/>
      <c r="C28" s="30"/>
      <c r="D28" s="30"/>
      <c r="E28" s="30"/>
      <c r="F28" s="30"/>
      <c r="G28" s="30"/>
      <c r="H28" s="30"/>
      <c r="I28" s="30"/>
      <c r="J28" s="30"/>
      <c r="K28" s="30"/>
    </row>
    <row r="29" spans="2:21" ht="3.75" customHeight="1" thickBot="1">
      <c r="B29" s="95"/>
      <c r="C29" s="95"/>
      <c r="D29" s="95"/>
      <c r="E29" s="95"/>
      <c r="F29" s="95"/>
      <c r="G29" s="95"/>
      <c r="H29" s="95"/>
      <c r="I29" s="95"/>
      <c r="J29" s="95"/>
      <c r="K29" s="95"/>
    </row>
    <row r="30" spans="2:21" ht="4.5" customHeight="1" thickTop="1">
      <c r="B30" s="96"/>
      <c r="C30" s="96"/>
      <c r="D30" s="96"/>
      <c r="E30" s="96"/>
      <c r="F30" s="96"/>
      <c r="G30" s="96"/>
      <c r="H30" s="96"/>
      <c r="I30" s="96"/>
      <c r="J30" s="96"/>
      <c r="K30" s="96"/>
    </row>
    <row r="34" spans="2:11" ht="13.8">
      <c r="B34" s="92" t="s">
        <v>717</v>
      </c>
    </row>
    <row r="36" spans="2:11">
      <c r="K36" s="279"/>
    </row>
    <row r="37" spans="2:11" ht="27.9" customHeight="1">
      <c r="B37" s="93" t="s">
        <v>712</v>
      </c>
      <c r="J37" t="s">
        <v>397</v>
      </c>
      <c r="K37" s="762">
        <f>+'22-CY Levy'!L32</f>
        <v>9089719.3900000006</v>
      </c>
    </row>
    <row r="38" spans="2:11" ht="27.9" customHeight="1">
      <c r="B38" s="94" t="s">
        <v>718</v>
      </c>
      <c r="K38" s="571">
        <v>0</v>
      </c>
    </row>
    <row r="39" spans="2:11" ht="27.9" customHeight="1">
      <c r="D39" s="92" t="s">
        <v>170</v>
      </c>
      <c r="J39" t="s">
        <v>397</v>
      </c>
      <c r="K39" s="970">
        <f>K37-K38</f>
        <v>9089719.3900000006</v>
      </c>
    </row>
    <row r="40" spans="2:11" ht="27.9" customHeight="1">
      <c r="B40" s="93" t="str">
        <f>B19</f>
        <v>Line 5c (sheet 22) Total 2020 Tax Levy</v>
      </c>
      <c r="J40" t="s">
        <v>397</v>
      </c>
      <c r="K40" s="654">
        <f>+'22-CY Levy'!N19</f>
        <v>9205800.2299999986</v>
      </c>
    </row>
    <row r="41" spans="2:11" ht="13.8">
      <c r="B41" s="93"/>
    </row>
    <row r="42" spans="2:11" ht="13.8">
      <c r="B42" s="93" t="s">
        <v>5</v>
      </c>
    </row>
    <row r="43" spans="2:11" ht="13.8">
      <c r="B43" s="93" t="s">
        <v>715</v>
      </c>
      <c r="K43" s="1519">
        <f>IFERROR(K39/K40,"NO ENTRY")</f>
        <v>0.98739046719461587</v>
      </c>
    </row>
    <row r="61" spans="2:11" ht="13.8">
      <c r="B61" s="1545" t="s">
        <v>716</v>
      </c>
      <c r="C61" s="1545"/>
      <c r="D61" s="1545"/>
      <c r="E61" s="1545"/>
      <c r="F61" s="1545"/>
      <c r="G61" s="1545"/>
      <c r="H61" s="1545"/>
      <c r="I61" s="1545"/>
      <c r="J61" s="1545"/>
      <c r="K61" s="1545"/>
    </row>
  </sheetData>
  <sheetProtection algorithmName="SHA-512" hashValue="KIITxkZCOFEkSb6rE7yvYPgl/bQ7twLwChFnG0tbl04ejsvx3CiB1o7VmxsEEM0st1BBatHE+acU8NA+CxwGUQ==" saltValue="Ij70vA59wpYYWCTmzzyZfA==" spinCount="100000" sheet="1" objects="1" scenarios="1"/>
  <mergeCells count="5">
    <mergeCell ref="B61:K61"/>
    <mergeCell ref="B4:K4"/>
    <mergeCell ref="B6:K6"/>
    <mergeCell ref="B8:K8"/>
    <mergeCell ref="B9:K9"/>
  </mergeCells>
  <phoneticPr fontId="0" type="noConversion"/>
  <pageMargins left="0.25" right="0.25" top="0.5" bottom="0.5" header="0.25" footer="0.25"/>
  <pageSetup paperSize="5" orientation="portrait" r:id="rId1"/>
  <headerFooter alignWithMargins="0"/>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2"/>
  <dimension ref="B3:R54"/>
  <sheetViews>
    <sheetView zoomScaleNormal="100" workbookViewId="0">
      <selection activeCell="J17" sqref="J17"/>
    </sheetView>
  </sheetViews>
  <sheetFormatPr defaultRowHeight="13.2"/>
  <cols>
    <col min="1" max="1" width="3.6640625" customWidth="1"/>
    <col min="2" max="4" width="4.6640625" customWidth="1"/>
    <col min="7" max="7" width="21.6640625" customWidth="1"/>
    <col min="9" max="10" width="16.6640625" customWidth="1"/>
    <col min="11" max="11" width="10.88671875" bestFit="1" customWidth="1"/>
  </cols>
  <sheetData>
    <row r="3" spans="2:18" ht="21">
      <c r="B3" s="1546" t="s">
        <v>6</v>
      </c>
      <c r="C3" s="1546"/>
      <c r="D3" s="1546"/>
      <c r="E3" s="1546"/>
      <c r="F3" s="1546"/>
      <c r="G3" s="1546"/>
      <c r="H3" s="1546"/>
      <c r="I3" s="1546"/>
      <c r="J3" s="1546"/>
      <c r="K3" s="700"/>
    </row>
    <row r="4" spans="2:18" ht="21">
      <c r="B4" s="1546" t="s">
        <v>7</v>
      </c>
      <c r="C4" s="1546"/>
      <c r="D4" s="1546"/>
      <c r="E4" s="1546"/>
      <c r="F4" s="1546"/>
      <c r="G4" s="1546"/>
      <c r="H4" s="1546"/>
      <c r="I4" s="1546"/>
      <c r="J4" s="1546"/>
      <c r="K4" s="700"/>
    </row>
    <row r="5" spans="2:18" ht="13.8" thickBot="1"/>
    <row r="6" spans="2:18" ht="26.1" customHeight="1" thickTop="1" thickBot="1">
      <c r="B6" s="61"/>
      <c r="C6" s="61"/>
      <c r="D6" s="61"/>
      <c r="E6" s="61"/>
      <c r="F6" s="61"/>
      <c r="G6" s="61"/>
      <c r="H6" s="61"/>
      <c r="I6" s="4" t="s">
        <v>101</v>
      </c>
      <c r="J6" s="3" t="s">
        <v>102</v>
      </c>
    </row>
    <row r="7" spans="2:18" ht="21" customHeight="1" thickTop="1">
      <c r="B7" s="86" t="s">
        <v>308</v>
      </c>
      <c r="C7" s="276" t="str">
        <f>'KEY INPUTS'!D25</f>
        <v>Balance - January 1, 2020</v>
      </c>
      <c r="D7" s="276"/>
      <c r="E7" s="276"/>
      <c r="F7" s="276"/>
      <c r="G7" s="276"/>
      <c r="H7" s="23"/>
      <c r="I7" s="143" t="s">
        <v>662</v>
      </c>
      <c r="J7" s="196" t="s">
        <v>662</v>
      </c>
    </row>
    <row r="8" spans="2:18" ht="21" customHeight="1">
      <c r="B8" s="87"/>
      <c r="C8" s="316"/>
      <c r="D8" s="316" t="s">
        <v>286</v>
      </c>
      <c r="E8" s="316"/>
      <c r="F8" s="316"/>
      <c r="G8" s="316"/>
      <c r="H8" s="24"/>
      <c r="I8" s="367">
        <v>0</v>
      </c>
      <c r="J8" s="988" t="s">
        <v>662</v>
      </c>
      <c r="K8" s="305"/>
    </row>
    <row r="9" spans="2:18" ht="21" customHeight="1">
      <c r="B9" s="87"/>
      <c r="C9" s="316"/>
      <c r="D9" s="316" t="s">
        <v>287</v>
      </c>
      <c r="E9" s="316"/>
      <c r="F9" s="316"/>
      <c r="G9" s="316"/>
      <c r="H9" s="24"/>
      <c r="I9" s="144" t="s">
        <v>662</v>
      </c>
      <c r="J9" s="575">
        <v>1286.25</v>
      </c>
    </row>
    <row r="10" spans="2:18" ht="21" customHeight="1">
      <c r="B10" s="87" t="s">
        <v>309</v>
      </c>
      <c r="C10" s="316" t="s">
        <v>758</v>
      </c>
      <c r="D10" s="316"/>
      <c r="E10" s="316"/>
      <c r="F10" s="316"/>
      <c r="G10" s="316"/>
      <c r="H10" s="24"/>
      <c r="I10" s="367">
        <v>2500</v>
      </c>
      <c r="J10" s="988" t="s">
        <v>662</v>
      </c>
      <c r="L10" s="315"/>
      <c r="M10" s="315"/>
      <c r="N10" s="315"/>
      <c r="O10" s="315"/>
      <c r="P10" s="315"/>
      <c r="Q10" s="315"/>
      <c r="R10" s="315"/>
    </row>
    <row r="11" spans="2:18" ht="21" customHeight="1">
      <c r="B11" s="87" t="s">
        <v>310</v>
      </c>
      <c r="C11" s="316" t="s">
        <v>759</v>
      </c>
      <c r="D11" s="316"/>
      <c r="E11" s="316"/>
      <c r="F11" s="316"/>
      <c r="G11" s="316"/>
      <c r="H11" s="24"/>
      <c r="I11" s="367">
        <v>16500</v>
      </c>
      <c r="J11" s="988" t="s">
        <v>662</v>
      </c>
      <c r="K11" s="305"/>
      <c r="L11" s="370"/>
      <c r="M11" s="315"/>
      <c r="N11" s="315"/>
      <c r="O11" s="315"/>
      <c r="P11" s="315"/>
      <c r="Q11" s="315"/>
      <c r="R11" s="315"/>
    </row>
    <row r="12" spans="2:18" ht="21" customHeight="1">
      <c r="B12" s="87" t="s">
        <v>311</v>
      </c>
      <c r="C12" s="319" t="s">
        <v>3448</v>
      </c>
      <c r="D12" s="316"/>
      <c r="E12" s="316"/>
      <c r="F12" s="316"/>
      <c r="G12" s="316"/>
      <c r="H12" s="24"/>
      <c r="I12" s="367">
        <v>0</v>
      </c>
      <c r="J12" s="988" t="s">
        <v>662</v>
      </c>
      <c r="L12" s="315"/>
      <c r="M12" s="315"/>
      <c r="N12" s="315"/>
      <c r="O12" s="315"/>
      <c r="P12" s="315"/>
      <c r="Q12" s="315"/>
      <c r="R12" s="315"/>
    </row>
    <row r="13" spans="2:18" ht="21" customHeight="1">
      <c r="B13" s="87" t="s">
        <v>312</v>
      </c>
      <c r="C13" s="316" t="str">
        <f>"Deductions Allowed By Tax Collector "&amp;TEXT('KEY INPUTS'!D35,"0")&amp;" Taxes"</f>
        <v>Deductions Allowed By Tax Collector 2019 Taxes</v>
      </c>
      <c r="D13" s="316"/>
      <c r="E13" s="316"/>
      <c r="F13" s="316"/>
      <c r="G13" s="316"/>
      <c r="H13" s="24"/>
      <c r="I13" s="367">
        <v>0</v>
      </c>
      <c r="J13" s="575"/>
      <c r="K13" s="305"/>
      <c r="L13" s="315"/>
      <c r="M13" s="315"/>
      <c r="N13" s="315"/>
      <c r="O13" s="315"/>
      <c r="P13" s="315"/>
      <c r="Q13" s="315"/>
      <c r="R13" s="315"/>
    </row>
    <row r="14" spans="2:18" ht="21" customHeight="1">
      <c r="B14" s="87" t="s">
        <v>313</v>
      </c>
      <c r="C14" s="559"/>
      <c r="D14" s="559"/>
      <c r="E14" s="559"/>
      <c r="F14" s="559"/>
      <c r="G14" s="559"/>
      <c r="H14" s="565"/>
      <c r="I14" s="367"/>
      <c r="J14" s="575"/>
      <c r="L14" s="315"/>
      <c r="M14" s="315"/>
      <c r="N14" s="315"/>
      <c r="O14" s="315"/>
      <c r="P14" s="315"/>
      <c r="Q14" s="315"/>
      <c r="R14" s="315"/>
    </row>
    <row r="15" spans="2:18" ht="21" customHeight="1">
      <c r="B15" s="87" t="s">
        <v>314</v>
      </c>
      <c r="C15" s="319" t="s">
        <v>3450</v>
      </c>
      <c r="D15" s="5"/>
      <c r="E15" s="5"/>
      <c r="F15" s="5"/>
      <c r="G15" s="5"/>
      <c r="H15" s="24"/>
      <c r="I15" s="303" t="s">
        <v>662</v>
      </c>
      <c r="J15" s="575">
        <v>250</v>
      </c>
      <c r="L15" s="315"/>
      <c r="M15" s="315"/>
      <c r="N15" s="315"/>
      <c r="O15" s="315"/>
      <c r="P15" s="315"/>
      <c r="Q15" s="315"/>
      <c r="R15" s="315"/>
    </row>
    <row r="16" spans="2:18" ht="21" customHeight="1">
      <c r="B16" s="87" t="s">
        <v>409</v>
      </c>
      <c r="C16" s="296" t="s">
        <v>3449</v>
      </c>
      <c r="D16" s="5"/>
      <c r="E16" s="5"/>
      <c r="F16" s="5"/>
      <c r="G16" s="5"/>
      <c r="H16" s="24"/>
      <c r="I16" s="144" t="s">
        <v>662</v>
      </c>
      <c r="J16" s="575">
        <v>0</v>
      </c>
      <c r="L16" s="315"/>
      <c r="M16" s="315"/>
      <c r="N16" s="315"/>
      <c r="O16" s="315"/>
      <c r="P16" s="315"/>
      <c r="Q16" s="315"/>
      <c r="R16" s="315"/>
    </row>
    <row r="17" spans="2:18" ht="21" customHeight="1">
      <c r="B17" s="87" t="s">
        <v>410</v>
      </c>
      <c r="C17" s="5" t="s">
        <v>480</v>
      </c>
      <c r="D17" s="5"/>
      <c r="E17" s="5"/>
      <c r="F17" s="5"/>
      <c r="G17" s="5"/>
      <c r="H17" s="24"/>
      <c r="I17" s="144" t="s">
        <v>662</v>
      </c>
      <c r="J17" s="575">
        <v>18250</v>
      </c>
      <c r="L17" s="315"/>
      <c r="M17" s="315"/>
      <c r="N17" s="315"/>
      <c r="O17" s="315"/>
      <c r="P17" s="315"/>
      <c r="Q17" s="315"/>
      <c r="R17" s="315"/>
    </row>
    <row r="18" spans="2:18" ht="21" customHeight="1">
      <c r="B18" s="87" t="s">
        <v>411</v>
      </c>
      <c r="C18" s="559"/>
      <c r="D18" s="559"/>
      <c r="E18" s="559"/>
      <c r="F18" s="559"/>
      <c r="G18" s="559"/>
      <c r="H18" s="565"/>
      <c r="I18" s="367"/>
      <c r="J18" s="575"/>
      <c r="L18" s="315"/>
      <c r="M18" s="315"/>
      <c r="N18" s="315"/>
      <c r="O18" s="315"/>
      <c r="P18" s="315"/>
      <c r="Q18" s="315"/>
      <c r="R18" s="315"/>
    </row>
    <row r="19" spans="2:18" ht="21" customHeight="1">
      <c r="B19" s="87" t="s">
        <v>234</v>
      </c>
      <c r="C19" s="559"/>
      <c r="D19" s="559"/>
      <c r="E19" s="559"/>
      <c r="F19" s="559"/>
      <c r="G19" s="559"/>
      <c r="H19" s="565"/>
      <c r="I19" s="367"/>
      <c r="J19" s="575"/>
      <c r="L19" s="315"/>
      <c r="M19" s="315"/>
      <c r="N19" s="315"/>
      <c r="O19" s="315"/>
      <c r="P19" s="315"/>
      <c r="Q19" s="315"/>
      <c r="R19" s="315"/>
    </row>
    <row r="20" spans="2:18" ht="21" customHeight="1">
      <c r="B20" s="971" t="s">
        <v>236</v>
      </c>
      <c r="C20" s="376" t="str">
        <f>'KEY INPUTS'!D26</f>
        <v>Balance - December 31, 2020</v>
      </c>
      <c r="D20" s="376"/>
      <c r="E20" s="376"/>
      <c r="F20" s="376"/>
      <c r="G20" s="376"/>
      <c r="H20" s="377"/>
      <c r="I20" s="963" t="s">
        <v>662</v>
      </c>
      <c r="J20" s="972" t="s">
        <v>662</v>
      </c>
      <c r="K20" s="703">
        <f>SUM(I7:I20)-SUM(J7:J20)</f>
        <v>-786.25</v>
      </c>
      <c r="L20" s="701" t="s">
        <v>3414</v>
      </c>
      <c r="M20" s="315"/>
      <c r="N20" s="315"/>
      <c r="O20" s="315"/>
      <c r="P20" s="315"/>
      <c r="Q20" s="315"/>
      <c r="R20" s="315"/>
    </row>
    <row r="21" spans="2:18" ht="21" customHeight="1">
      <c r="B21" s="971"/>
      <c r="C21" s="376"/>
      <c r="D21" s="376" t="s">
        <v>286</v>
      </c>
      <c r="E21" s="376"/>
      <c r="F21" s="376"/>
      <c r="G21" s="376"/>
      <c r="H21" s="377"/>
      <c r="I21" s="963" t="s">
        <v>662</v>
      </c>
      <c r="J21" s="973">
        <f>IF(K20&gt;0,K20,0)</f>
        <v>0</v>
      </c>
      <c r="K21" s="706"/>
      <c r="L21" s="315"/>
      <c r="M21" s="315"/>
      <c r="N21" s="315"/>
      <c r="O21" s="315"/>
      <c r="P21" s="315"/>
      <c r="Q21" s="315"/>
      <c r="R21" s="315"/>
    </row>
    <row r="22" spans="2:18" ht="21" customHeight="1">
      <c r="B22" s="971"/>
      <c r="C22" s="376"/>
      <c r="D22" s="376" t="s">
        <v>287</v>
      </c>
      <c r="E22" s="376"/>
      <c r="F22" s="376"/>
      <c r="G22" s="376"/>
      <c r="H22" s="377"/>
      <c r="I22" s="965">
        <f>IF(K20&gt;0,0,K20)*-1</f>
        <v>786.25</v>
      </c>
      <c r="J22" s="972" t="s">
        <v>662</v>
      </c>
      <c r="K22" s="378"/>
      <c r="L22" s="315"/>
      <c r="M22" s="315"/>
      <c r="N22" s="315"/>
      <c r="O22" s="315"/>
      <c r="P22" s="315"/>
      <c r="Q22" s="315"/>
      <c r="R22" s="315"/>
    </row>
    <row r="23" spans="2:18" ht="21" customHeight="1" thickBot="1">
      <c r="B23" s="974"/>
      <c r="C23" s="844"/>
      <c r="D23" s="844"/>
      <c r="E23" s="844"/>
      <c r="F23" s="844"/>
      <c r="G23" s="844"/>
      <c r="H23" s="844"/>
      <c r="I23" s="852">
        <f>SUM(I7:I22)</f>
        <v>19786.25</v>
      </c>
      <c r="J23" s="975">
        <f>SUM(J7:J22)</f>
        <v>19786.25</v>
      </c>
      <c r="L23" s="315"/>
      <c r="M23" s="315"/>
      <c r="N23" s="315"/>
      <c r="O23" s="315"/>
      <c r="P23" s="315"/>
      <c r="Q23" s="315"/>
      <c r="R23" s="315"/>
    </row>
    <row r="24" spans="2:18" ht="13.8" thickTop="1">
      <c r="B24" s="85"/>
      <c r="L24" s="315"/>
      <c r="M24" s="315"/>
      <c r="N24" s="315"/>
      <c r="O24" s="315"/>
      <c r="P24" s="315"/>
      <c r="Q24" s="315"/>
      <c r="R24" s="315"/>
    </row>
    <row r="25" spans="2:18">
      <c r="B25" s="85"/>
      <c r="J25" s="221"/>
    </row>
    <row r="26" spans="2:18">
      <c r="B26" s="85"/>
    </row>
    <row r="27" spans="2:18">
      <c r="B27" s="85"/>
    </row>
    <row r="28" spans="2:18">
      <c r="B28" s="85"/>
    </row>
    <row r="29" spans="2:18">
      <c r="B29" s="97" t="s">
        <v>8</v>
      </c>
    </row>
    <row r="30" spans="2:18">
      <c r="B30" s="288" t="str">
        <f>TEXT('KEY INPUTS'!D34,"0")&amp;" Senior Citizens and Veterans Deductions Allowed"</f>
        <v>2020 Senior Citizens and Veterans Deductions Allowed</v>
      </c>
    </row>
    <row r="31" spans="2:18">
      <c r="B31" s="85"/>
      <c r="G31" s="42"/>
    </row>
    <row r="32" spans="2:18" ht="21" customHeight="1">
      <c r="B32" s="97" t="s">
        <v>10</v>
      </c>
      <c r="G32" s="67">
        <f>+I10</f>
        <v>2500</v>
      </c>
    </row>
    <row r="33" spans="2:7" ht="21" customHeight="1">
      <c r="B33" s="97" t="s">
        <v>11</v>
      </c>
      <c r="G33" s="69">
        <f>+I11</f>
        <v>16500</v>
      </c>
    </row>
    <row r="34" spans="2:7" ht="21" customHeight="1" thickBot="1">
      <c r="B34" s="98" t="s">
        <v>12</v>
      </c>
      <c r="G34" s="211">
        <f>+I12</f>
        <v>0</v>
      </c>
    </row>
    <row r="35" spans="2:7" ht="21" customHeight="1">
      <c r="B35" s="98" t="s">
        <v>13</v>
      </c>
      <c r="G35" s="67">
        <f>SUM(G32:G34)</f>
        <v>19000</v>
      </c>
    </row>
    <row r="36" spans="2:7" ht="21" customHeight="1" thickBot="1">
      <c r="B36" s="98" t="s">
        <v>14</v>
      </c>
      <c r="G36" s="211">
        <f>+J15</f>
        <v>250</v>
      </c>
    </row>
    <row r="37" spans="2:7" ht="21" customHeight="1" thickBot="1">
      <c r="B37" s="98" t="s">
        <v>15</v>
      </c>
      <c r="G37" s="84">
        <f>+G35-G36</f>
        <v>18750</v>
      </c>
    </row>
    <row r="38" spans="2:7" ht="13.8" thickTop="1"/>
    <row r="54" spans="2:10" ht="13.8">
      <c r="B54" s="1545" t="s">
        <v>9</v>
      </c>
      <c r="C54" s="1545"/>
      <c r="D54" s="1545"/>
      <c r="E54" s="1545"/>
      <c r="F54" s="1545"/>
      <c r="G54" s="1545"/>
      <c r="H54" s="1545"/>
      <c r="I54" s="1545"/>
      <c r="J54" s="1545"/>
    </row>
  </sheetData>
  <sheetProtection password="CAF9" sheet="1" objects="1" scenarios="1"/>
  <mergeCells count="3">
    <mergeCell ref="B3:J3"/>
    <mergeCell ref="B4:J4"/>
    <mergeCell ref="B54:J54"/>
  </mergeCells>
  <phoneticPr fontId="0" type="noConversion"/>
  <pageMargins left="0.25" right="0.25" top="0.5" bottom="0.5" header="0.25" footer="0.25"/>
  <pageSetup paperSize="5" orientation="portrait" r:id="rId1"/>
  <headerFooter alignWithMargins="0"/>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3"/>
  <dimension ref="B3:S60"/>
  <sheetViews>
    <sheetView zoomScaleNormal="100" workbookViewId="0">
      <selection activeCell="G30" sqref="G30"/>
    </sheetView>
  </sheetViews>
  <sheetFormatPr defaultRowHeight="13.2"/>
  <cols>
    <col min="1" max="1" width="3.6640625" customWidth="1"/>
    <col min="2" max="4" width="4.6640625" customWidth="1"/>
    <col min="5" max="5" width="5.6640625" customWidth="1"/>
    <col min="7" max="7" width="15.88671875" customWidth="1"/>
    <col min="8" max="8" width="14.6640625" customWidth="1"/>
    <col min="9" max="10" width="16.6640625" customWidth="1"/>
  </cols>
  <sheetData>
    <row r="3" spans="2:19" ht="20.399999999999999">
      <c r="B3" s="1546" t="s">
        <v>21</v>
      </c>
      <c r="C3" s="1546"/>
      <c r="D3" s="1546"/>
      <c r="E3" s="1546"/>
      <c r="F3" s="1546"/>
      <c r="G3" s="1546"/>
      <c r="H3" s="1546"/>
      <c r="I3" s="1546"/>
      <c r="J3" s="1546"/>
    </row>
    <row r="4" spans="2:19" ht="20.399999999999999">
      <c r="B4" s="1546" t="s">
        <v>20</v>
      </c>
      <c r="C4" s="1546"/>
      <c r="D4" s="1546"/>
      <c r="E4" s="1546"/>
      <c r="F4" s="1546"/>
      <c r="G4" s="1546"/>
      <c r="H4" s="1546"/>
      <c r="I4" s="1546"/>
      <c r="J4" s="1546"/>
    </row>
    <row r="5" spans="2:19" ht="13.8" thickBot="1"/>
    <row r="6" spans="2:19" ht="27.9" customHeight="1" thickTop="1" thickBot="1">
      <c r="B6" s="1029"/>
      <c r="C6" s="1029"/>
      <c r="D6" s="1029"/>
      <c r="E6" s="1029"/>
      <c r="F6" s="1029"/>
      <c r="G6" s="1029"/>
      <c r="H6" s="1029"/>
      <c r="I6" s="957" t="s">
        <v>101</v>
      </c>
      <c r="J6" s="1027" t="s">
        <v>102</v>
      </c>
    </row>
    <row r="7" spans="2:19" ht="21" customHeight="1" thickTop="1">
      <c r="B7" s="374" t="str">
        <f>'KEY INPUTS'!D25</f>
        <v>Balance - January 1, 2020</v>
      </c>
      <c r="C7" s="374"/>
      <c r="D7" s="374"/>
      <c r="E7" s="374"/>
      <c r="F7" s="374"/>
      <c r="G7" s="374"/>
      <c r="H7" s="375"/>
      <c r="I7" s="1028" t="s">
        <v>726</v>
      </c>
      <c r="J7" s="1030">
        <f>H8+H9</f>
        <v>0</v>
      </c>
    </row>
    <row r="8" spans="2:19" ht="21" customHeight="1">
      <c r="B8" s="376"/>
      <c r="C8" s="376" t="s">
        <v>483</v>
      </c>
      <c r="D8" s="376"/>
      <c r="E8" s="376"/>
      <c r="F8" s="376"/>
      <c r="G8" s="376"/>
      <c r="H8" s="367">
        <v>0</v>
      </c>
      <c r="I8" s="1023" t="s">
        <v>726</v>
      </c>
      <c r="J8" s="1022" t="s">
        <v>662</v>
      </c>
    </row>
    <row r="9" spans="2:19" ht="21" customHeight="1">
      <c r="B9" s="376"/>
      <c r="C9" s="376" t="s">
        <v>484</v>
      </c>
      <c r="D9" s="376"/>
      <c r="E9" s="376"/>
      <c r="F9" s="376"/>
      <c r="G9" s="376"/>
      <c r="H9" s="367">
        <v>0</v>
      </c>
      <c r="I9" s="1023" t="s">
        <v>726</v>
      </c>
      <c r="J9" s="1022" t="s">
        <v>662</v>
      </c>
      <c r="M9" s="315"/>
      <c r="N9" s="315"/>
      <c r="O9" s="315"/>
      <c r="P9" s="315"/>
      <c r="Q9" s="315"/>
      <c r="R9" s="315"/>
      <c r="S9" s="315"/>
    </row>
    <row r="10" spans="2:19" ht="24.75" customHeight="1">
      <c r="B10" s="1671" t="str">
        <f>"Contested Amount of "&amp;TEXT('KEY INPUTS'!D34,"0")&amp;" Taxes Collected which are Pending State Appeal (Item 14, Sheet 22)"</f>
        <v>Contested Amount of 2020 Taxes Collected which are Pending State Appeal (Item 14, Sheet 22)</v>
      </c>
      <c r="C10" s="1671"/>
      <c r="D10" s="1671"/>
      <c r="E10" s="1671"/>
      <c r="F10" s="1671"/>
      <c r="G10" s="1671"/>
      <c r="H10" s="377"/>
      <c r="I10" s="1023" t="s">
        <v>726</v>
      </c>
      <c r="J10" s="575">
        <v>0</v>
      </c>
      <c r="M10" s="315"/>
      <c r="N10" s="315"/>
      <c r="O10" s="315"/>
      <c r="P10" s="315"/>
      <c r="Q10" s="315"/>
      <c r="R10" s="315"/>
      <c r="S10" s="315"/>
    </row>
    <row r="11" spans="2:19" ht="21" customHeight="1">
      <c r="B11" s="376" t="s">
        <v>485</v>
      </c>
      <c r="C11" s="376"/>
      <c r="D11" s="376"/>
      <c r="E11" s="376"/>
      <c r="F11" s="376"/>
      <c r="G11" s="376"/>
      <c r="H11" s="377"/>
      <c r="I11" s="1023" t="s">
        <v>726</v>
      </c>
      <c r="J11" s="575">
        <v>0</v>
      </c>
      <c r="M11" s="370"/>
      <c r="N11" s="315"/>
      <c r="O11" s="315"/>
      <c r="P11" s="315"/>
      <c r="Q11" s="315"/>
      <c r="R11" s="315"/>
      <c r="S11" s="315"/>
    </row>
    <row r="12" spans="2:19" ht="21" customHeight="1">
      <c r="B12" s="559"/>
      <c r="C12" s="559"/>
      <c r="D12" s="559"/>
      <c r="E12" s="559"/>
      <c r="F12" s="559"/>
      <c r="G12" s="559"/>
      <c r="H12" s="565"/>
      <c r="I12" s="367"/>
      <c r="J12" s="575"/>
      <c r="M12" s="315"/>
      <c r="N12" s="315"/>
      <c r="O12" s="315"/>
      <c r="P12" s="315"/>
      <c r="Q12" s="315"/>
      <c r="R12" s="315"/>
      <c r="S12" s="315"/>
    </row>
    <row r="13" spans="2:19" ht="21" customHeight="1">
      <c r="B13" s="5" t="s">
        <v>90</v>
      </c>
      <c r="C13" s="5"/>
      <c r="D13" s="5"/>
      <c r="E13" s="5"/>
      <c r="F13" s="5"/>
      <c r="G13" s="5"/>
      <c r="H13" s="24"/>
      <c r="I13" s="367"/>
      <c r="J13" s="1022" t="s">
        <v>662</v>
      </c>
      <c r="M13" s="315"/>
      <c r="N13" s="315"/>
      <c r="O13" s="315"/>
      <c r="P13" s="315"/>
      <c r="Q13" s="315"/>
      <c r="R13" s="315"/>
      <c r="S13" s="315"/>
    </row>
    <row r="14" spans="2:19" ht="11.25" customHeight="1">
      <c r="B14" s="7" t="s">
        <v>486</v>
      </c>
      <c r="C14" s="7"/>
      <c r="D14" s="7"/>
      <c r="E14" s="7"/>
      <c r="F14" s="7"/>
      <c r="G14" s="7"/>
      <c r="H14" s="83"/>
      <c r="I14" s="1026"/>
      <c r="J14" s="1024"/>
      <c r="M14" s="315"/>
      <c r="N14" s="315"/>
      <c r="O14" s="315"/>
      <c r="P14" s="315"/>
      <c r="Q14" s="315"/>
      <c r="R14" s="315"/>
      <c r="S14" s="315"/>
    </row>
    <row r="15" spans="2:19" ht="12.75" customHeight="1">
      <c r="B15" s="30" t="s">
        <v>487</v>
      </c>
      <c r="C15" s="30"/>
      <c r="D15" s="30"/>
      <c r="E15" s="30"/>
      <c r="F15" s="30"/>
      <c r="G15" s="30"/>
      <c r="H15" s="102"/>
      <c r="I15" s="367"/>
      <c r="J15" s="1025" t="s">
        <v>662</v>
      </c>
      <c r="M15" s="315"/>
      <c r="N15" s="315"/>
      <c r="O15" s="315"/>
      <c r="P15" s="315"/>
      <c r="Q15" s="315"/>
      <c r="R15" s="315"/>
      <c r="S15" s="315"/>
    </row>
    <row r="16" spans="2:19" ht="21" customHeight="1">
      <c r="B16" s="559"/>
      <c r="C16" s="559"/>
      <c r="D16" s="559"/>
      <c r="E16" s="559"/>
      <c r="F16" s="559"/>
      <c r="G16" s="559"/>
      <c r="H16" s="565"/>
      <c r="I16" s="367"/>
      <c r="J16" s="575"/>
      <c r="M16" s="315"/>
      <c r="N16" s="315"/>
      <c r="O16" s="315"/>
      <c r="P16" s="315"/>
      <c r="Q16" s="315"/>
      <c r="R16" s="315"/>
      <c r="S16" s="315"/>
    </row>
    <row r="17" spans="2:19" ht="21" customHeight="1">
      <c r="B17" s="376" t="str">
        <f>'KEY INPUTS'!D26</f>
        <v>Balance - December 31, 2020</v>
      </c>
      <c r="C17" s="376"/>
      <c r="D17" s="376"/>
      <c r="E17" s="376"/>
      <c r="F17" s="376"/>
      <c r="G17" s="376"/>
      <c r="H17" s="377"/>
      <c r="I17" s="965">
        <f>H18+H19</f>
        <v>0</v>
      </c>
      <c r="J17" s="1022" t="s">
        <v>662</v>
      </c>
      <c r="M17" s="315"/>
      <c r="N17" s="315"/>
      <c r="O17" s="315"/>
      <c r="P17" s="315"/>
      <c r="Q17" s="315"/>
      <c r="R17" s="315"/>
      <c r="S17" s="315"/>
    </row>
    <row r="18" spans="2:19" ht="21" customHeight="1">
      <c r="B18" s="376"/>
      <c r="C18" s="376" t="s">
        <v>488</v>
      </c>
      <c r="D18" s="376"/>
      <c r="E18" s="376"/>
      <c r="F18" s="376"/>
      <c r="G18" s="376"/>
      <c r="H18" s="367">
        <v>0</v>
      </c>
      <c r="I18" s="1023" t="s">
        <v>662</v>
      </c>
      <c r="J18" s="1022" t="s">
        <v>662</v>
      </c>
      <c r="M18" s="315"/>
      <c r="N18" s="315"/>
      <c r="O18" s="315"/>
      <c r="P18" s="315"/>
      <c r="Q18" s="315"/>
      <c r="R18" s="315"/>
      <c r="S18" s="315"/>
    </row>
    <row r="19" spans="2:19" ht="21" customHeight="1">
      <c r="B19" s="376"/>
      <c r="C19" s="376" t="s">
        <v>484</v>
      </c>
      <c r="D19" s="376"/>
      <c r="E19" s="376"/>
      <c r="F19" s="376"/>
      <c r="G19" s="376"/>
      <c r="H19" s="367">
        <v>0</v>
      </c>
      <c r="I19" s="1023" t="s">
        <v>662</v>
      </c>
      <c r="J19" s="1022" t="s">
        <v>662</v>
      </c>
      <c r="M19" s="315"/>
      <c r="N19" s="315"/>
      <c r="O19" s="315"/>
      <c r="P19" s="315"/>
      <c r="Q19" s="315"/>
      <c r="R19" s="315"/>
      <c r="S19" s="315"/>
    </row>
    <row r="20" spans="2:19" ht="21" customHeight="1" thickBot="1">
      <c r="B20" t="s">
        <v>489</v>
      </c>
      <c r="I20" s="852">
        <f>SUM(I7:I19)</f>
        <v>0</v>
      </c>
      <c r="J20" s="975">
        <f>SUM(J7:J19)</f>
        <v>0</v>
      </c>
      <c r="M20" s="315"/>
      <c r="N20" s="315"/>
      <c r="O20" s="315"/>
      <c r="P20" s="315"/>
      <c r="Q20" s="315"/>
      <c r="R20" s="315"/>
      <c r="S20" s="315"/>
    </row>
    <row r="21" spans="2:19" ht="13.8" thickTop="1">
      <c r="B21" s="273" t="str">
        <f>"   Appeals Not Adjusted by December 31, "&amp;TEXT('KEY INPUTS'!D34,"0")</f>
        <v xml:space="preserve">   Appeals Not Adjusted by December 31, 2020</v>
      </c>
      <c r="M21" s="315"/>
      <c r="N21" s="315"/>
      <c r="O21" s="315"/>
      <c r="P21" s="315"/>
      <c r="Q21" s="315"/>
      <c r="R21" s="315"/>
      <c r="S21" s="315"/>
    </row>
    <row r="22" spans="2:19">
      <c r="M22" s="315"/>
      <c r="N22" s="315"/>
      <c r="O22" s="315"/>
      <c r="P22" s="315"/>
      <c r="Q22" s="315"/>
      <c r="R22" s="315"/>
      <c r="S22" s="315"/>
    </row>
    <row r="23" spans="2:19">
      <c r="M23" s="315"/>
      <c r="N23" s="315"/>
      <c r="O23" s="315"/>
      <c r="P23" s="315"/>
      <c r="Q23" s="315"/>
      <c r="R23" s="315"/>
      <c r="S23" s="315"/>
    </row>
    <row r="24" spans="2:19">
      <c r="M24" s="315"/>
      <c r="N24" s="315"/>
      <c r="O24" s="315"/>
      <c r="P24" s="315"/>
      <c r="Q24" s="315"/>
      <c r="R24" s="315"/>
      <c r="S24" s="315"/>
    </row>
    <row r="25" spans="2:19">
      <c r="C25" s="1573" t="s">
        <v>3671</v>
      </c>
      <c r="D25" s="1570"/>
      <c r="E25" s="1570"/>
      <c r="F25" s="1570"/>
      <c r="G25" s="1570"/>
    </row>
    <row r="26" spans="2:19">
      <c r="C26" s="1581" t="s">
        <v>16</v>
      </c>
      <c r="D26" s="1581"/>
      <c r="E26" s="1581"/>
      <c r="F26" s="1581"/>
      <c r="G26" s="1581"/>
    </row>
    <row r="29" spans="2:19">
      <c r="C29" s="1573" t="s">
        <v>3672</v>
      </c>
      <c r="D29" s="1570"/>
      <c r="E29" s="1570"/>
      <c r="G29" s="1541">
        <v>44219</v>
      </c>
    </row>
    <row r="30" spans="2:19">
      <c r="C30" s="1581" t="s">
        <v>17</v>
      </c>
      <c r="D30" s="1581"/>
      <c r="E30" s="1581"/>
      <c r="G30" s="1" t="s">
        <v>18</v>
      </c>
    </row>
    <row r="60" spans="2:10" ht="13.8">
      <c r="B60" s="1545" t="s">
        <v>19</v>
      </c>
      <c r="C60" s="1545"/>
      <c r="D60" s="1545"/>
      <c r="E60" s="1545"/>
      <c r="F60" s="1545"/>
      <c r="G60" s="1545"/>
      <c r="H60" s="1545"/>
      <c r="I60" s="1545"/>
      <c r="J60" s="1545"/>
    </row>
  </sheetData>
  <sheetProtection password="CAF9" sheet="1" objects="1" scenarios="1"/>
  <mergeCells count="8">
    <mergeCell ref="B60:J60"/>
    <mergeCell ref="B3:J3"/>
    <mergeCell ref="B4:J4"/>
    <mergeCell ref="C26:G26"/>
    <mergeCell ref="C30:E30"/>
    <mergeCell ref="B10:G10"/>
    <mergeCell ref="C25:G25"/>
    <mergeCell ref="C29:E29"/>
  </mergeCells>
  <phoneticPr fontId="0" type="noConversion"/>
  <pageMargins left="0.25" right="0.25" top="0.5" bottom="0.5" header="0.25" footer="0.25"/>
  <pageSetup paperSize="5" orientation="portrait" r:id="rId1"/>
  <headerFooter alignWithMargins="0"/>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4"/>
  <dimension ref="B2:S80"/>
  <sheetViews>
    <sheetView topLeftCell="A16" zoomScaleNormal="100" workbookViewId="0">
      <selection activeCell="K27" sqref="K27"/>
    </sheetView>
  </sheetViews>
  <sheetFormatPr defaultRowHeight="13.2"/>
  <cols>
    <col min="1" max="1" width="4.6640625" customWidth="1"/>
    <col min="2" max="2" width="3.5546875" customWidth="1"/>
    <col min="3" max="3" width="4.6640625" customWidth="1"/>
    <col min="4" max="4" width="2.6640625" customWidth="1"/>
    <col min="5" max="5" width="4.6640625" customWidth="1"/>
    <col min="6" max="6" width="7.44140625" customWidth="1"/>
    <col min="7" max="8" width="11.6640625" customWidth="1"/>
    <col min="9" max="9" width="14.6640625" customWidth="1"/>
    <col min="10" max="10" width="2.6640625" customWidth="1"/>
    <col min="11" max="11" width="14.6640625" customWidth="1"/>
    <col min="12" max="12" width="2.6640625" customWidth="1"/>
    <col min="13" max="13" width="14.6640625" customWidth="1"/>
    <col min="14" max="14" width="13.5546875" bestFit="1" customWidth="1"/>
    <col min="15" max="15" width="11.44140625" bestFit="1" customWidth="1"/>
    <col min="19" max="19" width="9.33203125" bestFit="1" customWidth="1"/>
  </cols>
  <sheetData>
    <row r="2" spans="2:15" ht="20.399999999999999">
      <c r="B2" s="1546" t="s">
        <v>63</v>
      </c>
      <c r="C2" s="1546"/>
      <c r="D2" s="1546"/>
      <c r="E2" s="1546"/>
      <c r="F2" s="1546"/>
      <c r="G2" s="1546"/>
      <c r="H2" s="1546"/>
      <c r="I2" s="1546"/>
      <c r="J2" s="1546"/>
      <c r="K2" s="1546"/>
      <c r="L2" s="1546"/>
      <c r="M2" s="1546"/>
      <c r="N2" s="701"/>
    </row>
    <row r="3" spans="2:15" ht="13.8" thickBot="1"/>
    <row r="4" spans="2:15" ht="33.9" customHeight="1" thickTop="1" thickBot="1">
      <c r="B4" s="61"/>
      <c r="C4" s="61"/>
      <c r="D4" s="61"/>
      <c r="E4" s="61"/>
      <c r="F4" s="61"/>
      <c r="G4" s="61"/>
      <c r="H4" s="61"/>
      <c r="I4" s="61"/>
      <c r="J4" s="1672" t="s">
        <v>101</v>
      </c>
      <c r="K4" s="1590"/>
      <c r="L4" s="1672" t="s">
        <v>102</v>
      </c>
      <c r="M4" s="1589"/>
    </row>
    <row r="5" spans="2:15" ht="21.9" customHeight="1" thickTop="1">
      <c r="B5" s="86" t="s">
        <v>308</v>
      </c>
      <c r="C5" s="276" t="str">
        <f>'KEY INPUTS'!D25</f>
        <v>Balance - January 1, 2020</v>
      </c>
      <c r="D5" s="276"/>
      <c r="E5" s="276"/>
      <c r="F5" s="276"/>
      <c r="G5" s="276"/>
      <c r="H5" s="276"/>
      <c r="I5" s="23"/>
      <c r="J5" s="64"/>
      <c r="K5" s="710">
        <f>I6+I7</f>
        <v>126022.93</v>
      </c>
      <c r="L5" s="64"/>
      <c r="M5" s="124" t="s">
        <v>662</v>
      </c>
      <c r="O5" s="284"/>
    </row>
    <row r="6" spans="2:15" ht="21.9" customHeight="1">
      <c r="B6" s="87"/>
      <c r="C6" s="316"/>
      <c r="D6" s="316" t="s">
        <v>64</v>
      </c>
      <c r="E6" s="316" t="s">
        <v>65</v>
      </c>
      <c r="F6" s="316"/>
      <c r="G6" s="316"/>
      <c r="H6" s="49"/>
      <c r="I6" s="367">
        <v>126022.93</v>
      </c>
      <c r="J6" s="69"/>
      <c r="K6" s="989" t="s">
        <v>662</v>
      </c>
      <c r="L6" s="69"/>
      <c r="M6" s="125" t="s">
        <v>662</v>
      </c>
      <c r="N6" s="221"/>
    </row>
    <row r="7" spans="2:15" ht="21.9" customHeight="1">
      <c r="B7" s="87"/>
      <c r="C7" s="316"/>
      <c r="D7" s="316" t="s">
        <v>66</v>
      </c>
      <c r="E7" s="316" t="s">
        <v>832</v>
      </c>
      <c r="F7" s="316"/>
      <c r="G7" s="316"/>
      <c r="H7" s="49"/>
      <c r="I7" s="367">
        <v>0</v>
      </c>
      <c r="J7" s="69"/>
      <c r="K7" s="989" t="s">
        <v>662</v>
      </c>
      <c r="L7" s="69"/>
      <c r="M7" s="125" t="s">
        <v>662</v>
      </c>
      <c r="N7" s="221"/>
    </row>
    <row r="8" spans="2:15" ht="21.9" customHeight="1">
      <c r="B8" s="87" t="s">
        <v>309</v>
      </c>
      <c r="C8" s="316" t="s">
        <v>67</v>
      </c>
      <c r="D8" s="316"/>
      <c r="E8" s="316"/>
      <c r="F8" s="316"/>
      <c r="G8" s="316"/>
      <c r="H8" s="316"/>
      <c r="I8" s="24"/>
      <c r="J8" s="69"/>
      <c r="K8" s="989" t="s">
        <v>662</v>
      </c>
      <c r="L8" s="69"/>
      <c r="M8" s="125" t="s">
        <v>662</v>
      </c>
    </row>
    <row r="9" spans="2:15" ht="21.9" customHeight="1">
      <c r="B9" s="87"/>
      <c r="C9" s="316"/>
      <c r="D9" s="316" t="s">
        <v>64</v>
      </c>
      <c r="E9" s="316" t="s">
        <v>65</v>
      </c>
      <c r="F9" s="316"/>
      <c r="G9" s="316"/>
      <c r="H9" s="316"/>
      <c r="I9" s="75"/>
      <c r="J9" s="69"/>
      <c r="K9" s="989" t="s">
        <v>662</v>
      </c>
      <c r="L9" s="69"/>
      <c r="M9" s="573">
        <v>0</v>
      </c>
    </row>
    <row r="10" spans="2:15" ht="21.9" customHeight="1">
      <c r="B10" s="87"/>
      <c r="C10" s="316"/>
      <c r="D10" s="316" t="s">
        <v>66</v>
      </c>
      <c r="E10" s="316" t="s">
        <v>832</v>
      </c>
      <c r="F10" s="316"/>
      <c r="G10" s="316"/>
      <c r="H10" s="316"/>
      <c r="I10" s="75"/>
      <c r="J10" s="69"/>
      <c r="K10" s="989" t="s">
        <v>662</v>
      </c>
      <c r="L10" s="69"/>
      <c r="M10" s="573">
        <v>0</v>
      </c>
    </row>
    <row r="11" spans="2:15" ht="21.9" customHeight="1">
      <c r="B11" s="87" t="s">
        <v>310</v>
      </c>
      <c r="C11" s="316" t="s">
        <v>515</v>
      </c>
      <c r="D11" s="316"/>
      <c r="E11" s="316"/>
      <c r="F11" s="316"/>
      <c r="G11" s="316"/>
      <c r="H11" s="316"/>
      <c r="I11" s="24"/>
      <c r="J11" s="69"/>
      <c r="K11" s="989" t="s">
        <v>662</v>
      </c>
      <c r="L11" s="69"/>
      <c r="M11" s="125" t="s">
        <v>662</v>
      </c>
    </row>
    <row r="12" spans="2:15" ht="21.9" customHeight="1">
      <c r="B12" s="87"/>
      <c r="C12" s="316"/>
      <c r="D12" s="316" t="s">
        <v>64</v>
      </c>
      <c r="E12" s="316" t="s">
        <v>65</v>
      </c>
      <c r="F12" s="316"/>
      <c r="G12" s="316"/>
      <c r="H12" s="316"/>
      <c r="I12" s="75"/>
      <c r="J12" s="69"/>
      <c r="K12" s="989" t="s">
        <v>662</v>
      </c>
      <c r="L12" s="69"/>
      <c r="M12" s="573">
        <v>0</v>
      </c>
    </row>
    <row r="13" spans="2:15" ht="21.9" customHeight="1">
      <c r="B13" s="87"/>
      <c r="C13" s="316"/>
      <c r="D13" s="316" t="s">
        <v>66</v>
      </c>
      <c r="E13" s="316" t="s">
        <v>832</v>
      </c>
      <c r="F13" s="316"/>
      <c r="G13" s="316"/>
      <c r="H13" s="316"/>
      <c r="I13" s="75"/>
      <c r="J13" s="69"/>
      <c r="K13" s="989" t="s">
        <v>662</v>
      </c>
      <c r="L13" s="69"/>
      <c r="M13" s="573">
        <v>0</v>
      </c>
    </row>
    <row r="14" spans="2:15" ht="21.9" customHeight="1">
      <c r="B14" s="87" t="s">
        <v>311</v>
      </c>
      <c r="C14" s="316" t="s">
        <v>516</v>
      </c>
      <c r="D14" s="316"/>
      <c r="E14" s="316"/>
      <c r="F14" s="316"/>
      <c r="G14" s="316"/>
      <c r="H14" s="316"/>
      <c r="I14" s="75"/>
      <c r="J14" s="69"/>
      <c r="K14" s="574">
        <v>0</v>
      </c>
      <c r="L14" s="69"/>
      <c r="M14" s="125" t="s">
        <v>662</v>
      </c>
    </row>
    <row r="15" spans="2:15" ht="21.9" customHeight="1">
      <c r="B15" s="87" t="s">
        <v>312</v>
      </c>
      <c r="C15" s="316" t="s">
        <v>517</v>
      </c>
      <c r="D15" s="316"/>
      <c r="E15" s="316"/>
      <c r="F15" s="316"/>
      <c r="G15" s="316"/>
      <c r="H15" s="316"/>
      <c r="I15" s="75"/>
      <c r="J15" s="69"/>
      <c r="K15" s="574">
        <v>0</v>
      </c>
      <c r="L15" s="69"/>
      <c r="M15" s="125" t="s">
        <v>662</v>
      </c>
    </row>
    <row r="16" spans="2:15" ht="21.9" customHeight="1">
      <c r="B16" s="87" t="s">
        <v>313</v>
      </c>
      <c r="C16" s="1669" t="s">
        <v>256</v>
      </c>
      <c r="D16" s="1669"/>
      <c r="E16" s="1669"/>
      <c r="F16" s="1669"/>
      <c r="G16" s="1669"/>
      <c r="H16" s="1669"/>
      <c r="I16" s="1673"/>
      <c r="J16" s="69"/>
      <c r="K16" s="989" t="s">
        <v>662</v>
      </c>
      <c r="L16" s="69"/>
      <c r="M16" s="573">
        <v>0</v>
      </c>
    </row>
    <row r="17" spans="2:19" ht="21.9" customHeight="1">
      <c r="B17" s="87"/>
      <c r="C17" s="316"/>
      <c r="D17" s="316" t="s">
        <v>64</v>
      </c>
      <c r="E17" s="316" t="s">
        <v>518</v>
      </c>
      <c r="F17" s="316"/>
      <c r="G17" s="316"/>
      <c r="H17" s="316"/>
      <c r="I17" s="75"/>
      <c r="J17" s="69"/>
      <c r="K17" s="989" t="s">
        <v>662</v>
      </c>
      <c r="L17" s="210" t="s">
        <v>520</v>
      </c>
      <c r="M17" s="573">
        <v>0</v>
      </c>
    </row>
    <row r="18" spans="2:19" ht="21.9" customHeight="1">
      <c r="B18" s="87"/>
      <c r="C18" s="316"/>
      <c r="D18" s="316" t="s">
        <v>66</v>
      </c>
      <c r="E18" s="316" t="s">
        <v>519</v>
      </c>
      <c r="F18" s="316"/>
      <c r="G18" s="316"/>
      <c r="H18" s="316"/>
      <c r="I18" s="75"/>
      <c r="J18" s="210" t="s">
        <v>520</v>
      </c>
      <c r="K18" s="110">
        <f>+M17</f>
        <v>0</v>
      </c>
      <c r="L18" s="69"/>
      <c r="M18" s="125" t="s">
        <v>662</v>
      </c>
    </row>
    <row r="19" spans="2:19" ht="21.9" customHeight="1" thickBot="1">
      <c r="B19" s="87" t="s">
        <v>314</v>
      </c>
      <c r="C19" s="316" t="s">
        <v>521</v>
      </c>
      <c r="D19" s="316"/>
      <c r="E19" s="316"/>
      <c r="F19" s="316"/>
      <c r="G19" s="316"/>
      <c r="H19" s="316"/>
      <c r="I19" s="24"/>
      <c r="J19" s="73"/>
      <c r="K19" s="990" t="s">
        <v>662</v>
      </c>
      <c r="L19" s="73"/>
      <c r="M19" s="73">
        <f>+K5+K14+K15+K18-M17-M16-M13-M12-M10-M9</f>
        <v>126022.93</v>
      </c>
    </row>
    <row r="20" spans="2:19" ht="21.9" customHeight="1" thickTop="1" thickBot="1">
      <c r="B20" s="87" t="s">
        <v>409</v>
      </c>
      <c r="C20" s="316"/>
      <c r="D20" s="316" t="s">
        <v>674</v>
      </c>
      <c r="E20" s="316"/>
      <c r="F20" s="316"/>
      <c r="G20" s="316"/>
      <c r="H20" s="316"/>
      <c r="I20" s="24"/>
      <c r="J20" s="111"/>
      <c r="K20" s="112">
        <f>SUM(K5:K19)</f>
        <v>126022.93</v>
      </c>
      <c r="L20" s="113"/>
      <c r="M20" s="113">
        <f>SUM(M5:M19)</f>
        <v>126022.93</v>
      </c>
    </row>
    <row r="21" spans="2:19" ht="21.9" customHeight="1" thickTop="1">
      <c r="B21" s="87" t="s">
        <v>410</v>
      </c>
      <c r="C21" s="316" t="s">
        <v>522</v>
      </c>
      <c r="D21" s="316"/>
      <c r="E21" s="316"/>
      <c r="F21" s="316"/>
      <c r="G21" s="316"/>
      <c r="H21" s="316"/>
      <c r="I21" s="24"/>
      <c r="J21" s="67"/>
      <c r="K21" s="109">
        <f>+M19</f>
        <v>126022.93</v>
      </c>
      <c r="L21" s="67"/>
      <c r="M21" s="126" t="s">
        <v>662</v>
      </c>
    </row>
    <row r="22" spans="2:19" ht="21.9" customHeight="1">
      <c r="B22" s="87" t="s">
        <v>411</v>
      </c>
      <c r="C22" s="316" t="s">
        <v>257</v>
      </c>
      <c r="D22" s="316"/>
      <c r="E22" s="316"/>
      <c r="F22" s="316"/>
      <c r="G22" s="316"/>
      <c r="H22" s="316"/>
      <c r="I22" s="24"/>
      <c r="J22" s="69"/>
      <c r="K22" s="989" t="s">
        <v>662</v>
      </c>
      <c r="L22" s="69"/>
      <c r="M22" s="69">
        <f>+I23+I24</f>
        <v>126022.93</v>
      </c>
      <c r="N22" s="318"/>
    </row>
    <row r="23" spans="2:19" ht="21.9" customHeight="1">
      <c r="B23" s="87"/>
      <c r="C23" s="316"/>
      <c r="D23" s="316" t="s">
        <v>64</v>
      </c>
      <c r="E23" s="316" t="s">
        <v>65</v>
      </c>
      <c r="F23" s="316"/>
      <c r="G23" s="316"/>
      <c r="H23" s="49"/>
      <c r="I23" s="367">
        <v>126022.93</v>
      </c>
      <c r="J23" s="69"/>
      <c r="K23" s="989" t="s">
        <v>662</v>
      </c>
      <c r="L23" s="69"/>
      <c r="M23" s="125" t="s">
        <v>662</v>
      </c>
      <c r="N23" s="221"/>
      <c r="O23" s="221"/>
      <c r="S23" s="221"/>
    </row>
    <row r="24" spans="2:19" ht="21.9" customHeight="1">
      <c r="B24" s="87"/>
      <c r="C24" s="316"/>
      <c r="D24" s="316" t="s">
        <v>66</v>
      </c>
      <c r="E24" s="316" t="s">
        <v>832</v>
      </c>
      <c r="F24" s="316"/>
      <c r="G24" s="316"/>
      <c r="H24" s="49"/>
      <c r="I24" s="367">
        <v>0</v>
      </c>
      <c r="J24" s="69"/>
      <c r="K24" s="989" t="s">
        <v>662</v>
      </c>
      <c r="L24" s="69"/>
      <c r="M24" s="125" t="s">
        <v>662</v>
      </c>
    </row>
    <row r="25" spans="2:19" ht="21.9" customHeight="1">
      <c r="B25" s="87" t="s">
        <v>234</v>
      </c>
      <c r="C25" s="316" t="str">
        <f>"Interest and Costs - "&amp;TEXT('KEY INPUTS'!D34,"0")&amp;" Tax Sale"</f>
        <v>Interest and Costs - 2020 Tax Sale</v>
      </c>
      <c r="D25" s="316"/>
      <c r="E25" s="316"/>
      <c r="F25" s="316"/>
      <c r="G25" s="316"/>
      <c r="H25" s="316"/>
      <c r="I25" s="75"/>
      <c r="J25" s="69"/>
      <c r="K25" s="574">
        <v>0</v>
      </c>
      <c r="L25" s="69"/>
      <c r="M25" s="125" t="s">
        <v>662</v>
      </c>
    </row>
    <row r="26" spans="2:19" ht="21.9" customHeight="1">
      <c r="B26" s="87" t="s">
        <v>236</v>
      </c>
      <c r="C26" s="316" t="str">
        <f>TEXT('KEY INPUTS'!D34,"0")&amp;" Taxes Transferred to Liens"</f>
        <v>2020 Taxes Transferred to Liens</v>
      </c>
      <c r="D26" s="316"/>
      <c r="E26" s="316"/>
      <c r="F26" s="316"/>
      <c r="G26" s="316"/>
      <c r="H26" s="316"/>
      <c r="I26" s="75"/>
      <c r="J26" s="69"/>
      <c r="K26" s="574">
        <v>0</v>
      </c>
      <c r="L26" s="69"/>
      <c r="M26" s="125" t="s">
        <v>662</v>
      </c>
    </row>
    <row r="27" spans="2:19" ht="21.9" customHeight="1">
      <c r="B27" s="87" t="s">
        <v>237</v>
      </c>
      <c r="C27" s="316" t="str">
        <f>TEXT('KEY INPUTS'!D34,"0")&amp;" Taxes"</f>
        <v>2020 Taxes</v>
      </c>
      <c r="D27" s="316"/>
      <c r="E27" s="316"/>
      <c r="F27" s="316"/>
      <c r="G27" s="316"/>
      <c r="H27" s="316"/>
      <c r="I27" s="75"/>
      <c r="J27" s="69"/>
      <c r="K27" s="711">
        <f>+'22-CY Levy'!N35+'22-CY Levy'!N22</f>
        <v>109620.21999999881</v>
      </c>
      <c r="L27" s="69"/>
      <c r="M27" s="125" t="s">
        <v>662</v>
      </c>
    </row>
    <row r="28" spans="2:19" ht="21.9" customHeight="1">
      <c r="B28" s="87" t="s">
        <v>597</v>
      </c>
      <c r="C28" s="316" t="str">
        <f>'KEY INPUTS'!D26</f>
        <v>Balance - December 31, 2020</v>
      </c>
      <c r="D28" s="316"/>
      <c r="E28" s="316"/>
      <c r="F28" s="316"/>
      <c r="G28" s="316"/>
      <c r="H28" s="316"/>
      <c r="I28" s="24"/>
      <c r="J28" s="69"/>
      <c r="K28" s="989" t="s">
        <v>662</v>
      </c>
      <c r="L28" s="69"/>
      <c r="M28" s="69">
        <f>+I29+I30</f>
        <v>109620.21999999881</v>
      </c>
    </row>
    <row r="29" spans="2:19" ht="21.9" customHeight="1">
      <c r="B29" s="87"/>
      <c r="C29" s="316"/>
      <c r="D29" s="316" t="s">
        <v>64</v>
      </c>
      <c r="E29" s="316" t="s">
        <v>65</v>
      </c>
      <c r="F29" s="316"/>
      <c r="G29" s="316"/>
      <c r="H29" s="49"/>
      <c r="I29" s="68">
        <f>+I6-M9-M12+K14-M17-I23+K27</f>
        <v>109620.21999999881</v>
      </c>
      <c r="J29" s="69"/>
      <c r="K29" s="989" t="s">
        <v>662</v>
      </c>
      <c r="L29" s="69"/>
      <c r="M29" s="125" t="s">
        <v>662</v>
      </c>
      <c r="N29" s="221"/>
    </row>
    <row r="30" spans="2:19" ht="21.9" customHeight="1">
      <c r="B30" s="87"/>
      <c r="C30" s="316"/>
      <c r="D30" s="316" t="s">
        <v>66</v>
      </c>
      <c r="E30" s="316" t="s">
        <v>832</v>
      </c>
      <c r="F30" s="316"/>
      <c r="G30" s="316"/>
      <c r="H30" s="49"/>
      <c r="I30" s="68">
        <f>+I7-M10-M13+K15+K18-I24+K25+K26</f>
        <v>0</v>
      </c>
      <c r="J30" s="69"/>
      <c r="K30" s="989" t="s">
        <v>662</v>
      </c>
      <c r="L30" s="69"/>
      <c r="M30" s="125" t="s">
        <v>662</v>
      </c>
      <c r="N30" s="221"/>
    </row>
    <row r="31" spans="2:19" ht="21.9" customHeight="1" thickBot="1">
      <c r="B31" s="85" t="s">
        <v>523</v>
      </c>
      <c r="C31" s="315"/>
      <c r="E31" t="s">
        <v>674</v>
      </c>
      <c r="I31" s="107"/>
      <c r="J31" s="80"/>
      <c r="K31" s="114">
        <f>SUM(K21:K30)</f>
        <v>235643.1499999988</v>
      </c>
      <c r="L31" s="115"/>
      <c r="M31" s="115">
        <f>SUM(M21:M30)</f>
        <v>235643.1499999988</v>
      </c>
      <c r="N31" s="221"/>
    </row>
    <row r="32" spans="2:19" ht="13.8" thickTop="1">
      <c r="B32" s="85"/>
      <c r="H32" s="221"/>
      <c r="I32" s="221"/>
      <c r="O32" s="221"/>
    </row>
    <row r="33" spans="2:13">
      <c r="B33" s="85"/>
      <c r="I33" s="221"/>
    </row>
    <row r="34" spans="2:13" ht="13.8" thickBot="1">
      <c r="B34" s="85" t="s">
        <v>524</v>
      </c>
      <c r="C34" t="s">
        <v>525</v>
      </c>
    </row>
    <row r="35" spans="2:13" ht="14.4" thickTop="1" thickBot="1">
      <c r="B35" s="85"/>
      <c r="C35" t="s">
        <v>526</v>
      </c>
      <c r="H35" s="1521">
        <f>IFERROR(ROUND(M22/K21,4),"NO ENTRY")</f>
        <v>1</v>
      </c>
    </row>
    <row r="36" spans="2:13" ht="14.4" thickTop="1" thickBot="1">
      <c r="B36" s="85"/>
    </row>
    <row r="37" spans="2:13" ht="14.4" thickTop="1" thickBot="1">
      <c r="B37" s="85" t="s">
        <v>527</v>
      </c>
      <c r="C37" s="317" t="s">
        <v>3598</v>
      </c>
      <c r="I37" s="1522">
        <f>IFERROR(H35*M28,"NO ENTRY")</f>
        <v>109620.21999999881</v>
      </c>
      <c r="J37" t="s">
        <v>528</v>
      </c>
      <c r="M37" s="246"/>
    </row>
    <row r="38" spans="2:13" ht="13.8" thickTop="1">
      <c r="B38" s="85"/>
      <c r="C38" t="str">
        <f>"maximum amount that may be anticipated in "&amp;'KEY INPUTS'!D33&amp;"."</f>
        <v>maximum amount that may be anticipated in 2021.</v>
      </c>
      <c r="I38" s="57"/>
    </row>
    <row r="39" spans="2:13">
      <c r="B39" s="85"/>
    </row>
    <row r="40" spans="2:13">
      <c r="B40" s="97" t="s">
        <v>258</v>
      </c>
    </row>
    <row r="41" spans="2:13">
      <c r="B41" s="85"/>
    </row>
    <row r="42" spans="2:13">
      <c r="B42" s="97" t="s">
        <v>812</v>
      </c>
    </row>
    <row r="43" spans="2:13">
      <c r="B43" s="97"/>
    </row>
    <row r="44" spans="2:13">
      <c r="B44" s="97"/>
    </row>
    <row r="45" spans="2:13">
      <c r="B45" s="97"/>
    </row>
    <row r="46" spans="2:13">
      <c r="B46" s="97"/>
    </row>
    <row r="47" spans="2:13">
      <c r="B47" s="97"/>
    </row>
    <row r="48" spans="2:13">
      <c r="B48" s="85"/>
    </row>
    <row r="49" spans="2:13" ht="13.8">
      <c r="B49" s="1609" t="s">
        <v>813</v>
      </c>
      <c r="C49" s="1609"/>
      <c r="D49" s="1609"/>
      <c r="E49" s="1609"/>
      <c r="F49" s="1609"/>
      <c r="G49" s="1609"/>
      <c r="H49" s="1609"/>
      <c r="I49" s="1609"/>
      <c r="J49" s="1609"/>
      <c r="K49" s="1609"/>
      <c r="L49" s="1609"/>
      <c r="M49" s="1609"/>
    </row>
    <row r="50" spans="2:13">
      <c r="B50" s="85"/>
    </row>
    <row r="51" spans="2:13">
      <c r="B51" s="85"/>
    </row>
    <row r="52" spans="2:13">
      <c r="B52" s="85"/>
    </row>
    <row r="53" spans="2:13">
      <c r="B53" s="85"/>
    </row>
    <row r="54" spans="2:13">
      <c r="B54" s="85"/>
    </row>
    <row r="55" spans="2:13">
      <c r="B55" s="85"/>
    </row>
    <row r="56" spans="2:13">
      <c r="B56" s="85"/>
    </row>
    <row r="57" spans="2:13">
      <c r="B57" s="85"/>
    </row>
    <row r="58" spans="2:13">
      <c r="B58" s="85"/>
    </row>
    <row r="59" spans="2:13">
      <c r="B59" s="85"/>
    </row>
    <row r="60" spans="2:13">
      <c r="B60" s="85"/>
    </row>
    <row r="61" spans="2:13">
      <c r="B61" s="85"/>
    </row>
    <row r="62" spans="2:13">
      <c r="B62" s="85"/>
    </row>
    <row r="63" spans="2:13">
      <c r="B63" s="85"/>
    </row>
    <row r="64" spans="2:13">
      <c r="B64" s="85"/>
    </row>
    <row r="65" spans="2:2">
      <c r="B65" s="85"/>
    </row>
    <row r="66" spans="2:2">
      <c r="B66" s="85"/>
    </row>
    <row r="67" spans="2:2">
      <c r="B67" s="85"/>
    </row>
    <row r="68" spans="2:2">
      <c r="B68" s="85"/>
    </row>
    <row r="69" spans="2:2">
      <c r="B69" s="85"/>
    </row>
    <row r="70" spans="2:2">
      <c r="B70" s="85"/>
    </row>
    <row r="71" spans="2:2">
      <c r="B71" s="85"/>
    </row>
    <row r="72" spans="2:2">
      <c r="B72" s="85"/>
    </row>
    <row r="73" spans="2:2">
      <c r="B73" s="85"/>
    </row>
    <row r="74" spans="2:2">
      <c r="B74" s="85"/>
    </row>
    <row r="75" spans="2:2">
      <c r="B75" s="85"/>
    </row>
    <row r="76" spans="2:2">
      <c r="B76" s="85"/>
    </row>
    <row r="77" spans="2:2">
      <c r="B77" s="85"/>
    </row>
    <row r="78" spans="2:2">
      <c r="B78" s="85"/>
    </row>
    <row r="79" spans="2:2">
      <c r="B79" s="85"/>
    </row>
    <row r="80" spans="2:2">
      <c r="B80" s="85"/>
    </row>
  </sheetData>
  <sheetProtection algorithmName="SHA-512" hashValue="DFX3fRkwsjbWyq+k+7Wo70I7z6ZKPs+RdPHxhIteRl2D6tL0Yk6TC2wQYgDIYFZeCtnUQbhmn42hxJut7qyl5g==" saltValue="4mQTcESECf+eqDEvlbewBw==" spinCount="100000" sheet="1" objects="1" scenarios="1"/>
  <mergeCells count="5">
    <mergeCell ref="B49:M49"/>
    <mergeCell ref="B2:M2"/>
    <mergeCell ref="J4:K4"/>
    <mergeCell ref="L4:M4"/>
    <mergeCell ref="C16:I16"/>
  </mergeCells>
  <phoneticPr fontId="0" type="noConversion"/>
  <pageMargins left="0.25" right="0.25" top="0.5" bottom="0.5" header="0.25" footer="0.25"/>
  <pageSetup paperSize="5" orientation="portrait" r:id="rId1"/>
  <headerFooter alignWithMargins="0"/>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5"/>
  <dimension ref="A2:V81"/>
  <sheetViews>
    <sheetView zoomScaleNormal="100" workbookViewId="0">
      <selection activeCell="K7" sqref="K7"/>
    </sheetView>
  </sheetViews>
  <sheetFormatPr defaultRowHeight="13.2"/>
  <cols>
    <col min="1" max="1" width="4.6640625" customWidth="1"/>
    <col min="2" max="2" width="3.5546875" customWidth="1"/>
    <col min="3" max="3" width="4.6640625" customWidth="1"/>
    <col min="4" max="4" width="2.6640625" customWidth="1"/>
    <col min="5" max="5" width="4.6640625" customWidth="1"/>
    <col min="6" max="6" width="7.44140625" customWidth="1"/>
    <col min="7" max="7" width="4.5546875" customWidth="1"/>
    <col min="8" max="8" width="1.88671875" customWidth="1"/>
    <col min="9" max="9" width="16.6640625" customWidth="1"/>
    <col min="10" max="10" width="14.6640625" customWidth="1"/>
    <col min="11" max="12" width="16.6640625" customWidth="1"/>
    <col min="14" max="14" width="12.88671875" bestFit="1" customWidth="1"/>
  </cols>
  <sheetData>
    <row r="2" spans="2:22" ht="20.399999999999999">
      <c r="B2" s="1546" t="s">
        <v>904</v>
      </c>
      <c r="C2" s="1546"/>
      <c r="D2" s="1546"/>
      <c r="E2" s="1546"/>
      <c r="F2" s="1546"/>
      <c r="G2" s="1546"/>
      <c r="H2" s="1546"/>
      <c r="I2" s="1546"/>
      <c r="J2" s="1546"/>
      <c r="K2" s="1546"/>
      <c r="L2" s="1546"/>
    </row>
    <row r="3" spans="2:22" ht="15.6">
      <c r="B3" s="1547" t="s">
        <v>905</v>
      </c>
      <c r="C3" s="1547"/>
      <c r="D3" s="1547"/>
      <c r="E3" s="1547"/>
      <c r="F3" s="1547"/>
      <c r="G3" s="1547"/>
      <c r="H3" s="1547"/>
      <c r="I3" s="1547"/>
      <c r="J3" s="1547"/>
      <c r="K3" s="1547"/>
      <c r="L3" s="1547"/>
    </row>
    <row r="4" spans="2:22" ht="11.25" customHeight="1" thickBot="1"/>
    <row r="5" spans="2:22" ht="21" customHeight="1" thickTop="1" thickBot="1">
      <c r="B5" s="1029"/>
      <c r="C5" s="1029"/>
      <c r="D5" s="1029"/>
      <c r="E5" s="1029"/>
      <c r="F5" s="1029"/>
      <c r="G5" s="1029"/>
      <c r="H5" s="1029"/>
      <c r="I5" s="1029"/>
      <c r="J5" s="1029"/>
      <c r="K5" s="957" t="s">
        <v>101</v>
      </c>
      <c r="L5" s="983" t="s">
        <v>102</v>
      </c>
    </row>
    <row r="6" spans="2:22" ht="21.9" customHeight="1" thickTop="1">
      <c r="B6" s="1033" t="s">
        <v>308</v>
      </c>
      <c r="C6" s="374" t="str">
        <f>'KEY INPUTS'!D25</f>
        <v>Balance - January 1, 2020</v>
      </c>
      <c r="D6" s="374"/>
      <c r="E6" s="374"/>
      <c r="F6" s="374"/>
      <c r="G6" s="374"/>
      <c r="H6" s="374"/>
      <c r="I6" s="374"/>
      <c r="J6" s="1034"/>
      <c r="K6" s="574">
        <v>162500</v>
      </c>
      <c r="L6" s="1031" t="s">
        <v>662</v>
      </c>
    </row>
    <row r="7" spans="2:22" ht="21.9" customHeight="1">
      <c r="B7" s="971" t="s">
        <v>309</v>
      </c>
      <c r="C7" s="376" t="str">
        <f>"Foreclosed or Deeded in "&amp;TEXT('KEY INPUTS'!D34,"0")</f>
        <v>Foreclosed or Deeded in 2020</v>
      </c>
      <c r="D7" s="376"/>
      <c r="E7" s="376"/>
      <c r="F7" s="376"/>
      <c r="G7" s="376"/>
      <c r="H7" s="376"/>
      <c r="I7" s="376"/>
      <c r="J7" s="377"/>
      <c r="K7" s="1032" t="s">
        <v>662</v>
      </c>
      <c r="L7" s="967" t="s">
        <v>662</v>
      </c>
    </row>
    <row r="8" spans="2:22" ht="21.9" customHeight="1">
      <c r="B8" s="971" t="s">
        <v>310</v>
      </c>
      <c r="C8" s="376"/>
      <c r="D8" s="376" t="s">
        <v>832</v>
      </c>
      <c r="E8" s="376"/>
      <c r="F8" s="376"/>
      <c r="G8" s="376"/>
      <c r="H8" s="376"/>
      <c r="I8" s="376"/>
      <c r="J8" s="1035"/>
      <c r="K8" s="1458">
        <f>+'26-Delinquent Taxes and Liens'!M13</f>
        <v>0</v>
      </c>
      <c r="L8" s="967" t="s">
        <v>662</v>
      </c>
      <c r="N8" s="315"/>
      <c r="O8" s="315"/>
      <c r="P8" s="315"/>
      <c r="Q8" s="315"/>
      <c r="R8" s="315"/>
      <c r="S8" s="315"/>
      <c r="T8" s="315"/>
      <c r="U8" s="315"/>
      <c r="V8" s="315"/>
    </row>
    <row r="9" spans="2:22" ht="21.9" customHeight="1">
      <c r="B9" s="971" t="s">
        <v>311</v>
      </c>
      <c r="C9" s="376"/>
      <c r="D9" s="376" t="s">
        <v>831</v>
      </c>
      <c r="E9" s="376"/>
      <c r="F9" s="376"/>
      <c r="G9" s="376"/>
      <c r="H9" s="376"/>
      <c r="I9" s="376"/>
      <c r="J9" s="1035"/>
      <c r="K9" s="1217">
        <f>+'26-Delinquent Taxes and Liens'!M12</f>
        <v>0</v>
      </c>
      <c r="L9" s="967" t="s">
        <v>662</v>
      </c>
      <c r="N9" s="315"/>
      <c r="O9" s="315"/>
      <c r="P9" s="315"/>
      <c r="Q9" s="315"/>
      <c r="R9" s="315"/>
      <c r="S9" s="315"/>
      <c r="T9" s="315"/>
      <c r="U9" s="315"/>
      <c r="V9" s="315"/>
    </row>
    <row r="10" spans="2:22" ht="21.9" customHeight="1">
      <c r="B10" s="971" t="s">
        <v>897</v>
      </c>
      <c r="C10" s="1599"/>
      <c r="D10" s="1599"/>
      <c r="E10" s="1599"/>
      <c r="F10" s="1599"/>
      <c r="G10" s="1599"/>
      <c r="H10" s="1599"/>
      <c r="I10" s="1599"/>
      <c r="J10" s="1035"/>
      <c r="K10" s="574"/>
      <c r="L10" s="967" t="s">
        <v>662</v>
      </c>
      <c r="N10" s="315"/>
      <c r="O10" s="315"/>
      <c r="P10" s="315"/>
      <c r="Q10" s="315"/>
      <c r="R10" s="315"/>
      <c r="S10" s="315"/>
      <c r="T10" s="315"/>
      <c r="U10" s="315"/>
      <c r="V10" s="315"/>
    </row>
    <row r="11" spans="2:22" ht="21.9" customHeight="1">
      <c r="B11" s="971" t="s">
        <v>898</v>
      </c>
      <c r="C11" s="1599"/>
      <c r="D11" s="1599"/>
      <c r="E11" s="1599"/>
      <c r="F11" s="1599"/>
      <c r="G11" s="1599"/>
      <c r="H11" s="1599"/>
      <c r="I11" s="1599"/>
      <c r="J11" s="1035"/>
      <c r="K11" s="1032" t="s">
        <v>662</v>
      </c>
      <c r="L11" s="573"/>
      <c r="N11" s="315"/>
      <c r="O11" s="315"/>
      <c r="P11" s="315"/>
      <c r="Q11" s="315"/>
      <c r="R11" s="315"/>
      <c r="S11" s="315"/>
      <c r="T11" s="315"/>
      <c r="U11" s="315"/>
      <c r="V11" s="315"/>
    </row>
    <row r="12" spans="2:22" ht="21.9" customHeight="1">
      <c r="B12" s="971" t="s">
        <v>313</v>
      </c>
      <c r="C12" s="376"/>
      <c r="D12" s="376" t="s">
        <v>899</v>
      </c>
      <c r="E12" s="376"/>
      <c r="F12" s="376"/>
      <c r="G12" s="376"/>
      <c r="H12" s="376"/>
      <c r="I12" s="376"/>
      <c r="J12" s="1035"/>
      <c r="K12" s="574">
        <v>0</v>
      </c>
      <c r="L12" s="967" t="s">
        <v>662</v>
      </c>
      <c r="N12" s="315"/>
      <c r="O12" s="315"/>
      <c r="P12" s="315"/>
      <c r="Q12" s="315"/>
      <c r="R12" s="315"/>
      <c r="S12" s="315"/>
      <c r="T12" s="315"/>
      <c r="U12" s="315"/>
      <c r="V12" s="315"/>
    </row>
    <row r="13" spans="2:22" ht="21.9" customHeight="1">
      <c r="B13" s="971" t="s">
        <v>314</v>
      </c>
      <c r="C13" s="376"/>
      <c r="D13" s="376" t="s">
        <v>899</v>
      </c>
      <c r="E13" s="376"/>
      <c r="F13" s="376"/>
      <c r="G13" s="376"/>
      <c r="H13" s="376"/>
      <c r="I13" s="376"/>
      <c r="J13" s="1035"/>
      <c r="K13" s="1032" t="s">
        <v>662</v>
      </c>
      <c r="L13" s="573">
        <v>0</v>
      </c>
      <c r="N13" s="315"/>
      <c r="O13" s="315"/>
      <c r="P13" s="315"/>
      <c r="Q13" s="315"/>
      <c r="R13" s="315"/>
      <c r="S13" s="315"/>
      <c r="T13" s="315"/>
      <c r="U13" s="315"/>
      <c r="V13" s="315"/>
    </row>
    <row r="14" spans="2:22" ht="21.9" customHeight="1">
      <c r="B14" s="971" t="s">
        <v>409</v>
      </c>
      <c r="C14" s="1036" t="s">
        <v>900</v>
      </c>
      <c r="D14" s="1036"/>
      <c r="E14" s="1036"/>
      <c r="F14" s="1036"/>
      <c r="G14" s="1036"/>
      <c r="H14" s="1036"/>
      <c r="I14" s="1036"/>
      <c r="J14" s="1037"/>
      <c r="K14" s="1032" t="s">
        <v>662</v>
      </c>
      <c r="L14" s="967" t="s">
        <v>662</v>
      </c>
      <c r="N14" s="315"/>
      <c r="O14" s="315"/>
      <c r="P14" s="315"/>
      <c r="Q14" s="315"/>
      <c r="R14" s="315"/>
      <c r="S14" s="315"/>
      <c r="T14" s="315"/>
      <c r="U14" s="315"/>
      <c r="V14" s="315"/>
    </row>
    <row r="15" spans="2:22" ht="21.9" customHeight="1">
      <c r="B15" s="971" t="s">
        <v>410</v>
      </c>
      <c r="C15" s="1038"/>
      <c r="D15" s="1039" t="s">
        <v>901</v>
      </c>
      <c r="E15" s="1038"/>
      <c r="F15" s="1038"/>
      <c r="G15" s="1038"/>
      <c r="H15" s="1038"/>
      <c r="I15" s="1038"/>
      <c r="J15" s="1035"/>
      <c r="K15" s="1032" t="s">
        <v>662</v>
      </c>
      <c r="L15" s="573"/>
      <c r="N15" s="315"/>
      <c r="O15" s="370"/>
      <c r="P15" s="315"/>
      <c r="Q15" s="315"/>
      <c r="R15" s="315"/>
      <c r="S15" s="315"/>
      <c r="T15" s="315"/>
      <c r="U15" s="315"/>
      <c r="V15" s="315"/>
    </row>
    <row r="16" spans="2:22" ht="21.9" customHeight="1">
      <c r="B16" s="971" t="s">
        <v>411</v>
      </c>
      <c r="C16" s="1040"/>
      <c r="D16" s="1041" t="s">
        <v>902</v>
      </c>
      <c r="E16" s="1040"/>
      <c r="F16" s="1040"/>
      <c r="G16" s="1040"/>
      <c r="H16" s="1040"/>
      <c r="I16" s="1040"/>
      <c r="J16" s="1035"/>
      <c r="K16" s="1032" t="s">
        <v>662</v>
      </c>
      <c r="L16" s="573"/>
      <c r="N16" s="315"/>
      <c r="O16" s="315"/>
      <c r="P16" s="315"/>
      <c r="Q16" s="315"/>
      <c r="R16" s="315"/>
      <c r="S16" s="315"/>
      <c r="T16" s="315"/>
      <c r="U16" s="315"/>
      <c r="V16" s="315"/>
    </row>
    <row r="17" spans="2:22" ht="21.9" customHeight="1">
      <c r="B17" s="971" t="s">
        <v>234</v>
      </c>
      <c r="C17" s="1042"/>
      <c r="D17" s="1038" t="s">
        <v>903</v>
      </c>
      <c r="E17" s="1042"/>
      <c r="F17" s="1042"/>
      <c r="G17" s="1042"/>
      <c r="H17" s="1042"/>
      <c r="I17" s="1042"/>
      <c r="J17" s="1035"/>
      <c r="K17" s="1032" t="s">
        <v>662</v>
      </c>
      <c r="L17" s="573"/>
      <c r="N17" s="315"/>
      <c r="O17" s="315"/>
      <c r="P17" s="315"/>
      <c r="Q17" s="315"/>
      <c r="R17" s="315"/>
      <c r="S17" s="315"/>
      <c r="T17" s="315"/>
      <c r="U17" s="315"/>
      <c r="V17" s="315"/>
    </row>
    <row r="18" spans="2:22" ht="21.9" customHeight="1">
      <c r="B18" s="971" t="s">
        <v>236</v>
      </c>
      <c r="C18" s="1042"/>
      <c r="D18" s="1038" t="s">
        <v>259</v>
      </c>
      <c r="E18" s="1042"/>
      <c r="F18" s="1042"/>
      <c r="G18" s="1042"/>
      <c r="H18" s="1042"/>
      <c r="I18" s="1042"/>
      <c r="J18" s="1035"/>
      <c r="K18" s="1032" t="s">
        <v>662</v>
      </c>
      <c r="L18" s="573"/>
      <c r="N18" s="315"/>
      <c r="O18" s="315"/>
      <c r="P18" s="315"/>
      <c r="Q18" s="315"/>
      <c r="R18" s="315"/>
      <c r="S18" s="315"/>
      <c r="T18" s="315"/>
      <c r="U18" s="315"/>
      <c r="V18" s="315"/>
    </row>
    <row r="19" spans="2:22" ht="21.9" customHeight="1">
      <c r="B19" s="971" t="s">
        <v>237</v>
      </c>
      <c r="C19" s="376"/>
      <c r="D19" s="376" t="s">
        <v>260</v>
      </c>
      <c r="E19" s="376"/>
      <c r="F19" s="376"/>
      <c r="G19" s="376"/>
      <c r="H19" s="376"/>
      <c r="I19" s="376"/>
      <c r="J19" s="1035"/>
      <c r="K19" s="574">
        <v>0</v>
      </c>
      <c r="L19" s="967" t="s">
        <v>662</v>
      </c>
      <c r="N19" s="315"/>
      <c r="O19" s="315"/>
      <c r="P19" s="315"/>
      <c r="Q19" s="315"/>
      <c r="R19" s="315"/>
      <c r="S19" s="315"/>
      <c r="T19" s="315"/>
      <c r="U19" s="315"/>
      <c r="V19" s="315"/>
    </row>
    <row r="20" spans="2:22" ht="21.9" customHeight="1" thickBot="1">
      <c r="B20" s="971" t="s">
        <v>597</v>
      </c>
      <c r="C20" s="376" t="str">
        <f>'KEY INPUTS'!D26</f>
        <v>Balance - December 31, 2020</v>
      </c>
      <c r="D20" s="376"/>
      <c r="E20" s="376"/>
      <c r="F20" s="376"/>
      <c r="G20" s="376"/>
      <c r="H20" s="376"/>
      <c r="I20" s="376"/>
      <c r="J20" s="1035"/>
      <c r="K20" s="1045" t="s">
        <v>662</v>
      </c>
      <c r="L20" s="1043">
        <f>K6+SUM(K8:K10)-L11+K12-L13-SUM(L15:L18)+K19</f>
        <v>162500</v>
      </c>
      <c r="N20" s="315"/>
      <c r="O20" s="315"/>
      <c r="P20" s="315"/>
      <c r="Q20" s="315"/>
      <c r="R20" s="315"/>
      <c r="S20" s="315"/>
      <c r="T20" s="315"/>
      <c r="U20" s="315"/>
      <c r="V20" s="315"/>
    </row>
    <row r="21" spans="2:22" ht="21.9" customHeight="1" thickTop="1" thickBot="1">
      <c r="B21" s="85"/>
      <c r="J21" s="42"/>
      <c r="K21" s="1046">
        <f>SUM(K6:K20)</f>
        <v>162500</v>
      </c>
      <c r="L21" s="1044">
        <f>SUM(L6:L20)</f>
        <v>162500</v>
      </c>
      <c r="N21" s="315"/>
      <c r="O21" s="315"/>
      <c r="P21" s="315"/>
      <c r="Q21" s="315"/>
      <c r="R21" s="315"/>
      <c r="S21" s="315"/>
      <c r="T21" s="315"/>
      <c r="U21" s="315"/>
      <c r="V21" s="315"/>
    </row>
    <row r="22" spans="2:22" ht="15" customHeight="1" thickTop="1">
      <c r="B22" s="85"/>
      <c r="J22" s="42"/>
      <c r="K22" s="120"/>
      <c r="L22" s="120"/>
      <c r="N22" s="315"/>
      <c r="O22" s="315"/>
      <c r="P22" s="315"/>
      <c r="Q22" s="315"/>
      <c r="R22" s="315"/>
      <c r="S22" s="315"/>
      <c r="T22" s="315"/>
      <c r="U22" s="315"/>
      <c r="V22" s="315"/>
    </row>
    <row r="23" spans="2:22" ht="16.5" customHeight="1">
      <c r="B23" s="1604" t="s">
        <v>906</v>
      </c>
      <c r="C23" s="1604"/>
      <c r="D23" s="1604"/>
      <c r="E23" s="1604"/>
      <c r="F23" s="1604"/>
      <c r="G23" s="1604"/>
      <c r="H23" s="1604"/>
      <c r="I23" s="1604"/>
      <c r="J23" s="1604"/>
      <c r="K23" s="1604"/>
      <c r="L23" s="1604"/>
      <c r="N23" s="315"/>
      <c r="O23" s="315"/>
      <c r="P23" s="315"/>
      <c r="Q23" s="315"/>
      <c r="R23" s="315"/>
      <c r="S23" s="315"/>
      <c r="T23" s="315"/>
      <c r="U23" s="315"/>
      <c r="V23" s="315"/>
    </row>
    <row r="24" spans="2:22" ht="9.75" customHeight="1" thickBot="1">
      <c r="B24" s="844"/>
      <c r="C24" s="844"/>
      <c r="D24" s="844"/>
      <c r="E24" s="844"/>
      <c r="F24" s="844"/>
      <c r="G24" s="844"/>
      <c r="H24" s="844"/>
      <c r="I24" s="844"/>
      <c r="J24" s="844"/>
      <c r="K24" s="844"/>
      <c r="L24" s="844"/>
      <c r="N24" s="315"/>
      <c r="O24" s="315"/>
      <c r="P24" s="315"/>
      <c r="Q24" s="315"/>
      <c r="R24" s="315"/>
      <c r="S24" s="315"/>
      <c r="T24" s="315"/>
      <c r="U24" s="315"/>
      <c r="V24" s="315"/>
    </row>
    <row r="25" spans="2:22" ht="21.9" customHeight="1" thickTop="1" thickBot="1">
      <c r="B25" s="1029"/>
      <c r="C25" s="1029"/>
      <c r="D25" s="1029"/>
      <c r="E25" s="1029"/>
      <c r="F25" s="1029"/>
      <c r="G25" s="1029"/>
      <c r="H25" s="1029"/>
      <c r="I25" s="1029"/>
      <c r="J25" s="1029"/>
      <c r="K25" s="957" t="s">
        <v>101</v>
      </c>
      <c r="L25" s="983" t="s">
        <v>102</v>
      </c>
      <c r="N25" s="315"/>
      <c r="O25" s="315"/>
      <c r="P25" s="315"/>
      <c r="Q25" s="315"/>
      <c r="R25" s="315"/>
      <c r="S25" s="315"/>
      <c r="T25" s="315"/>
      <c r="U25" s="315"/>
      <c r="V25" s="315"/>
    </row>
    <row r="26" spans="2:22" ht="20.100000000000001" customHeight="1" thickTop="1">
      <c r="B26" s="1033" t="s">
        <v>523</v>
      </c>
      <c r="C26" s="374" t="str">
        <f>C6</f>
        <v>Balance - January 1, 2020</v>
      </c>
      <c r="D26" s="374"/>
      <c r="E26" s="374"/>
      <c r="F26" s="374"/>
      <c r="G26" s="374"/>
      <c r="H26" s="374"/>
      <c r="I26" s="374"/>
      <c r="J26" s="1035"/>
      <c r="K26" s="574">
        <v>0</v>
      </c>
      <c r="L26" s="1031" t="s">
        <v>662</v>
      </c>
      <c r="N26" s="315"/>
      <c r="O26" s="315"/>
      <c r="P26" s="315"/>
      <c r="Q26" s="315"/>
      <c r="R26" s="315"/>
      <c r="S26" s="315"/>
      <c r="T26" s="315"/>
      <c r="U26" s="315"/>
      <c r="V26" s="315"/>
    </row>
    <row r="27" spans="2:22" ht="20.100000000000001" customHeight="1">
      <c r="B27" s="971" t="s">
        <v>524</v>
      </c>
      <c r="C27" s="376" t="str">
        <f>TEXT('KEY INPUTS'!D34,"0")&amp; " Sales from Foreclosed Property"</f>
        <v>2020 Sales from Foreclosed Property</v>
      </c>
      <c r="D27" s="376"/>
      <c r="E27" s="376"/>
      <c r="F27" s="376"/>
      <c r="G27" s="376"/>
      <c r="H27" s="376"/>
      <c r="I27" s="376"/>
      <c r="J27" s="1035"/>
      <c r="K27" s="574">
        <v>0</v>
      </c>
      <c r="L27" s="967" t="s">
        <v>662</v>
      </c>
    </row>
    <row r="28" spans="2:22" ht="20.100000000000001" customHeight="1">
      <c r="B28" s="971" t="s">
        <v>527</v>
      </c>
      <c r="C28" s="376" t="s">
        <v>909</v>
      </c>
      <c r="D28" s="376"/>
      <c r="E28" s="376"/>
      <c r="F28" s="376"/>
      <c r="G28" s="376"/>
      <c r="H28" s="376"/>
      <c r="I28" s="376"/>
      <c r="J28" s="1035"/>
      <c r="K28" s="1032" t="s">
        <v>662</v>
      </c>
      <c r="L28" s="573">
        <v>0</v>
      </c>
    </row>
    <row r="29" spans="2:22" ht="20.100000000000001" customHeight="1">
      <c r="B29" s="971" t="s">
        <v>907</v>
      </c>
      <c r="C29" s="1599"/>
      <c r="D29" s="1599"/>
      <c r="E29" s="1599"/>
      <c r="F29" s="1599"/>
      <c r="G29" s="1599"/>
      <c r="H29" s="1599"/>
      <c r="I29" s="1599"/>
      <c r="J29" s="1035"/>
      <c r="K29" s="1032" t="s">
        <v>662</v>
      </c>
      <c r="L29" s="573">
        <v>0</v>
      </c>
    </row>
    <row r="30" spans="2:22" ht="20.100000000000001" customHeight="1" thickBot="1">
      <c r="B30" s="971" t="s">
        <v>908</v>
      </c>
      <c r="C30" s="376" t="str">
        <f>C20</f>
        <v>Balance - December 31, 2020</v>
      </c>
      <c r="D30" s="376"/>
      <c r="E30" s="376"/>
      <c r="F30" s="376"/>
      <c r="G30" s="376"/>
      <c r="H30" s="376"/>
      <c r="I30" s="376"/>
      <c r="J30" s="1035"/>
      <c r="K30" s="1045" t="s">
        <v>662</v>
      </c>
      <c r="L30" s="1047">
        <f>SUM(K26:K27)-SUM(L28:L29)</f>
        <v>0</v>
      </c>
    </row>
    <row r="31" spans="2:22" ht="20.100000000000001" customHeight="1" thickTop="1" thickBot="1">
      <c r="B31" s="85"/>
      <c r="J31" s="42"/>
      <c r="K31" s="1046">
        <f>SUM(K26:K30)</f>
        <v>0</v>
      </c>
      <c r="L31" s="1044">
        <f>SUM(L26:L30)</f>
        <v>0</v>
      </c>
    </row>
    <row r="32" spans="2:22" ht="15" customHeight="1" thickTop="1">
      <c r="B32" s="85"/>
      <c r="J32" s="42"/>
      <c r="K32" s="120"/>
      <c r="L32" s="120"/>
    </row>
    <row r="33" spans="1:12" ht="16.5" customHeight="1">
      <c r="B33" s="1604" t="s">
        <v>910</v>
      </c>
      <c r="C33" s="1604"/>
      <c r="D33" s="1604"/>
      <c r="E33" s="1604"/>
      <c r="F33" s="1604"/>
      <c r="G33" s="1604"/>
      <c r="H33" s="1604"/>
      <c r="I33" s="1604"/>
      <c r="J33" s="1604"/>
      <c r="K33" s="1604"/>
      <c r="L33" s="1604"/>
    </row>
    <row r="34" spans="1:12" ht="9.75" customHeight="1" thickBot="1">
      <c r="B34" s="844"/>
      <c r="C34" s="844"/>
      <c r="D34" s="844"/>
      <c r="E34" s="844"/>
      <c r="F34" s="844"/>
      <c r="G34" s="844"/>
      <c r="H34" s="844"/>
      <c r="I34" s="844"/>
      <c r="J34" s="844"/>
      <c r="K34" s="844"/>
      <c r="L34" s="844"/>
    </row>
    <row r="35" spans="1:12" ht="21.9" customHeight="1" thickTop="1" thickBot="1">
      <c r="B35" s="1029"/>
      <c r="C35" s="1029"/>
      <c r="D35" s="1029"/>
      <c r="E35" s="1029"/>
      <c r="F35" s="1029"/>
      <c r="G35" s="1029"/>
      <c r="H35" s="1029"/>
      <c r="I35" s="1029"/>
      <c r="J35" s="1029"/>
      <c r="K35" s="957" t="s">
        <v>101</v>
      </c>
      <c r="L35" s="983" t="s">
        <v>102</v>
      </c>
    </row>
    <row r="36" spans="1:12" ht="20.100000000000001" customHeight="1" thickTop="1">
      <c r="B36" s="1033" t="s">
        <v>911</v>
      </c>
      <c r="C36" s="374" t="str">
        <f>C26</f>
        <v>Balance - January 1, 2020</v>
      </c>
      <c r="D36" s="374"/>
      <c r="E36" s="374"/>
      <c r="F36" s="374"/>
      <c r="G36" s="374"/>
      <c r="H36" s="374"/>
      <c r="I36" s="374"/>
      <c r="J36" s="1035"/>
      <c r="K36" s="574">
        <v>0</v>
      </c>
      <c r="L36" s="1031" t="s">
        <v>662</v>
      </c>
    </row>
    <row r="37" spans="1:12" ht="20.100000000000001" customHeight="1">
      <c r="B37" s="971" t="s">
        <v>912</v>
      </c>
      <c r="C37" s="376" t="str">
        <f>C27</f>
        <v>2020 Sales from Foreclosed Property</v>
      </c>
      <c r="D37" s="376"/>
      <c r="E37" s="376"/>
      <c r="F37" s="376"/>
      <c r="G37" s="376"/>
      <c r="H37" s="376"/>
      <c r="I37" s="376"/>
      <c r="J37" s="1035"/>
      <c r="K37" s="574">
        <v>0</v>
      </c>
      <c r="L37" s="967" t="s">
        <v>662</v>
      </c>
    </row>
    <row r="38" spans="1:12" ht="20.100000000000001" customHeight="1">
      <c r="B38" s="971" t="s">
        <v>913</v>
      </c>
      <c r="C38" s="376" t="s">
        <v>909</v>
      </c>
      <c r="D38" s="376"/>
      <c r="E38" s="376"/>
      <c r="F38" s="376"/>
      <c r="G38" s="376"/>
      <c r="H38" s="376"/>
      <c r="I38" s="376"/>
      <c r="J38" s="1035"/>
      <c r="K38" s="1032" t="s">
        <v>662</v>
      </c>
      <c r="L38" s="573">
        <v>0</v>
      </c>
    </row>
    <row r="39" spans="1:12" ht="20.100000000000001" customHeight="1">
      <c r="B39" s="971" t="s">
        <v>914</v>
      </c>
      <c r="C39" s="1599"/>
      <c r="D39" s="1599"/>
      <c r="E39" s="1599"/>
      <c r="F39" s="1599"/>
      <c r="G39" s="1599"/>
      <c r="H39" s="1599"/>
      <c r="I39" s="1599"/>
      <c r="J39" s="1035"/>
      <c r="K39" s="1032" t="s">
        <v>662</v>
      </c>
      <c r="L39" s="573">
        <v>0</v>
      </c>
    </row>
    <row r="40" spans="1:12" ht="20.100000000000001" customHeight="1" thickBot="1">
      <c r="B40" s="971" t="s">
        <v>915</v>
      </c>
      <c r="C40" s="376" t="str">
        <f>C30</f>
        <v>Balance - December 31, 2020</v>
      </c>
      <c r="D40" s="376"/>
      <c r="E40" s="376"/>
      <c r="F40" s="376"/>
      <c r="G40" s="376"/>
      <c r="H40" s="376"/>
      <c r="I40" s="376"/>
      <c r="J40" s="1035"/>
      <c r="K40" s="1045" t="s">
        <v>662</v>
      </c>
      <c r="L40" s="1047">
        <f>SUM(K36:K37)-SUM(L38:L39)</f>
        <v>0</v>
      </c>
    </row>
    <row r="41" spans="1:12" ht="20.100000000000001" customHeight="1" thickTop="1" thickBot="1">
      <c r="B41" s="974"/>
      <c r="C41" s="844"/>
      <c r="D41" s="844"/>
      <c r="E41" s="844"/>
      <c r="F41" s="844"/>
      <c r="G41" s="844"/>
      <c r="H41" s="844"/>
      <c r="I41" s="844"/>
      <c r="J41" s="1048"/>
      <c r="K41" s="1046">
        <f>SUM(K36:K40)</f>
        <v>0</v>
      </c>
      <c r="L41" s="1044">
        <f>SUM(L36:L40)</f>
        <v>0</v>
      </c>
    </row>
    <row r="42" spans="1:12" ht="13.8" thickTop="1">
      <c r="B42" s="1049" t="s">
        <v>916</v>
      </c>
      <c r="C42" s="844"/>
      <c r="D42" s="844"/>
      <c r="E42" s="844"/>
      <c r="F42" s="844"/>
      <c r="G42" s="844"/>
      <c r="H42" s="844" t="s">
        <v>397</v>
      </c>
      <c r="I42" s="840">
        <f>+L15+L28+L38</f>
        <v>0</v>
      </c>
      <c r="J42" s="844"/>
    </row>
    <row r="43" spans="1:12">
      <c r="B43" s="1050" t="str">
        <f>"* Total Cash Collected in "&amp;TEXT('KEY INPUTS'!D34,"0")</f>
        <v>* Total Cash Collected in 2020</v>
      </c>
      <c r="C43" s="844"/>
      <c r="D43" s="844"/>
      <c r="E43" s="844"/>
      <c r="F43" s="844"/>
      <c r="G43" s="844"/>
      <c r="H43" s="844"/>
      <c r="I43" s="1051"/>
      <c r="J43" s="844"/>
    </row>
    <row r="44" spans="1:12" ht="7.5" customHeight="1">
      <c r="B44" s="85"/>
    </row>
    <row r="45" spans="1:12">
      <c r="B45" s="289" t="str">
        <f>"Realized in "&amp;TEXT('KEY INPUTS'!D34,"0")&amp; " Budget"</f>
        <v>Realized in 2020 Budget</v>
      </c>
      <c r="I45" s="573">
        <v>0</v>
      </c>
    </row>
    <row r="46" spans="1:12" ht="7.5" customHeight="1">
      <c r="B46" s="85"/>
    </row>
    <row r="47" spans="1:12">
      <c r="A47" s="844"/>
      <c r="B47" s="1049" t="s">
        <v>917</v>
      </c>
      <c r="C47" s="844"/>
      <c r="D47" s="844"/>
      <c r="E47" s="844"/>
      <c r="F47" s="844"/>
      <c r="G47" s="844"/>
      <c r="H47" s="844"/>
      <c r="I47" s="840">
        <f>+I42-I45</f>
        <v>0</v>
      </c>
      <c r="J47" s="844"/>
      <c r="K47" s="844"/>
      <c r="L47" s="844"/>
    </row>
    <row r="48" spans="1:12">
      <c r="A48" s="844"/>
      <c r="B48" s="1049"/>
      <c r="C48" s="844"/>
      <c r="D48" s="844"/>
      <c r="E48" s="844"/>
      <c r="F48" s="844"/>
      <c r="G48" s="844"/>
      <c r="H48" s="844"/>
      <c r="I48" s="1052"/>
      <c r="J48" s="844"/>
      <c r="K48" s="844"/>
      <c r="L48" s="844"/>
    </row>
    <row r="49" spans="1:12">
      <c r="A49" s="844"/>
      <c r="B49" s="1049"/>
      <c r="C49" s="844"/>
      <c r="D49" s="844"/>
      <c r="E49" s="844"/>
      <c r="F49" s="844"/>
      <c r="G49" s="844"/>
      <c r="H49" s="844"/>
      <c r="I49" s="1052"/>
      <c r="J49" s="844"/>
      <c r="K49" s="844"/>
      <c r="L49" s="844"/>
    </row>
    <row r="50" spans="1:12" ht="13.8">
      <c r="A50" s="844"/>
      <c r="B50" s="1674" t="s">
        <v>452</v>
      </c>
      <c r="C50" s="1674"/>
      <c r="D50" s="1674"/>
      <c r="E50" s="1674"/>
      <c r="F50" s="1674"/>
      <c r="G50" s="1674"/>
      <c r="H50" s="1674"/>
      <c r="I50" s="1674"/>
      <c r="J50" s="1674"/>
      <c r="K50" s="1674"/>
      <c r="L50" s="1674"/>
    </row>
    <row r="51" spans="1:12">
      <c r="B51" s="85"/>
    </row>
    <row r="52" spans="1:12">
      <c r="B52" s="85"/>
    </row>
    <row r="53" spans="1:12">
      <c r="B53" s="85"/>
    </row>
    <row r="54" spans="1:12">
      <c r="B54" s="85"/>
    </row>
    <row r="55" spans="1:12">
      <c r="B55" s="85"/>
    </row>
    <row r="56" spans="1:12">
      <c r="B56" s="85"/>
    </row>
    <row r="57" spans="1:12">
      <c r="B57" s="85"/>
    </row>
    <row r="58" spans="1:12">
      <c r="B58" s="85"/>
    </row>
    <row r="59" spans="1:12">
      <c r="B59" s="85"/>
    </row>
    <row r="60" spans="1:12">
      <c r="B60" s="85"/>
    </row>
    <row r="61" spans="1:12">
      <c r="B61" s="85"/>
    </row>
    <row r="62" spans="1:12">
      <c r="B62" s="85"/>
    </row>
    <row r="63" spans="1:12">
      <c r="B63" s="85"/>
    </row>
    <row r="64" spans="1:12">
      <c r="B64" s="85"/>
    </row>
    <row r="65" spans="2:2">
      <c r="B65" s="85"/>
    </row>
    <row r="66" spans="2:2">
      <c r="B66" s="85"/>
    </row>
    <row r="67" spans="2:2">
      <c r="B67" s="85"/>
    </row>
    <row r="68" spans="2:2">
      <c r="B68" s="85"/>
    </row>
    <row r="69" spans="2:2">
      <c r="B69" s="85"/>
    </row>
    <row r="70" spans="2:2">
      <c r="B70" s="85"/>
    </row>
    <row r="71" spans="2:2">
      <c r="B71" s="85"/>
    </row>
    <row r="72" spans="2:2">
      <c r="B72" s="85"/>
    </row>
    <row r="73" spans="2:2">
      <c r="B73" s="85"/>
    </row>
    <row r="74" spans="2:2">
      <c r="B74" s="85"/>
    </row>
    <row r="75" spans="2:2">
      <c r="B75" s="85"/>
    </row>
    <row r="76" spans="2:2">
      <c r="B76" s="85"/>
    </row>
    <row r="77" spans="2:2">
      <c r="B77" s="85"/>
    </row>
    <row r="78" spans="2:2">
      <c r="B78" s="85"/>
    </row>
    <row r="79" spans="2:2">
      <c r="B79" s="85"/>
    </row>
    <row r="80" spans="2:2">
      <c r="B80" s="85"/>
    </row>
    <row r="81" spans="2:2">
      <c r="B81" s="85"/>
    </row>
  </sheetData>
  <sheetProtection algorithmName="SHA-512" hashValue="QmEQHyzaLYiS40CVBtQTv7JlxxG8CO9kvc/LOIdJXuR2Y5p/opxHJnoM0Qks19MlwwjmzcIwcZw9MKVA7Z+SUw==" saltValue="WClX/nvsapny7RcPtj9DuQ==" spinCount="100000" sheet="1" objects="1" scenarios="1"/>
  <mergeCells count="9">
    <mergeCell ref="B50:L50"/>
    <mergeCell ref="B2:L2"/>
    <mergeCell ref="B3:L3"/>
    <mergeCell ref="B23:L23"/>
    <mergeCell ref="B33:L33"/>
    <mergeCell ref="C10:I10"/>
    <mergeCell ref="C11:I11"/>
    <mergeCell ref="C29:I29"/>
    <mergeCell ref="C39:I39"/>
  </mergeCells>
  <phoneticPr fontId="0" type="noConversion"/>
  <pageMargins left="0.25" right="0.25" top="0.5" bottom="0.5" header="0.25" footer="0.25"/>
  <pageSetup paperSize="5" orientation="portrait" r:id="rId1"/>
  <headerFooter alignWithMargins="0"/>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6"/>
  <dimension ref="B3:X66"/>
  <sheetViews>
    <sheetView topLeftCell="A25" zoomScaleNormal="100" workbookViewId="0">
      <selection activeCell="D49" sqref="D49:F49"/>
    </sheetView>
  </sheetViews>
  <sheetFormatPr defaultRowHeight="13.2"/>
  <cols>
    <col min="1" max="1" width="4.6640625" customWidth="1"/>
    <col min="2" max="2" width="3.5546875" bestFit="1" customWidth="1"/>
    <col min="3" max="3" width="4.6640625" customWidth="1"/>
    <col min="4" max="4" width="12.88671875" bestFit="1" customWidth="1"/>
    <col min="5" max="5" width="7.6640625" customWidth="1"/>
    <col min="6" max="6" width="6.88671875" customWidth="1"/>
    <col min="7" max="7" width="1.6640625" customWidth="1"/>
    <col min="8" max="8" width="12.5546875" bestFit="1" customWidth="1"/>
    <col min="9" max="9" width="1.6640625" customWidth="1"/>
    <col min="10" max="10" width="11.88671875" bestFit="1" customWidth="1"/>
    <col min="11" max="11" width="1.6640625" customWidth="1"/>
    <col min="12" max="12" width="17.5546875" customWidth="1"/>
    <col min="13" max="13" width="1.6640625" customWidth="1"/>
    <col min="14" max="14" width="14.6640625" customWidth="1"/>
    <col min="16" max="16" width="10.33203125" bestFit="1" customWidth="1"/>
  </cols>
  <sheetData>
    <row r="3" spans="2:24" ht="20.399999999999999">
      <c r="B3" s="1546" t="s">
        <v>918</v>
      </c>
      <c r="C3" s="1546"/>
      <c r="D3" s="1546"/>
      <c r="E3" s="1546"/>
      <c r="F3" s="1546"/>
      <c r="G3" s="1546"/>
      <c r="H3" s="1546"/>
      <c r="I3" s="1546"/>
      <c r="J3" s="1546"/>
      <c r="K3" s="1546"/>
      <c r="L3" s="1546"/>
      <c r="M3" s="1546"/>
      <c r="N3" s="1546"/>
    </row>
    <row r="4" spans="2:24" ht="15.6">
      <c r="B4" s="1680" t="s">
        <v>448</v>
      </c>
      <c r="C4" s="1680"/>
      <c r="D4" s="1680"/>
      <c r="E4" s="1680"/>
      <c r="F4" s="1680"/>
      <c r="G4" s="1680"/>
      <c r="H4" s="1680"/>
      <c r="I4" s="1680"/>
      <c r="J4" s="1680"/>
      <c r="K4" s="1680"/>
      <c r="L4" s="1680"/>
      <c r="M4" s="1680"/>
      <c r="N4" s="1680"/>
    </row>
    <row r="5" spans="2:24" ht="20.399999999999999">
      <c r="B5" s="1546" t="s">
        <v>449</v>
      </c>
      <c r="C5" s="1546"/>
      <c r="D5" s="1546"/>
      <c r="E5" s="1546"/>
      <c r="F5" s="1546"/>
      <c r="G5" s="1546"/>
      <c r="H5" s="1546"/>
      <c r="I5" s="1546"/>
      <c r="J5" s="1546"/>
      <c r="K5" s="1546"/>
      <c r="L5" s="1546"/>
      <c r="M5" s="1546"/>
      <c r="N5" s="1546"/>
    </row>
    <row r="6" spans="2:24">
      <c r="B6" s="1549" t="s">
        <v>3417</v>
      </c>
      <c r="C6" s="1549"/>
      <c r="D6" s="1549"/>
      <c r="E6" s="1549"/>
      <c r="F6" s="1549"/>
      <c r="G6" s="1549"/>
      <c r="H6" s="1549"/>
      <c r="I6" s="1549"/>
      <c r="J6" s="1549"/>
      <c r="K6" s="1549"/>
      <c r="L6" s="1549"/>
      <c r="M6" s="1549"/>
      <c r="N6" s="1549"/>
    </row>
    <row r="7" spans="2:24">
      <c r="B7" s="1549" t="s">
        <v>3416</v>
      </c>
      <c r="C7" s="1549"/>
      <c r="D7" s="1549"/>
      <c r="E7" s="1549"/>
      <c r="F7" s="1549"/>
      <c r="G7" s="1549"/>
      <c r="H7" s="1549"/>
      <c r="I7" s="1549"/>
      <c r="J7" s="1549"/>
      <c r="K7" s="1549"/>
      <c r="L7" s="1549"/>
      <c r="M7" s="1549"/>
      <c r="N7" s="1549"/>
    </row>
    <row r="8" spans="2:24">
      <c r="P8" s="315"/>
      <c r="Q8" s="315"/>
      <c r="R8" s="315"/>
      <c r="S8" s="315"/>
      <c r="T8" s="315"/>
      <c r="U8" s="315"/>
      <c r="V8" s="315"/>
      <c r="W8" s="315"/>
      <c r="X8" s="315"/>
    </row>
    <row r="9" spans="2:24">
      <c r="H9" s="1" t="s">
        <v>441</v>
      </c>
      <c r="P9" s="315"/>
      <c r="Q9" s="315"/>
      <c r="R9" s="315"/>
      <c r="S9" s="315"/>
      <c r="T9" s="315"/>
      <c r="U9" s="315"/>
      <c r="V9" s="315"/>
      <c r="W9" s="315"/>
      <c r="X9" s="315"/>
    </row>
    <row r="10" spans="2:24">
      <c r="C10" s="1608" t="s">
        <v>461</v>
      </c>
      <c r="D10" s="1608"/>
      <c r="E10" s="1608"/>
      <c r="H10" s="290" t="str">
        <f>'KEY INPUTS'!D45</f>
        <v>Dec. 31, 2019</v>
      </c>
      <c r="J10" s="1" t="s">
        <v>462</v>
      </c>
      <c r="L10" s="1" t="s">
        <v>441</v>
      </c>
      <c r="N10" s="985" t="s">
        <v>559</v>
      </c>
      <c r="P10" s="315"/>
      <c r="Q10" s="315"/>
      <c r="R10" s="315"/>
      <c r="S10" s="315"/>
      <c r="T10" s="315"/>
      <c r="U10" s="315"/>
      <c r="V10" s="315"/>
      <c r="W10" s="315"/>
      <c r="X10" s="315"/>
    </row>
    <row r="11" spans="2:24">
      <c r="H11" s="1" t="s">
        <v>460</v>
      </c>
      <c r="J11" s="1">
        <f>'KEY INPUTS'!D34</f>
        <v>2020</v>
      </c>
      <c r="L11" s="1" t="s">
        <v>463</v>
      </c>
      <c r="N11" s="985" t="s">
        <v>464</v>
      </c>
      <c r="P11" s="315"/>
      <c r="Q11" s="315"/>
      <c r="R11" s="315"/>
      <c r="S11" s="315"/>
      <c r="T11" s="315"/>
      <c r="U11" s="315"/>
      <c r="V11" s="315"/>
      <c r="W11" s="315"/>
      <c r="X11" s="315"/>
    </row>
    <row r="12" spans="2:24">
      <c r="H12" s="128" t="s">
        <v>459</v>
      </c>
      <c r="J12" s="128" t="s">
        <v>564</v>
      </c>
      <c r="L12" s="283" t="str">
        <f>"from "&amp;TEXT('KEY INPUTS'!D34,"0")</f>
        <v>from 2020</v>
      </c>
      <c r="N12" s="1053" t="str">
        <f>'KEY INPUTS'!D46</f>
        <v>Dec. 31, 2020</v>
      </c>
      <c r="P12" s="315"/>
      <c r="Q12" s="315"/>
      <c r="R12" s="315"/>
      <c r="S12" s="315"/>
      <c r="T12" s="315"/>
      <c r="U12" s="315"/>
      <c r="V12" s="315"/>
      <c r="W12" s="315"/>
      <c r="X12" s="315"/>
    </row>
    <row r="13" spans="2:24">
      <c r="B13" s="85"/>
      <c r="C13" t="s">
        <v>919</v>
      </c>
      <c r="H13" s="65"/>
      <c r="J13" s="65"/>
      <c r="L13" s="65"/>
      <c r="N13" s="1054"/>
      <c r="P13" s="315"/>
      <c r="Q13" s="315"/>
      <c r="R13" s="315"/>
      <c r="S13" s="315"/>
      <c r="T13" s="315"/>
      <c r="U13" s="315"/>
      <c r="V13" s="315"/>
      <c r="W13" s="315"/>
      <c r="X13" s="315"/>
    </row>
    <row r="14" spans="2:24">
      <c r="B14" s="85"/>
      <c r="D14" t="s">
        <v>920</v>
      </c>
      <c r="G14" t="s">
        <v>397</v>
      </c>
      <c r="H14" s="573">
        <v>0</v>
      </c>
      <c r="I14" t="s">
        <v>397</v>
      </c>
      <c r="J14" s="573">
        <v>0</v>
      </c>
      <c r="K14" t="s">
        <v>397</v>
      </c>
      <c r="L14" s="573">
        <v>0</v>
      </c>
      <c r="M14" t="s">
        <v>397</v>
      </c>
      <c r="N14" s="840">
        <f>+H14-J14+L14</f>
        <v>0</v>
      </c>
      <c r="P14" s="315"/>
      <c r="Q14" s="315"/>
      <c r="R14" s="315"/>
      <c r="S14" s="315"/>
      <c r="T14" s="315"/>
      <c r="U14" s="315"/>
      <c r="V14" s="315"/>
      <c r="W14" s="315"/>
      <c r="X14" s="315"/>
    </row>
    <row r="15" spans="2:24">
      <c r="B15" s="85"/>
      <c r="H15" s="65"/>
      <c r="J15" s="65"/>
      <c r="L15" s="65"/>
      <c r="N15" s="832"/>
      <c r="P15" s="315"/>
      <c r="Q15" s="370"/>
      <c r="R15" s="315"/>
      <c r="S15" s="315"/>
      <c r="T15" s="315"/>
      <c r="U15" s="315"/>
      <c r="V15" s="315"/>
      <c r="W15" s="315"/>
      <c r="X15" s="315"/>
    </row>
    <row r="16" spans="2:24">
      <c r="B16" s="85"/>
      <c r="C16" t="s">
        <v>919</v>
      </c>
      <c r="H16" s="65"/>
      <c r="J16" s="65"/>
      <c r="L16" s="65"/>
      <c r="N16" s="832"/>
      <c r="P16" s="315"/>
      <c r="Q16" s="315"/>
      <c r="R16" s="315"/>
      <c r="S16" s="315"/>
      <c r="T16" s="315"/>
      <c r="U16" s="315"/>
      <c r="V16" s="315"/>
      <c r="W16" s="315"/>
      <c r="X16" s="315"/>
    </row>
    <row r="17" spans="2:24">
      <c r="B17" s="85"/>
      <c r="D17" t="s">
        <v>921</v>
      </c>
      <c r="G17" t="s">
        <v>397</v>
      </c>
      <c r="H17" s="573"/>
      <c r="I17" t="s">
        <v>397</v>
      </c>
      <c r="J17" s="573"/>
      <c r="K17" t="s">
        <v>397</v>
      </c>
      <c r="L17" s="573"/>
      <c r="M17" t="s">
        <v>397</v>
      </c>
      <c r="N17" s="840">
        <f>+H17-J17+L17</f>
        <v>0</v>
      </c>
      <c r="P17" s="315"/>
      <c r="Q17" s="315"/>
      <c r="R17" s="315"/>
      <c r="S17" s="315"/>
      <c r="T17" s="315"/>
      <c r="U17" s="315"/>
      <c r="V17" s="315"/>
      <c r="W17" s="315"/>
      <c r="X17" s="315"/>
    </row>
    <row r="18" spans="2:24" ht="21" customHeight="1">
      <c r="B18" s="85"/>
      <c r="C18" s="763" t="s">
        <v>3540</v>
      </c>
      <c r="D18" s="30"/>
      <c r="E18" s="30"/>
      <c r="F18" s="30"/>
      <c r="G18" s="315" t="s">
        <v>397</v>
      </c>
      <c r="H18" s="573">
        <v>0</v>
      </c>
      <c r="I18" s="315" t="s">
        <v>397</v>
      </c>
      <c r="J18" s="573">
        <v>0</v>
      </c>
      <c r="K18" s="315" t="s">
        <v>397</v>
      </c>
      <c r="L18" s="573">
        <v>0</v>
      </c>
      <c r="M18" s="315" t="s">
        <v>397</v>
      </c>
      <c r="N18" s="840">
        <f>+H18-J18+L18</f>
        <v>0</v>
      </c>
      <c r="P18" s="315"/>
      <c r="Q18" s="315"/>
      <c r="R18" s="315"/>
      <c r="S18" s="315"/>
      <c r="T18" s="315"/>
      <c r="U18" s="315"/>
      <c r="V18" s="315"/>
      <c r="W18" s="315"/>
      <c r="X18" s="315"/>
    </row>
    <row r="19" spans="2:24" ht="21" customHeight="1">
      <c r="B19" s="85"/>
      <c r="C19" s="1599"/>
      <c r="D19" s="1599"/>
      <c r="E19" s="1599"/>
      <c r="F19" s="1599"/>
      <c r="G19" s="315" t="s">
        <v>397</v>
      </c>
      <c r="H19" s="573"/>
      <c r="I19" s="315" t="s">
        <v>397</v>
      </c>
      <c r="J19" s="573"/>
      <c r="K19" s="315" t="s">
        <v>397</v>
      </c>
      <c r="L19" s="573"/>
      <c r="M19" s="315" t="s">
        <v>397</v>
      </c>
      <c r="N19" s="840">
        <f t="shared" ref="N19:N24" si="0">+H19-J19+L19</f>
        <v>0</v>
      </c>
      <c r="P19" s="315"/>
      <c r="Q19" s="315"/>
      <c r="R19" s="315"/>
      <c r="S19" s="315"/>
      <c r="T19" s="315"/>
      <c r="U19" s="315"/>
      <c r="V19" s="315"/>
      <c r="W19" s="315"/>
      <c r="X19" s="315"/>
    </row>
    <row r="20" spans="2:24" ht="21" customHeight="1">
      <c r="B20" s="85"/>
      <c r="C20" s="1599"/>
      <c r="D20" s="1599"/>
      <c r="E20" s="1599"/>
      <c r="F20" s="1599"/>
      <c r="G20" s="315" t="s">
        <v>397</v>
      </c>
      <c r="H20" s="573"/>
      <c r="I20" s="315" t="s">
        <v>397</v>
      </c>
      <c r="J20" s="573"/>
      <c r="K20" s="315" t="s">
        <v>397</v>
      </c>
      <c r="L20" s="573"/>
      <c r="M20" s="315" t="s">
        <v>397</v>
      </c>
      <c r="N20" s="840">
        <f t="shared" si="0"/>
        <v>0</v>
      </c>
      <c r="P20" s="315"/>
      <c r="Q20" s="315"/>
      <c r="R20" s="315"/>
      <c r="S20" s="315"/>
      <c r="T20" s="315"/>
      <c r="U20" s="315"/>
      <c r="V20" s="315"/>
      <c r="W20" s="315"/>
      <c r="X20" s="315"/>
    </row>
    <row r="21" spans="2:24" ht="21" customHeight="1">
      <c r="B21" s="85"/>
      <c r="C21" s="1599"/>
      <c r="D21" s="1599"/>
      <c r="E21" s="1599"/>
      <c r="F21" s="1599"/>
      <c r="G21" s="315" t="s">
        <v>397</v>
      </c>
      <c r="H21" s="573"/>
      <c r="I21" s="315" t="s">
        <v>397</v>
      </c>
      <c r="J21" s="573"/>
      <c r="K21" s="315" t="s">
        <v>397</v>
      </c>
      <c r="L21" s="573"/>
      <c r="M21" s="315" t="s">
        <v>397</v>
      </c>
      <c r="N21" s="840">
        <f t="shared" si="0"/>
        <v>0</v>
      </c>
      <c r="P21" s="315"/>
      <c r="Q21" s="315"/>
      <c r="R21" s="315"/>
      <c r="S21" s="315"/>
      <c r="T21" s="315"/>
      <c r="U21" s="315"/>
      <c r="V21" s="315"/>
      <c r="W21" s="315"/>
      <c r="X21" s="315"/>
    </row>
    <row r="22" spans="2:24" ht="21" customHeight="1">
      <c r="B22" s="85"/>
      <c r="C22" s="1599"/>
      <c r="D22" s="1599"/>
      <c r="E22" s="1599"/>
      <c r="F22" s="1599"/>
      <c r="G22" s="315" t="s">
        <v>397</v>
      </c>
      <c r="H22" s="573"/>
      <c r="I22" s="315" t="s">
        <v>397</v>
      </c>
      <c r="J22" s="573"/>
      <c r="K22" s="315" t="s">
        <v>397</v>
      </c>
      <c r="L22" s="573"/>
      <c r="M22" s="315" t="s">
        <v>397</v>
      </c>
      <c r="N22" s="840">
        <f t="shared" si="0"/>
        <v>0</v>
      </c>
      <c r="P22" s="315"/>
      <c r="Q22" s="315"/>
      <c r="R22" s="315"/>
      <c r="S22" s="315"/>
      <c r="T22" s="315"/>
      <c r="U22" s="315"/>
      <c r="V22" s="315"/>
      <c r="W22" s="315"/>
      <c r="X22" s="315"/>
    </row>
    <row r="23" spans="2:24" ht="21" customHeight="1">
      <c r="B23" s="85"/>
      <c r="C23" s="1599"/>
      <c r="D23" s="1599"/>
      <c r="E23" s="1599"/>
      <c r="F23" s="1599"/>
      <c r="G23" s="315" t="s">
        <v>397</v>
      </c>
      <c r="H23" s="573"/>
      <c r="I23" s="315" t="s">
        <v>397</v>
      </c>
      <c r="J23" s="573"/>
      <c r="K23" s="315" t="s">
        <v>397</v>
      </c>
      <c r="L23" s="573"/>
      <c r="M23" s="315" t="s">
        <v>397</v>
      </c>
      <c r="N23" s="840">
        <f t="shared" si="0"/>
        <v>0</v>
      </c>
      <c r="P23" s="315"/>
      <c r="Q23" s="315"/>
      <c r="R23" s="315"/>
      <c r="S23" s="315"/>
      <c r="T23" s="315"/>
      <c r="U23" s="315"/>
      <c r="V23" s="315"/>
      <c r="W23" s="315"/>
      <c r="X23" s="315"/>
    </row>
    <row r="24" spans="2:24" ht="21" customHeight="1">
      <c r="B24" s="85"/>
      <c r="C24" s="1599"/>
      <c r="D24" s="1599"/>
      <c r="E24" s="1599"/>
      <c r="F24" s="1599"/>
      <c r="G24" s="315" t="s">
        <v>397</v>
      </c>
      <c r="H24" s="573"/>
      <c r="I24" s="315" t="s">
        <v>397</v>
      </c>
      <c r="J24" s="573"/>
      <c r="K24" s="315" t="s">
        <v>397</v>
      </c>
      <c r="L24" s="573"/>
      <c r="M24" s="315" t="s">
        <v>397</v>
      </c>
      <c r="N24" s="840">
        <f t="shared" si="0"/>
        <v>0</v>
      </c>
      <c r="P24" s="315"/>
      <c r="Q24" s="315"/>
      <c r="R24" s="315"/>
      <c r="S24" s="315"/>
      <c r="T24" s="315"/>
      <c r="U24" s="315"/>
      <c r="V24" s="315"/>
      <c r="W24" s="315"/>
      <c r="X24" s="315"/>
    </row>
    <row r="25" spans="2:24" ht="21" customHeight="1">
      <c r="B25" s="974"/>
      <c r="C25" s="1055" t="s">
        <v>3306</v>
      </c>
      <c r="D25" s="1056"/>
      <c r="E25" s="1056"/>
      <c r="F25" s="1056"/>
      <c r="G25" s="844" t="s">
        <v>397</v>
      </c>
      <c r="H25" s="840">
        <f>SUM(H14:H24)</f>
        <v>0</v>
      </c>
      <c r="I25" s="830" t="s">
        <v>397</v>
      </c>
      <c r="J25" s="840">
        <f>SUM(J14:J24)</f>
        <v>0</v>
      </c>
      <c r="K25" s="830" t="s">
        <v>397</v>
      </c>
      <c r="L25" s="840">
        <f>SUM(L14:L24)</f>
        <v>0</v>
      </c>
      <c r="M25" s="830" t="s">
        <v>397</v>
      </c>
      <c r="N25" s="840">
        <f>SUM(N14:N24)</f>
        <v>0</v>
      </c>
      <c r="P25" s="315"/>
      <c r="Q25" s="315"/>
      <c r="R25" s="315"/>
      <c r="S25" s="315"/>
      <c r="T25" s="315"/>
      <c r="U25" s="315"/>
      <c r="V25" s="315"/>
      <c r="W25" s="315"/>
      <c r="X25" s="315"/>
    </row>
    <row r="26" spans="2:24">
      <c r="B26" s="85"/>
      <c r="P26" s="315"/>
      <c r="Q26" s="315"/>
      <c r="R26" s="315"/>
      <c r="S26" s="315"/>
      <c r="T26" s="315"/>
      <c r="U26" s="315"/>
      <c r="V26" s="315"/>
      <c r="W26" s="315"/>
      <c r="X26" s="315"/>
    </row>
    <row r="27" spans="2:24">
      <c r="B27" s="85"/>
      <c r="C27" s="116" t="s">
        <v>922</v>
      </c>
    </row>
    <row r="28" spans="2:24">
      <c r="B28" s="85"/>
    </row>
    <row r="29" spans="2:24">
      <c r="B29" s="85"/>
    </row>
    <row r="30" spans="2:24" ht="15.6">
      <c r="B30" s="1675" t="s">
        <v>3415</v>
      </c>
      <c r="C30" s="1675"/>
      <c r="D30" s="1675"/>
      <c r="E30" s="1675"/>
      <c r="F30" s="1675"/>
      <c r="G30" s="1675"/>
      <c r="H30" s="1675"/>
      <c r="I30" s="1675"/>
      <c r="J30" s="1675"/>
      <c r="K30" s="1675"/>
      <c r="L30" s="1675"/>
      <c r="M30" s="1675"/>
      <c r="N30" s="1675"/>
    </row>
    <row r="31" spans="2:24" ht="15.6">
      <c r="B31" s="1675" t="s">
        <v>3418</v>
      </c>
      <c r="C31" s="1675"/>
      <c r="D31" s="1675"/>
      <c r="E31" s="1675"/>
      <c r="F31" s="1675"/>
      <c r="G31" s="1675"/>
      <c r="H31" s="1675"/>
      <c r="I31" s="1675"/>
      <c r="J31" s="1675"/>
      <c r="K31" s="1675"/>
      <c r="L31" s="1675"/>
      <c r="M31" s="1675"/>
      <c r="N31" s="1675"/>
    </row>
    <row r="32" spans="2:24" ht="6.75" customHeight="1">
      <c r="B32" s="127"/>
      <c r="C32" s="127"/>
      <c r="D32" s="127"/>
      <c r="E32" s="127"/>
      <c r="F32" s="127"/>
      <c r="G32" s="127"/>
      <c r="H32" s="127"/>
      <c r="I32" s="127"/>
      <c r="J32" s="127"/>
      <c r="K32" s="127"/>
      <c r="L32" s="127"/>
      <c r="M32" s="127"/>
      <c r="N32" s="127"/>
    </row>
    <row r="33" spans="2:14" ht="18" customHeight="1">
      <c r="B33" s="85"/>
      <c r="D33" s="1679" t="s">
        <v>18</v>
      </c>
      <c r="E33" s="1679"/>
      <c r="F33" s="106"/>
      <c r="G33" s="1679" t="s">
        <v>440</v>
      </c>
      <c r="H33" s="1679"/>
      <c r="I33" s="1679"/>
      <c r="J33" s="1679"/>
      <c r="K33" s="1679"/>
      <c r="L33" s="1679"/>
      <c r="M33" s="106"/>
      <c r="N33" s="129" t="s">
        <v>441</v>
      </c>
    </row>
    <row r="34" spans="2:14" ht="21" customHeight="1">
      <c r="B34" s="85"/>
      <c r="C34" s="85" t="s">
        <v>308</v>
      </c>
      <c r="D34" s="1623"/>
      <c r="E34" s="1623"/>
      <c r="G34" s="1676" t="s">
        <v>3673</v>
      </c>
      <c r="H34" s="1676"/>
      <c r="I34" s="1676"/>
      <c r="J34" s="1676"/>
      <c r="K34" s="1676"/>
      <c r="L34" s="1676"/>
      <c r="M34" t="s">
        <v>397</v>
      </c>
      <c r="N34" s="573"/>
    </row>
    <row r="35" spans="2:14" ht="21" customHeight="1">
      <c r="B35" s="85"/>
      <c r="C35" s="85" t="s">
        <v>309</v>
      </c>
      <c r="D35" s="1623"/>
      <c r="E35" s="1623"/>
      <c r="F35" s="315"/>
      <c r="G35" s="1676"/>
      <c r="H35" s="1676"/>
      <c r="I35" s="1676"/>
      <c r="J35" s="1676"/>
      <c r="K35" s="1676"/>
      <c r="L35" s="1676"/>
      <c r="M35" s="315" t="s">
        <v>397</v>
      </c>
      <c r="N35" s="573"/>
    </row>
    <row r="36" spans="2:14" ht="21" customHeight="1">
      <c r="B36" s="85"/>
      <c r="C36" s="85" t="s">
        <v>310</v>
      </c>
      <c r="D36" s="1623"/>
      <c r="E36" s="1623"/>
      <c r="F36" s="315"/>
      <c r="G36" s="1676"/>
      <c r="H36" s="1676"/>
      <c r="I36" s="1676"/>
      <c r="J36" s="1676"/>
      <c r="K36" s="1676"/>
      <c r="L36" s="1676"/>
      <c r="M36" s="315" t="s">
        <v>397</v>
      </c>
      <c r="N36" s="573"/>
    </row>
    <row r="37" spans="2:14" ht="21" customHeight="1">
      <c r="B37" s="85"/>
      <c r="C37" s="85" t="s">
        <v>311</v>
      </c>
      <c r="D37" s="1623"/>
      <c r="E37" s="1623"/>
      <c r="F37" s="315"/>
      <c r="G37" s="1676"/>
      <c r="H37" s="1676"/>
      <c r="I37" s="1676"/>
      <c r="J37" s="1676"/>
      <c r="K37" s="1676"/>
      <c r="L37" s="1676"/>
      <c r="M37" s="315" t="s">
        <v>397</v>
      </c>
      <c r="N37" s="573"/>
    </row>
    <row r="38" spans="2:14" ht="21" customHeight="1">
      <c r="B38" s="85"/>
      <c r="C38" s="85" t="s">
        <v>312</v>
      </c>
      <c r="D38" s="1623"/>
      <c r="E38" s="1623"/>
      <c r="F38" s="315"/>
      <c r="G38" s="1676"/>
      <c r="H38" s="1676"/>
      <c r="I38" s="1676"/>
      <c r="J38" s="1676"/>
      <c r="K38" s="1676"/>
      <c r="L38" s="1676"/>
      <c r="M38" s="315" t="s">
        <v>397</v>
      </c>
      <c r="N38" s="573"/>
    </row>
    <row r="39" spans="2:14">
      <c r="B39" s="85"/>
    </row>
    <row r="40" spans="2:14">
      <c r="B40" s="85"/>
    </row>
    <row r="41" spans="2:14">
      <c r="B41" s="85"/>
    </row>
    <row r="42" spans="2:14" ht="15.6">
      <c r="B42" s="1675" t="s">
        <v>264</v>
      </c>
      <c r="C42" s="1675"/>
      <c r="D42" s="1675"/>
      <c r="E42" s="1675"/>
      <c r="F42" s="1675"/>
      <c r="G42" s="1675"/>
      <c r="H42" s="1675"/>
      <c r="I42" s="1675"/>
      <c r="J42" s="1675"/>
      <c r="K42" s="1675"/>
      <c r="L42" s="1675"/>
      <c r="M42" s="1675"/>
      <c r="N42" s="1675"/>
    </row>
    <row r="43" spans="2:14">
      <c r="B43" s="85"/>
    </row>
    <row r="44" spans="2:14">
      <c r="B44" s="85"/>
      <c r="N44" s="1" t="s">
        <v>446</v>
      </c>
    </row>
    <row r="45" spans="2:14">
      <c r="B45" s="85"/>
      <c r="N45" s="1" t="s">
        <v>447</v>
      </c>
    </row>
    <row r="46" spans="2:14">
      <c r="B46" s="85"/>
      <c r="D46" s="1608" t="s">
        <v>443</v>
      </c>
      <c r="E46" s="1608"/>
      <c r="H46" s="1608" t="s">
        <v>444</v>
      </c>
      <c r="I46" s="1608"/>
      <c r="J46" s="128" t="s">
        <v>445</v>
      </c>
      <c r="L46" s="128" t="s">
        <v>441</v>
      </c>
      <c r="N46" s="283" t="str">
        <f>"Year "&amp;TEXT('KEY INPUTS'!D33,"0")</f>
        <v>Year 2021</v>
      </c>
    </row>
    <row r="47" spans="2:14">
      <c r="B47" s="85"/>
    </row>
    <row r="48" spans="2:14" ht="21" customHeight="1">
      <c r="B48" s="85"/>
      <c r="C48" s="85" t="s">
        <v>308</v>
      </c>
      <c r="D48" s="1677" t="s">
        <v>3673</v>
      </c>
      <c r="E48" s="1678"/>
      <c r="F48" s="1678"/>
      <c r="G48" s="30"/>
      <c r="H48" s="573"/>
      <c r="I48" s="30"/>
      <c r="J48" s="573"/>
      <c r="K48" t="s">
        <v>397</v>
      </c>
      <c r="L48" s="573"/>
      <c r="M48" s="65"/>
      <c r="N48" s="573"/>
    </row>
    <row r="49" spans="2:14" ht="21" customHeight="1">
      <c r="B49" s="85"/>
      <c r="C49" s="85" t="s">
        <v>309</v>
      </c>
      <c r="D49" s="1678"/>
      <c r="E49" s="1678"/>
      <c r="F49" s="1678"/>
      <c r="G49" s="277"/>
      <c r="H49" s="573"/>
      <c r="I49" s="277"/>
      <c r="J49" s="573"/>
      <c r="K49" s="315" t="s">
        <v>397</v>
      </c>
      <c r="L49" s="573"/>
      <c r="M49" s="280"/>
      <c r="N49" s="573"/>
    </row>
    <row r="50" spans="2:14" ht="21" customHeight="1">
      <c r="B50" s="85"/>
      <c r="C50" s="85" t="s">
        <v>310</v>
      </c>
      <c r="D50" s="1678"/>
      <c r="E50" s="1678"/>
      <c r="F50" s="1678"/>
      <c r="G50" s="277"/>
      <c r="H50" s="573"/>
      <c r="I50" s="277"/>
      <c r="J50" s="573"/>
      <c r="K50" s="315" t="s">
        <v>397</v>
      </c>
      <c r="L50" s="573"/>
      <c r="M50" s="280"/>
      <c r="N50" s="573"/>
    </row>
    <row r="51" spans="2:14" ht="21" customHeight="1">
      <c r="B51" s="85"/>
      <c r="C51" s="85" t="s">
        <v>311</v>
      </c>
      <c r="D51" s="1678"/>
      <c r="E51" s="1678"/>
      <c r="F51" s="1678"/>
      <c r="G51" s="277"/>
      <c r="H51" s="573"/>
      <c r="I51" s="277"/>
      <c r="J51" s="573"/>
      <c r="K51" s="315" t="s">
        <v>397</v>
      </c>
      <c r="L51" s="573"/>
      <c r="M51" s="280"/>
      <c r="N51" s="573"/>
    </row>
    <row r="52" spans="2:14">
      <c r="B52" s="85"/>
      <c r="L52" s="65"/>
      <c r="M52" s="65"/>
      <c r="N52" s="65"/>
    </row>
    <row r="53" spans="2:14">
      <c r="B53" s="85"/>
    </row>
    <row r="54" spans="2:14">
      <c r="B54" s="85"/>
    </row>
    <row r="55" spans="2:14">
      <c r="B55" s="85"/>
    </row>
    <row r="56" spans="2:14">
      <c r="B56" s="85"/>
    </row>
    <row r="57" spans="2:14">
      <c r="B57" s="85"/>
    </row>
    <row r="58" spans="2:14" ht="13.8">
      <c r="B58" s="1609" t="s">
        <v>442</v>
      </c>
      <c r="C58" s="1609"/>
      <c r="D58" s="1609"/>
      <c r="E58" s="1609"/>
      <c r="F58" s="1609"/>
      <c r="G58" s="1609"/>
      <c r="H58" s="1609"/>
      <c r="I58" s="1609"/>
      <c r="J58" s="1609"/>
      <c r="K58" s="1609"/>
      <c r="L58" s="1609"/>
      <c r="M58" s="1609"/>
      <c r="N58" s="1609"/>
    </row>
    <row r="59" spans="2:14">
      <c r="B59" s="85"/>
    </row>
    <row r="60" spans="2:14">
      <c r="B60" s="85"/>
    </row>
    <row r="61" spans="2:14">
      <c r="B61" s="85"/>
    </row>
    <row r="62" spans="2:14">
      <c r="B62" s="85"/>
    </row>
    <row r="63" spans="2:14">
      <c r="B63" s="85"/>
    </row>
    <row r="64" spans="2:14">
      <c r="B64" s="85"/>
    </row>
    <row r="65" spans="2:2">
      <c r="B65" s="85"/>
    </row>
    <row r="66" spans="2:2">
      <c r="B66" s="85"/>
    </row>
  </sheetData>
  <sheetProtection algorithmName="SHA-512" hashValue="o+OdAhF0379NTm9Dv06Ww/qa5CdI5HMSwu1QrHeeCVZ2NzO3i6pTYpfpwgfoB5JgDeJGbT1C9+gos9N6VcE37g==" saltValue="DxxBZPgdQSWSKCA2ND/VYQ==" spinCount="100000" sheet="1" objects="1" scenarios="1"/>
  <mergeCells count="34">
    <mergeCell ref="B3:N3"/>
    <mergeCell ref="B30:N30"/>
    <mergeCell ref="B31:N31"/>
    <mergeCell ref="D33:E33"/>
    <mergeCell ref="G33:L33"/>
    <mergeCell ref="B4:N4"/>
    <mergeCell ref="B5:N5"/>
    <mergeCell ref="B6:N6"/>
    <mergeCell ref="B7:N7"/>
    <mergeCell ref="C10:E10"/>
    <mergeCell ref="C22:F22"/>
    <mergeCell ref="C23:F23"/>
    <mergeCell ref="C24:F24"/>
    <mergeCell ref="G34:L34"/>
    <mergeCell ref="G35:L35"/>
    <mergeCell ref="C20:F20"/>
    <mergeCell ref="C19:F19"/>
    <mergeCell ref="C21:F21"/>
    <mergeCell ref="D34:E34"/>
    <mergeCell ref="D35:E35"/>
    <mergeCell ref="D36:E36"/>
    <mergeCell ref="D37:E37"/>
    <mergeCell ref="D38:E38"/>
    <mergeCell ref="B58:N58"/>
    <mergeCell ref="B42:N42"/>
    <mergeCell ref="D46:E46"/>
    <mergeCell ref="H46:I46"/>
    <mergeCell ref="G36:L36"/>
    <mergeCell ref="G37:L37"/>
    <mergeCell ref="G38:L38"/>
    <mergeCell ref="D48:F48"/>
    <mergeCell ref="D49:F49"/>
    <mergeCell ref="D50:F50"/>
    <mergeCell ref="D51:F51"/>
  </mergeCells>
  <phoneticPr fontId="0" type="noConversion"/>
  <pageMargins left="0.25" right="0.25" top="0.5" bottom="0.5" header="0.25" footer="0.25"/>
  <pageSetup paperSize="5" orientation="portrait" r:id="rId1"/>
  <headerFooter alignWithMargins="0"/>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7"/>
  <dimension ref="A1:V36"/>
  <sheetViews>
    <sheetView zoomScaleNormal="100" workbookViewId="0">
      <selection activeCell="J29" sqref="J29:K29"/>
    </sheetView>
  </sheetViews>
  <sheetFormatPr defaultRowHeight="13.2"/>
  <cols>
    <col min="1" max="1" width="5.6640625" customWidth="1"/>
    <col min="2" max="4" width="4.88671875" customWidth="1"/>
    <col min="5" max="5" width="46.6640625" customWidth="1"/>
    <col min="6" max="6" width="7.6640625" customWidth="1"/>
    <col min="7" max="8" width="16.6640625" customWidth="1"/>
    <col min="9" max="12" width="15.6640625" customWidth="1"/>
    <col min="13" max="13" width="10.44140625" bestFit="1" customWidth="1"/>
  </cols>
  <sheetData>
    <row r="1" spans="1:22">
      <c r="B1" s="844"/>
      <c r="C1" s="844"/>
      <c r="D1" s="844"/>
      <c r="E1" s="844"/>
      <c r="F1" s="844"/>
      <c r="G1" s="844"/>
      <c r="H1" s="844"/>
      <c r="I1" s="844"/>
      <c r="J1" s="844"/>
      <c r="K1" s="844"/>
      <c r="L1" s="844"/>
    </row>
    <row r="2" spans="1:22" ht="17.399999999999999">
      <c r="B2" s="1057"/>
      <c r="C2" s="1057" t="s">
        <v>3593</v>
      </c>
      <c r="D2" s="844"/>
      <c r="E2" s="844"/>
      <c r="F2" s="844" t="s">
        <v>473</v>
      </c>
      <c r="G2" s="844"/>
      <c r="H2" s="844"/>
      <c r="I2" s="844"/>
      <c r="J2" s="844"/>
      <c r="K2" s="844"/>
      <c r="L2" s="844"/>
    </row>
    <row r="3" spans="1:22">
      <c r="B3" s="844"/>
      <c r="C3" s="844"/>
      <c r="D3" s="844"/>
      <c r="E3" s="844"/>
      <c r="F3" s="844" t="s">
        <v>513</v>
      </c>
      <c r="G3" s="844"/>
      <c r="H3" s="844"/>
      <c r="I3" s="844"/>
      <c r="J3" s="844"/>
      <c r="K3" s="844"/>
      <c r="L3" s="844"/>
    </row>
    <row r="4" spans="1:22">
      <c r="B4" s="844"/>
      <c r="C4" s="844"/>
      <c r="D4" s="844"/>
      <c r="E4" s="844"/>
      <c r="F4" s="844" t="s">
        <v>127</v>
      </c>
      <c r="G4" s="844"/>
      <c r="H4" s="844"/>
      <c r="I4" s="844"/>
      <c r="J4" s="844"/>
      <c r="K4" s="844"/>
      <c r="L4" s="844"/>
    </row>
    <row r="5" spans="1:22" ht="13.8" thickBot="1">
      <c r="B5" s="844"/>
      <c r="C5" s="844"/>
      <c r="D5" s="844"/>
      <c r="E5" s="844"/>
      <c r="F5" s="844"/>
      <c r="G5" s="844"/>
      <c r="H5" s="844"/>
      <c r="I5" s="844"/>
      <c r="J5" s="844"/>
      <c r="K5" s="844"/>
      <c r="L5" s="844"/>
    </row>
    <row r="6" spans="1:22" ht="13.8" thickTop="1">
      <c r="B6" s="877"/>
      <c r="C6" s="877"/>
      <c r="D6" s="877"/>
      <c r="E6" s="1058"/>
      <c r="F6" s="877"/>
      <c r="G6" s="878"/>
      <c r="H6" s="1059"/>
      <c r="I6" s="878"/>
      <c r="J6" s="877"/>
      <c r="K6" s="877"/>
      <c r="L6" s="854"/>
    </row>
    <row r="7" spans="1:22" ht="15.6">
      <c r="B7" s="1636" t="s">
        <v>18</v>
      </c>
      <c r="C7" s="1636"/>
      <c r="D7" s="1636"/>
      <c r="E7" s="1681" t="s">
        <v>440</v>
      </c>
      <c r="F7" s="1637"/>
      <c r="G7" s="880" t="s">
        <v>441</v>
      </c>
      <c r="H7" s="985" t="s">
        <v>469</v>
      </c>
      <c r="I7" s="880" t="s">
        <v>559</v>
      </c>
      <c r="J7" s="1687" t="str">
        <f>"REDUCED  IN  "&amp;TEXT('KEY INPUTS'!D34,"0")</f>
        <v>REDUCED  IN  2020</v>
      </c>
      <c r="K7" s="1688"/>
      <c r="L7" s="855" t="s">
        <v>559</v>
      </c>
      <c r="N7" s="315"/>
      <c r="O7" s="315"/>
      <c r="P7" s="315"/>
      <c r="Q7" s="315"/>
      <c r="R7" s="315"/>
      <c r="S7" s="315"/>
      <c r="T7" s="315"/>
      <c r="U7" s="315"/>
      <c r="V7" s="315"/>
    </row>
    <row r="8" spans="1:22">
      <c r="B8" s="844"/>
      <c r="C8" s="844"/>
      <c r="D8" s="844"/>
      <c r="E8" s="1060"/>
      <c r="F8" s="844"/>
      <c r="G8" s="880" t="s">
        <v>468</v>
      </c>
      <c r="H8" s="985" t="s">
        <v>470</v>
      </c>
      <c r="I8" s="883" t="str">
        <f>'KEY INPUTS'!D45</f>
        <v>Dec. 31, 2019</v>
      </c>
      <c r="J8" s="880" t="str">
        <f>"By "&amp;TEXT('KEY INPUTS'!D34,"0")</f>
        <v>By 2020</v>
      </c>
      <c r="K8" s="880" t="s">
        <v>466</v>
      </c>
      <c r="L8" s="856" t="str">
        <f>'KEY INPUTS'!D46</f>
        <v>Dec. 31, 2020</v>
      </c>
      <c r="N8" s="315"/>
      <c r="O8" s="315"/>
      <c r="P8" s="315"/>
      <c r="Q8" s="315"/>
      <c r="R8" s="315"/>
      <c r="S8" s="315"/>
      <c r="T8" s="315"/>
      <c r="U8" s="315"/>
      <c r="V8" s="315"/>
    </row>
    <row r="9" spans="1:22" ht="13.8" thickBot="1">
      <c r="B9" s="886"/>
      <c r="C9" s="886"/>
      <c r="D9" s="886"/>
      <c r="E9" s="889"/>
      <c r="F9" s="886"/>
      <c r="G9" s="888"/>
      <c r="H9" s="1061" t="s">
        <v>471</v>
      </c>
      <c r="I9" s="887"/>
      <c r="J9" s="888" t="s">
        <v>564</v>
      </c>
      <c r="K9" s="888" t="s">
        <v>467</v>
      </c>
      <c r="L9" s="857"/>
      <c r="N9" s="315"/>
      <c r="O9" s="315"/>
      <c r="P9" s="315"/>
      <c r="Q9" s="315"/>
      <c r="R9" s="315"/>
      <c r="S9" s="315"/>
      <c r="T9" s="315"/>
      <c r="U9" s="315"/>
      <c r="V9" s="315"/>
    </row>
    <row r="10" spans="1:22" ht="21" customHeight="1" thickTop="1">
      <c r="B10" s="1682"/>
      <c r="C10" s="1682"/>
      <c r="D10" s="1683"/>
      <c r="E10" s="1542" t="s">
        <v>3673</v>
      </c>
      <c r="F10" s="563"/>
      <c r="G10" s="585"/>
      <c r="H10" s="585"/>
      <c r="I10" s="586"/>
      <c r="J10" s="586"/>
      <c r="K10" s="586"/>
      <c r="L10" s="1524">
        <f>+I10-J10-K10</f>
        <v>0</v>
      </c>
      <c r="N10" s="315"/>
      <c r="O10" s="315"/>
      <c r="P10" s="315"/>
      <c r="Q10" s="315"/>
      <c r="R10" s="315"/>
      <c r="S10" s="315"/>
      <c r="T10" s="315"/>
      <c r="U10" s="315"/>
      <c r="V10" s="315"/>
    </row>
    <row r="11" spans="1:22" ht="21" customHeight="1">
      <c r="B11" s="1684"/>
      <c r="C11" s="1562"/>
      <c r="D11" s="1685"/>
      <c r="E11" s="587"/>
      <c r="F11" s="565"/>
      <c r="G11" s="574"/>
      <c r="H11" s="574"/>
      <c r="I11" s="367"/>
      <c r="J11" s="367"/>
      <c r="K11" s="367"/>
      <c r="L11" s="1525">
        <f>+I11-J11-K11</f>
        <v>0</v>
      </c>
      <c r="M11" s="221"/>
      <c r="N11" s="315"/>
      <c r="O11" s="315"/>
      <c r="P11" s="315"/>
      <c r="Q11" s="315"/>
      <c r="R11" s="315"/>
      <c r="S11" s="315"/>
      <c r="T11" s="315"/>
      <c r="U11" s="315"/>
      <c r="V11" s="315"/>
    </row>
    <row r="12" spans="1:22" ht="21" customHeight="1">
      <c r="B12" s="1684"/>
      <c r="C12" s="1562"/>
      <c r="D12" s="1685"/>
      <c r="E12" s="587"/>
      <c r="F12" s="565"/>
      <c r="G12" s="588"/>
      <c r="H12" s="574"/>
      <c r="I12" s="589"/>
      <c r="J12" s="367"/>
      <c r="K12" s="367"/>
      <c r="L12" s="1525">
        <f t="shared" ref="L12:L23" si="0">+I12-J12-K12</f>
        <v>0</v>
      </c>
      <c r="M12" s="221"/>
      <c r="N12" s="315"/>
      <c r="O12" s="315"/>
      <c r="P12" s="315"/>
      <c r="Q12" s="315"/>
      <c r="R12" s="315"/>
      <c r="S12" s="315"/>
      <c r="T12" s="315"/>
      <c r="U12" s="315"/>
      <c r="V12" s="315"/>
    </row>
    <row r="13" spans="1:22" ht="21" customHeight="1">
      <c r="B13" s="1562"/>
      <c r="C13" s="1562"/>
      <c r="D13" s="1685"/>
      <c r="E13" s="587"/>
      <c r="F13" s="565"/>
      <c r="G13" s="574"/>
      <c r="H13" s="574"/>
      <c r="I13" s="367"/>
      <c r="J13" s="367"/>
      <c r="K13" s="367"/>
      <c r="L13" s="1525">
        <f t="shared" si="0"/>
        <v>0</v>
      </c>
      <c r="N13" s="315"/>
      <c r="O13" s="315"/>
      <c r="P13" s="315"/>
      <c r="Q13" s="315"/>
      <c r="R13" s="315"/>
      <c r="S13" s="315"/>
      <c r="T13" s="315"/>
      <c r="U13" s="315"/>
      <c r="V13" s="315"/>
    </row>
    <row r="14" spans="1:22" ht="21" customHeight="1">
      <c r="B14" s="1684"/>
      <c r="C14" s="1562"/>
      <c r="D14" s="1685"/>
      <c r="E14" s="587"/>
      <c r="F14" s="565"/>
      <c r="G14" s="574"/>
      <c r="H14" s="574"/>
      <c r="I14" s="367"/>
      <c r="J14" s="367"/>
      <c r="K14" s="367"/>
      <c r="L14" s="1525">
        <f t="shared" si="0"/>
        <v>0</v>
      </c>
      <c r="N14" s="315"/>
      <c r="O14" s="370"/>
      <c r="P14" s="315"/>
      <c r="Q14" s="315"/>
      <c r="R14" s="315"/>
      <c r="S14" s="315"/>
      <c r="T14" s="315"/>
      <c r="U14" s="315"/>
      <c r="V14" s="315"/>
    </row>
    <row r="15" spans="1:22" ht="21" customHeight="1">
      <c r="B15" s="1684"/>
      <c r="C15" s="1562"/>
      <c r="D15" s="1685"/>
      <c r="E15" s="587"/>
      <c r="F15" s="565"/>
      <c r="G15" s="588"/>
      <c r="H15" s="574"/>
      <c r="I15" s="589"/>
      <c r="J15" s="367"/>
      <c r="K15" s="367"/>
      <c r="L15" s="1525">
        <f t="shared" si="0"/>
        <v>0</v>
      </c>
      <c r="N15" s="315"/>
      <c r="O15" s="315"/>
      <c r="P15" s="315"/>
      <c r="Q15" s="315"/>
      <c r="R15" s="315"/>
      <c r="S15" s="315"/>
      <c r="T15" s="315"/>
      <c r="U15" s="315"/>
      <c r="V15" s="315"/>
    </row>
    <row r="16" spans="1:22" ht="21" customHeight="1">
      <c r="A16" s="1613" t="s">
        <v>465</v>
      </c>
      <c r="B16" s="1562"/>
      <c r="C16" s="1562"/>
      <c r="D16" s="1685"/>
      <c r="E16" s="587"/>
      <c r="F16" s="565"/>
      <c r="G16" s="574"/>
      <c r="H16" s="574"/>
      <c r="I16" s="367"/>
      <c r="J16" s="367"/>
      <c r="K16" s="367"/>
      <c r="L16" s="1525">
        <f t="shared" si="0"/>
        <v>0</v>
      </c>
      <c r="N16" s="315"/>
      <c r="O16" s="315"/>
      <c r="P16" s="315"/>
      <c r="Q16" s="315"/>
      <c r="R16" s="315"/>
      <c r="S16" s="315"/>
      <c r="T16" s="315"/>
      <c r="U16" s="315"/>
      <c r="V16" s="315"/>
    </row>
    <row r="17" spans="1:22" ht="21" customHeight="1">
      <c r="A17" s="1613"/>
      <c r="B17" s="1562"/>
      <c r="C17" s="1562"/>
      <c r="D17" s="1685"/>
      <c r="E17" s="587"/>
      <c r="F17" s="565"/>
      <c r="G17" s="574"/>
      <c r="H17" s="574"/>
      <c r="I17" s="367"/>
      <c r="J17" s="367"/>
      <c r="K17" s="367"/>
      <c r="L17" s="1525">
        <f t="shared" si="0"/>
        <v>0</v>
      </c>
      <c r="N17" s="315"/>
      <c r="O17" s="315"/>
      <c r="P17" s="315"/>
      <c r="Q17" s="315"/>
      <c r="R17" s="315"/>
      <c r="S17" s="315"/>
      <c r="T17" s="315"/>
      <c r="U17" s="315"/>
      <c r="V17" s="315"/>
    </row>
    <row r="18" spans="1:22" ht="21" customHeight="1">
      <c r="A18" s="1613"/>
      <c r="B18" s="1562"/>
      <c r="C18" s="1562"/>
      <c r="D18" s="1685"/>
      <c r="E18" s="587"/>
      <c r="F18" s="565"/>
      <c r="G18" s="574"/>
      <c r="H18" s="574"/>
      <c r="I18" s="367"/>
      <c r="J18" s="367"/>
      <c r="K18" s="367"/>
      <c r="L18" s="1525">
        <f t="shared" si="0"/>
        <v>0</v>
      </c>
      <c r="N18" s="315"/>
      <c r="O18" s="315"/>
      <c r="P18" s="315"/>
      <c r="Q18" s="315"/>
      <c r="R18" s="315"/>
      <c r="S18" s="315"/>
      <c r="T18" s="315"/>
      <c r="U18" s="315"/>
      <c r="V18" s="315"/>
    </row>
    <row r="19" spans="1:22" s="315" customFormat="1" ht="21" customHeight="1">
      <c r="A19" s="1505"/>
      <c r="B19" s="1504"/>
      <c r="C19" s="1504"/>
      <c r="D19" s="1507"/>
      <c r="E19" s="587"/>
      <c r="F19" s="565"/>
      <c r="G19" s="574"/>
      <c r="H19" s="574"/>
      <c r="I19" s="367"/>
      <c r="J19" s="367"/>
      <c r="K19" s="367"/>
      <c r="L19" s="1525">
        <f t="shared" si="0"/>
        <v>0</v>
      </c>
    </row>
    <row r="20" spans="1:22" s="315" customFormat="1" ht="21" customHeight="1">
      <c r="A20" s="1505"/>
      <c r="B20" s="1504"/>
      <c r="C20" s="1504"/>
      <c r="D20" s="1507"/>
      <c r="E20" s="587"/>
      <c r="F20" s="565"/>
      <c r="G20" s="574"/>
      <c r="H20" s="574"/>
      <c r="I20" s="367"/>
      <c r="J20" s="367"/>
      <c r="K20" s="367"/>
      <c r="L20" s="1525">
        <f t="shared" si="0"/>
        <v>0</v>
      </c>
    </row>
    <row r="21" spans="1:22" ht="21" customHeight="1">
      <c r="B21" s="1562"/>
      <c r="C21" s="1562"/>
      <c r="D21" s="1685"/>
      <c r="E21" s="587"/>
      <c r="F21" s="565"/>
      <c r="G21" s="574"/>
      <c r="H21" s="574"/>
      <c r="I21" s="367"/>
      <c r="J21" s="367"/>
      <c r="K21" s="367"/>
      <c r="L21" s="1525">
        <f t="shared" si="0"/>
        <v>0</v>
      </c>
      <c r="N21" s="315"/>
      <c r="O21" s="315"/>
      <c r="P21" s="315"/>
      <c r="Q21" s="315"/>
      <c r="R21" s="315"/>
      <c r="S21" s="315"/>
      <c r="T21" s="315"/>
      <c r="U21" s="315"/>
      <c r="V21" s="315"/>
    </row>
    <row r="22" spans="1:22" s="315" customFormat="1" ht="21" customHeight="1">
      <c r="B22" s="1504"/>
      <c r="C22" s="1504"/>
      <c r="D22" s="1507"/>
      <c r="E22" s="587"/>
      <c r="F22" s="565"/>
      <c r="G22" s="574"/>
      <c r="H22" s="574"/>
      <c r="I22" s="367"/>
      <c r="J22" s="367"/>
      <c r="K22" s="367"/>
      <c r="L22" s="1525">
        <f t="shared" si="0"/>
        <v>0</v>
      </c>
    </row>
    <row r="23" spans="1:22" ht="21" customHeight="1">
      <c r="B23" s="1562"/>
      <c r="C23" s="1562"/>
      <c r="D23" s="1685"/>
      <c r="E23" s="587"/>
      <c r="F23" s="565"/>
      <c r="G23" s="574"/>
      <c r="H23" s="574"/>
      <c r="I23" s="367"/>
      <c r="J23" s="367"/>
      <c r="K23" s="367"/>
      <c r="L23" s="1525">
        <f t="shared" si="0"/>
        <v>0</v>
      </c>
      <c r="N23" s="315"/>
      <c r="O23" s="315"/>
      <c r="P23" s="315"/>
      <c r="Q23" s="315"/>
      <c r="R23" s="315"/>
      <c r="S23" s="315"/>
      <c r="T23" s="315"/>
      <c r="U23" s="315"/>
      <c r="V23" s="315"/>
    </row>
    <row r="24" spans="1:22" ht="21" customHeight="1" thickBot="1">
      <c r="B24" s="42"/>
      <c r="C24" s="42"/>
      <c r="D24" s="42"/>
      <c r="E24" s="42"/>
      <c r="F24" s="888" t="s">
        <v>674</v>
      </c>
      <c r="G24" s="1006">
        <f t="shared" ref="G24:L24" si="1">SUM(G10:G23)</f>
        <v>0</v>
      </c>
      <c r="H24" s="1006">
        <f t="shared" si="1"/>
        <v>0</v>
      </c>
      <c r="I24" s="1006">
        <f t="shared" si="1"/>
        <v>0</v>
      </c>
      <c r="J24" s="1006">
        <f t="shared" si="1"/>
        <v>0</v>
      </c>
      <c r="K24" s="1006">
        <f t="shared" si="1"/>
        <v>0</v>
      </c>
      <c r="L24" s="853">
        <f t="shared" si="1"/>
        <v>0</v>
      </c>
      <c r="N24" s="315"/>
      <c r="O24" s="315"/>
      <c r="P24" s="315"/>
      <c r="Q24" s="315"/>
      <c r="R24" s="315"/>
      <c r="S24" s="315"/>
      <c r="T24" s="315"/>
      <c r="U24" s="315"/>
      <c r="V24" s="315"/>
    </row>
    <row r="25" spans="1:22" ht="12.75" customHeight="1" thickTop="1">
      <c r="B25" s="42"/>
      <c r="C25" s="42"/>
      <c r="D25" s="42"/>
      <c r="E25" s="42"/>
      <c r="F25" s="1048"/>
      <c r="G25" s="1048"/>
      <c r="H25" s="1048"/>
      <c r="I25" s="1062"/>
      <c r="J25" s="1062"/>
      <c r="K25" s="1048"/>
      <c r="L25" s="1048"/>
      <c r="N25" s="315"/>
      <c r="O25" s="315"/>
      <c r="P25" s="315"/>
      <c r="Q25" s="315"/>
      <c r="R25" s="315"/>
      <c r="S25" s="315"/>
      <c r="T25" s="315"/>
      <c r="U25" s="315"/>
      <c r="V25" s="315"/>
    </row>
    <row r="26" spans="1:22">
      <c r="B26" s="1520" t="s">
        <v>3596</v>
      </c>
      <c r="C26" s="1048"/>
      <c r="D26" s="1048"/>
      <c r="E26" s="1048"/>
      <c r="F26" s="1048"/>
      <c r="G26" s="1048"/>
      <c r="H26" s="1048"/>
      <c r="I26" s="1048"/>
      <c r="J26" s="1048"/>
      <c r="K26" s="1048"/>
      <c r="L26" s="1048"/>
      <c r="N26" s="315"/>
      <c r="O26" s="315"/>
      <c r="P26" s="315"/>
      <c r="Q26" s="315"/>
      <c r="R26" s="315"/>
      <c r="S26" s="315"/>
      <c r="T26" s="315"/>
      <c r="U26" s="315"/>
      <c r="V26" s="315"/>
    </row>
    <row r="27" spans="1:22" ht="13.5" customHeight="1">
      <c r="B27" s="1048" t="s">
        <v>128</v>
      </c>
      <c r="C27" s="1048"/>
      <c r="D27" s="1048"/>
      <c r="E27" s="1048"/>
      <c r="F27" s="42"/>
      <c r="G27" s="42"/>
      <c r="H27" s="42"/>
      <c r="I27" s="42"/>
      <c r="J27" s="42"/>
      <c r="K27" s="42"/>
      <c r="L27" s="42"/>
    </row>
    <row r="28" spans="1:22" ht="13.5" customHeight="1">
      <c r="B28" s="34"/>
      <c r="J28" s="1573" t="s">
        <v>3625</v>
      </c>
      <c r="K28" s="1570"/>
    </row>
    <row r="29" spans="1:22">
      <c r="B29" s="844"/>
      <c r="C29" s="844"/>
      <c r="D29" s="844"/>
      <c r="E29" s="844"/>
      <c r="F29" s="844"/>
      <c r="G29" s="844"/>
      <c r="H29" s="844"/>
      <c r="I29" s="844"/>
      <c r="J29" s="1686" t="s">
        <v>129</v>
      </c>
      <c r="K29" s="1686"/>
    </row>
    <row r="30" spans="1:22">
      <c r="B30" s="844" t="str">
        <f>"* Not less than one-fifth (1/5) of amount authorized but not more than the amount in the column 'Balance Dec. 31, "&amp;TEXT('KEY INPUTS'!D34,"0")&amp;"' must be entered here and then raised in the "&amp;TEXT('KEY INPUTS'!D33,"0")&amp;" budget."</f>
        <v>* Not less than one-fifth (1/5) of amount authorized but not more than the amount in the column 'Balance Dec. 31, 2020' must be entered here and then raised in the 2021 budget.</v>
      </c>
      <c r="C30" s="844"/>
      <c r="D30" s="844"/>
      <c r="E30" s="844"/>
      <c r="F30" s="844"/>
      <c r="G30" s="844"/>
      <c r="H30" s="844"/>
      <c r="I30" s="844"/>
      <c r="J30" s="844"/>
      <c r="K30" s="844"/>
    </row>
    <row r="35" spans="9:12">
      <c r="L35" s="221">
        <f>+I24-J24-L24</f>
        <v>0</v>
      </c>
    </row>
    <row r="36" spans="9:12">
      <c r="I36" s="221"/>
      <c r="J36" s="221"/>
    </row>
  </sheetData>
  <sheetProtection algorithmName="SHA-512" hashValue="/sOU5sMEhTHUd4oMMIhu+TCduHGV1EUyS9u/suEHDwDAQwK4f8gIYw1DfkZLtHFOSm35IKjEUcGuogE5gkWYJA==" saltValue="beSwCCV32qmR7na6+HvWmA==" spinCount="100000" sheet="1" objects="1" scenarios="1"/>
  <mergeCells count="17">
    <mergeCell ref="J28:K28"/>
    <mergeCell ref="J29:K29"/>
    <mergeCell ref="J7:K7"/>
    <mergeCell ref="B21:D21"/>
    <mergeCell ref="B23:D23"/>
    <mergeCell ref="A16:A18"/>
    <mergeCell ref="B7:D7"/>
    <mergeCell ref="E7:F7"/>
    <mergeCell ref="B10:D10"/>
    <mergeCell ref="B11:D11"/>
    <mergeCell ref="B12:D12"/>
    <mergeCell ref="B13:D13"/>
    <mergeCell ref="B14:D14"/>
    <mergeCell ref="B15:D15"/>
    <mergeCell ref="B16:D16"/>
    <mergeCell ref="B17:D17"/>
    <mergeCell ref="B18:D18"/>
  </mergeCells>
  <phoneticPr fontId="0" type="noConversion"/>
  <pageMargins left="0.25" right="0.25" top="0.5" bottom="0.5" header="0.25" footer="0.25"/>
  <pageSetup paperSize="5" orientation="landscape" r:id="rId1"/>
  <headerFooter alignWithMargins="0"/>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8"/>
  <dimension ref="A1:W30"/>
  <sheetViews>
    <sheetView zoomScaleNormal="100" workbookViewId="0">
      <selection activeCell="J29" sqref="J29:K29"/>
    </sheetView>
  </sheetViews>
  <sheetFormatPr defaultRowHeight="13.2"/>
  <cols>
    <col min="1" max="1" width="5.6640625" customWidth="1"/>
    <col min="2" max="4" width="4.88671875" customWidth="1"/>
    <col min="5" max="5" width="46.6640625" customWidth="1"/>
    <col min="6" max="6" width="7.6640625" customWidth="1"/>
    <col min="7" max="8" width="16.6640625" customWidth="1"/>
    <col min="9" max="12" width="15.6640625" customWidth="1"/>
  </cols>
  <sheetData>
    <row r="1" spans="1:23" s="844" customFormat="1"/>
    <row r="2" spans="1:23" s="844" customFormat="1" ht="18">
      <c r="B2" s="1057"/>
      <c r="C2" s="1057" t="s">
        <v>3595</v>
      </c>
    </row>
    <row r="3" spans="1:23" s="844" customFormat="1" ht="18">
      <c r="B3" s="1057"/>
      <c r="C3" s="1057" t="s">
        <v>3594</v>
      </c>
    </row>
    <row r="4" spans="1:23" s="844" customFormat="1"/>
    <row r="5" spans="1:23" s="844" customFormat="1" ht="13.8" thickBot="1"/>
    <row r="6" spans="1:23" s="844" customFormat="1" ht="13.8" thickTop="1">
      <c r="B6" s="877"/>
      <c r="C6" s="877"/>
      <c r="D6" s="877"/>
      <c r="E6" s="1058"/>
      <c r="F6" s="877"/>
      <c r="G6" s="878"/>
      <c r="H6" s="1059"/>
      <c r="I6" s="878"/>
      <c r="J6" s="877"/>
      <c r="K6" s="877"/>
      <c r="L6" s="854"/>
    </row>
    <row r="7" spans="1:23" s="844" customFormat="1" ht="15.6">
      <c r="B7" s="1636" t="s">
        <v>18</v>
      </c>
      <c r="C7" s="1636"/>
      <c r="D7" s="1636"/>
      <c r="E7" s="1681" t="s">
        <v>440</v>
      </c>
      <c r="F7" s="1637"/>
      <c r="G7" s="880" t="s">
        <v>441</v>
      </c>
      <c r="H7" s="985" t="s">
        <v>469</v>
      </c>
      <c r="I7" s="880" t="s">
        <v>559</v>
      </c>
      <c r="J7" s="1687" t="str">
        <f>'29-Special Emergency'!J7:K7</f>
        <v>REDUCED  IN  2020</v>
      </c>
      <c r="K7" s="1688"/>
      <c r="L7" s="855" t="s">
        <v>559</v>
      </c>
    </row>
    <row r="8" spans="1:23" s="844" customFormat="1">
      <c r="E8" s="1060"/>
      <c r="G8" s="880" t="s">
        <v>468</v>
      </c>
      <c r="H8" s="985" t="s">
        <v>131</v>
      </c>
      <c r="I8" s="883" t="str">
        <f>'29-Special Emergency'!I8</f>
        <v>Dec. 31, 2019</v>
      </c>
      <c r="J8" s="880" t="str">
        <f>'29-Special Emergency'!J8</f>
        <v>By 2020</v>
      </c>
      <c r="K8" s="880" t="s">
        <v>466</v>
      </c>
      <c r="L8" s="856" t="str">
        <f>'29-Special Emergency'!L8</f>
        <v>Dec. 31, 2020</v>
      </c>
    </row>
    <row r="9" spans="1:23" s="844" customFormat="1" ht="13.8" thickBot="1">
      <c r="B9" s="886"/>
      <c r="C9" s="886"/>
      <c r="D9" s="886"/>
      <c r="E9" s="889"/>
      <c r="F9" s="886"/>
      <c r="G9" s="888"/>
      <c r="H9" s="1061" t="s">
        <v>471</v>
      </c>
      <c r="I9" s="887"/>
      <c r="J9" s="888" t="s">
        <v>564</v>
      </c>
      <c r="K9" s="888" t="s">
        <v>467</v>
      </c>
      <c r="L9" s="857"/>
    </row>
    <row r="10" spans="1:23" ht="21" customHeight="1" thickTop="1">
      <c r="B10" s="1682"/>
      <c r="C10" s="1682"/>
      <c r="D10" s="1683"/>
      <c r="E10" s="1542" t="s">
        <v>3673</v>
      </c>
      <c r="F10" s="563"/>
      <c r="G10" s="590"/>
      <c r="H10" s="590"/>
      <c r="I10" s="591"/>
      <c r="J10" s="591"/>
      <c r="K10" s="591"/>
      <c r="L10" s="1526">
        <f>+I10-J10-K10</f>
        <v>0</v>
      </c>
      <c r="O10" s="315"/>
      <c r="P10" s="315"/>
      <c r="Q10" s="315"/>
      <c r="R10" s="315"/>
      <c r="S10" s="315"/>
      <c r="T10" s="315"/>
      <c r="U10" s="315"/>
      <c r="V10" s="315"/>
      <c r="W10" s="315"/>
    </row>
    <row r="11" spans="1:23" ht="21" customHeight="1">
      <c r="B11" s="1562"/>
      <c r="C11" s="1562"/>
      <c r="D11" s="1685"/>
      <c r="E11" s="587"/>
      <c r="F11" s="565"/>
      <c r="G11" s="592"/>
      <c r="H11" s="592"/>
      <c r="I11" s="593"/>
      <c r="J11" s="593"/>
      <c r="K11" s="593"/>
      <c r="L11" s="594">
        <f>+I11-J11-K11</f>
        <v>0</v>
      </c>
      <c r="O11" s="315"/>
      <c r="P11" s="315"/>
      <c r="Q11" s="315"/>
      <c r="R11" s="315"/>
      <c r="S11" s="315"/>
      <c r="T11" s="315"/>
      <c r="U11" s="315"/>
      <c r="V11" s="315"/>
      <c r="W11" s="315"/>
    </row>
    <row r="12" spans="1:23" ht="21" customHeight="1">
      <c r="B12" s="1562"/>
      <c r="C12" s="1562"/>
      <c r="D12" s="1685"/>
      <c r="E12" s="587"/>
      <c r="F12" s="565"/>
      <c r="G12" s="592"/>
      <c r="H12" s="592"/>
      <c r="I12" s="593"/>
      <c r="J12" s="593"/>
      <c r="K12" s="593"/>
      <c r="L12" s="594">
        <f t="shared" ref="L12:L23" si="0">+I12-J12-K12</f>
        <v>0</v>
      </c>
      <c r="O12" s="315"/>
      <c r="P12" s="315"/>
      <c r="Q12" s="315"/>
      <c r="R12" s="315"/>
      <c r="S12" s="315"/>
      <c r="T12" s="315"/>
      <c r="U12" s="315"/>
      <c r="V12" s="315"/>
      <c r="W12" s="315"/>
    </row>
    <row r="13" spans="1:23" ht="21" customHeight="1">
      <c r="B13" s="1562"/>
      <c r="C13" s="1562"/>
      <c r="D13" s="1685"/>
      <c r="E13" s="587"/>
      <c r="F13" s="565"/>
      <c r="G13" s="592"/>
      <c r="H13" s="592"/>
      <c r="I13" s="593"/>
      <c r="J13" s="593"/>
      <c r="K13" s="593"/>
      <c r="L13" s="594">
        <f t="shared" si="0"/>
        <v>0</v>
      </c>
      <c r="O13" s="315"/>
      <c r="P13" s="315"/>
      <c r="Q13" s="315"/>
      <c r="R13" s="315"/>
      <c r="S13" s="315"/>
      <c r="T13" s="315"/>
      <c r="U13" s="315"/>
      <c r="V13" s="315"/>
      <c r="W13" s="315"/>
    </row>
    <row r="14" spans="1:23" ht="21" customHeight="1">
      <c r="B14" s="1562"/>
      <c r="C14" s="1562"/>
      <c r="D14" s="1685"/>
      <c r="E14" s="587"/>
      <c r="F14" s="565"/>
      <c r="G14" s="592"/>
      <c r="H14" s="592"/>
      <c r="I14" s="593"/>
      <c r="J14" s="593"/>
      <c r="K14" s="593"/>
      <c r="L14" s="594">
        <f t="shared" si="0"/>
        <v>0</v>
      </c>
      <c r="O14" s="315"/>
      <c r="P14" s="315"/>
      <c r="Q14" s="315"/>
      <c r="R14" s="315"/>
      <c r="S14" s="315"/>
      <c r="T14" s="315"/>
      <c r="U14" s="315"/>
      <c r="V14" s="315"/>
      <c r="W14" s="315"/>
    </row>
    <row r="15" spans="1:23" ht="21" customHeight="1">
      <c r="B15" s="1562"/>
      <c r="C15" s="1562"/>
      <c r="D15" s="1685"/>
      <c r="E15" s="587"/>
      <c r="F15" s="565"/>
      <c r="G15" s="595"/>
      <c r="H15" s="595"/>
      <c r="I15" s="596"/>
      <c r="J15" s="593"/>
      <c r="K15" s="593"/>
      <c r="L15" s="594">
        <f t="shared" si="0"/>
        <v>0</v>
      </c>
      <c r="O15" s="315"/>
      <c r="P15" s="315"/>
      <c r="Q15" s="315"/>
      <c r="R15" s="315"/>
      <c r="S15" s="315"/>
      <c r="T15" s="315"/>
      <c r="U15" s="315"/>
      <c r="V15" s="315"/>
      <c r="W15" s="315"/>
    </row>
    <row r="16" spans="1:23" ht="21" customHeight="1">
      <c r="A16" s="1613" t="s">
        <v>130</v>
      </c>
      <c r="B16" s="1562"/>
      <c r="C16" s="1562"/>
      <c r="D16" s="1685"/>
      <c r="E16" s="587"/>
      <c r="F16" s="565"/>
      <c r="G16" s="592"/>
      <c r="H16" s="592"/>
      <c r="I16" s="593"/>
      <c r="J16" s="593"/>
      <c r="K16" s="593"/>
      <c r="L16" s="594">
        <f t="shared" si="0"/>
        <v>0</v>
      </c>
      <c r="O16" s="315"/>
      <c r="P16" s="370"/>
      <c r="Q16" s="315"/>
      <c r="R16" s="315"/>
      <c r="S16" s="315"/>
      <c r="T16" s="315"/>
      <c r="U16" s="315"/>
      <c r="V16" s="315"/>
      <c r="W16" s="315"/>
    </row>
    <row r="17" spans="1:23" ht="21" customHeight="1">
      <c r="A17" s="1613"/>
      <c r="B17" s="1562"/>
      <c r="C17" s="1562"/>
      <c r="D17" s="1685"/>
      <c r="E17" s="587"/>
      <c r="F17" s="565"/>
      <c r="G17" s="592"/>
      <c r="H17" s="592"/>
      <c r="I17" s="593"/>
      <c r="J17" s="593"/>
      <c r="K17" s="593"/>
      <c r="L17" s="594">
        <f t="shared" si="0"/>
        <v>0</v>
      </c>
      <c r="O17" s="315"/>
      <c r="P17" s="315"/>
      <c r="Q17" s="315"/>
      <c r="R17" s="315"/>
      <c r="S17" s="315"/>
      <c r="T17" s="315"/>
      <c r="U17" s="315"/>
      <c r="V17" s="315"/>
      <c r="W17" s="315"/>
    </row>
    <row r="18" spans="1:23" s="315" customFormat="1" ht="21" customHeight="1">
      <c r="A18" s="1613"/>
      <c r="B18" s="1504"/>
      <c r="C18" s="1504"/>
      <c r="D18" s="1507"/>
      <c r="E18" s="587"/>
      <c r="F18" s="565"/>
      <c r="G18" s="592"/>
      <c r="H18" s="592"/>
      <c r="I18" s="593"/>
      <c r="J18" s="593"/>
      <c r="K18" s="593"/>
      <c r="L18" s="594">
        <f t="shared" si="0"/>
        <v>0</v>
      </c>
    </row>
    <row r="19" spans="1:23" s="315" customFormat="1" ht="21" customHeight="1">
      <c r="A19" s="1613"/>
      <c r="B19" s="1504"/>
      <c r="C19" s="1504"/>
      <c r="D19" s="1507"/>
      <c r="E19" s="587"/>
      <c r="F19" s="565"/>
      <c r="G19" s="592"/>
      <c r="H19" s="592"/>
      <c r="I19" s="593"/>
      <c r="J19" s="593"/>
      <c r="K19" s="593"/>
      <c r="L19" s="594">
        <f t="shared" si="0"/>
        <v>0</v>
      </c>
    </row>
    <row r="20" spans="1:23" s="315" customFormat="1" ht="21" customHeight="1">
      <c r="A20" s="1613"/>
      <c r="B20" s="1504"/>
      <c r="C20" s="1504"/>
      <c r="D20" s="1507"/>
      <c r="E20" s="587"/>
      <c r="F20" s="565"/>
      <c r="G20" s="592"/>
      <c r="H20" s="592"/>
      <c r="I20" s="593"/>
      <c r="J20" s="593"/>
      <c r="K20" s="593"/>
      <c r="L20" s="594">
        <f t="shared" si="0"/>
        <v>0</v>
      </c>
    </row>
    <row r="21" spans="1:23" ht="21" customHeight="1">
      <c r="A21" s="1613"/>
      <c r="B21" s="1562"/>
      <c r="C21" s="1562"/>
      <c r="D21" s="1685"/>
      <c r="E21" s="587"/>
      <c r="F21" s="565"/>
      <c r="G21" s="592"/>
      <c r="H21" s="592"/>
      <c r="I21" s="593"/>
      <c r="J21" s="593"/>
      <c r="K21" s="593"/>
      <c r="L21" s="594">
        <f t="shared" si="0"/>
        <v>0</v>
      </c>
      <c r="O21" s="315"/>
      <c r="P21" s="315"/>
      <c r="Q21" s="315"/>
      <c r="R21" s="315"/>
      <c r="S21" s="315"/>
      <c r="T21" s="315"/>
      <c r="U21" s="315"/>
      <c r="V21" s="315"/>
      <c r="W21" s="315"/>
    </row>
    <row r="22" spans="1:23" ht="21" customHeight="1">
      <c r="B22" s="1562"/>
      <c r="C22" s="1562"/>
      <c r="D22" s="1685"/>
      <c r="E22" s="587"/>
      <c r="F22" s="565"/>
      <c r="G22" s="592"/>
      <c r="H22" s="592"/>
      <c r="I22" s="593"/>
      <c r="J22" s="593"/>
      <c r="K22" s="593"/>
      <c r="L22" s="594">
        <f t="shared" si="0"/>
        <v>0</v>
      </c>
      <c r="O22" s="315"/>
      <c r="P22" s="315"/>
      <c r="Q22" s="315"/>
      <c r="R22" s="315"/>
      <c r="S22" s="315"/>
      <c r="T22" s="315"/>
      <c r="U22" s="315"/>
      <c r="V22" s="315"/>
      <c r="W22" s="315"/>
    </row>
    <row r="23" spans="1:23" ht="21" customHeight="1">
      <c r="B23" s="1562"/>
      <c r="C23" s="1562"/>
      <c r="D23" s="1685"/>
      <c r="E23" s="587"/>
      <c r="F23" s="565"/>
      <c r="G23" s="592"/>
      <c r="H23" s="592"/>
      <c r="I23" s="593"/>
      <c r="J23" s="593"/>
      <c r="K23" s="593"/>
      <c r="L23" s="594">
        <f t="shared" si="0"/>
        <v>0</v>
      </c>
      <c r="O23" s="315"/>
      <c r="P23" s="315"/>
      <c r="Q23" s="315"/>
      <c r="R23" s="315"/>
      <c r="S23" s="315"/>
      <c r="T23" s="315"/>
      <c r="U23" s="315"/>
      <c r="V23" s="315"/>
      <c r="W23" s="315"/>
    </row>
    <row r="24" spans="1:23" s="844" customFormat="1" ht="21" customHeight="1" thickBot="1">
      <c r="B24" s="1048"/>
      <c r="C24" s="1048"/>
      <c r="D24" s="1048"/>
      <c r="E24" s="1048"/>
      <c r="F24" s="888" t="s">
        <v>674</v>
      </c>
      <c r="G24" s="1065">
        <f t="shared" ref="G24:L24" si="1">SUM(G10:G23)</f>
        <v>0</v>
      </c>
      <c r="H24" s="1065">
        <f t="shared" si="1"/>
        <v>0</v>
      </c>
      <c r="I24" s="1065">
        <f t="shared" si="1"/>
        <v>0</v>
      </c>
      <c r="J24" s="1065">
        <f t="shared" si="1"/>
        <v>0</v>
      </c>
      <c r="K24" s="1065">
        <f t="shared" si="1"/>
        <v>0</v>
      </c>
      <c r="L24" s="1064">
        <f t="shared" si="1"/>
        <v>0</v>
      </c>
    </row>
    <row r="25" spans="1:23" s="844" customFormat="1" ht="12.75" customHeight="1" thickTop="1">
      <c r="B25" s="1048"/>
      <c r="C25" s="1048"/>
      <c r="D25" s="1048"/>
      <c r="E25" s="1048"/>
      <c r="F25" s="1048"/>
      <c r="G25" s="1048"/>
      <c r="H25" s="1048"/>
      <c r="I25" s="1062"/>
      <c r="J25" s="1062"/>
      <c r="K25" s="1048"/>
      <c r="L25" s="1048"/>
    </row>
    <row r="26" spans="1:23" s="844" customFormat="1">
      <c r="B26" s="1520" t="s">
        <v>3597</v>
      </c>
      <c r="C26" s="1048"/>
      <c r="D26" s="1048"/>
      <c r="E26" s="1048"/>
      <c r="F26" s="1048"/>
      <c r="G26" s="1048"/>
      <c r="H26" s="1048"/>
      <c r="I26" s="1048"/>
      <c r="J26" s="1048"/>
      <c r="K26" s="1048"/>
      <c r="L26" s="1048"/>
    </row>
    <row r="27" spans="1:23" s="844" customFormat="1" ht="13.5" customHeight="1">
      <c r="B27" s="1048" t="s">
        <v>261</v>
      </c>
      <c r="C27" s="1048"/>
      <c r="D27" s="1048"/>
      <c r="E27" s="1048"/>
      <c r="F27" s="1048"/>
      <c r="G27" s="1048"/>
      <c r="H27" s="1048"/>
      <c r="I27" s="1048"/>
      <c r="J27" s="1048"/>
      <c r="K27" s="1048"/>
      <c r="L27" s="1048"/>
    </row>
    <row r="28" spans="1:23" ht="13.5" customHeight="1">
      <c r="B28" s="34"/>
      <c r="J28" s="1573" t="s">
        <v>3625</v>
      </c>
      <c r="K28" s="1570"/>
      <c r="O28" s="315"/>
      <c r="P28" s="315"/>
      <c r="Q28" s="315"/>
      <c r="R28" s="315"/>
      <c r="S28" s="315"/>
      <c r="T28" s="315"/>
      <c r="U28" s="315"/>
      <c r="V28" s="315"/>
      <c r="W28" s="315"/>
    </row>
    <row r="29" spans="1:23" s="844" customFormat="1">
      <c r="J29" s="1686" t="s">
        <v>129</v>
      </c>
      <c r="K29" s="1686"/>
    </row>
    <row r="30" spans="1:23" s="844" customFormat="1">
      <c r="B30" s="844" t="str">
        <f>"* Not less than one-third (1/3) of amount authorized but not more than the amount in the column  'Balance Dec. 31, "&amp;TEXT('KEY INPUTS'!D34,"0")&amp;"' must be entered here and then raised in the "&amp;TEXT('KEY INPUTS'!D33,"0")&amp;" budget."</f>
        <v>* Not less than one-third (1/3) of amount authorized but not more than the amount in the column  'Balance Dec. 31, 2020' must be entered here and then raised in the 2021 budget.</v>
      </c>
    </row>
  </sheetData>
  <sheetProtection algorithmName="SHA-512" hashValue="sJcx3hpf9G63WmbwVM1c7UxuNl0kf/8+BWKNFy9m/OHzGDDFGE7NwZ/xPjxHdR/Nr5S6g7MPXdWIimtXwzLkTQ==" saltValue="Z05yP88JhkU8Bzd60BFATQ==" spinCount="100000" sheet="1" objects="1" scenarios="1"/>
  <mergeCells count="17">
    <mergeCell ref="J28:K28"/>
    <mergeCell ref="J29:K29"/>
    <mergeCell ref="J7:K7"/>
    <mergeCell ref="B22:D22"/>
    <mergeCell ref="B23:D23"/>
    <mergeCell ref="A16:A21"/>
    <mergeCell ref="B7:D7"/>
    <mergeCell ref="E7:F7"/>
    <mergeCell ref="B10:D10"/>
    <mergeCell ref="B11:D11"/>
    <mergeCell ref="B12:D12"/>
    <mergeCell ref="B13:D13"/>
    <mergeCell ref="B14:D14"/>
    <mergeCell ref="B15:D15"/>
    <mergeCell ref="B16:D16"/>
    <mergeCell ref="B17:D17"/>
    <mergeCell ref="B21:D21"/>
  </mergeCells>
  <phoneticPr fontId="0" type="noConversion"/>
  <pageMargins left="0.25" right="0.25" top="0.5" bottom="0.5" header="0.25" footer="0.25"/>
  <pageSetup paperSize="5" orientation="landscape" r:id="rId1"/>
  <headerFooter alignWithMargins="0"/>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9"/>
  <dimension ref="B2:AE47"/>
  <sheetViews>
    <sheetView topLeftCell="A13" zoomScaleNormal="100" workbookViewId="0">
      <selection activeCell="L32" sqref="L32"/>
    </sheetView>
  </sheetViews>
  <sheetFormatPr defaultRowHeight="13.2"/>
  <cols>
    <col min="1" max="4" width="4.6640625" customWidth="1"/>
    <col min="5" max="5" width="17.88671875" customWidth="1"/>
    <col min="7" max="7" width="16.6640625" customWidth="1"/>
    <col min="8" max="8" width="1.6640625" customWidth="1"/>
    <col min="9" max="9" width="15.6640625" customWidth="1"/>
    <col min="10" max="10" width="1.6640625" customWidth="1"/>
    <col min="11" max="11" width="8.6640625" customWidth="1"/>
    <col min="12" max="12" width="7.6640625" customWidth="1"/>
  </cols>
  <sheetData>
    <row r="2" spans="2:24" ht="20.399999999999999">
      <c r="B2" s="1546" t="s">
        <v>132</v>
      </c>
      <c r="C2" s="1546"/>
      <c r="D2" s="1546"/>
      <c r="E2" s="1546"/>
      <c r="F2" s="1546"/>
      <c r="G2" s="1546"/>
      <c r="H2" s="1546"/>
      <c r="I2" s="1546"/>
      <c r="J2" s="1546"/>
      <c r="K2" s="1546"/>
      <c r="L2" s="1546"/>
    </row>
    <row r="3" spans="2:24" ht="20.399999999999999">
      <c r="B3" s="1546" t="str">
        <f>" AND "&amp;TEXT('KEY INPUTS'!D33,"0")&amp;" DEBT  SERVICE  FOR  BONDS"</f>
        <v xml:space="preserve"> AND 2021 DEBT  SERVICE  FOR  BONDS</v>
      </c>
      <c r="C3" s="1546"/>
      <c r="D3" s="1546"/>
      <c r="E3" s="1546"/>
      <c r="F3" s="1546"/>
      <c r="G3" s="1546"/>
      <c r="H3" s="1546"/>
      <c r="I3" s="1546"/>
      <c r="J3" s="1546"/>
      <c r="K3" s="1546"/>
      <c r="L3" s="1546"/>
    </row>
    <row r="4" spans="2:24" ht="15.6">
      <c r="B4" s="1547" t="s">
        <v>3539</v>
      </c>
      <c r="C4" s="1547"/>
      <c r="D4" s="1547"/>
      <c r="E4" s="1547"/>
      <c r="F4" s="1547"/>
      <c r="G4" s="1547"/>
      <c r="H4" s="1547"/>
      <c r="I4" s="1547"/>
      <c r="J4" s="1547"/>
      <c r="K4" s="1547"/>
      <c r="L4" s="1547"/>
      <c r="N4" s="317"/>
    </row>
    <row r="5" spans="2:24" ht="9.75" customHeight="1" thickBot="1">
      <c r="B5" s="108"/>
      <c r="C5" s="108"/>
      <c r="D5" s="108"/>
      <c r="E5" s="108"/>
      <c r="F5" s="108"/>
      <c r="G5" s="108"/>
      <c r="H5" s="108"/>
      <c r="I5" s="108"/>
      <c r="J5" s="108"/>
      <c r="K5" s="108"/>
      <c r="L5" s="108"/>
    </row>
    <row r="6" spans="2:24" ht="27.75" customHeight="1" thickTop="1" thickBot="1">
      <c r="B6" s="61"/>
      <c r="C6" s="61"/>
      <c r="D6" s="61"/>
      <c r="E6" s="61"/>
      <c r="F6" s="61"/>
      <c r="G6" s="4" t="s">
        <v>101</v>
      </c>
      <c r="H6" s="1672" t="s">
        <v>102</v>
      </c>
      <c r="I6" s="1590"/>
      <c r="J6" s="1691" t="str">
        <f>TEXT('KEY INPUTS'!D33,"0")&amp;"  Debt       Service"</f>
        <v>2021  Debt       Service</v>
      </c>
      <c r="K6" s="1692"/>
      <c r="L6" s="1693"/>
    </row>
    <row r="7" spans="2:24" ht="21" customHeight="1" thickTop="1">
      <c r="B7" s="22" t="str">
        <f>'KEY INPUTS'!D27</f>
        <v>Outstanding - January 1, 2020</v>
      </c>
      <c r="C7" s="22"/>
      <c r="D7" s="22"/>
      <c r="E7" s="22"/>
      <c r="F7" s="22"/>
      <c r="G7" s="143" t="s">
        <v>662</v>
      </c>
      <c r="H7" s="1689">
        <v>0</v>
      </c>
      <c r="I7" s="1690"/>
      <c r="J7" s="74"/>
      <c r="K7" s="279"/>
      <c r="L7" s="801"/>
    </row>
    <row r="8" spans="2:24" ht="21" customHeight="1">
      <c r="B8" s="5" t="s">
        <v>97</v>
      </c>
      <c r="C8" s="5"/>
      <c r="D8" s="5"/>
      <c r="E8" s="5"/>
      <c r="F8" s="5"/>
      <c r="G8" s="144" t="s">
        <v>662</v>
      </c>
      <c r="H8" s="1689">
        <v>2310000</v>
      </c>
      <c r="I8" s="1690"/>
      <c r="J8" s="74"/>
      <c r="K8" s="279"/>
      <c r="L8" s="801"/>
      <c r="P8" s="315"/>
      <c r="Q8" s="315"/>
      <c r="R8" s="315"/>
      <c r="S8" s="315"/>
      <c r="T8" s="315"/>
      <c r="U8" s="315"/>
      <c r="V8" s="315"/>
      <c r="W8" s="315"/>
      <c r="X8" s="315"/>
    </row>
    <row r="9" spans="2:24" ht="21" customHeight="1">
      <c r="B9" s="5" t="s">
        <v>268</v>
      </c>
      <c r="C9" s="5"/>
      <c r="D9" s="5"/>
      <c r="E9" s="5"/>
      <c r="F9" s="5"/>
      <c r="G9" s="367"/>
      <c r="H9" s="1697" t="s">
        <v>662</v>
      </c>
      <c r="I9" s="1698"/>
      <c r="J9" s="74"/>
      <c r="K9" s="279"/>
      <c r="L9" s="801"/>
      <c r="P9" s="315"/>
      <c r="Q9" s="315"/>
      <c r="R9" s="315"/>
      <c r="S9" s="315"/>
      <c r="T9" s="315"/>
      <c r="U9" s="315"/>
      <c r="V9" s="315"/>
      <c r="W9" s="315"/>
      <c r="X9" s="315"/>
    </row>
    <row r="10" spans="2:24" ht="21" customHeight="1">
      <c r="B10" s="559"/>
      <c r="C10" s="559"/>
      <c r="D10" s="559"/>
      <c r="E10" s="559"/>
      <c r="F10" s="559"/>
      <c r="G10" s="367"/>
      <c r="H10" s="1689"/>
      <c r="I10" s="1690"/>
      <c r="J10" s="74"/>
      <c r="K10" s="279"/>
      <c r="L10" s="801"/>
      <c r="P10" s="315"/>
      <c r="Q10" s="315"/>
      <c r="R10" s="315"/>
      <c r="S10" s="315"/>
      <c r="T10" s="315"/>
      <c r="U10" s="315"/>
      <c r="V10" s="315"/>
      <c r="W10" s="315"/>
      <c r="X10" s="315"/>
    </row>
    <row r="11" spans="2:24" ht="21" customHeight="1">
      <c r="B11" s="559"/>
      <c r="C11" s="559"/>
      <c r="D11" s="559"/>
      <c r="E11" s="559"/>
      <c r="F11" s="559"/>
      <c r="G11" s="367"/>
      <c r="H11" s="1689"/>
      <c r="I11" s="1690"/>
      <c r="J11" s="74"/>
      <c r="K11" s="279"/>
      <c r="L11" s="801"/>
      <c r="P11" s="315"/>
      <c r="Q11" s="315"/>
      <c r="R11" s="315"/>
      <c r="S11" s="315"/>
      <c r="T11" s="315"/>
      <c r="U11" s="315"/>
      <c r="V11" s="315"/>
      <c r="W11" s="315"/>
      <c r="X11" s="315"/>
    </row>
    <row r="12" spans="2:24" ht="21" customHeight="1" thickBot="1">
      <c r="B12" s="5" t="str">
        <f>'KEY INPUTS'!D28</f>
        <v>Outstanding - December 31, 2020</v>
      </c>
      <c r="C12" s="5"/>
      <c r="D12" s="5"/>
      <c r="E12" s="5"/>
      <c r="F12" s="5"/>
      <c r="G12" s="76">
        <f>+H7+H8-G9-G10-G11+H10+H11</f>
        <v>2310000</v>
      </c>
      <c r="H12" s="1701" t="s">
        <v>662</v>
      </c>
      <c r="I12" s="1702"/>
      <c r="J12" s="74"/>
      <c r="K12" s="279"/>
      <c r="L12" s="801"/>
      <c r="P12" s="315"/>
      <c r="Q12" s="315"/>
      <c r="R12" s="315"/>
      <c r="S12" s="315"/>
      <c r="T12" s="315"/>
      <c r="U12" s="315"/>
      <c r="V12" s="315"/>
      <c r="W12" s="315"/>
      <c r="X12" s="315"/>
    </row>
    <row r="13" spans="2:24" ht="21" customHeight="1" thickBot="1">
      <c r="G13" s="79">
        <f>SUM(G7:G12)</f>
        <v>2310000</v>
      </c>
      <c r="H13" s="1703">
        <f>SUM(H7:I12)</f>
        <v>2310000</v>
      </c>
      <c r="I13" s="1704"/>
      <c r="J13" s="74"/>
      <c r="K13" s="279"/>
      <c r="L13" s="801"/>
      <c r="P13" s="315"/>
      <c r="Q13" s="315"/>
      <c r="R13" s="315"/>
      <c r="S13" s="315"/>
      <c r="T13" s="315"/>
      <c r="U13" s="315"/>
      <c r="V13" s="315"/>
      <c r="W13" s="315"/>
      <c r="X13" s="315"/>
    </row>
    <row r="14" spans="2:24" ht="21" customHeight="1" thickTop="1">
      <c r="B14" s="277" t="str">
        <f>TEXT('KEY INPUTS'!D33,"0")&amp;" Bond Maturities - General Capital Bonds"</f>
        <v>2021 Bond Maturities - General Capital Bonds</v>
      </c>
      <c r="C14" s="30"/>
      <c r="D14" s="30"/>
      <c r="E14" s="30"/>
      <c r="F14" s="30"/>
      <c r="G14" s="30"/>
      <c r="H14" s="30"/>
      <c r="I14" s="119"/>
      <c r="J14" s="735" t="s">
        <v>397</v>
      </c>
      <c r="K14" s="1694">
        <v>140000</v>
      </c>
      <c r="L14" s="1695"/>
      <c r="P14" s="315"/>
      <c r="Q14" s="315"/>
      <c r="R14" s="315"/>
      <c r="S14" s="315"/>
      <c r="T14" s="315"/>
      <c r="U14" s="315"/>
      <c r="V14" s="315"/>
      <c r="W14" s="315"/>
      <c r="X14" s="315"/>
    </row>
    <row r="15" spans="2:24" ht="21" customHeight="1" thickBot="1">
      <c r="B15" s="27" t="str">
        <f>TEXT('KEY INPUTS'!D33,"0")&amp;" Interest on Bonds*"</f>
        <v>2021 Interest on Bonds*</v>
      </c>
      <c r="C15" s="27"/>
      <c r="D15" s="27"/>
      <c r="E15" s="27"/>
      <c r="F15" s="27"/>
      <c r="G15" s="77"/>
      <c r="H15" s="27" t="s">
        <v>397</v>
      </c>
      <c r="I15" s="1066">
        <v>69006</v>
      </c>
      <c r="J15" s="74"/>
      <c r="K15" s="279"/>
      <c r="L15" s="801"/>
      <c r="P15" s="315"/>
      <c r="Q15" s="370"/>
      <c r="R15" s="315"/>
      <c r="S15" s="315"/>
      <c r="T15" s="315"/>
      <c r="U15" s="315"/>
      <c r="V15" s="315"/>
      <c r="W15" s="315"/>
      <c r="X15" s="315"/>
    </row>
    <row r="16" spans="2:24" ht="16.5" customHeight="1" thickTop="1">
      <c r="B16" s="1705"/>
      <c r="C16" s="1705"/>
      <c r="D16" s="1705"/>
      <c r="E16" s="1705"/>
      <c r="F16" s="1705"/>
      <c r="G16" s="1705"/>
      <c r="H16" s="1705"/>
      <c r="I16" s="1706"/>
      <c r="J16" s="74"/>
      <c r="K16" s="279"/>
      <c r="L16" s="801"/>
      <c r="P16" s="315"/>
      <c r="Q16" s="315"/>
      <c r="R16" s="315"/>
      <c r="S16" s="315"/>
      <c r="T16" s="315"/>
      <c r="U16" s="315"/>
      <c r="V16" s="315"/>
      <c r="W16" s="315"/>
      <c r="X16" s="315"/>
    </row>
    <row r="17" spans="2:24" ht="26.25" customHeight="1" thickBot="1">
      <c r="B17" s="1707" t="s">
        <v>98</v>
      </c>
      <c r="C17" s="1707"/>
      <c r="D17" s="1707"/>
      <c r="E17" s="1707"/>
      <c r="F17" s="1707"/>
      <c r="G17" s="1707"/>
      <c r="H17" s="1707"/>
      <c r="I17" s="1708"/>
      <c r="J17" s="74"/>
      <c r="K17" s="279"/>
      <c r="L17" s="801"/>
      <c r="P17" s="315"/>
      <c r="Q17" s="315"/>
      <c r="R17" s="315"/>
      <c r="S17" s="315"/>
      <c r="T17" s="315"/>
      <c r="U17" s="315"/>
      <c r="V17" s="315"/>
      <c r="W17" s="315"/>
      <c r="X17" s="315"/>
    </row>
    <row r="18" spans="2:24" ht="21" customHeight="1" thickTop="1">
      <c r="B18" s="22" t="str">
        <f>B7</f>
        <v>Outstanding - January 1, 2020</v>
      </c>
      <c r="C18" s="22"/>
      <c r="D18" s="22"/>
      <c r="E18" s="22"/>
      <c r="F18" s="22"/>
      <c r="G18" s="143" t="s">
        <v>662</v>
      </c>
      <c r="H18" s="1689">
        <v>0</v>
      </c>
      <c r="I18" s="1690"/>
      <c r="J18" s="74"/>
      <c r="K18" s="279"/>
      <c r="L18" s="801"/>
      <c r="P18" s="315"/>
      <c r="Q18" s="315"/>
      <c r="R18" s="315"/>
      <c r="S18" s="315"/>
      <c r="T18" s="315"/>
      <c r="U18" s="315"/>
      <c r="V18" s="315"/>
      <c r="W18" s="315"/>
      <c r="X18" s="315"/>
    </row>
    <row r="19" spans="2:24" ht="21" customHeight="1">
      <c r="B19" s="5" t="s">
        <v>97</v>
      </c>
      <c r="C19" s="5"/>
      <c r="D19" s="5"/>
      <c r="E19" s="5"/>
      <c r="F19" s="5"/>
      <c r="G19" s="144" t="s">
        <v>662</v>
      </c>
      <c r="H19" s="1689">
        <v>0</v>
      </c>
      <c r="I19" s="1690"/>
      <c r="J19" s="74"/>
      <c r="K19" s="279"/>
      <c r="L19" s="801"/>
      <c r="P19" s="315"/>
      <c r="Q19" s="315"/>
      <c r="R19" s="315"/>
      <c r="S19" s="315"/>
      <c r="T19" s="315"/>
      <c r="U19" s="315"/>
      <c r="V19" s="315"/>
      <c r="W19" s="315"/>
      <c r="X19" s="315"/>
    </row>
    <row r="20" spans="2:24" ht="21" customHeight="1">
      <c r="B20" s="5" t="s">
        <v>268</v>
      </c>
      <c r="C20" s="5"/>
      <c r="D20" s="5"/>
      <c r="E20" s="5"/>
      <c r="F20" s="5"/>
      <c r="G20" s="367">
        <v>0</v>
      </c>
      <c r="H20" s="1697" t="s">
        <v>662</v>
      </c>
      <c r="I20" s="1698"/>
      <c r="J20" s="74"/>
      <c r="K20" s="279"/>
      <c r="L20" s="801"/>
      <c r="P20" s="315"/>
      <c r="Q20" s="315"/>
      <c r="R20" s="315"/>
      <c r="S20" s="315"/>
      <c r="T20" s="315"/>
      <c r="U20" s="315"/>
      <c r="V20" s="315"/>
      <c r="W20" s="315"/>
      <c r="X20" s="315"/>
    </row>
    <row r="21" spans="2:24" ht="21" customHeight="1">
      <c r="B21" s="559"/>
      <c r="C21" s="559"/>
      <c r="D21" s="559"/>
      <c r="E21" s="559"/>
      <c r="F21" s="559"/>
      <c r="G21" s="367"/>
      <c r="H21" s="1689"/>
      <c r="I21" s="1690"/>
      <c r="J21" s="74"/>
      <c r="K21" s="279"/>
      <c r="L21" s="801"/>
      <c r="P21" s="315"/>
      <c r="Q21" s="315"/>
      <c r="R21" s="315"/>
      <c r="S21" s="315"/>
      <c r="T21" s="315"/>
      <c r="U21" s="315"/>
      <c r="V21" s="315"/>
      <c r="W21" s="315"/>
      <c r="X21" s="315"/>
    </row>
    <row r="22" spans="2:24" ht="21" customHeight="1">
      <c r="B22" s="559"/>
      <c r="C22" s="559"/>
      <c r="D22" s="559"/>
      <c r="E22" s="559"/>
      <c r="F22" s="559"/>
      <c r="G22" s="367"/>
      <c r="H22" s="1689"/>
      <c r="I22" s="1690"/>
      <c r="J22" s="74"/>
      <c r="K22" s="279"/>
      <c r="L22" s="801"/>
      <c r="P22" s="315"/>
      <c r="Q22" s="315"/>
      <c r="R22" s="315"/>
      <c r="S22" s="315"/>
      <c r="T22" s="315"/>
      <c r="U22" s="315"/>
      <c r="V22" s="315"/>
      <c r="W22" s="315"/>
      <c r="X22" s="315"/>
    </row>
    <row r="23" spans="2:24" ht="21" customHeight="1" thickBot="1">
      <c r="B23" s="5" t="str">
        <f>B12</f>
        <v>Outstanding - December 31, 2020</v>
      </c>
      <c r="C23" s="5"/>
      <c r="D23" s="5"/>
      <c r="E23" s="5"/>
      <c r="F23" s="5"/>
      <c r="G23" s="76">
        <f>+H18+H19-G20-G21-G22+H21+H22</f>
        <v>0</v>
      </c>
      <c r="H23" s="1701" t="s">
        <v>662</v>
      </c>
      <c r="I23" s="1702"/>
      <c r="J23" s="74"/>
      <c r="K23" s="279"/>
      <c r="L23" s="801"/>
      <c r="P23" s="315"/>
      <c r="Q23" s="315"/>
      <c r="R23" s="315"/>
      <c r="S23" s="315"/>
      <c r="T23" s="315"/>
      <c r="U23" s="315"/>
      <c r="V23" s="315"/>
      <c r="W23" s="315"/>
      <c r="X23" s="315"/>
    </row>
    <row r="24" spans="2:24" ht="21" customHeight="1" thickBot="1">
      <c r="G24" s="79">
        <f>SUM(G18:G23)</f>
        <v>0</v>
      </c>
      <c r="H24" s="1703">
        <f>SUM(H18:I23)</f>
        <v>0</v>
      </c>
      <c r="I24" s="1704"/>
      <c r="J24" s="74"/>
      <c r="K24" s="279"/>
      <c r="L24" s="801"/>
      <c r="P24" s="315"/>
      <c r="Q24" s="315"/>
      <c r="R24" s="315"/>
      <c r="S24" s="315"/>
      <c r="T24" s="315"/>
      <c r="U24" s="315"/>
      <c r="V24" s="315"/>
      <c r="W24" s="315"/>
      <c r="X24" s="315"/>
    </row>
    <row r="25" spans="2:24" ht="21" customHeight="1" thickTop="1">
      <c r="B25" s="277" t="str">
        <f>TEXT('KEY INPUTS'!D33,"0")&amp;" Bond Maturities - Assessment Bonds"</f>
        <v>2021 Bond Maturities - Assessment Bonds</v>
      </c>
      <c r="C25" s="30"/>
      <c r="D25" s="30"/>
      <c r="E25" s="30"/>
      <c r="F25" s="30"/>
      <c r="G25" s="30"/>
      <c r="H25" s="30"/>
      <c r="I25" s="119"/>
      <c r="J25" s="735" t="s">
        <v>397</v>
      </c>
      <c r="K25" s="1694">
        <v>0</v>
      </c>
      <c r="L25" s="1695"/>
      <c r="P25" s="315"/>
      <c r="Q25" s="315"/>
      <c r="R25" s="315"/>
      <c r="S25" s="315"/>
      <c r="T25" s="315"/>
      <c r="U25" s="315"/>
      <c r="V25" s="315"/>
      <c r="W25" s="315"/>
      <c r="X25" s="315"/>
    </row>
    <row r="26" spans="2:24" ht="21" customHeight="1" thickBot="1">
      <c r="B26" s="27" t="str">
        <f>B15</f>
        <v>2021 Interest on Bonds*</v>
      </c>
      <c r="C26" s="27"/>
      <c r="D26" s="27"/>
      <c r="E26" s="27"/>
      <c r="F26" s="27"/>
      <c r="G26" s="77"/>
      <c r="H26" s="27" t="s">
        <v>397</v>
      </c>
      <c r="I26" s="1066">
        <v>0</v>
      </c>
      <c r="J26" s="74"/>
      <c r="K26" s="279"/>
      <c r="L26" s="801"/>
      <c r="P26" s="315"/>
      <c r="Q26" s="315"/>
      <c r="R26" s="315"/>
      <c r="S26" s="315"/>
      <c r="T26" s="315"/>
      <c r="U26" s="315"/>
      <c r="V26" s="315"/>
      <c r="W26" s="315"/>
      <c r="X26" s="315"/>
    </row>
    <row r="27" spans="2:24" ht="21" customHeight="1" thickTop="1" thickBot="1">
      <c r="B27" s="10" t="s">
        <v>584</v>
      </c>
      <c r="C27" s="10"/>
      <c r="D27" s="10"/>
      <c r="E27" s="10"/>
      <c r="F27" s="10"/>
      <c r="G27" s="10"/>
      <c r="H27" s="10"/>
      <c r="I27" s="138"/>
      <c r="J27" s="17" t="s">
        <v>397</v>
      </c>
      <c r="K27" s="1699">
        <f>+I26+I15</f>
        <v>69006</v>
      </c>
      <c r="L27" s="1700"/>
    </row>
    <row r="28" spans="2:24" ht="21" customHeight="1" thickTop="1"/>
    <row r="29" spans="2:24" ht="21" customHeight="1" thickBot="1">
      <c r="B29" s="1709" t="str">
        <f>"LIST  OF  BONDS  ISSUED  DURING "&amp;TEXT('KEY INPUTS'!D34,"0")</f>
        <v>LIST  OF  BONDS  ISSUED  DURING 2020</v>
      </c>
      <c r="C29" s="1709"/>
      <c r="D29" s="1709"/>
      <c r="E29" s="1709"/>
      <c r="F29" s="1709"/>
      <c r="G29" s="1709"/>
      <c r="H29" s="1709"/>
      <c r="I29" s="1709"/>
      <c r="J29" s="1709"/>
      <c r="K29" s="1709"/>
      <c r="L29" s="1709"/>
    </row>
    <row r="30" spans="2:24" ht="27" customHeight="1" thickTop="1" thickBot="1">
      <c r="B30" s="1589" t="s">
        <v>440</v>
      </c>
      <c r="C30" s="1589"/>
      <c r="D30" s="1589"/>
      <c r="E30" s="1589"/>
      <c r="F30" s="1589"/>
      <c r="G30" s="4" t="str">
        <f>TEXT('KEY INPUTS'!D33,"0")&amp;" Maturity"</f>
        <v>2021 Maturity</v>
      </c>
      <c r="H30" s="1672" t="s">
        <v>96</v>
      </c>
      <c r="I30" s="1590"/>
      <c r="J30" s="1691" t="s">
        <v>94</v>
      </c>
      <c r="K30" s="1715"/>
      <c r="L30" s="802" t="s">
        <v>95</v>
      </c>
    </row>
    <row r="31" spans="2:24" ht="21" customHeight="1" thickTop="1">
      <c r="B31" s="633" t="s">
        <v>3676</v>
      </c>
      <c r="C31" s="562"/>
      <c r="D31" s="562"/>
      <c r="E31" s="562"/>
      <c r="F31" s="562"/>
      <c r="G31" s="564">
        <v>140000</v>
      </c>
      <c r="H31" s="1713">
        <v>2310000</v>
      </c>
      <c r="I31" s="1714"/>
      <c r="J31" s="1712">
        <v>44126</v>
      </c>
      <c r="K31" s="1683"/>
      <c r="L31" s="1543" t="s">
        <v>3677</v>
      </c>
    </row>
    <row r="32" spans="2:24" ht="21" customHeight="1">
      <c r="B32" s="559"/>
      <c r="C32" s="559"/>
      <c r="D32" s="559"/>
      <c r="E32" s="559"/>
      <c r="F32" s="559"/>
      <c r="G32" s="367"/>
      <c r="H32" s="1689"/>
      <c r="I32" s="1690"/>
      <c r="J32" s="1696"/>
      <c r="K32" s="1685"/>
      <c r="L32" s="942"/>
    </row>
    <row r="33" spans="2:31" ht="21" customHeight="1">
      <c r="B33" s="559"/>
      <c r="C33" s="559"/>
      <c r="D33" s="559"/>
      <c r="E33" s="559"/>
      <c r="F33" s="559"/>
      <c r="G33" s="367"/>
      <c r="H33" s="1689"/>
      <c r="I33" s="1690"/>
      <c r="J33" s="1696"/>
      <c r="K33" s="1685"/>
      <c r="L33" s="942"/>
    </row>
    <row r="34" spans="2:31" ht="21" customHeight="1">
      <c r="B34" s="559"/>
      <c r="C34" s="559"/>
      <c r="D34" s="559"/>
      <c r="E34" s="559"/>
      <c r="F34" s="559"/>
      <c r="G34" s="367"/>
      <c r="H34" s="1689"/>
      <c r="I34" s="1690"/>
      <c r="J34" s="1696"/>
      <c r="K34" s="1685"/>
      <c r="L34" s="942"/>
    </row>
    <row r="35" spans="2:31" ht="21" customHeight="1">
      <c r="B35" s="559"/>
      <c r="C35" s="559"/>
      <c r="D35" s="559"/>
      <c r="E35" s="559"/>
      <c r="F35" s="559"/>
      <c r="G35" s="367"/>
      <c r="H35" s="1689"/>
      <c r="I35" s="1690"/>
      <c r="J35" s="1696"/>
      <c r="K35" s="1685"/>
      <c r="L35" s="942"/>
    </row>
    <row r="36" spans="2:31" ht="21" customHeight="1">
      <c r="B36" s="559"/>
      <c r="C36" s="559"/>
      <c r="D36" s="559"/>
      <c r="E36" s="559"/>
      <c r="F36" s="559"/>
      <c r="G36" s="367"/>
      <c r="H36" s="1689"/>
      <c r="I36" s="1690"/>
      <c r="J36" s="1696"/>
      <c r="K36" s="1685"/>
      <c r="L36" s="942"/>
    </row>
    <row r="37" spans="2:31" ht="21" customHeight="1">
      <c r="B37" s="559"/>
      <c r="C37" s="559"/>
      <c r="D37" s="559"/>
      <c r="E37" s="559"/>
      <c r="F37" s="559"/>
      <c r="G37" s="367"/>
      <c r="H37" s="1689"/>
      <c r="I37" s="1690"/>
      <c r="J37" s="1696"/>
      <c r="K37" s="1685"/>
      <c r="L37" s="942"/>
    </row>
    <row r="38" spans="2:31" ht="21" customHeight="1">
      <c r="B38" s="559"/>
      <c r="C38" s="559"/>
      <c r="D38" s="559"/>
      <c r="E38" s="559"/>
      <c r="F38" s="559"/>
      <c r="G38" s="367"/>
      <c r="H38" s="1689"/>
      <c r="I38" s="1690"/>
      <c r="J38" s="1696"/>
      <c r="K38" s="1685"/>
      <c r="L38" s="942"/>
    </row>
    <row r="39" spans="2:31" ht="21" customHeight="1" thickBot="1">
      <c r="B39" s="27"/>
      <c r="C39" s="27"/>
      <c r="D39" s="27"/>
      <c r="E39" s="27"/>
      <c r="F39" s="41" t="s">
        <v>209</v>
      </c>
      <c r="G39" s="79">
        <f>SUM(G31:G38)</f>
        <v>140000</v>
      </c>
      <c r="H39" s="1710">
        <f>SUM(H31:I38)</f>
        <v>2310000</v>
      </c>
      <c r="I39" s="1711"/>
      <c r="J39" s="40"/>
      <c r="K39" s="27"/>
      <c r="L39" s="19"/>
    </row>
    <row r="40" spans="2:31" ht="13.8" thickTop="1">
      <c r="G40" s="57"/>
      <c r="H40" s="57"/>
      <c r="I40" s="57"/>
      <c r="AE40" s="315"/>
    </row>
    <row r="47" spans="2:31" ht="13.8">
      <c r="B47" s="1545" t="s">
        <v>585</v>
      </c>
      <c r="C47" s="1545"/>
      <c r="D47" s="1545"/>
      <c r="E47" s="1545"/>
      <c r="F47" s="1545"/>
      <c r="G47" s="1545"/>
      <c r="H47" s="1545"/>
      <c r="I47" s="1545"/>
      <c r="J47" s="1545"/>
      <c r="K47" s="1545"/>
      <c r="L47" s="1545"/>
    </row>
  </sheetData>
  <sheetProtection algorithmName="SHA-512" hashValue="X2eMe54Echi99wKcxR1LSW4MJU81MYbHd7N0dI7Z+kTOrYcF58XRAkPoBHr/A6DSHdiVpCra5kW0EdZeGQePsw==" saltValue="sDK+XmQKYQJLnAxt6hFisA==" spinCount="100000" sheet="1" objects="1" scenarios="1"/>
  <mergeCells count="46">
    <mergeCell ref="J37:K37"/>
    <mergeCell ref="H32:I32"/>
    <mergeCell ref="B30:F30"/>
    <mergeCell ref="H30:I30"/>
    <mergeCell ref="H21:I21"/>
    <mergeCell ref="B47:L47"/>
    <mergeCell ref="B29:L29"/>
    <mergeCell ref="H39:I39"/>
    <mergeCell ref="H33:I33"/>
    <mergeCell ref="J31:K31"/>
    <mergeCell ref="H34:I34"/>
    <mergeCell ref="H35:I35"/>
    <mergeCell ref="H36:I36"/>
    <mergeCell ref="H31:I31"/>
    <mergeCell ref="H37:I37"/>
    <mergeCell ref="H38:I38"/>
    <mergeCell ref="J38:K38"/>
    <mergeCell ref="J32:K32"/>
    <mergeCell ref="J36:K36"/>
    <mergeCell ref="J30:K30"/>
    <mergeCell ref="J33:K33"/>
    <mergeCell ref="H9:I9"/>
    <mergeCell ref="H12:I12"/>
    <mergeCell ref="B16:I16"/>
    <mergeCell ref="H13:I13"/>
    <mergeCell ref="B17:I17"/>
    <mergeCell ref="K14:L14"/>
    <mergeCell ref="J35:K35"/>
    <mergeCell ref="H20:I20"/>
    <mergeCell ref="H10:I10"/>
    <mergeCell ref="H11:I11"/>
    <mergeCell ref="K25:L25"/>
    <mergeCell ref="K27:L27"/>
    <mergeCell ref="J34:K34"/>
    <mergeCell ref="H18:I18"/>
    <mergeCell ref="H19:I19"/>
    <mergeCell ref="H23:I23"/>
    <mergeCell ref="H22:I22"/>
    <mergeCell ref="H24:I24"/>
    <mergeCell ref="H8:I8"/>
    <mergeCell ref="B2:L2"/>
    <mergeCell ref="B3:L3"/>
    <mergeCell ref="B4:L4"/>
    <mergeCell ref="J6:L6"/>
    <mergeCell ref="H6:I6"/>
    <mergeCell ref="H7:I7"/>
  </mergeCells>
  <phoneticPr fontId="0" type="noConversion"/>
  <pageMargins left="0.25" right="0.25" top="0.5" bottom="0.5" header="0.25" footer="0.25"/>
  <pageSetup paperSize="5" orientation="portrait" r:id="rId1"/>
  <headerFooter alignWithMargins="0"/>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0"/>
  <dimension ref="B2:W47"/>
  <sheetViews>
    <sheetView topLeftCell="A10" zoomScaleNormal="100" workbookViewId="0">
      <selection activeCell="K27" sqref="K27:L27"/>
    </sheetView>
  </sheetViews>
  <sheetFormatPr defaultRowHeight="13.2"/>
  <cols>
    <col min="1" max="4" width="4.6640625" customWidth="1"/>
    <col min="5" max="5" width="17.88671875" customWidth="1"/>
    <col min="7" max="7" width="16.6640625" customWidth="1"/>
    <col min="8" max="8" width="1.6640625" customWidth="1"/>
    <col min="9" max="9" width="15.6640625" customWidth="1"/>
    <col min="10" max="10" width="1.6640625" customWidth="1"/>
    <col min="11" max="11" width="8.6640625" customWidth="1"/>
    <col min="12" max="12" width="7.6640625" customWidth="1"/>
  </cols>
  <sheetData>
    <row r="2" spans="2:23" ht="20.399999999999999">
      <c r="B2" s="1635" t="s">
        <v>510</v>
      </c>
      <c r="C2" s="1635"/>
      <c r="D2" s="1635"/>
      <c r="E2" s="1635"/>
      <c r="F2" s="1635"/>
      <c r="G2" s="1635"/>
      <c r="H2" s="1635"/>
      <c r="I2" s="1635"/>
      <c r="J2" s="1635"/>
      <c r="K2" s="1635"/>
      <c r="L2" s="1635"/>
    </row>
    <row r="3" spans="2:23" ht="20.399999999999999">
      <c r="B3" s="1635" t="str">
        <f>" AND "&amp;TEXT('KEY INPUTS'!D33,"0")&amp;" DEBT  SERVICE  FOR  LOANS"</f>
        <v xml:space="preserve"> AND 2021 DEBT  SERVICE  FOR  LOANS</v>
      </c>
      <c r="C3" s="1635"/>
      <c r="D3" s="1635"/>
      <c r="E3" s="1635"/>
      <c r="F3" s="1635"/>
      <c r="G3" s="1635"/>
      <c r="H3" s="1635"/>
      <c r="I3" s="1635"/>
      <c r="J3" s="1635"/>
      <c r="K3" s="1635"/>
      <c r="L3" s="1635"/>
    </row>
    <row r="4" spans="2:23" ht="15.6">
      <c r="B4" s="1728" t="s">
        <v>3244</v>
      </c>
      <c r="C4" s="1728"/>
      <c r="D4" s="1728"/>
      <c r="E4" s="1728"/>
      <c r="F4" s="1728"/>
      <c r="G4" s="1728"/>
      <c r="H4" s="1728"/>
      <c r="I4" s="1728"/>
      <c r="J4" s="1728"/>
      <c r="K4" s="1728"/>
      <c r="L4" s="1728"/>
    </row>
    <row r="5" spans="2:23" ht="9.75" customHeight="1" thickBot="1">
      <c r="B5" s="108"/>
      <c r="C5" s="108"/>
      <c r="D5" s="108"/>
      <c r="E5" s="108"/>
      <c r="F5" s="108"/>
      <c r="G5" s="108"/>
      <c r="H5" s="108"/>
      <c r="I5" s="108"/>
      <c r="J5" s="108"/>
      <c r="K5" s="108"/>
      <c r="L5" s="108"/>
    </row>
    <row r="6" spans="2:23" ht="27.75" customHeight="1" thickTop="1" thickBot="1">
      <c r="B6" s="1029"/>
      <c r="C6" s="1029"/>
      <c r="D6" s="1029"/>
      <c r="E6" s="1029"/>
      <c r="F6" s="1029"/>
      <c r="G6" s="957" t="s">
        <v>101</v>
      </c>
      <c r="H6" s="1732" t="s">
        <v>102</v>
      </c>
      <c r="I6" s="1607"/>
      <c r="J6" s="1729" t="str">
        <f>'31-Capital Bond Schedule'!J6:L6</f>
        <v>2021  Debt       Service</v>
      </c>
      <c r="K6" s="1730"/>
      <c r="L6" s="1731"/>
    </row>
    <row r="7" spans="2:23" ht="21" customHeight="1" thickTop="1">
      <c r="B7" s="22" t="str">
        <f>'31-Capital Bond Schedule'!B7</f>
        <v>Outstanding - January 1, 2020</v>
      </c>
      <c r="C7" s="22"/>
      <c r="D7" s="22"/>
      <c r="E7" s="22"/>
      <c r="F7" s="22"/>
      <c r="G7" s="1070" t="s">
        <v>662</v>
      </c>
      <c r="H7" s="1733">
        <v>0</v>
      </c>
      <c r="I7" s="1734"/>
      <c r="J7" s="74"/>
      <c r="K7" s="279"/>
      <c r="L7" s="801"/>
      <c r="O7" s="315"/>
      <c r="P7" s="315"/>
      <c r="Q7" s="315"/>
      <c r="R7" s="315"/>
      <c r="S7" s="315"/>
      <c r="T7" s="315"/>
      <c r="U7" s="315"/>
      <c r="V7" s="315"/>
      <c r="W7" s="315"/>
    </row>
    <row r="8" spans="2:23" ht="21" customHeight="1">
      <c r="B8" s="5" t="s">
        <v>97</v>
      </c>
      <c r="C8" s="5"/>
      <c r="D8" s="5"/>
      <c r="E8" s="5"/>
      <c r="F8" s="5"/>
      <c r="G8" s="963" t="s">
        <v>662</v>
      </c>
      <c r="H8" s="1689">
        <v>0</v>
      </c>
      <c r="I8" s="1690"/>
      <c r="J8" s="74"/>
      <c r="K8" s="279"/>
      <c r="L8" s="801"/>
      <c r="O8" s="315"/>
      <c r="P8" s="315"/>
      <c r="Q8" s="315"/>
      <c r="R8" s="315"/>
      <c r="S8" s="315"/>
      <c r="T8" s="315"/>
      <c r="U8" s="315"/>
      <c r="V8" s="315"/>
      <c r="W8" s="315"/>
    </row>
    <row r="9" spans="2:23" ht="21" customHeight="1">
      <c r="B9" s="5" t="s">
        <v>268</v>
      </c>
      <c r="C9" s="5"/>
      <c r="D9" s="5"/>
      <c r="E9" s="5"/>
      <c r="F9" s="5"/>
      <c r="G9" s="367">
        <v>0</v>
      </c>
      <c r="H9" s="1735" t="s">
        <v>662</v>
      </c>
      <c r="I9" s="1736"/>
      <c r="J9" s="74"/>
      <c r="K9" s="279"/>
      <c r="L9" s="801"/>
      <c r="O9" s="315"/>
      <c r="P9" s="315"/>
      <c r="Q9" s="315"/>
      <c r="R9" s="315"/>
      <c r="S9" s="315"/>
      <c r="T9" s="315"/>
      <c r="U9" s="315"/>
      <c r="V9" s="315"/>
      <c r="W9" s="315"/>
    </row>
    <row r="10" spans="2:23" ht="21" customHeight="1">
      <c r="B10" s="5" t="s">
        <v>154</v>
      </c>
      <c r="C10" s="5"/>
      <c r="D10" s="5"/>
      <c r="E10" s="5"/>
      <c r="F10" s="5"/>
      <c r="G10" s="367"/>
      <c r="H10" s="1689"/>
      <c r="I10" s="1690"/>
      <c r="J10" s="74"/>
      <c r="K10" s="279"/>
      <c r="L10" s="801"/>
      <c r="O10" s="315"/>
      <c r="P10" s="315"/>
      <c r="Q10" s="315"/>
      <c r="R10" s="315"/>
      <c r="S10" s="315"/>
      <c r="T10" s="315"/>
      <c r="U10" s="315"/>
      <c r="V10" s="315"/>
      <c r="W10" s="315"/>
    </row>
    <row r="11" spans="2:23" ht="21" customHeight="1">
      <c r="B11" s="1599"/>
      <c r="C11" s="1599"/>
      <c r="D11" s="1599"/>
      <c r="E11" s="1599"/>
      <c r="F11" s="1600"/>
      <c r="G11" s="593"/>
      <c r="H11" s="1722"/>
      <c r="I11" s="1723"/>
      <c r="J11" s="74"/>
      <c r="K11" s="279"/>
      <c r="L11" s="801"/>
      <c r="O11" s="315"/>
      <c r="P11" s="315"/>
      <c r="Q11" s="315"/>
      <c r="R11" s="315"/>
      <c r="S11" s="315"/>
      <c r="T11" s="315"/>
      <c r="U11" s="315"/>
      <c r="V11" s="315"/>
      <c r="W11" s="315"/>
    </row>
    <row r="12" spans="2:23" ht="21" customHeight="1" thickBot="1">
      <c r="B12" s="5" t="str">
        <f>'31-Capital Bond Schedule'!B12</f>
        <v>Outstanding - December 31, 2020</v>
      </c>
      <c r="C12" s="5"/>
      <c r="D12" s="5"/>
      <c r="E12" s="5"/>
      <c r="F12" s="5"/>
      <c r="G12" s="1071">
        <f>+H7+H8-G9-G10-G11+H10+H11</f>
        <v>0</v>
      </c>
      <c r="H12" s="1737" t="s">
        <v>662</v>
      </c>
      <c r="I12" s="1738"/>
      <c r="J12" s="74"/>
      <c r="K12" s="279"/>
      <c r="L12" s="801"/>
      <c r="O12" s="315"/>
      <c r="P12" s="315"/>
      <c r="Q12" s="315"/>
      <c r="R12" s="315"/>
      <c r="S12" s="315"/>
      <c r="T12" s="315"/>
      <c r="U12" s="315"/>
      <c r="V12" s="315"/>
      <c r="W12" s="315"/>
    </row>
    <row r="13" spans="2:23" ht="21" customHeight="1" thickBot="1">
      <c r="G13" s="1065">
        <f>SUM(G7:G12)</f>
        <v>0</v>
      </c>
      <c r="H13" s="1741">
        <f>SUM(H7:I12)</f>
        <v>0</v>
      </c>
      <c r="I13" s="1742"/>
      <c r="J13" s="74"/>
      <c r="K13" s="279"/>
      <c r="L13" s="801"/>
      <c r="O13" s="315"/>
      <c r="P13" s="315"/>
      <c r="Q13" s="315"/>
      <c r="R13" s="315"/>
      <c r="S13" s="315"/>
      <c r="T13" s="315"/>
      <c r="U13" s="315"/>
      <c r="V13" s="315"/>
      <c r="W13" s="315"/>
    </row>
    <row r="14" spans="2:23" ht="21" customHeight="1" thickTop="1">
      <c r="B14" s="277" t="str">
        <f>TEXT('KEY INPUTS'!D33,"0")&amp;" Loan Maturities"</f>
        <v>2021 Loan Maturities</v>
      </c>
      <c r="C14" s="30"/>
      <c r="D14" s="30"/>
      <c r="E14" s="30"/>
      <c r="F14" s="30"/>
      <c r="G14" s="30"/>
      <c r="H14" s="30"/>
      <c r="I14" s="1034"/>
      <c r="J14" s="735" t="s">
        <v>397</v>
      </c>
      <c r="K14" s="1694">
        <v>0</v>
      </c>
      <c r="L14" s="1695"/>
      <c r="O14" s="315"/>
      <c r="P14" s="370"/>
      <c r="Q14" s="315"/>
      <c r="R14" s="315"/>
      <c r="S14" s="315"/>
      <c r="T14" s="315"/>
      <c r="U14" s="315"/>
      <c r="V14" s="315"/>
      <c r="W14" s="315"/>
    </row>
    <row r="15" spans="2:23" ht="21" customHeight="1">
      <c r="B15" s="274" t="str">
        <f>TEXT('KEY INPUTS'!D33,"0")&amp;" Interest on Loans "</f>
        <v xml:space="preserve">2021 Interest on Loans </v>
      </c>
      <c r="C15" s="5"/>
      <c r="D15" s="5"/>
      <c r="E15" s="5"/>
      <c r="F15" s="5"/>
      <c r="G15" s="49"/>
      <c r="H15" s="5"/>
      <c r="I15" s="1072"/>
      <c r="J15" s="735" t="s">
        <v>397</v>
      </c>
      <c r="K15" s="1694">
        <v>0</v>
      </c>
      <c r="L15" s="1695"/>
      <c r="O15" s="315"/>
      <c r="P15" s="315"/>
      <c r="Q15" s="315"/>
      <c r="R15" s="315"/>
      <c r="S15" s="315"/>
      <c r="T15" s="315"/>
      <c r="U15" s="315"/>
      <c r="V15" s="315"/>
      <c r="W15" s="315"/>
    </row>
    <row r="16" spans="2:23" ht="16.5" customHeight="1" thickBot="1">
      <c r="B16" s="1440" t="str">
        <f>"Total "&amp;TEXT('KEY INPUTS'!D33,"0")&amp;" Debt Service for"</f>
        <v>Total 2021 Debt Service for</v>
      </c>
      <c r="C16" s="1441"/>
      <c r="D16" s="1441"/>
      <c r="E16" s="1441"/>
      <c r="F16" s="1443"/>
      <c r="G16" s="1442" t="s">
        <v>3545</v>
      </c>
      <c r="H16" s="10"/>
      <c r="I16" s="1073"/>
      <c r="J16" s="40" t="s">
        <v>397</v>
      </c>
      <c r="K16" s="1739">
        <f>+K14+K15</f>
        <v>0</v>
      </c>
      <c r="L16" s="1740"/>
      <c r="O16" s="315"/>
      <c r="P16" s="315"/>
      <c r="Q16" s="315"/>
      <c r="R16" s="315"/>
      <c r="S16" s="315"/>
      <c r="T16" s="315"/>
      <c r="U16" s="315"/>
      <c r="V16" s="315"/>
      <c r="W16" s="315"/>
    </row>
    <row r="17" spans="2:23" ht="26.25" customHeight="1" thickTop="1" thickBot="1">
      <c r="B17" s="1726" t="s">
        <v>155</v>
      </c>
      <c r="C17" s="1726"/>
      <c r="D17" s="1726"/>
      <c r="E17" s="1726"/>
      <c r="F17" s="1726"/>
      <c r="G17" s="1726"/>
      <c r="H17" s="1726"/>
      <c r="I17" s="1727"/>
      <c r="J17" s="74"/>
      <c r="K17" s="279"/>
      <c r="L17" s="801"/>
      <c r="O17" s="315"/>
      <c r="P17" s="315"/>
      <c r="Q17" s="315"/>
      <c r="R17" s="315"/>
      <c r="S17" s="315"/>
      <c r="T17" s="315"/>
      <c r="U17" s="315"/>
      <c r="V17" s="315"/>
      <c r="W17" s="315"/>
    </row>
    <row r="18" spans="2:23" ht="21" customHeight="1" thickTop="1">
      <c r="B18" s="22" t="str">
        <f>B7</f>
        <v>Outstanding - January 1, 2020</v>
      </c>
      <c r="C18" s="22"/>
      <c r="D18" s="22"/>
      <c r="E18" s="22"/>
      <c r="F18" s="22"/>
      <c r="G18" s="1070" t="s">
        <v>662</v>
      </c>
      <c r="H18" s="1689">
        <v>0</v>
      </c>
      <c r="I18" s="1690"/>
      <c r="J18" s="74"/>
      <c r="K18" s="279"/>
      <c r="L18" s="801"/>
      <c r="O18" s="315"/>
      <c r="P18" s="315"/>
      <c r="Q18" s="315"/>
      <c r="R18" s="315"/>
      <c r="S18" s="315"/>
      <c r="T18" s="315"/>
      <c r="U18" s="315"/>
      <c r="V18" s="315"/>
      <c r="W18" s="315"/>
    </row>
    <row r="19" spans="2:23" ht="21" customHeight="1">
      <c r="B19" s="5" t="s">
        <v>97</v>
      </c>
      <c r="C19" s="5"/>
      <c r="D19" s="5"/>
      <c r="E19" s="5"/>
      <c r="F19" s="5"/>
      <c r="G19" s="963" t="s">
        <v>662</v>
      </c>
      <c r="H19" s="1689">
        <v>0</v>
      </c>
      <c r="I19" s="1690"/>
      <c r="J19" s="74"/>
      <c r="K19" s="279"/>
      <c r="L19" s="801"/>
      <c r="O19" s="315"/>
      <c r="P19" s="315"/>
      <c r="Q19" s="315"/>
      <c r="R19" s="315"/>
      <c r="S19" s="315"/>
      <c r="T19" s="315"/>
      <c r="U19" s="315"/>
      <c r="V19" s="315"/>
      <c r="W19" s="315"/>
    </row>
    <row r="20" spans="2:23" ht="21" customHeight="1">
      <c r="B20" s="5" t="s">
        <v>268</v>
      </c>
      <c r="C20" s="5"/>
      <c r="D20" s="5"/>
      <c r="E20" s="5"/>
      <c r="F20" s="5"/>
      <c r="G20" s="367">
        <v>0</v>
      </c>
      <c r="H20" s="1743" t="s">
        <v>662</v>
      </c>
      <c r="I20" s="1744"/>
      <c r="J20" s="74"/>
      <c r="K20" s="279"/>
      <c r="L20" s="801"/>
      <c r="O20" s="315"/>
      <c r="P20" s="315"/>
      <c r="Q20" s="315"/>
      <c r="R20" s="315"/>
      <c r="S20" s="315"/>
      <c r="T20" s="315"/>
      <c r="U20" s="315"/>
      <c r="V20" s="315"/>
      <c r="W20" s="315"/>
    </row>
    <row r="21" spans="2:23" ht="21" customHeight="1">
      <c r="B21" s="1716"/>
      <c r="C21" s="1716"/>
      <c r="D21" s="1716"/>
      <c r="E21" s="1716"/>
      <c r="F21" s="1717"/>
      <c r="G21" s="593"/>
      <c r="H21" s="1722"/>
      <c r="I21" s="1723"/>
      <c r="J21" s="74"/>
      <c r="K21" s="279"/>
      <c r="L21" s="801"/>
      <c r="O21" s="315"/>
      <c r="P21" s="315"/>
      <c r="Q21" s="315"/>
      <c r="R21" s="315"/>
      <c r="S21" s="315"/>
      <c r="T21" s="315"/>
      <c r="U21" s="315"/>
      <c r="V21" s="315"/>
      <c r="W21" s="315"/>
    </row>
    <row r="22" spans="2:23" ht="21" customHeight="1">
      <c r="B22" s="1716"/>
      <c r="C22" s="1716"/>
      <c r="D22" s="1716"/>
      <c r="E22" s="1716"/>
      <c r="F22" s="1717"/>
      <c r="G22" s="593"/>
      <c r="H22" s="1722"/>
      <c r="I22" s="1723"/>
      <c r="J22" s="74"/>
      <c r="K22" s="279"/>
      <c r="L22" s="801"/>
      <c r="O22" s="315"/>
      <c r="P22" s="315"/>
      <c r="Q22" s="315"/>
      <c r="R22" s="315"/>
      <c r="S22" s="315"/>
      <c r="T22" s="315"/>
      <c r="U22" s="315"/>
      <c r="V22" s="315"/>
      <c r="W22" s="315"/>
    </row>
    <row r="23" spans="2:23" ht="21" customHeight="1" thickBot="1">
      <c r="B23" s="5" t="str">
        <f>B12</f>
        <v>Outstanding - December 31, 2020</v>
      </c>
      <c r="C23" s="5"/>
      <c r="D23" s="5"/>
      <c r="E23" s="5"/>
      <c r="F23" s="5"/>
      <c r="G23" s="1071">
        <f>+H18+H19-G20-G21-G22+H21+H22</f>
        <v>0</v>
      </c>
      <c r="H23" s="1737" t="s">
        <v>662</v>
      </c>
      <c r="I23" s="1738"/>
      <c r="J23" s="74"/>
      <c r="K23" s="279"/>
      <c r="L23" s="801"/>
      <c r="O23" s="315"/>
      <c r="P23" s="315"/>
      <c r="Q23" s="315"/>
      <c r="R23" s="315"/>
      <c r="S23" s="315"/>
      <c r="T23" s="315"/>
      <c r="U23" s="315"/>
      <c r="V23" s="315"/>
      <c r="W23" s="315"/>
    </row>
    <row r="24" spans="2:23" ht="21" customHeight="1" thickBot="1">
      <c r="G24" s="1065">
        <f>SUM(G18:G23)</f>
        <v>0</v>
      </c>
      <c r="H24" s="1741">
        <f>SUM(H18:I23)</f>
        <v>0</v>
      </c>
      <c r="I24" s="1742"/>
      <c r="J24" s="74"/>
      <c r="K24" s="279"/>
      <c r="L24" s="801"/>
      <c r="O24" s="315"/>
      <c r="P24" s="315"/>
      <c r="Q24" s="315"/>
      <c r="R24" s="315"/>
      <c r="S24" s="315"/>
      <c r="T24" s="315"/>
      <c r="U24" s="315"/>
      <c r="V24" s="315"/>
      <c r="W24" s="315"/>
    </row>
    <row r="25" spans="2:23" ht="21" customHeight="1" thickTop="1">
      <c r="B25" s="30" t="str">
        <f>B14</f>
        <v>2021 Loan Maturities</v>
      </c>
      <c r="C25" s="30"/>
      <c r="D25" s="30"/>
      <c r="E25" s="30"/>
      <c r="F25" s="30"/>
      <c r="G25" s="30"/>
      <c r="H25" s="30"/>
      <c r="I25" s="119"/>
      <c r="J25" s="735" t="s">
        <v>397</v>
      </c>
      <c r="K25" s="1694">
        <v>0</v>
      </c>
      <c r="L25" s="1695"/>
      <c r="O25" s="315"/>
      <c r="P25" s="315"/>
      <c r="Q25" s="315"/>
      <c r="R25" s="315"/>
      <c r="S25" s="315"/>
      <c r="T25" s="315"/>
      <c r="U25" s="315"/>
      <c r="V25" s="315"/>
      <c r="W25" s="315"/>
    </row>
    <row r="26" spans="2:23" ht="21" customHeight="1">
      <c r="B26" s="5" t="str">
        <f>B15</f>
        <v xml:space="preserve">2021 Interest on Loans </v>
      </c>
      <c r="C26" s="5"/>
      <c r="D26" s="5"/>
      <c r="E26" s="5"/>
      <c r="F26" s="5"/>
      <c r="G26" s="49"/>
      <c r="H26" s="5"/>
      <c r="I26" s="101"/>
      <c r="J26" s="735" t="s">
        <v>397</v>
      </c>
      <c r="K26" s="1694">
        <v>0</v>
      </c>
      <c r="L26" s="1695"/>
    </row>
    <row r="27" spans="2:23" ht="21" customHeight="1" thickBot="1">
      <c r="B27" s="1444" t="str">
        <f>"Total "&amp;TEXT('KEY INPUTS'!D33,"0")&amp;" Debt Service for"</f>
        <v>Total 2021 Debt Service for</v>
      </c>
      <c r="C27" s="1445"/>
      <c r="D27" s="1445"/>
      <c r="E27" s="1445"/>
      <c r="F27" s="1069"/>
      <c r="G27" s="1446" t="s">
        <v>3546</v>
      </c>
      <c r="H27" s="10"/>
      <c r="I27" s="236"/>
      <c r="J27" s="17" t="s">
        <v>397</v>
      </c>
      <c r="K27" s="1718">
        <f>+K25+K26</f>
        <v>0</v>
      </c>
      <c r="L27" s="1719"/>
    </row>
    <row r="28" spans="2:23" ht="21" customHeight="1" thickTop="1"/>
    <row r="29" spans="2:23" ht="21" customHeight="1" thickBot="1">
      <c r="B29" s="1709" t="str">
        <f>"LIST  OF  LOANS  ISSUED  DURING "&amp;TEXT('KEY INPUTS'!D34,"0")</f>
        <v>LIST  OF  LOANS  ISSUED  DURING 2020</v>
      </c>
      <c r="C29" s="1709"/>
      <c r="D29" s="1709"/>
      <c r="E29" s="1709"/>
      <c r="F29" s="1709"/>
      <c r="G29" s="1709"/>
      <c r="H29" s="1709"/>
      <c r="I29" s="1709"/>
      <c r="J29" s="1709"/>
      <c r="K29" s="1709"/>
      <c r="L29" s="1709"/>
    </row>
    <row r="30" spans="2:23" ht="27" customHeight="1" thickTop="1" thickBot="1">
      <c r="B30" s="1589" t="s">
        <v>440</v>
      </c>
      <c r="C30" s="1589"/>
      <c r="D30" s="1589"/>
      <c r="E30" s="1589"/>
      <c r="F30" s="1589"/>
      <c r="G30" s="4" t="str">
        <f>'31-Capital Bond Schedule'!G30</f>
        <v>2021 Maturity</v>
      </c>
      <c r="H30" s="1672" t="s">
        <v>96</v>
      </c>
      <c r="I30" s="1590"/>
      <c r="J30" s="1691" t="s">
        <v>94</v>
      </c>
      <c r="K30" s="1715"/>
      <c r="L30" s="802" t="s">
        <v>95</v>
      </c>
    </row>
    <row r="31" spans="2:23" ht="21" customHeight="1" thickTop="1">
      <c r="B31" s="562"/>
      <c r="C31" s="562"/>
      <c r="D31" s="562"/>
      <c r="E31" s="562"/>
      <c r="F31" s="562"/>
      <c r="G31" s="597"/>
      <c r="H31" s="1724"/>
      <c r="I31" s="1725"/>
      <c r="J31" s="1712"/>
      <c r="K31" s="1683"/>
      <c r="L31" s="943"/>
    </row>
    <row r="32" spans="2:23" ht="21" customHeight="1">
      <c r="B32" s="559"/>
      <c r="C32" s="559"/>
      <c r="D32" s="559"/>
      <c r="E32" s="559"/>
      <c r="F32" s="559"/>
      <c r="G32" s="593"/>
      <c r="H32" s="1722"/>
      <c r="I32" s="1723"/>
      <c r="J32" s="1696"/>
      <c r="K32" s="1685"/>
      <c r="L32" s="944"/>
    </row>
    <row r="33" spans="2:12" ht="21" customHeight="1">
      <c r="B33" s="559"/>
      <c r="C33" s="559"/>
      <c r="D33" s="559"/>
      <c r="E33" s="559"/>
      <c r="F33" s="559"/>
      <c r="G33" s="593"/>
      <c r="H33" s="1722"/>
      <c r="I33" s="1723"/>
      <c r="J33" s="1696"/>
      <c r="K33" s="1685"/>
      <c r="L33" s="944"/>
    </row>
    <row r="34" spans="2:12" ht="21" customHeight="1">
      <c r="B34" s="559"/>
      <c r="C34" s="559"/>
      <c r="D34" s="559"/>
      <c r="E34" s="559"/>
      <c r="F34" s="559"/>
      <c r="G34" s="593"/>
      <c r="H34" s="1722"/>
      <c r="I34" s="1723"/>
      <c r="J34" s="1696"/>
      <c r="K34" s="1685"/>
      <c r="L34" s="944"/>
    </row>
    <row r="35" spans="2:12" ht="21" customHeight="1">
      <c r="B35" s="559"/>
      <c r="C35" s="559"/>
      <c r="D35" s="559"/>
      <c r="E35" s="559"/>
      <c r="F35" s="559"/>
      <c r="G35" s="593"/>
      <c r="H35" s="1722"/>
      <c r="I35" s="1723"/>
      <c r="J35" s="1696"/>
      <c r="K35" s="1685"/>
      <c r="L35" s="944"/>
    </row>
    <row r="36" spans="2:12" ht="21" customHeight="1">
      <c r="B36" s="559"/>
      <c r="C36" s="559"/>
      <c r="D36" s="559"/>
      <c r="E36" s="559"/>
      <c r="F36" s="559"/>
      <c r="G36" s="593"/>
      <c r="H36" s="1722"/>
      <c r="I36" s="1723"/>
      <c r="J36" s="1696"/>
      <c r="K36" s="1685"/>
      <c r="L36" s="944"/>
    </row>
    <row r="37" spans="2:12" ht="21" customHeight="1">
      <c r="B37" s="559"/>
      <c r="C37" s="559"/>
      <c r="D37" s="559"/>
      <c r="E37" s="559"/>
      <c r="F37" s="559"/>
      <c r="G37" s="593"/>
      <c r="H37" s="1722"/>
      <c r="I37" s="1723"/>
      <c r="J37" s="1696"/>
      <c r="K37" s="1685"/>
      <c r="L37" s="944"/>
    </row>
    <row r="38" spans="2:12" ht="21" customHeight="1">
      <c r="B38" s="559"/>
      <c r="C38" s="559"/>
      <c r="D38" s="559"/>
      <c r="E38" s="559"/>
      <c r="F38" s="559"/>
      <c r="G38" s="593"/>
      <c r="H38" s="1722"/>
      <c r="I38" s="1723"/>
      <c r="J38" s="1696"/>
      <c r="K38" s="1685"/>
      <c r="L38" s="944"/>
    </row>
    <row r="39" spans="2:12" ht="21" customHeight="1" thickBot="1">
      <c r="B39" s="27"/>
      <c r="C39" s="27"/>
      <c r="D39" s="27"/>
      <c r="E39" s="27"/>
      <c r="F39" s="851" t="s">
        <v>209</v>
      </c>
      <c r="G39" s="1065">
        <f>SUM(G31:G38)</f>
        <v>0</v>
      </c>
      <c r="H39" s="1720">
        <f>SUM(H31:I38)</f>
        <v>0</v>
      </c>
      <c r="I39" s="1721"/>
      <c r="J39" s="1074"/>
      <c r="K39" s="850"/>
      <c r="L39" s="857"/>
    </row>
    <row r="40" spans="2:12" ht="13.8" thickTop="1">
      <c r="G40" s="57"/>
      <c r="H40" s="57"/>
      <c r="I40" s="57"/>
    </row>
    <row r="47" spans="2:12" ht="13.8">
      <c r="B47" s="1545" t="s">
        <v>156</v>
      </c>
      <c r="C47" s="1545"/>
      <c r="D47" s="1545"/>
      <c r="E47" s="1545"/>
      <c r="F47" s="1545"/>
      <c r="G47" s="1545"/>
      <c r="H47" s="1545"/>
      <c r="I47" s="1545"/>
      <c r="J47" s="1545"/>
      <c r="K47" s="1545"/>
      <c r="L47" s="1545"/>
    </row>
  </sheetData>
  <sheetProtection algorithmName="SHA-512" hashValue="miBlRkjbXkaHY3dUz24WP0jRp+T5CNCEg7wIu3JRRiUrUKB+DwkQQvPhTUvlgEHvRzXC8jqWt7KuKQF3BLVjhA==" saltValue="hyRf1lywqsCHnWDpp5FFeg==" spinCount="100000" sheet="1" objects="1" scenarios="1"/>
  <mergeCells count="51">
    <mergeCell ref="K25:L25"/>
    <mergeCell ref="H12:I12"/>
    <mergeCell ref="H18:I18"/>
    <mergeCell ref="J36:K36"/>
    <mergeCell ref="B30:F30"/>
    <mergeCell ref="H22:I22"/>
    <mergeCell ref="K26:L26"/>
    <mergeCell ref="K15:L15"/>
    <mergeCell ref="K16:L16"/>
    <mergeCell ref="H13:I13"/>
    <mergeCell ref="H23:I23"/>
    <mergeCell ref="H19:I19"/>
    <mergeCell ref="K14:L14"/>
    <mergeCell ref="H24:I24"/>
    <mergeCell ref="H21:I21"/>
    <mergeCell ref="H20:I20"/>
    <mergeCell ref="B17:I17"/>
    <mergeCell ref="B2:L2"/>
    <mergeCell ref="B3:L3"/>
    <mergeCell ref="B4:L4"/>
    <mergeCell ref="J6:L6"/>
    <mergeCell ref="H6:I6"/>
    <mergeCell ref="H7:I7"/>
    <mergeCell ref="H8:I8"/>
    <mergeCell ref="H10:I10"/>
    <mergeCell ref="H11:I11"/>
    <mergeCell ref="H9:I9"/>
    <mergeCell ref="B11:F11"/>
    <mergeCell ref="J31:K31"/>
    <mergeCell ref="J30:K30"/>
    <mergeCell ref="H35:I35"/>
    <mergeCell ref="H38:I38"/>
    <mergeCell ref="H36:I36"/>
    <mergeCell ref="H37:I37"/>
    <mergeCell ref="H30:I30"/>
    <mergeCell ref="B21:F21"/>
    <mergeCell ref="B22:F22"/>
    <mergeCell ref="K27:L27"/>
    <mergeCell ref="B47:L47"/>
    <mergeCell ref="J38:K38"/>
    <mergeCell ref="J35:K35"/>
    <mergeCell ref="B29:L29"/>
    <mergeCell ref="H39:I39"/>
    <mergeCell ref="H33:I33"/>
    <mergeCell ref="H34:I34"/>
    <mergeCell ref="J37:K37"/>
    <mergeCell ref="H31:I31"/>
    <mergeCell ref="H32:I32"/>
    <mergeCell ref="J32:K32"/>
    <mergeCell ref="J33:K33"/>
    <mergeCell ref="J34:K34"/>
  </mergeCells>
  <phoneticPr fontId="0" type="noConversion"/>
  <pageMargins left="0.25" right="0.25" top="0.5" bottom="0.5" header="0.25" footer="0.25"/>
  <pageSetup paperSize="5" orientation="portrait" r:id="rId1"/>
  <headerFooter alignWithMargins="0"/>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dimension ref="B2:P47"/>
  <sheetViews>
    <sheetView workbookViewId="0">
      <selection activeCell="N9" sqref="N9"/>
    </sheetView>
  </sheetViews>
  <sheetFormatPr defaultColWidth="9.109375" defaultRowHeight="13.2"/>
  <cols>
    <col min="1" max="4" width="4.6640625" style="315" customWidth="1"/>
    <col min="5" max="5" width="17.88671875" style="315" customWidth="1"/>
    <col min="6" max="6" width="9.109375" style="315"/>
    <col min="7" max="7" width="16.6640625" style="315" customWidth="1"/>
    <col min="8" max="8" width="1.6640625" style="315" customWidth="1"/>
    <col min="9" max="9" width="15.6640625" style="315" customWidth="1"/>
    <col min="10" max="10" width="1.6640625" style="315" customWidth="1"/>
    <col min="11" max="11" width="8.6640625" style="315" customWidth="1"/>
    <col min="12" max="12" width="7.6640625" style="315" customWidth="1"/>
    <col min="13" max="16384" width="9.109375" style="315"/>
  </cols>
  <sheetData>
    <row r="2" spans="2:16" ht="20.399999999999999">
      <c r="B2" s="1546" t="s">
        <v>510</v>
      </c>
      <c r="C2" s="1546"/>
      <c r="D2" s="1546"/>
      <c r="E2" s="1546"/>
      <c r="F2" s="1546"/>
      <c r="G2" s="1546"/>
      <c r="H2" s="1546"/>
      <c r="I2" s="1546"/>
      <c r="J2" s="1546"/>
      <c r="K2" s="1546"/>
      <c r="L2" s="1546"/>
    </row>
    <row r="3" spans="2:16" ht="20.399999999999999">
      <c r="B3" s="1546" t="str">
        <f>" AND "&amp;TEXT('KEY INPUTS'!D33,"0")&amp;" DEBT  SERVICE  FOR  LOANS"</f>
        <v xml:space="preserve"> AND 2021 DEBT  SERVICE  FOR  LOANS</v>
      </c>
      <c r="C3" s="1546"/>
      <c r="D3" s="1546"/>
      <c r="E3" s="1546"/>
      <c r="F3" s="1546"/>
      <c r="G3" s="1546"/>
      <c r="H3" s="1546"/>
      <c r="I3" s="1546"/>
      <c r="J3" s="1546"/>
      <c r="K3" s="1546"/>
      <c r="L3" s="1546"/>
    </row>
    <row r="4" spans="2:16" ht="15.6">
      <c r="B4" s="1728" t="s">
        <v>3244</v>
      </c>
      <c r="C4" s="1728"/>
      <c r="D4" s="1728"/>
      <c r="E4" s="1728"/>
      <c r="F4" s="1728"/>
      <c r="G4" s="1728"/>
      <c r="H4" s="1728"/>
      <c r="I4" s="1728"/>
      <c r="J4" s="1728"/>
      <c r="K4" s="1728"/>
      <c r="L4" s="1728"/>
    </row>
    <row r="5" spans="2:16" ht="9.75" customHeight="1" thickBot="1">
      <c r="B5" s="745"/>
      <c r="C5" s="745"/>
      <c r="D5" s="745"/>
      <c r="E5" s="745"/>
      <c r="F5" s="745"/>
      <c r="G5" s="745"/>
      <c r="H5" s="745"/>
      <c r="I5" s="745"/>
      <c r="J5" s="745"/>
      <c r="K5" s="745"/>
      <c r="L5" s="745"/>
    </row>
    <row r="6" spans="2:16" ht="27.75" customHeight="1" thickTop="1" thickBot="1">
      <c r="B6" s="61"/>
      <c r="C6" s="61"/>
      <c r="D6" s="61"/>
      <c r="E6" s="61"/>
      <c r="F6" s="61"/>
      <c r="G6" s="4" t="s">
        <v>101</v>
      </c>
      <c r="H6" s="1672" t="s">
        <v>102</v>
      </c>
      <c r="I6" s="1590"/>
      <c r="J6" s="1691" t="str">
        <f>'31-Capital Bond Schedule'!J6:L6</f>
        <v>2021  Debt       Service</v>
      </c>
      <c r="K6" s="1692"/>
      <c r="L6" s="1693"/>
    </row>
    <row r="7" spans="2:16" ht="21" customHeight="1" thickTop="1" thickBot="1">
      <c r="B7" s="276" t="str">
        <f>'31-Capital Bond Schedule'!B7</f>
        <v>Outstanding - January 1, 2020</v>
      </c>
      <c r="C7" s="276"/>
      <c r="D7" s="276"/>
      <c r="E7" s="276"/>
      <c r="F7" s="276"/>
      <c r="G7" s="1070" t="s">
        <v>662</v>
      </c>
      <c r="H7" s="1713"/>
      <c r="I7" s="1714"/>
      <c r="J7" s="74"/>
      <c r="K7" s="279"/>
      <c r="L7" s="801"/>
    </row>
    <row r="8" spans="2:16" ht="21" customHeight="1" thickTop="1">
      <c r="B8" s="316" t="s">
        <v>97</v>
      </c>
      <c r="C8" s="316"/>
      <c r="D8" s="316"/>
      <c r="E8" s="316"/>
      <c r="F8" s="316"/>
      <c r="G8" s="963" t="s">
        <v>662</v>
      </c>
      <c r="H8" s="1713"/>
      <c r="I8" s="1714"/>
      <c r="J8" s="74"/>
      <c r="K8" s="279"/>
      <c r="L8" s="801"/>
    </row>
    <row r="9" spans="2:16" ht="21" customHeight="1" thickBot="1">
      <c r="B9" s="316" t="s">
        <v>268</v>
      </c>
      <c r="C9" s="316"/>
      <c r="D9" s="316"/>
      <c r="E9" s="316"/>
      <c r="F9" s="316"/>
      <c r="G9" s="367"/>
      <c r="H9" s="1743" t="s">
        <v>662</v>
      </c>
      <c r="I9" s="1744"/>
      <c r="J9" s="74"/>
      <c r="K9" s="279"/>
      <c r="L9" s="801"/>
    </row>
    <row r="10" spans="2:16" ht="21" customHeight="1" thickTop="1">
      <c r="B10" s="316" t="s">
        <v>154</v>
      </c>
      <c r="C10" s="316"/>
      <c r="D10" s="316"/>
      <c r="E10" s="316"/>
      <c r="F10" s="316"/>
      <c r="G10" s="367"/>
      <c r="H10" s="1713"/>
      <c r="I10" s="1714"/>
      <c r="J10" s="74"/>
      <c r="K10" s="279"/>
      <c r="L10" s="801"/>
    </row>
    <row r="11" spans="2:16" ht="21" customHeight="1">
      <c r="B11" s="559"/>
      <c r="C11" s="559"/>
      <c r="D11" s="559"/>
      <c r="E11" s="559"/>
      <c r="F11" s="559"/>
      <c r="G11" s="593"/>
      <c r="H11" s="1722"/>
      <c r="I11" s="1723"/>
      <c r="J11" s="74"/>
      <c r="K11" s="279"/>
      <c r="L11" s="801"/>
    </row>
    <row r="12" spans="2:16" ht="21" customHeight="1" thickBot="1">
      <c r="B12" s="316" t="str">
        <f>'31-Capital Bond Schedule'!B12</f>
        <v>Outstanding - December 31, 2020</v>
      </c>
      <c r="C12" s="316"/>
      <c r="D12" s="316"/>
      <c r="E12" s="316"/>
      <c r="F12" s="316"/>
      <c r="G12" s="1071">
        <f>+H7+H8-G9-G10-G11+H10+H11</f>
        <v>0</v>
      </c>
      <c r="H12" s="1737" t="s">
        <v>662</v>
      </c>
      <c r="I12" s="1738"/>
      <c r="J12" s="74"/>
      <c r="K12" s="279"/>
      <c r="L12" s="801"/>
    </row>
    <row r="13" spans="2:16" ht="21" customHeight="1" thickBot="1">
      <c r="G13" s="1065">
        <f>SUM(G7:G12)</f>
        <v>0</v>
      </c>
      <c r="H13" s="1741">
        <f>SUM(H7:I12)</f>
        <v>0</v>
      </c>
      <c r="I13" s="1742"/>
      <c r="J13" s="74"/>
      <c r="K13" s="279"/>
      <c r="L13" s="801"/>
    </row>
    <row r="14" spans="2:16" ht="21" customHeight="1" thickTop="1">
      <c r="B14" s="277" t="str">
        <f>TEXT('KEY INPUTS'!D33,"0")&amp;" Loan Maturities"</f>
        <v>2021 Loan Maturities</v>
      </c>
      <c r="C14" s="277"/>
      <c r="D14" s="277"/>
      <c r="E14" s="277"/>
      <c r="F14" s="277"/>
      <c r="G14" s="277"/>
      <c r="H14" s="277"/>
      <c r="I14" s="119"/>
      <c r="J14" s="735" t="s">
        <v>397</v>
      </c>
      <c r="K14" s="1694"/>
      <c r="L14" s="1695"/>
      <c r="P14" s="370"/>
    </row>
    <row r="15" spans="2:16" ht="21" customHeight="1">
      <c r="B15" s="316" t="str">
        <f>TEXT('KEY INPUTS'!D33,"0")&amp;" Interest on Loans "</f>
        <v xml:space="preserve">2021 Interest on Loans </v>
      </c>
      <c r="C15" s="316"/>
      <c r="D15" s="316"/>
      <c r="E15" s="316"/>
      <c r="F15" s="316"/>
      <c r="G15" s="49"/>
      <c r="H15" s="316"/>
      <c r="I15" s="101"/>
      <c r="J15" s="735" t="s">
        <v>397</v>
      </c>
      <c r="K15" s="1694"/>
      <c r="L15" s="1695"/>
    </row>
    <row r="16" spans="2:16" ht="16.5" customHeight="1" thickBot="1">
      <c r="B16" s="1067" t="str">
        <f>"Total "&amp;TEXT('KEY INPUTS'!D33,"0")&amp;" Debt Service for"&amp;"___________________"&amp;"  Loan"</f>
        <v>Total 2021 Debt Service for___________________  Loan</v>
      </c>
      <c r="C16" s="598"/>
      <c r="D16" s="598"/>
      <c r="E16" s="598"/>
      <c r="F16" s="598"/>
      <c r="G16" s="10"/>
      <c r="H16" s="10"/>
      <c r="I16" s="236"/>
      <c r="J16" s="40" t="s">
        <v>397</v>
      </c>
      <c r="K16" s="1739">
        <f>+K14+K15</f>
        <v>0</v>
      </c>
      <c r="L16" s="1740"/>
    </row>
    <row r="17" spans="2:12" ht="26.25" customHeight="1" thickTop="1" thickBot="1">
      <c r="B17" s="1726" t="s">
        <v>155</v>
      </c>
      <c r="C17" s="1726"/>
      <c r="D17" s="1726"/>
      <c r="E17" s="1726"/>
      <c r="F17" s="1726"/>
      <c r="G17" s="1726"/>
      <c r="H17" s="1726"/>
      <c r="I17" s="1727"/>
      <c r="L17" s="191"/>
    </row>
    <row r="18" spans="2:12" ht="21" customHeight="1" thickTop="1">
      <c r="B18" s="276" t="str">
        <f>B7</f>
        <v>Outstanding - January 1, 2020</v>
      </c>
      <c r="C18" s="276"/>
      <c r="D18" s="276"/>
      <c r="E18" s="276"/>
      <c r="F18" s="276"/>
      <c r="G18" s="1070" t="s">
        <v>662</v>
      </c>
      <c r="H18" s="1689"/>
      <c r="I18" s="1690"/>
      <c r="L18" s="801"/>
    </row>
    <row r="19" spans="2:12" ht="21" customHeight="1">
      <c r="B19" s="316" t="s">
        <v>97</v>
      </c>
      <c r="C19" s="316"/>
      <c r="D19" s="316"/>
      <c r="E19" s="316"/>
      <c r="F19" s="316"/>
      <c r="G19" s="963" t="s">
        <v>662</v>
      </c>
      <c r="H19" s="1689"/>
      <c r="I19" s="1690"/>
      <c r="L19" s="801"/>
    </row>
    <row r="20" spans="2:12" ht="21" customHeight="1">
      <c r="B20" s="316" t="s">
        <v>268</v>
      </c>
      <c r="C20" s="316"/>
      <c r="D20" s="316"/>
      <c r="E20" s="316"/>
      <c r="F20" s="316"/>
      <c r="G20" s="367"/>
      <c r="H20" s="1743" t="s">
        <v>662</v>
      </c>
      <c r="I20" s="1744"/>
      <c r="L20" s="801"/>
    </row>
    <row r="21" spans="2:12" ht="21" customHeight="1">
      <c r="B21" s="559"/>
      <c r="C21" s="559"/>
      <c r="D21" s="559"/>
      <c r="E21" s="559"/>
      <c r="F21" s="559"/>
      <c r="G21" s="593"/>
      <c r="H21" s="1745"/>
      <c r="I21" s="1746"/>
      <c r="L21" s="801"/>
    </row>
    <row r="22" spans="2:12" ht="21" customHeight="1">
      <c r="B22" s="559"/>
      <c r="C22" s="559"/>
      <c r="D22" s="559"/>
      <c r="E22" s="559"/>
      <c r="F22" s="559"/>
      <c r="G22" s="593"/>
      <c r="H22" s="1745"/>
      <c r="I22" s="1746"/>
      <c r="L22" s="801"/>
    </row>
    <row r="23" spans="2:12" ht="21" customHeight="1" thickBot="1">
      <c r="B23" s="316" t="str">
        <f>B12</f>
        <v>Outstanding - December 31, 2020</v>
      </c>
      <c r="C23" s="316"/>
      <c r="D23" s="316"/>
      <c r="E23" s="316"/>
      <c r="F23" s="316"/>
      <c r="G23" s="1071">
        <f>+H18+H19-G20-G21-G22+H21+H22</f>
        <v>0</v>
      </c>
      <c r="H23" s="1737" t="s">
        <v>662</v>
      </c>
      <c r="I23" s="1738"/>
      <c r="L23" s="801"/>
    </row>
    <row r="24" spans="2:12" ht="21" customHeight="1" thickBot="1">
      <c r="G24" s="1065">
        <f>SUM(G18:G23)</f>
        <v>0</v>
      </c>
      <c r="H24" s="1741">
        <f>SUM(H18:I23)</f>
        <v>0</v>
      </c>
      <c r="I24" s="1742"/>
      <c r="K24" s="279"/>
      <c r="L24" s="801"/>
    </row>
    <row r="25" spans="2:12" ht="21" customHeight="1" thickTop="1">
      <c r="B25" s="277" t="str">
        <f>B14</f>
        <v>2021 Loan Maturities</v>
      </c>
      <c r="C25" s="277"/>
      <c r="D25" s="277"/>
      <c r="E25" s="277"/>
      <c r="F25" s="277"/>
      <c r="G25" s="277"/>
      <c r="H25" s="277"/>
      <c r="I25" s="119"/>
      <c r="J25" s="277" t="s">
        <v>397</v>
      </c>
      <c r="K25" s="1694"/>
      <c r="L25" s="1695"/>
    </row>
    <row r="26" spans="2:12" ht="21" customHeight="1">
      <c r="B26" s="316" t="str">
        <f>B15</f>
        <v xml:space="preserve">2021 Interest on Loans </v>
      </c>
      <c r="C26" s="316"/>
      <c r="D26" s="316"/>
      <c r="E26" s="316"/>
      <c r="F26" s="316"/>
      <c r="G26" s="49"/>
      <c r="H26" s="316"/>
      <c r="I26" s="101"/>
      <c r="J26" s="277" t="s">
        <v>397</v>
      </c>
      <c r="K26" s="1694"/>
      <c r="L26" s="1695"/>
    </row>
    <row r="27" spans="2:12" ht="21" customHeight="1" thickBot="1">
      <c r="B27" s="1069" t="str">
        <f>"Total "&amp;TEXT('KEY INPUTS'!D33,"0")&amp;" Debt Service for __________________________ Loan"</f>
        <v>Total 2021 Debt Service for __________________________ Loan</v>
      </c>
      <c r="C27" s="1068"/>
      <c r="D27" s="1068"/>
      <c r="E27" s="1068"/>
      <c r="F27" s="1068"/>
      <c r="G27" s="1068"/>
      <c r="H27" s="10"/>
      <c r="I27" s="236"/>
      <c r="J27" s="10" t="s">
        <v>397</v>
      </c>
      <c r="K27" s="1718">
        <f>+K25+K26</f>
        <v>0</v>
      </c>
      <c r="L27" s="1719"/>
    </row>
    <row r="28" spans="2:12" ht="21" customHeight="1" thickTop="1"/>
    <row r="29" spans="2:12" ht="21" customHeight="1" thickBot="1">
      <c r="B29" s="1709" t="str">
        <f>"LIST  OF  LOANS  ISSUED  DURING "&amp;TEXT('KEY INPUTS'!D34,"0")</f>
        <v>LIST  OF  LOANS  ISSUED  DURING 2020</v>
      </c>
      <c r="C29" s="1709"/>
      <c r="D29" s="1709"/>
      <c r="E29" s="1709"/>
      <c r="F29" s="1709"/>
      <c r="G29" s="1709"/>
      <c r="H29" s="1709"/>
      <c r="I29" s="1709"/>
      <c r="J29" s="1709"/>
      <c r="K29" s="1709"/>
      <c r="L29" s="1709"/>
    </row>
    <row r="30" spans="2:12" ht="27" customHeight="1" thickTop="1" thickBot="1">
      <c r="B30" s="1589" t="s">
        <v>440</v>
      </c>
      <c r="C30" s="1589"/>
      <c r="D30" s="1589"/>
      <c r="E30" s="1589"/>
      <c r="F30" s="1589"/>
      <c r="G30" s="4" t="str">
        <f>'31-Capital Bond Schedule'!G30</f>
        <v>2021 Maturity</v>
      </c>
      <c r="H30" s="1672" t="s">
        <v>96</v>
      </c>
      <c r="I30" s="1590"/>
      <c r="J30" s="1691" t="s">
        <v>94</v>
      </c>
      <c r="K30" s="1715"/>
      <c r="L30" s="802" t="s">
        <v>95</v>
      </c>
    </row>
    <row r="31" spans="2:12" ht="21" customHeight="1" thickTop="1">
      <c r="B31" s="562"/>
      <c r="C31" s="562"/>
      <c r="D31" s="562"/>
      <c r="E31" s="562"/>
      <c r="F31" s="562"/>
      <c r="G31" s="597"/>
      <c r="H31" s="1724"/>
      <c r="I31" s="1725"/>
      <c r="J31" s="1712"/>
      <c r="K31" s="1683"/>
      <c r="L31" s="803"/>
    </row>
    <row r="32" spans="2:12" ht="21" customHeight="1">
      <c r="B32" s="559"/>
      <c r="C32" s="559"/>
      <c r="D32" s="559"/>
      <c r="E32" s="559"/>
      <c r="F32" s="559"/>
      <c r="G32" s="593"/>
      <c r="H32" s="1722"/>
      <c r="I32" s="1723"/>
      <c r="J32" s="1696"/>
      <c r="K32" s="1685"/>
      <c r="L32" s="616"/>
    </row>
    <row r="33" spans="2:12" ht="21" customHeight="1">
      <c r="B33" s="559"/>
      <c r="C33" s="559"/>
      <c r="D33" s="559"/>
      <c r="E33" s="559"/>
      <c r="F33" s="559"/>
      <c r="G33" s="593"/>
      <c r="H33" s="1722"/>
      <c r="I33" s="1723"/>
      <c r="J33" s="1696"/>
      <c r="K33" s="1685"/>
      <c r="L33" s="616"/>
    </row>
    <row r="34" spans="2:12" ht="21" customHeight="1">
      <c r="B34" s="559"/>
      <c r="C34" s="559"/>
      <c r="D34" s="559"/>
      <c r="E34" s="559"/>
      <c r="F34" s="559"/>
      <c r="G34" s="593"/>
      <c r="H34" s="1722"/>
      <c r="I34" s="1723"/>
      <c r="J34" s="1696"/>
      <c r="K34" s="1685"/>
      <c r="L34" s="616"/>
    </row>
    <row r="35" spans="2:12" ht="21" customHeight="1">
      <c r="B35" s="559"/>
      <c r="C35" s="559"/>
      <c r="D35" s="559"/>
      <c r="E35" s="559"/>
      <c r="F35" s="559"/>
      <c r="G35" s="593"/>
      <c r="H35" s="1722"/>
      <c r="I35" s="1723"/>
      <c r="J35" s="1696"/>
      <c r="K35" s="1685"/>
      <c r="L35" s="616"/>
    </row>
    <row r="36" spans="2:12" ht="21" customHeight="1">
      <c r="B36" s="559"/>
      <c r="C36" s="559"/>
      <c r="D36" s="559"/>
      <c r="E36" s="559"/>
      <c r="F36" s="559"/>
      <c r="G36" s="593"/>
      <c r="H36" s="1722"/>
      <c r="I36" s="1723"/>
      <c r="J36" s="1696"/>
      <c r="K36" s="1685"/>
      <c r="L36" s="616"/>
    </row>
    <row r="37" spans="2:12" ht="21" customHeight="1">
      <c r="B37" s="559"/>
      <c r="C37" s="559"/>
      <c r="D37" s="559"/>
      <c r="E37" s="559"/>
      <c r="F37" s="559"/>
      <c r="G37" s="593"/>
      <c r="H37" s="1722"/>
      <c r="I37" s="1723"/>
      <c r="J37" s="1696"/>
      <c r="K37" s="1685"/>
      <c r="L37" s="616"/>
    </row>
    <row r="38" spans="2:12" ht="21" customHeight="1">
      <c r="B38" s="559"/>
      <c r="C38" s="559"/>
      <c r="D38" s="559"/>
      <c r="E38" s="559"/>
      <c r="F38" s="559"/>
      <c r="G38" s="593"/>
      <c r="H38" s="1722"/>
      <c r="I38" s="1723"/>
      <c r="J38" s="1696"/>
      <c r="K38" s="1685"/>
      <c r="L38" s="616"/>
    </row>
    <row r="39" spans="2:12" ht="21" customHeight="1" thickBot="1">
      <c r="B39" s="27"/>
      <c r="C39" s="27"/>
      <c r="D39" s="27"/>
      <c r="E39" s="27"/>
      <c r="F39" s="851" t="s">
        <v>209</v>
      </c>
      <c r="G39" s="1065">
        <f>SUM(G31:G38)</f>
        <v>0</v>
      </c>
      <c r="H39" s="1720">
        <f>SUM(H31:I38)</f>
        <v>0</v>
      </c>
      <c r="I39" s="1721"/>
      <c r="J39" s="40"/>
      <c r="K39" s="850"/>
      <c r="L39" s="857"/>
    </row>
    <row r="40" spans="2:12" ht="13.8" thickTop="1">
      <c r="G40" s="750"/>
      <c r="H40" s="750"/>
      <c r="I40" s="750"/>
    </row>
    <row r="47" spans="2:12" ht="13.8">
      <c r="B47" s="1545" t="s">
        <v>3400</v>
      </c>
      <c r="C47" s="1545"/>
      <c r="D47" s="1545"/>
      <c r="E47" s="1545"/>
      <c r="F47" s="1545"/>
      <c r="G47" s="1545"/>
      <c r="H47" s="1545"/>
      <c r="I47" s="1545"/>
      <c r="J47" s="1545"/>
      <c r="K47" s="1545"/>
      <c r="L47" s="1545"/>
    </row>
  </sheetData>
  <sheetProtection algorithmName="SHA-512" hashValue="ZyeeJJaC2u9/uUHV7b+/6hYqZaJjtg8cVczMthDVqa+ZdGJJ61KCX2jIsyJjh6hX2D7sUoIkf7lBHonMVkEHAQ==" saltValue="R2siRcF3WrbUzKzYX9/+Rw==" spinCount="100000" sheet="1" objects="1" scenarios="1"/>
  <mergeCells count="48">
    <mergeCell ref="B47:L47"/>
    <mergeCell ref="H34:I34"/>
    <mergeCell ref="J34:K34"/>
    <mergeCell ref="H35:I35"/>
    <mergeCell ref="J35:K35"/>
    <mergeCell ref="H36:I36"/>
    <mergeCell ref="J36:K36"/>
    <mergeCell ref="H37:I37"/>
    <mergeCell ref="J37:K37"/>
    <mergeCell ref="H38:I38"/>
    <mergeCell ref="J38:K38"/>
    <mergeCell ref="H39:I39"/>
    <mergeCell ref="H31:I31"/>
    <mergeCell ref="J31:K31"/>
    <mergeCell ref="H32:I32"/>
    <mergeCell ref="J32:K32"/>
    <mergeCell ref="H33:I33"/>
    <mergeCell ref="J33:K33"/>
    <mergeCell ref="K26:L26"/>
    <mergeCell ref="K27:L27"/>
    <mergeCell ref="B29:L29"/>
    <mergeCell ref="B30:F30"/>
    <mergeCell ref="H30:I30"/>
    <mergeCell ref="J30:K30"/>
    <mergeCell ref="K25:L25"/>
    <mergeCell ref="K14:L14"/>
    <mergeCell ref="K15:L15"/>
    <mergeCell ref="K16:L16"/>
    <mergeCell ref="B17:I17"/>
    <mergeCell ref="H18:I18"/>
    <mergeCell ref="H19:I19"/>
    <mergeCell ref="H20:I20"/>
    <mergeCell ref="H21:I21"/>
    <mergeCell ref="H22:I22"/>
    <mergeCell ref="H23:I23"/>
    <mergeCell ref="H24:I24"/>
    <mergeCell ref="H13:I13"/>
    <mergeCell ref="B2:L2"/>
    <mergeCell ref="B3:L3"/>
    <mergeCell ref="B4:L4"/>
    <mergeCell ref="H6:I6"/>
    <mergeCell ref="J6:L6"/>
    <mergeCell ref="H7:I7"/>
    <mergeCell ref="H8:I8"/>
    <mergeCell ref="H9:I9"/>
    <mergeCell ref="H10:I10"/>
    <mergeCell ref="H11:I11"/>
    <mergeCell ref="H12:I12"/>
  </mergeCells>
  <pageMargins left="0.25" right="0.25" top="0.5" bottom="0.5" header="0.25" footer="0.25"/>
  <pageSetup paperSize="5" orientation="portrait" r:id="rId1"/>
  <headerFooter alignWithMargins="0"/>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2"/>
  <dimension ref="B2:P47"/>
  <sheetViews>
    <sheetView workbookViewId="0">
      <selection activeCell="N35" sqref="N35"/>
    </sheetView>
  </sheetViews>
  <sheetFormatPr defaultColWidth="9.109375" defaultRowHeight="13.2"/>
  <cols>
    <col min="1" max="4" width="4.6640625" style="315" customWidth="1"/>
    <col min="5" max="5" width="17.88671875" style="315" customWidth="1"/>
    <col min="6" max="6" width="9.109375" style="315"/>
    <col min="7" max="7" width="16.6640625" style="315" customWidth="1"/>
    <col min="8" max="8" width="1.6640625" style="315" customWidth="1"/>
    <col min="9" max="9" width="15.6640625" style="315" customWidth="1"/>
    <col min="10" max="10" width="1.6640625" style="315" customWidth="1"/>
    <col min="11" max="11" width="8.6640625" style="315" customWidth="1"/>
    <col min="12" max="12" width="7.6640625" style="315" customWidth="1"/>
    <col min="13" max="16384" width="9.109375" style="315"/>
  </cols>
  <sheetData>
    <row r="2" spans="2:16" ht="20.399999999999999">
      <c r="B2" s="1546" t="s">
        <v>510</v>
      </c>
      <c r="C2" s="1546"/>
      <c r="D2" s="1546"/>
      <c r="E2" s="1546"/>
      <c r="F2" s="1546"/>
      <c r="G2" s="1546"/>
      <c r="H2" s="1546"/>
      <c r="I2" s="1546"/>
      <c r="J2" s="1546"/>
      <c r="K2" s="1546"/>
      <c r="L2" s="1546"/>
    </row>
    <row r="3" spans="2:16" ht="20.399999999999999">
      <c r="B3" s="1546" t="str">
        <f>" AND "&amp;TEXT('KEY INPUTS'!D33,"0")&amp;" DEBT  SERVICE  FOR  LOANS"</f>
        <v xml:space="preserve"> AND 2021 DEBT  SERVICE  FOR  LOANS</v>
      </c>
      <c r="C3" s="1546"/>
      <c r="D3" s="1546"/>
      <c r="E3" s="1546"/>
      <c r="F3" s="1546"/>
      <c r="G3" s="1546"/>
      <c r="H3" s="1546"/>
      <c r="I3" s="1546"/>
      <c r="J3" s="1546"/>
      <c r="K3" s="1546"/>
      <c r="L3" s="1546"/>
    </row>
    <row r="4" spans="2:16" ht="15.6">
      <c r="B4" s="1728" t="s">
        <v>3244</v>
      </c>
      <c r="C4" s="1728"/>
      <c r="D4" s="1728"/>
      <c r="E4" s="1728"/>
      <c r="F4" s="1728"/>
      <c r="G4" s="1728"/>
      <c r="H4" s="1728"/>
      <c r="I4" s="1728"/>
      <c r="J4" s="1728"/>
      <c r="K4" s="1728"/>
      <c r="L4" s="1728"/>
    </row>
    <row r="5" spans="2:16" ht="9.75" customHeight="1" thickBot="1">
      <c r="B5" s="745"/>
      <c r="C5" s="745"/>
      <c r="D5" s="745"/>
      <c r="E5" s="745"/>
      <c r="F5" s="745"/>
      <c r="G5" s="745"/>
      <c r="H5" s="745"/>
      <c r="I5" s="745"/>
      <c r="J5" s="745"/>
      <c r="K5" s="745"/>
      <c r="L5" s="745"/>
    </row>
    <row r="6" spans="2:16" ht="27.75" customHeight="1" thickTop="1" thickBot="1">
      <c r="B6" s="1029"/>
      <c r="C6" s="1029"/>
      <c r="D6" s="1029"/>
      <c r="E6" s="1029"/>
      <c r="F6" s="1029"/>
      <c r="G6" s="957" t="s">
        <v>101</v>
      </c>
      <c r="H6" s="1732" t="s">
        <v>102</v>
      </c>
      <c r="I6" s="1607"/>
      <c r="J6" s="1729" t="str">
        <f>'31-Capital Bond Schedule'!J6:L6</f>
        <v>2021  Debt       Service</v>
      </c>
      <c r="K6" s="1730"/>
      <c r="L6" s="1731"/>
    </row>
    <row r="7" spans="2:16" ht="21" customHeight="1" thickTop="1">
      <c r="B7" s="276" t="str">
        <f>'31-Capital Bond Schedule'!B7</f>
        <v>Outstanding - January 1, 2020</v>
      </c>
      <c r="C7" s="276"/>
      <c r="D7" s="276"/>
      <c r="E7" s="276"/>
      <c r="F7" s="276"/>
      <c r="G7" s="1070" t="s">
        <v>662</v>
      </c>
      <c r="H7" s="1733"/>
      <c r="I7" s="1734"/>
      <c r="J7" s="74"/>
      <c r="K7" s="279"/>
      <c r="L7" s="801"/>
    </row>
    <row r="8" spans="2:16" ht="21" customHeight="1">
      <c r="B8" s="316" t="s">
        <v>97</v>
      </c>
      <c r="C8" s="316"/>
      <c r="D8" s="316"/>
      <c r="E8" s="316"/>
      <c r="F8" s="316"/>
      <c r="G8" s="963" t="s">
        <v>662</v>
      </c>
      <c r="H8" s="1689"/>
      <c r="I8" s="1690"/>
      <c r="J8" s="74"/>
      <c r="K8" s="279"/>
      <c r="L8" s="801"/>
    </row>
    <row r="9" spans="2:16" ht="21" customHeight="1">
      <c r="B9" s="316" t="s">
        <v>268</v>
      </c>
      <c r="C9" s="316"/>
      <c r="D9" s="316"/>
      <c r="E9" s="316"/>
      <c r="F9" s="316"/>
      <c r="G9" s="367"/>
      <c r="H9" s="1735" t="s">
        <v>662</v>
      </c>
      <c r="I9" s="1736"/>
      <c r="J9" s="74"/>
      <c r="K9" s="279"/>
      <c r="L9" s="801"/>
    </row>
    <row r="10" spans="2:16" ht="21" customHeight="1">
      <c r="B10" s="316" t="s">
        <v>154</v>
      </c>
      <c r="C10" s="316"/>
      <c r="D10" s="316"/>
      <c r="E10" s="316"/>
      <c r="F10" s="316"/>
      <c r="G10" s="367"/>
      <c r="H10" s="1689"/>
      <c r="I10" s="1690"/>
      <c r="J10" s="74"/>
      <c r="K10" s="279"/>
      <c r="L10" s="801"/>
    </row>
    <row r="11" spans="2:16" ht="21" customHeight="1">
      <c r="B11" s="559"/>
      <c r="C11" s="559"/>
      <c r="D11" s="559"/>
      <c r="E11" s="559"/>
      <c r="F11" s="559"/>
      <c r="G11" s="593"/>
      <c r="H11" s="1722"/>
      <c r="I11" s="1723"/>
      <c r="J11" s="74"/>
      <c r="K11" s="279"/>
      <c r="L11" s="801"/>
    </row>
    <row r="12" spans="2:16" ht="21" customHeight="1" thickBot="1">
      <c r="B12" s="316" t="str">
        <f>'31-Capital Bond Schedule'!B12</f>
        <v>Outstanding - December 31, 2020</v>
      </c>
      <c r="C12" s="316"/>
      <c r="D12" s="316"/>
      <c r="E12" s="316"/>
      <c r="F12" s="316"/>
      <c r="G12" s="1071">
        <f>+H7+H8-G9-G10-G11+H10+H11</f>
        <v>0</v>
      </c>
      <c r="H12" s="1737" t="s">
        <v>662</v>
      </c>
      <c r="I12" s="1738"/>
      <c r="J12" s="74"/>
      <c r="K12" s="279"/>
      <c r="L12" s="801"/>
    </row>
    <row r="13" spans="2:16" ht="21" customHeight="1" thickBot="1">
      <c r="G13" s="1065">
        <f>SUM(G7:G12)</f>
        <v>0</v>
      </c>
      <c r="H13" s="1741">
        <f>SUM(H7:I12)</f>
        <v>0</v>
      </c>
      <c r="I13" s="1742"/>
      <c r="J13" s="74"/>
      <c r="K13" s="279"/>
      <c r="L13" s="801"/>
    </row>
    <row r="14" spans="2:16" ht="21" customHeight="1" thickTop="1">
      <c r="B14" s="277" t="str">
        <f>TEXT('KEY INPUTS'!D33,"0")&amp;" Loan Maturities"</f>
        <v>2021 Loan Maturities</v>
      </c>
      <c r="C14" s="277"/>
      <c r="D14" s="277"/>
      <c r="E14" s="277"/>
      <c r="F14" s="277"/>
      <c r="G14" s="277"/>
      <c r="H14" s="277"/>
      <c r="I14" s="1034"/>
      <c r="J14" s="277" t="s">
        <v>397</v>
      </c>
      <c r="K14" s="1694"/>
      <c r="L14" s="1695"/>
      <c r="P14" s="370"/>
    </row>
    <row r="15" spans="2:16" ht="21" customHeight="1">
      <c r="B15" s="316" t="str">
        <f>TEXT('KEY INPUTS'!D33,"0")&amp;" Interest on Loans "</f>
        <v xml:space="preserve">2021 Interest on Loans </v>
      </c>
      <c r="C15" s="316"/>
      <c r="D15" s="316"/>
      <c r="E15" s="316"/>
      <c r="F15" s="316"/>
      <c r="G15" s="49"/>
      <c r="H15" s="316"/>
      <c r="I15" s="1072"/>
      <c r="J15" s="277" t="s">
        <v>397</v>
      </c>
      <c r="K15" s="1694"/>
      <c r="L15" s="1695"/>
    </row>
    <row r="16" spans="2:16" ht="16.5" customHeight="1" thickBot="1">
      <c r="B16" s="1067" t="str">
        <f>"Total "&amp;TEXT('KEY INPUTS'!D33,"0")&amp;" Debt Service for"&amp;"___________________"&amp;"  Loan"</f>
        <v>Total 2021 Debt Service for___________________  Loan</v>
      </c>
      <c r="C16" s="598"/>
      <c r="D16" s="598"/>
      <c r="E16" s="598"/>
      <c r="F16" s="598"/>
      <c r="G16" s="10"/>
      <c r="H16" s="10"/>
      <c r="I16" s="1073"/>
      <c r="J16" s="40" t="s">
        <v>397</v>
      </c>
      <c r="K16" s="1739">
        <f>+K14+K15</f>
        <v>0</v>
      </c>
      <c r="L16" s="1740"/>
    </row>
    <row r="17" spans="2:12" ht="26.25" customHeight="1" thickTop="1" thickBot="1">
      <c r="B17" s="1726" t="s">
        <v>155</v>
      </c>
      <c r="C17" s="1726"/>
      <c r="D17" s="1726"/>
      <c r="E17" s="1726"/>
      <c r="F17" s="1726"/>
      <c r="G17" s="1726"/>
      <c r="H17" s="1726"/>
      <c r="I17" s="1727"/>
      <c r="L17" s="191"/>
    </row>
    <row r="18" spans="2:12" ht="21" customHeight="1" thickTop="1">
      <c r="B18" s="276" t="str">
        <f>B7</f>
        <v>Outstanding - January 1, 2020</v>
      </c>
      <c r="C18" s="276"/>
      <c r="D18" s="276"/>
      <c r="E18" s="276"/>
      <c r="F18" s="276"/>
      <c r="G18" s="1070" t="s">
        <v>662</v>
      </c>
      <c r="H18" s="1689"/>
      <c r="I18" s="1690"/>
      <c r="L18" s="801"/>
    </row>
    <row r="19" spans="2:12" ht="21" customHeight="1">
      <c r="B19" s="316" t="s">
        <v>97</v>
      </c>
      <c r="C19" s="316"/>
      <c r="D19" s="316"/>
      <c r="E19" s="316"/>
      <c r="F19" s="316"/>
      <c r="G19" s="963" t="s">
        <v>662</v>
      </c>
      <c r="H19" s="1689"/>
      <c r="I19" s="1690"/>
      <c r="L19" s="801"/>
    </row>
    <row r="20" spans="2:12" ht="21" customHeight="1">
      <c r="B20" s="316" t="s">
        <v>268</v>
      </c>
      <c r="C20" s="316"/>
      <c r="D20" s="316"/>
      <c r="E20" s="316"/>
      <c r="F20" s="316"/>
      <c r="G20" s="367"/>
      <c r="H20" s="1743" t="s">
        <v>662</v>
      </c>
      <c r="I20" s="1744"/>
      <c r="L20" s="801"/>
    </row>
    <row r="21" spans="2:12" ht="21" customHeight="1">
      <c r="B21" s="559"/>
      <c r="C21" s="559"/>
      <c r="D21" s="559"/>
      <c r="E21" s="559"/>
      <c r="F21" s="559"/>
      <c r="G21" s="593"/>
      <c r="H21" s="1722"/>
      <c r="I21" s="1723"/>
      <c r="L21" s="801"/>
    </row>
    <row r="22" spans="2:12" ht="21" customHeight="1">
      <c r="B22" s="559"/>
      <c r="C22" s="559"/>
      <c r="D22" s="559"/>
      <c r="E22" s="559"/>
      <c r="F22" s="559"/>
      <c r="G22" s="593"/>
      <c r="H22" s="1722"/>
      <c r="I22" s="1723"/>
      <c r="L22" s="801"/>
    </row>
    <row r="23" spans="2:12" ht="21" customHeight="1" thickBot="1">
      <c r="B23" s="316" t="str">
        <f>B12</f>
        <v>Outstanding - December 31, 2020</v>
      </c>
      <c r="C23" s="316"/>
      <c r="D23" s="316"/>
      <c r="E23" s="316"/>
      <c r="F23" s="316"/>
      <c r="G23" s="1071">
        <f>+H18+H19-G20-G21-G22+H21+H22</f>
        <v>0</v>
      </c>
      <c r="H23" s="1737" t="s">
        <v>662</v>
      </c>
      <c r="I23" s="1738"/>
      <c r="L23" s="801"/>
    </row>
    <row r="24" spans="2:12" ht="21" customHeight="1" thickBot="1">
      <c r="G24" s="1065">
        <f>SUM(G18:G23)</f>
        <v>0</v>
      </c>
      <c r="H24" s="1741">
        <f>SUM(H18:I23)</f>
        <v>0</v>
      </c>
      <c r="I24" s="1742"/>
      <c r="K24" s="279"/>
      <c r="L24" s="801"/>
    </row>
    <row r="25" spans="2:12" ht="21" customHeight="1" thickTop="1">
      <c r="B25" s="277" t="str">
        <f>B14</f>
        <v>2021 Loan Maturities</v>
      </c>
      <c r="C25" s="277"/>
      <c r="D25" s="277"/>
      <c r="E25" s="277"/>
      <c r="F25" s="277"/>
      <c r="G25" s="277"/>
      <c r="H25" s="277"/>
      <c r="I25" s="1034"/>
      <c r="J25" s="277" t="s">
        <v>397</v>
      </c>
      <c r="K25" s="1694"/>
      <c r="L25" s="1695"/>
    </row>
    <row r="26" spans="2:12" ht="21" customHeight="1">
      <c r="B26" s="316" t="str">
        <f>B15</f>
        <v xml:space="preserve">2021 Interest on Loans </v>
      </c>
      <c r="C26" s="316"/>
      <c r="D26" s="316"/>
      <c r="E26" s="316"/>
      <c r="F26" s="316"/>
      <c r="G26" s="49"/>
      <c r="H26" s="316"/>
      <c r="I26" s="1072"/>
      <c r="J26" s="277" t="s">
        <v>397</v>
      </c>
      <c r="K26" s="1694"/>
      <c r="L26" s="1695"/>
    </row>
    <row r="27" spans="2:12" ht="21" customHeight="1" thickBot="1">
      <c r="B27" s="1069" t="str">
        <f>"Total "&amp;TEXT('KEY INPUTS'!D33,"0")&amp;" Debt Service for __________________________ Loan"</f>
        <v>Total 2021 Debt Service for __________________________ Loan</v>
      </c>
      <c r="C27" s="1068"/>
      <c r="D27" s="1068"/>
      <c r="E27" s="1068"/>
      <c r="F27" s="1068"/>
      <c r="G27" s="1068"/>
      <c r="H27" s="10"/>
      <c r="I27" s="1073"/>
      <c r="J27" s="10" t="s">
        <v>397</v>
      </c>
      <c r="K27" s="1718">
        <f>+K25+K26</f>
        <v>0</v>
      </c>
      <c r="L27" s="1719"/>
    </row>
    <row r="28" spans="2:12" ht="21" customHeight="1" thickTop="1"/>
    <row r="29" spans="2:12" ht="21" customHeight="1" thickBot="1">
      <c r="B29" s="1709" t="str">
        <f>"LIST  OF  LOANS  ISSUED  DURING "&amp;TEXT('KEY INPUTS'!D34,"0")</f>
        <v>LIST  OF  LOANS  ISSUED  DURING 2020</v>
      </c>
      <c r="C29" s="1709"/>
      <c r="D29" s="1709"/>
      <c r="E29" s="1709"/>
      <c r="F29" s="1709"/>
      <c r="G29" s="1709"/>
      <c r="H29" s="1709"/>
      <c r="I29" s="1709"/>
      <c r="J29" s="1709"/>
      <c r="K29" s="1709"/>
      <c r="L29" s="1709"/>
    </row>
    <row r="30" spans="2:12" ht="27" customHeight="1" thickTop="1" thickBot="1">
      <c r="B30" s="1589" t="s">
        <v>440</v>
      </c>
      <c r="C30" s="1589"/>
      <c r="D30" s="1589"/>
      <c r="E30" s="1589"/>
      <c r="F30" s="1589"/>
      <c r="G30" s="4" t="str">
        <f>'31-Capital Bond Schedule'!G30</f>
        <v>2021 Maturity</v>
      </c>
      <c r="H30" s="1672" t="s">
        <v>96</v>
      </c>
      <c r="I30" s="1590"/>
      <c r="J30" s="1691" t="s">
        <v>94</v>
      </c>
      <c r="K30" s="1715"/>
      <c r="L30" s="802" t="s">
        <v>95</v>
      </c>
    </row>
    <row r="31" spans="2:12" ht="21" customHeight="1" thickTop="1">
      <c r="B31" s="562"/>
      <c r="C31" s="562"/>
      <c r="D31" s="562"/>
      <c r="E31" s="562"/>
      <c r="F31" s="562"/>
      <c r="G31" s="597"/>
      <c r="H31" s="1724"/>
      <c r="I31" s="1725"/>
      <c r="J31" s="1712"/>
      <c r="K31" s="1683"/>
      <c r="L31" s="803"/>
    </row>
    <row r="32" spans="2:12" ht="21" customHeight="1">
      <c r="B32" s="559"/>
      <c r="C32" s="559"/>
      <c r="D32" s="559"/>
      <c r="E32" s="559"/>
      <c r="F32" s="559"/>
      <c r="G32" s="593"/>
      <c r="H32" s="1722"/>
      <c r="I32" s="1723"/>
      <c r="J32" s="1696"/>
      <c r="K32" s="1685"/>
      <c r="L32" s="616"/>
    </row>
    <row r="33" spans="2:12" ht="21" customHeight="1">
      <c r="B33" s="559"/>
      <c r="C33" s="559"/>
      <c r="D33" s="559"/>
      <c r="E33" s="559"/>
      <c r="F33" s="559"/>
      <c r="G33" s="593"/>
      <c r="H33" s="1722"/>
      <c r="I33" s="1723"/>
      <c r="J33" s="1696"/>
      <c r="K33" s="1685"/>
      <c r="L33" s="616"/>
    </row>
    <row r="34" spans="2:12" ht="21" customHeight="1">
      <c r="B34" s="559"/>
      <c r="C34" s="559"/>
      <c r="D34" s="559"/>
      <c r="E34" s="559"/>
      <c r="F34" s="559"/>
      <c r="G34" s="593"/>
      <c r="H34" s="1722"/>
      <c r="I34" s="1723"/>
      <c r="J34" s="1696"/>
      <c r="K34" s="1685"/>
      <c r="L34" s="616"/>
    </row>
    <row r="35" spans="2:12" ht="21" customHeight="1">
      <c r="B35" s="559"/>
      <c r="C35" s="559"/>
      <c r="D35" s="559"/>
      <c r="E35" s="559"/>
      <c r="F35" s="559"/>
      <c r="G35" s="593"/>
      <c r="H35" s="1722"/>
      <c r="I35" s="1723"/>
      <c r="J35" s="1696"/>
      <c r="K35" s="1685"/>
      <c r="L35" s="616"/>
    </row>
    <row r="36" spans="2:12" ht="21" customHeight="1">
      <c r="B36" s="559"/>
      <c r="C36" s="559"/>
      <c r="D36" s="559"/>
      <c r="E36" s="559"/>
      <c r="F36" s="559"/>
      <c r="G36" s="593"/>
      <c r="H36" s="1722"/>
      <c r="I36" s="1723"/>
      <c r="J36" s="1696"/>
      <c r="K36" s="1685"/>
      <c r="L36" s="616"/>
    </row>
    <row r="37" spans="2:12" ht="21" customHeight="1">
      <c r="B37" s="559"/>
      <c r="C37" s="559"/>
      <c r="D37" s="559"/>
      <c r="E37" s="559"/>
      <c r="F37" s="559"/>
      <c r="G37" s="593"/>
      <c r="H37" s="1722"/>
      <c r="I37" s="1723"/>
      <c r="J37" s="1696"/>
      <c r="K37" s="1685"/>
      <c r="L37" s="616"/>
    </row>
    <row r="38" spans="2:12" ht="21" customHeight="1">
      <c r="B38" s="559"/>
      <c r="C38" s="559"/>
      <c r="D38" s="559"/>
      <c r="E38" s="559"/>
      <c r="F38" s="559"/>
      <c r="G38" s="593"/>
      <c r="H38" s="1722"/>
      <c r="I38" s="1723"/>
      <c r="J38" s="1696"/>
      <c r="K38" s="1685"/>
      <c r="L38" s="616"/>
    </row>
    <row r="39" spans="2:12" ht="21" customHeight="1" thickBot="1">
      <c r="B39" s="27"/>
      <c r="C39" s="27"/>
      <c r="D39" s="27"/>
      <c r="E39" s="27"/>
      <c r="F39" s="851" t="s">
        <v>209</v>
      </c>
      <c r="G39" s="1065">
        <f>SUM(G31:G38)</f>
        <v>0</v>
      </c>
      <c r="H39" s="1720">
        <f>SUM(H31:I38)</f>
        <v>0</v>
      </c>
      <c r="I39" s="1721"/>
      <c r="J39" s="40"/>
      <c r="K39" s="850"/>
      <c r="L39" s="857"/>
    </row>
    <row r="40" spans="2:12" ht="13.8" thickTop="1">
      <c r="G40" s="750"/>
      <c r="H40" s="750"/>
      <c r="I40" s="750"/>
    </row>
    <row r="47" spans="2:12" ht="13.8">
      <c r="B47" s="1545" t="s">
        <v>3399</v>
      </c>
      <c r="C47" s="1545"/>
      <c r="D47" s="1545"/>
      <c r="E47" s="1545"/>
      <c r="F47" s="1545"/>
      <c r="G47" s="1545"/>
      <c r="H47" s="1545"/>
      <c r="I47" s="1545"/>
      <c r="J47" s="1545"/>
      <c r="K47" s="1545"/>
      <c r="L47" s="1545"/>
    </row>
  </sheetData>
  <sheetProtection algorithmName="SHA-512" hashValue="A99fjaIBoZzPmA9+xSvdl1LjDhu/Bha4TAYUJfyMsc39uQmHKc4Vsa61EzCEaObE5qgGyPAqEObIk4OJECdN9g==" saltValue="qRjrWeqrRELHv999Kri+Yg==" spinCount="100000" sheet="1" objects="1" scenarios="1"/>
  <mergeCells count="48">
    <mergeCell ref="B47:L47"/>
    <mergeCell ref="H34:I34"/>
    <mergeCell ref="J34:K34"/>
    <mergeCell ref="H35:I35"/>
    <mergeCell ref="J35:K35"/>
    <mergeCell ref="H36:I36"/>
    <mergeCell ref="J36:K36"/>
    <mergeCell ref="H37:I37"/>
    <mergeCell ref="J37:K37"/>
    <mergeCell ref="H38:I38"/>
    <mergeCell ref="J38:K38"/>
    <mergeCell ref="H39:I39"/>
    <mergeCell ref="H31:I31"/>
    <mergeCell ref="J31:K31"/>
    <mergeCell ref="H32:I32"/>
    <mergeCell ref="J32:K32"/>
    <mergeCell ref="H33:I33"/>
    <mergeCell ref="J33:K33"/>
    <mergeCell ref="K26:L26"/>
    <mergeCell ref="K27:L27"/>
    <mergeCell ref="B29:L29"/>
    <mergeCell ref="B30:F30"/>
    <mergeCell ref="H30:I30"/>
    <mergeCell ref="J30:K30"/>
    <mergeCell ref="K25:L25"/>
    <mergeCell ref="K14:L14"/>
    <mergeCell ref="K15:L15"/>
    <mergeCell ref="K16:L16"/>
    <mergeCell ref="B17:I17"/>
    <mergeCell ref="H18:I18"/>
    <mergeCell ref="H19:I19"/>
    <mergeCell ref="H20:I20"/>
    <mergeCell ref="H21:I21"/>
    <mergeCell ref="H22:I22"/>
    <mergeCell ref="H23:I23"/>
    <mergeCell ref="H24:I24"/>
    <mergeCell ref="H13:I13"/>
    <mergeCell ref="B2:L2"/>
    <mergeCell ref="B3:L3"/>
    <mergeCell ref="B4:L4"/>
    <mergeCell ref="H6:I6"/>
    <mergeCell ref="J6:L6"/>
    <mergeCell ref="H7:I7"/>
    <mergeCell ref="H8:I8"/>
    <mergeCell ref="H9:I9"/>
    <mergeCell ref="H10:I10"/>
    <mergeCell ref="H11:I11"/>
    <mergeCell ref="H12:I12"/>
  </mergeCells>
  <pageMargins left="0.25" right="0.25" top="0.5" bottom="0.5" header="0.25" footer="0.25"/>
  <pageSetup paperSize="5" orientation="portrait" r:id="rId1"/>
  <headerFooter alignWithMargins="0"/>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3"/>
  <dimension ref="B2:W48"/>
  <sheetViews>
    <sheetView topLeftCell="A16" zoomScaleNormal="100" workbookViewId="0">
      <selection activeCell="K44" sqref="K44:L44"/>
    </sheetView>
  </sheetViews>
  <sheetFormatPr defaultRowHeight="13.2"/>
  <cols>
    <col min="1" max="4" width="4.6640625" customWidth="1"/>
    <col min="5" max="5" width="17.88671875" customWidth="1"/>
    <col min="7" max="7" width="16.6640625" customWidth="1"/>
    <col min="8" max="8" width="1.6640625" customWidth="1"/>
    <col min="9" max="9" width="15.6640625" customWidth="1"/>
    <col min="10" max="10" width="1.6640625" customWidth="1"/>
    <col min="11" max="11" width="8.6640625" customWidth="1"/>
    <col min="12" max="12" width="7.6640625" customWidth="1"/>
  </cols>
  <sheetData>
    <row r="2" spans="2:23" ht="20.399999999999999">
      <c r="B2" s="1546" t="s">
        <v>132</v>
      </c>
      <c r="C2" s="1546"/>
      <c r="D2" s="1546"/>
      <c r="E2" s="1546"/>
      <c r="F2" s="1546"/>
      <c r="G2" s="1546"/>
      <c r="H2" s="1546"/>
      <c r="I2" s="1546"/>
      <c r="J2" s="1546"/>
      <c r="K2" s="1546"/>
      <c r="L2" s="1546"/>
    </row>
    <row r="3" spans="2:23" ht="20.399999999999999">
      <c r="B3" s="1546" t="str">
        <f>"AND "&amp;TEXT('KEY INPUTS'!D33,"0")&amp;" DEBT  SERVICE  FOR  BONDS"</f>
        <v>AND 2021 DEBT  SERVICE  FOR  BONDS</v>
      </c>
      <c r="C3" s="1546"/>
      <c r="D3" s="1546"/>
      <c r="E3" s="1546"/>
      <c r="F3" s="1546"/>
      <c r="G3" s="1546"/>
      <c r="H3" s="1546"/>
      <c r="I3" s="1546"/>
      <c r="J3" s="1546"/>
      <c r="K3" s="1546"/>
      <c r="L3" s="1546"/>
    </row>
    <row r="4" spans="2:23" ht="15.6">
      <c r="B4" s="1547" t="s">
        <v>586</v>
      </c>
      <c r="C4" s="1547"/>
      <c r="D4" s="1547"/>
      <c r="E4" s="1547"/>
      <c r="F4" s="1547"/>
      <c r="G4" s="1547"/>
      <c r="H4" s="1547"/>
      <c r="I4" s="1547"/>
      <c r="J4" s="1547"/>
      <c r="K4" s="1547"/>
      <c r="L4" s="1547"/>
    </row>
    <row r="5" spans="2:23" ht="9.75" customHeight="1" thickBot="1">
      <c r="B5" s="108"/>
      <c r="C5" s="108"/>
      <c r="D5" s="108"/>
      <c r="E5" s="108"/>
      <c r="F5" s="108"/>
      <c r="G5" s="108"/>
      <c r="H5" s="108"/>
      <c r="I5" s="108"/>
      <c r="J5" s="108"/>
      <c r="K5" s="108"/>
      <c r="L5" s="108"/>
    </row>
    <row r="6" spans="2:23" ht="27.75" customHeight="1" thickTop="1" thickBot="1">
      <c r="B6" s="61"/>
      <c r="C6" s="61"/>
      <c r="D6" s="61"/>
      <c r="E6" s="61"/>
      <c r="F6" s="61"/>
      <c r="G6" s="4" t="s">
        <v>101</v>
      </c>
      <c r="H6" s="1672" t="s">
        <v>102</v>
      </c>
      <c r="I6" s="1590"/>
      <c r="J6" s="1691" t="str">
        <f>'31A-Loan Schedule'!J6:L6</f>
        <v>2021  Debt       Service</v>
      </c>
      <c r="K6" s="1692"/>
      <c r="L6" s="1693"/>
    </row>
    <row r="7" spans="2:23" ht="21" customHeight="1" thickTop="1">
      <c r="B7" s="276" t="str">
        <f>'KEY INPUTS'!D27</f>
        <v>Outstanding - January 1, 2020</v>
      </c>
      <c r="C7" s="276"/>
      <c r="D7" s="276"/>
      <c r="E7" s="276"/>
      <c r="F7" s="276"/>
      <c r="G7" s="143" t="s">
        <v>662</v>
      </c>
      <c r="H7" s="1724"/>
      <c r="I7" s="1725"/>
      <c r="O7" s="315"/>
      <c r="P7" s="315"/>
      <c r="Q7" s="315"/>
      <c r="R7" s="315"/>
      <c r="S7" s="315"/>
      <c r="T7" s="315"/>
      <c r="U7" s="315"/>
      <c r="V7" s="315"/>
      <c r="W7" s="315"/>
    </row>
    <row r="8" spans="2:23" ht="21" customHeight="1">
      <c r="B8" s="316" t="s">
        <v>268</v>
      </c>
      <c r="C8" s="316"/>
      <c r="D8" s="316"/>
      <c r="E8" s="316"/>
      <c r="F8" s="316"/>
      <c r="G8" s="367"/>
      <c r="H8" s="1697" t="s">
        <v>662</v>
      </c>
      <c r="I8" s="1698"/>
      <c r="O8" s="315"/>
      <c r="P8" s="315"/>
      <c r="Q8" s="315"/>
      <c r="R8" s="315"/>
      <c r="S8" s="315"/>
      <c r="T8" s="315"/>
      <c r="U8" s="315"/>
      <c r="V8" s="315"/>
      <c r="W8" s="315"/>
    </row>
    <row r="9" spans="2:23" ht="21" customHeight="1">
      <c r="B9" s="559"/>
      <c r="C9" s="559"/>
      <c r="D9" s="559"/>
      <c r="E9" s="559"/>
      <c r="F9" s="559"/>
      <c r="G9" s="593"/>
      <c r="H9" s="1722"/>
      <c r="I9" s="1723"/>
      <c r="O9" s="315"/>
      <c r="P9" s="315"/>
      <c r="Q9" s="315"/>
      <c r="R9" s="315"/>
      <c r="S9" s="315"/>
      <c r="T9" s="315"/>
      <c r="U9" s="315"/>
      <c r="V9" s="315"/>
      <c r="W9" s="315"/>
    </row>
    <row r="10" spans="2:23" ht="21" customHeight="1">
      <c r="B10" s="559"/>
      <c r="C10" s="559"/>
      <c r="D10" s="559"/>
      <c r="E10" s="559"/>
      <c r="F10" s="559"/>
      <c r="G10" s="593"/>
      <c r="H10" s="1722"/>
      <c r="I10" s="1723"/>
      <c r="O10" s="315"/>
      <c r="P10" s="315"/>
      <c r="Q10" s="315"/>
      <c r="R10" s="315"/>
      <c r="S10" s="315"/>
      <c r="T10" s="315"/>
      <c r="U10" s="315"/>
      <c r="V10" s="315"/>
      <c r="W10" s="315"/>
    </row>
    <row r="11" spans="2:23" ht="21" customHeight="1" thickBot="1">
      <c r="B11" s="316" t="str">
        <f>'KEY INPUTS'!D28</f>
        <v>Outstanding - December 31, 2020</v>
      </c>
      <c r="C11" s="316"/>
      <c r="D11" s="316"/>
      <c r="E11" s="316"/>
      <c r="F11" s="316"/>
      <c r="G11" s="139">
        <f>+H7-G8-G9-G10+H9+H10</f>
        <v>0</v>
      </c>
      <c r="H11" s="1701" t="s">
        <v>662</v>
      </c>
      <c r="I11" s="1702"/>
      <c r="O11" s="315"/>
      <c r="P11" s="315"/>
      <c r="Q11" s="315"/>
      <c r="R11" s="315"/>
      <c r="S11" s="315"/>
      <c r="T11" s="315"/>
      <c r="U11" s="315"/>
      <c r="V11" s="315"/>
      <c r="W11" s="315"/>
    </row>
    <row r="12" spans="2:23" ht="21" customHeight="1" thickBot="1">
      <c r="B12" s="315"/>
      <c r="C12" s="315"/>
      <c r="D12" s="315"/>
      <c r="E12" s="315"/>
      <c r="F12" s="315"/>
      <c r="G12" s="135">
        <f>SUM(G7:G11)</f>
        <v>0</v>
      </c>
      <c r="H12" s="1753">
        <f>SUM(H7:I11)</f>
        <v>0</v>
      </c>
      <c r="I12" s="1754"/>
      <c r="O12" s="315"/>
      <c r="P12" s="315"/>
      <c r="Q12" s="315"/>
      <c r="R12" s="315"/>
      <c r="S12" s="315"/>
      <c r="T12" s="315"/>
      <c r="U12" s="315"/>
      <c r="V12" s="315"/>
      <c r="W12" s="315"/>
    </row>
    <row r="13" spans="2:23" ht="21" customHeight="1" thickTop="1">
      <c r="B13" s="277" t="str">
        <f>TEXT('KEY INPUTS'!D33,"0")&amp;" Bond Maturities - Term Bonds"</f>
        <v>2021 Bond Maturities - Term Bonds</v>
      </c>
      <c r="C13" s="277"/>
      <c r="D13" s="277"/>
      <c r="E13" s="277"/>
      <c r="F13" s="277"/>
      <c r="G13" s="119"/>
      <c r="H13" s="30" t="s">
        <v>397</v>
      </c>
      <c r="I13" s="599"/>
      <c r="J13" s="74"/>
      <c r="K13" s="1756"/>
      <c r="L13" s="1756"/>
      <c r="O13" s="315"/>
      <c r="P13" s="315"/>
      <c r="Q13" s="315"/>
      <c r="R13" s="315"/>
      <c r="S13" s="315"/>
      <c r="T13" s="315"/>
      <c r="U13" s="315"/>
      <c r="V13" s="315"/>
      <c r="W13" s="315"/>
    </row>
    <row r="14" spans="2:23" ht="21" customHeight="1" thickBot="1">
      <c r="B14" s="27" t="str">
        <f>TEXT('KEY INPUTS'!D33,"0")&amp;" Interest on Bonds"</f>
        <v>2021 Interest on Bonds</v>
      </c>
      <c r="C14" s="27"/>
      <c r="D14" s="27"/>
      <c r="E14" s="27"/>
      <c r="F14" s="27"/>
      <c r="G14" s="77"/>
      <c r="H14" s="27" t="s">
        <v>397</v>
      </c>
      <c r="I14" s="600"/>
      <c r="O14" s="315"/>
      <c r="P14" s="370"/>
      <c r="Q14" s="315"/>
      <c r="R14" s="315"/>
      <c r="S14" s="315"/>
      <c r="T14" s="315"/>
      <c r="U14" s="315"/>
      <c r="V14" s="315"/>
      <c r="W14" s="315"/>
    </row>
    <row r="15" spans="2:23" ht="16.5" customHeight="1" thickTop="1">
      <c r="B15" s="1705"/>
      <c r="C15" s="1705"/>
      <c r="D15" s="1705"/>
      <c r="E15" s="1705"/>
      <c r="F15" s="1705"/>
      <c r="G15" s="1705"/>
      <c r="H15" s="1705"/>
      <c r="I15" s="1706"/>
      <c r="O15" s="315"/>
      <c r="P15" s="315"/>
      <c r="Q15" s="315"/>
      <c r="R15" s="315"/>
      <c r="S15" s="315"/>
      <c r="T15" s="315"/>
      <c r="U15" s="315"/>
      <c r="V15" s="315"/>
      <c r="W15" s="315"/>
    </row>
    <row r="16" spans="2:23" ht="26.25" customHeight="1" thickBot="1">
      <c r="B16" s="1707" t="s">
        <v>89</v>
      </c>
      <c r="C16" s="1707"/>
      <c r="D16" s="1707"/>
      <c r="E16" s="1707"/>
      <c r="F16" s="1707"/>
      <c r="G16" s="1707"/>
      <c r="H16" s="1707"/>
      <c r="I16" s="1708"/>
      <c r="O16" s="315"/>
      <c r="P16" s="315"/>
      <c r="Q16" s="315"/>
      <c r="R16" s="315"/>
      <c r="S16" s="315"/>
      <c r="T16" s="315"/>
      <c r="U16" s="315"/>
      <c r="V16" s="315"/>
      <c r="W16" s="315"/>
    </row>
    <row r="17" spans="2:23" ht="21" customHeight="1" thickTop="1">
      <c r="B17" s="276" t="str">
        <f>B7</f>
        <v>Outstanding - January 1, 2020</v>
      </c>
      <c r="C17" s="276"/>
      <c r="D17" s="276"/>
      <c r="E17" s="276"/>
      <c r="F17" s="276"/>
      <c r="G17" s="143" t="s">
        <v>662</v>
      </c>
      <c r="H17" s="1689"/>
      <c r="I17" s="1690"/>
      <c r="O17" s="315"/>
      <c r="P17" s="315"/>
      <c r="Q17" s="315"/>
      <c r="R17" s="315"/>
      <c r="S17" s="315"/>
      <c r="T17" s="315"/>
      <c r="U17" s="315"/>
      <c r="V17" s="315"/>
      <c r="W17" s="315"/>
    </row>
    <row r="18" spans="2:23" ht="21" customHeight="1">
      <c r="B18" s="316" t="s">
        <v>97</v>
      </c>
      <c r="C18" s="316"/>
      <c r="D18" s="316"/>
      <c r="E18" s="316"/>
      <c r="F18" s="316"/>
      <c r="G18" s="144" t="s">
        <v>662</v>
      </c>
      <c r="H18" s="1689"/>
      <c r="I18" s="1690"/>
      <c r="O18" s="315"/>
      <c r="P18" s="315"/>
      <c r="Q18" s="315"/>
      <c r="R18" s="315"/>
      <c r="S18" s="315"/>
      <c r="T18" s="315"/>
      <c r="U18" s="315"/>
      <c r="V18" s="315"/>
      <c r="W18" s="315"/>
    </row>
    <row r="19" spans="2:23" ht="21" customHeight="1">
      <c r="B19" s="316" t="s">
        <v>268</v>
      </c>
      <c r="C19" s="316"/>
      <c r="D19" s="316"/>
      <c r="E19" s="316"/>
      <c r="F19" s="316"/>
      <c r="G19" s="367"/>
      <c r="H19" s="1697" t="s">
        <v>662</v>
      </c>
      <c r="I19" s="1698"/>
      <c r="O19" s="315"/>
      <c r="P19" s="315"/>
      <c r="Q19" s="315"/>
      <c r="R19" s="315"/>
      <c r="S19" s="315"/>
      <c r="T19" s="315"/>
      <c r="U19" s="315"/>
      <c r="V19" s="315"/>
      <c r="W19" s="315"/>
    </row>
    <row r="20" spans="2:23" ht="21" customHeight="1">
      <c r="B20" s="559"/>
      <c r="C20" s="559"/>
      <c r="D20" s="559"/>
      <c r="E20" s="559"/>
      <c r="F20" s="559"/>
      <c r="G20" s="593"/>
      <c r="H20" s="1722"/>
      <c r="I20" s="1723"/>
      <c r="O20" s="315"/>
      <c r="P20" s="315"/>
      <c r="Q20" s="315"/>
      <c r="R20" s="315"/>
      <c r="S20" s="315"/>
      <c r="T20" s="315"/>
      <c r="U20" s="315"/>
      <c r="V20" s="315"/>
      <c r="W20" s="315"/>
    </row>
    <row r="21" spans="2:23" ht="21" customHeight="1">
      <c r="B21" s="559"/>
      <c r="C21" s="559"/>
      <c r="D21" s="559"/>
      <c r="E21" s="559"/>
      <c r="F21" s="559"/>
      <c r="G21" s="593"/>
      <c r="H21" s="1722"/>
      <c r="I21" s="1723"/>
      <c r="O21" s="315"/>
      <c r="P21" s="315"/>
      <c r="Q21" s="315"/>
      <c r="R21" s="315"/>
      <c r="S21" s="315"/>
      <c r="T21" s="315"/>
      <c r="U21" s="315"/>
      <c r="V21" s="315"/>
      <c r="W21" s="315"/>
    </row>
    <row r="22" spans="2:23" ht="21" customHeight="1" thickBot="1">
      <c r="B22" s="316" t="str">
        <f>B11</f>
        <v>Outstanding - December 31, 2020</v>
      </c>
      <c r="C22" s="316"/>
      <c r="D22" s="316"/>
      <c r="E22" s="316"/>
      <c r="F22" s="316"/>
      <c r="G22" s="139">
        <f>+H17+H18-G19-G20-G21+H20+H21</f>
        <v>0</v>
      </c>
      <c r="H22" s="1701" t="s">
        <v>662</v>
      </c>
      <c r="I22" s="1702"/>
      <c r="O22" s="315"/>
      <c r="P22" s="315"/>
      <c r="Q22" s="315"/>
      <c r="R22" s="315"/>
      <c r="S22" s="315"/>
      <c r="T22" s="315"/>
      <c r="U22" s="315"/>
      <c r="V22" s="315"/>
      <c r="W22" s="315"/>
    </row>
    <row r="23" spans="2:23" ht="21" customHeight="1" thickBot="1">
      <c r="G23" s="135">
        <f>SUM(G17:G22)</f>
        <v>0</v>
      </c>
      <c r="H23" s="1753">
        <f>SUM(H17:I22)</f>
        <v>0</v>
      </c>
      <c r="I23" s="1754"/>
      <c r="O23" s="315"/>
      <c r="P23" s="315"/>
      <c r="Q23" s="315"/>
      <c r="R23" s="315"/>
      <c r="S23" s="315"/>
      <c r="T23" s="315"/>
      <c r="U23" s="315"/>
      <c r="V23" s="315"/>
      <c r="W23" s="315"/>
    </row>
    <row r="24" spans="2:23" ht="21" customHeight="1" thickTop="1">
      <c r="B24" s="277" t="str">
        <f>TEXT('KEY INPUTS'!D33,"0")&amp;" Interest on Bonds*"</f>
        <v>2021 Interest on Bonds*</v>
      </c>
      <c r="C24" s="277"/>
      <c r="D24" s="277"/>
      <c r="E24" s="277"/>
      <c r="F24" s="277"/>
      <c r="G24" s="119"/>
      <c r="H24" s="30" t="s">
        <v>397</v>
      </c>
      <c r="I24" s="602"/>
      <c r="J24" s="74"/>
      <c r="K24" s="1756"/>
      <c r="L24" s="1756"/>
      <c r="O24" s="315"/>
      <c r="P24" s="315"/>
      <c r="Q24" s="315"/>
      <c r="R24" s="315"/>
      <c r="S24" s="315"/>
      <c r="T24" s="315"/>
      <c r="U24" s="315"/>
      <c r="V24" s="315"/>
      <c r="W24" s="315"/>
    </row>
    <row r="25" spans="2:23" ht="21" customHeight="1" thickBot="1">
      <c r="B25" s="27" t="str">
        <f>TEXT('KEY INPUTS'!D33,"0")&amp;" Bond Maturities - Serial Bonds"</f>
        <v>2021 Bond Maturities - Serial Bonds</v>
      </c>
      <c r="C25" s="27"/>
      <c r="D25" s="27"/>
      <c r="E25" s="27"/>
      <c r="F25" s="27"/>
      <c r="G25" s="137"/>
      <c r="H25" s="27"/>
      <c r="I25" s="77"/>
      <c r="J25" s="30" t="s">
        <v>397</v>
      </c>
      <c r="K25" s="1748"/>
      <c r="L25" s="1748"/>
      <c r="O25" s="315"/>
      <c r="P25" s="315"/>
      <c r="Q25" s="315"/>
      <c r="R25" s="315"/>
      <c r="S25" s="315"/>
      <c r="T25" s="315"/>
      <c r="U25" s="315"/>
      <c r="V25" s="315"/>
      <c r="W25" s="315"/>
    </row>
    <row r="26" spans="2:23" ht="21" customHeight="1" thickTop="1" thickBot="1">
      <c r="B26" s="10" t="s">
        <v>83</v>
      </c>
      <c r="C26" s="10"/>
      <c r="D26" s="10"/>
      <c r="E26" s="10"/>
      <c r="F26" s="10"/>
      <c r="G26" s="10"/>
      <c r="H26" s="10"/>
      <c r="I26" s="138"/>
      <c r="J26" s="10" t="s">
        <v>397</v>
      </c>
      <c r="K26" s="1755">
        <f>+I24+I14</f>
        <v>0</v>
      </c>
      <c r="L26" s="1755"/>
    </row>
    <row r="27" spans="2:23" ht="21" customHeight="1" thickTop="1"/>
    <row r="28" spans="2:23" ht="21" customHeight="1" thickBot="1">
      <c r="B28" s="1752" t="str">
        <f>"LIST  OF  BONDS  ISSUED  DURING "&amp;TEXT('KEY INPUTS'!D34,"0")</f>
        <v>LIST  OF  BONDS  ISSUED  DURING 2020</v>
      </c>
      <c r="C28" s="1752"/>
      <c r="D28" s="1752"/>
      <c r="E28" s="1752"/>
      <c r="F28" s="1752"/>
      <c r="G28" s="1752"/>
      <c r="H28" s="1752"/>
      <c r="I28" s="1752"/>
      <c r="J28" s="1752"/>
      <c r="K28" s="1752"/>
      <c r="L28" s="1752"/>
    </row>
    <row r="29" spans="2:23" ht="27" customHeight="1" thickTop="1" thickBot="1">
      <c r="B29" s="1589" t="s">
        <v>440</v>
      </c>
      <c r="C29" s="1589"/>
      <c r="D29" s="1589"/>
      <c r="E29" s="1589"/>
      <c r="F29" s="1589"/>
      <c r="G29" s="141" t="str">
        <f>TEXT('KEY INPUTS'!D33,"0")&amp;" Maturity           -01"</f>
        <v>2021 Maturity           -01</v>
      </c>
      <c r="H29" s="1691" t="s">
        <v>84</v>
      </c>
      <c r="I29" s="1715"/>
      <c r="J29" s="1691" t="s">
        <v>94</v>
      </c>
      <c r="K29" s="1715"/>
      <c r="L29" s="802" t="s">
        <v>95</v>
      </c>
    </row>
    <row r="30" spans="2:23" ht="21" customHeight="1" thickTop="1">
      <c r="B30" s="562"/>
      <c r="C30" s="562"/>
      <c r="D30" s="562"/>
      <c r="E30" s="562"/>
      <c r="F30" s="562"/>
      <c r="G30" s="597"/>
      <c r="H30" s="1724"/>
      <c r="I30" s="1725"/>
      <c r="J30" s="1749"/>
      <c r="K30" s="1683"/>
      <c r="L30" s="941"/>
    </row>
    <row r="31" spans="2:23" ht="21" customHeight="1">
      <c r="B31" s="559"/>
      <c r="C31" s="559"/>
      <c r="D31" s="559"/>
      <c r="E31" s="559"/>
      <c r="F31" s="559"/>
      <c r="G31" s="593"/>
      <c r="H31" s="1722"/>
      <c r="I31" s="1723"/>
      <c r="J31" s="1696"/>
      <c r="K31" s="1685"/>
      <c r="L31" s="942"/>
    </row>
    <row r="32" spans="2:23" ht="21" customHeight="1">
      <c r="B32" s="559"/>
      <c r="C32" s="559"/>
      <c r="D32" s="559"/>
      <c r="E32" s="559"/>
      <c r="F32" s="559"/>
      <c r="G32" s="593"/>
      <c r="H32" s="1722"/>
      <c r="I32" s="1723"/>
      <c r="J32" s="1696"/>
      <c r="K32" s="1685"/>
      <c r="L32" s="942"/>
    </row>
    <row r="33" spans="2:12" ht="21" customHeight="1" thickBot="1">
      <c r="B33" s="27"/>
      <c r="C33" s="27"/>
      <c r="D33" s="27"/>
      <c r="E33" s="140" t="s">
        <v>209</v>
      </c>
      <c r="F33" s="41"/>
      <c r="G33" s="135">
        <f>SUM(G30:G32)</f>
        <v>0</v>
      </c>
      <c r="H33" s="1750">
        <f>SUM(H30:I32)</f>
        <v>0</v>
      </c>
      <c r="I33" s="1751"/>
      <c r="J33" s="40"/>
      <c r="K33" s="27"/>
      <c r="L33" s="19"/>
    </row>
    <row r="34" spans="2:12" ht="13.8" thickTop="1">
      <c r="G34" s="57"/>
      <c r="H34" s="57"/>
      <c r="I34" s="57"/>
    </row>
    <row r="35" spans="2:12" ht="7.5" customHeight="1"/>
    <row r="36" spans="2:12" ht="15.6">
      <c r="B36" s="1547" t="str">
        <f>TEXT('KEY INPUTS'!D33,"0")&amp;"  INTEREST  REQUIREMENT  -  CURRENT  FUND  DEBT  ONLY"</f>
        <v>2021  INTEREST  REQUIREMENT  -  CURRENT  FUND  DEBT  ONLY</v>
      </c>
      <c r="C36" s="1547"/>
      <c r="D36" s="1547"/>
      <c r="E36" s="1547"/>
      <c r="F36" s="1547"/>
      <c r="G36" s="1547"/>
      <c r="H36" s="1547"/>
      <c r="I36" s="1547"/>
      <c r="J36" s="1547"/>
      <c r="K36" s="1547"/>
      <c r="L36" s="1547"/>
    </row>
    <row r="37" spans="2:12" ht="9.75" customHeight="1">
      <c r="I37" s="9" t="s">
        <v>206</v>
      </c>
      <c r="J37" s="34"/>
      <c r="K37" s="1747" t="str">
        <f>TEXT('KEY INPUTS'!D33,"0")&amp;"  Interest"</f>
        <v>2021  Interest</v>
      </c>
      <c r="L37" s="1747"/>
    </row>
    <row r="38" spans="2:12" ht="9.75" customHeight="1">
      <c r="I38" s="297" t="str">
        <f>'KEY INPUTS'!D46</f>
        <v>Dec. 31, 2020</v>
      </c>
      <c r="J38" s="34"/>
      <c r="K38" s="1747" t="s">
        <v>134</v>
      </c>
      <c r="L38" s="1747"/>
    </row>
    <row r="40" spans="2:12" ht="20.100000000000001" customHeight="1">
      <c r="C40" s="980" t="s">
        <v>308</v>
      </c>
      <c r="D40" s="282" t="s">
        <v>135</v>
      </c>
      <c r="E40" s="315"/>
      <c r="F40" s="315"/>
      <c r="G40" s="142"/>
      <c r="H40" t="s">
        <v>397</v>
      </c>
      <c r="I40" s="369">
        <v>0</v>
      </c>
      <c r="J40" t="s">
        <v>397</v>
      </c>
      <c r="K40" s="1588">
        <v>0</v>
      </c>
      <c r="L40" s="1588"/>
    </row>
    <row r="41" spans="2:12" ht="20.100000000000001" customHeight="1">
      <c r="C41" s="980" t="s">
        <v>309</v>
      </c>
      <c r="D41" s="282" t="s">
        <v>136</v>
      </c>
      <c r="E41" s="315"/>
      <c r="F41" s="315"/>
      <c r="G41" s="142"/>
      <c r="H41" t="s">
        <v>397</v>
      </c>
      <c r="I41" s="369">
        <v>0</v>
      </c>
      <c r="J41" t="s">
        <v>397</v>
      </c>
      <c r="K41" s="1588">
        <v>0</v>
      </c>
      <c r="L41" s="1588"/>
    </row>
    <row r="42" spans="2:12" ht="20.100000000000001" customHeight="1">
      <c r="C42" s="980" t="s">
        <v>310</v>
      </c>
      <c r="D42" s="282" t="s">
        <v>137</v>
      </c>
      <c r="E42" s="315"/>
      <c r="F42" s="315"/>
      <c r="G42" s="142"/>
      <c r="H42" t="s">
        <v>397</v>
      </c>
      <c r="I42" s="369">
        <v>0</v>
      </c>
      <c r="J42" t="s">
        <v>397</v>
      </c>
      <c r="K42" s="1588">
        <v>0</v>
      </c>
      <c r="L42" s="1588"/>
    </row>
    <row r="43" spans="2:12" ht="20.100000000000001" customHeight="1">
      <c r="C43" s="980" t="s">
        <v>311</v>
      </c>
      <c r="D43" s="282" t="s">
        <v>138</v>
      </c>
      <c r="E43" s="315"/>
      <c r="F43" s="315"/>
      <c r="G43" s="142"/>
      <c r="H43" t="s">
        <v>397</v>
      </c>
      <c r="I43" s="369">
        <v>0</v>
      </c>
      <c r="J43" t="s">
        <v>397</v>
      </c>
      <c r="K43" s="1588">
        <v>0</v>
      </c>
      <c r="L43" s="1588"/>
    </row>
    <row r="44" spans="2:12" ht="20.100000000000001" customHeight="1">
      <c r="C44" s="85" t="s">
        <v>312</v>
      </c>
      <c r="D44" s="368"/>
      <c r="E44" s="368"/>
      <c r="F44" s="368"/>
      <c r="H44" t="s">
        <v>397</v>
      </c>
      <c r="I44" s="369"/>
      <c r="J44" t="s">
        <v>397</v>
      </c>
      <c r="K44" s="1588"/>
      <c r="L44" s="1588"/>
    </row>
    <row r="45" spans="2:12" ht="20.100000000000001" customHeight="1">
      <c r="C45" s="85" t="s">
        <v>313</v>
      </c>
      <c r="D45" s="368"/>
      <c r="E45" s="368"/>
      <c r="F45" s="368"/>
      <c r="H45" t="s">
        <v>397</v>
      </c>
      <c r="I45" s="369"/>
      <c r="J45" t="s">
        <v>397</v>
      </c>
      <c r="K45" s="1588"/>
      <c r="L45" s="1588"/>
    </row>
    <row r="46" spans="2:12">
      <c r="L46" s="315"/>
    </row>
    <row r="48" spans="2:12" ht="13.8">
      <c r="B48" s="1545" t="s">
        <v>139</v>
      </c>
      <c r="C48" s="1545"/>
      <c r="D48" s="1545"/>
      <c r="E48" s="1545"/>
      <c r="F48" s="1545"/>
      <c r="G48" s="1545"/>
      <c r="H48" s="1545"/>
      <c r="I48" s="1545"/>
      <c r="J48" s="1545"/>
      <c r="K48" s="1545"/>
      <c r="L48" s="1545"/>
    </row>
  </sheetData>
  <sheetProtection algorithmName="SHA-512" hashValue="tcAnxDKSoUAp1EENYhKOi/RJGJkpNbOxuy5AaUkj/0YKg6KkZaI+tvaQT/qUoh3XhQAHX5gr83VIeBB8XLl5VQ==" saltValue="e7lgt4G6jJwO4AQQ+ebpJA==" spinCount="100000" sheet="1" objects="1" scenarios="1"/>
  <mergeCells count="45">
    <mergeCell ref="B2:L2"/>
    <mergeCell ref="B3:L3"/>
    <mergeCell ref="B4:L4"/>
    <mergeCell ref="J6:L6"/>
    <mergeCell ref="H6:I6"/>
    <mergeCell ref="H11:I11"/>
    <mergeCell ref="H7:I7"/>
    <mergeCell ref="H9:I9"/>
    <mergeCell ref="B28:L28"/>
    <mergeCell ref="H23:I23"/>
    <mergeCell ref="H17:I17"/>
    <mergeCell ref="B15:I15"/>
    <mergeCell ref="H18:I18"/>
    <mergeCell ref="K26:L26"/>
    <mergeCell ref="K24:L24"/>
    <mergeCell ref="K13:L13"/>
    <mergeCell ref="B16:I16"/>
    <mergeCell ref="H10:I10"/>
    <mergeCell ref="H12:I12"/>
    <mergeCell ref="H8:I8"/>
    <mergeCell ref="H21:I21"/>
    <mergeCell ref="H19:I19"/>
    <mergeCell ref="H20:I20"/>
    <mergeCell ref="B36:L36"/>
    <mergeCell ref="K25:L25"/>
    <mergeCell ref="J32:K32"/>
    <mergeCell ref="J30:K30"/>
    <mergeCell ref="J31:K31"/>
    <mergeCell ref="B29:F29"/>
    <mergeCell ref="J29:K29"/>
    <mergeCell ref="H22:I22"/>
    <mergeCell ref="H29:I29"/>
    <mergeCell ref="H30:I30"/>
    <mergeCell ref="H33:I33"/>
    <mergeCell ref="H31:I31"/>
    <mergeCell ref="H32:I32"/>
    <mergeCell ref="K37:L37"/>
    <mergeCell ref="B48:L48"/>
    <mergeCell ref="K45:L45"/>
    <mergeCell ref="K41:L41"/>
    <mergeCell ref="K42:L42"/>
    <mergeCell ref="K43:L43"/>
    <mergeCell ref="K44:L44"/>
    <mergeCell ref="K38:L38"/>
    <mergeCell ref="K40:L40"/>
  </mergeCells>
  <phoneticPr fontId="0" type="noConversion"/>
  <pageMargins left="0.25" right="0.25" top="0.5" bottom="0.5" header="0.25" footer="0.25"/>
  <pageSetup paperSize="5" orientation="portrait" r:id="rId1"/>
  <headerFooter alignWithMargins="0"/>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4"/>
  <dimension ref="A1:V35"/>
  <sheetViews>
    <sheetView zoomScaleNormal="100" workbookViewId="0">
      <selection activeCell="B10" sqref="B10:D10"/>
    </sheetView>
  </sheetViews>
  <sheetFormatPr defaultRowHeight="13.2"/>
  <cols>
    <col min="1" max="1" width="5.6640625" customWidth="1"/>
    <col min="2" max="3" width="4.88671875" customWidth="1"/>
    <col min="4" max="4" width="30.6640625" customWidth="1"/>
    <col min="5" max="12" width="15.6640625" customWidth="1"/>
    <col min="13" max="13" width="12.88671875" bestFit="1" customWidth="1"/>
  </cols>
  <sheetData>
    <row r="1" spans="1:22">
      <c r="B1" s="315"/>
      <c r="C1" s="315"/>
      <c r="D1" s="315"/>
      <c r="E1" s="315"/>
      <c r="F1" s="315"/>
      <c r="G1" s="315"/>
      <c r="H1" s="315"/>
      <c r="I1" s="315"/>
      <c r="J1" s="315"/>
      <c r="K1" s="315"/>
      <c r="L1" s="315"/>
    </row>
    <row r="2" spans="1:22" ht="20.399999999999999">
      <c r="B2" s="1546" t="s">
        <v>140</v>
      </c>
      <c r="C2" s="1546"/>
      <c r="D2" s="1546"/>
      <c r="E2" s="1546"/>
      <c r="F2" s="1546"/>
      <c r="G2" s="1546"/>
      <c r="H2" s="1546"/>
      <c r="I2" s="1546"/>
      <c r="J2" s="1546"/>
      <c r="K2" s="1546"/>
      <c r="L2" s="1546"/>
    </row>
    <row r="3" spans="1:22" ht="21" thickBot="1">
      <c r="B3" s="1546"/>
      <c r="C3" s="1546"/>
      <c r="D3" s="1546"/>
      <c r="E3" s="1546"/>
      <c r="F3" s="1546"/>
      <c r="G3" s="1546"/>
      <c r="H3" s="1546"/>
      <c r="I3" s="1546"/>
      <c r="J3" s="1546"/>
      <c r="K3" s="1546"/>
      <c r="L3" s="1546"/>
    </row>
    <row r="4" spans="1:22" ht="13.5" customHeight="1" thickTop="1">
      <c r="B4" s="11"/>
      <c r="C4" s="11"/>
      <c r="D4" s="11"/>
      <c r="E4" s="12"/>
      <c r="F4" s="12"/>
      <c r="G4" s="12"/>
      <c r="H4" s="12"/>
      <c r="I4" s="12"/>
      <c r="J4" s="11"/>
      <c r="K4" s="11"/>
      <c r="L4" s="18"/>
    </row>
    <row r="5" spans="1:22" ht="13.5" customHeight="1">
      <c r="B5" s="315"/>
      <c r="C5" s="315"/>
      <c r="D5" s="315"/>
      <c r="E5" s="275" t="s">
        <v>144</v>
      </c>
      <c r="F5" s="987" t="s">
        <v>144</v>
      </c>
      <c r="G5" s="987" t="s">
        <v>441</v>
      </c>
      <c r="H5" s="987" t="s">
        <v>18</v>
      </c>
      <c r="I5" s="987" t="s">
        <v>572</v>
      </c>
      <c r="J5" s="1757" t="str">
        <f>TEXT('KEY INPUTS'!D33,"0")&amp;" Budget Requirements"</f>
        <v>2021 Budget Requirements</v>
      </c>
      <c r="K5" s="1758"/>
      <c r="L5" s="21" t="s">
        <v>573</v>
      </c>
    </row>
    <row r="6" spans="1:22" ht="13.5" customHeight="1">
      <c r="B6" s="315"/>
      <c r="C6" s="1584" t="s">
        <v>143</v>
      </c>
      <c r="D6" s="1634"/>
      <c r="E6" s="275" t="s">
        <v>441</v>
      </c>
      <c r="F6" s="987" t="s">
        <v>145</v>
      </c>
      <c r="G6" s="987" t="s">
        <v>569</v>
      </c>
      <c r="H6" s="987" t="s">
        <v>570</v>
      </c>
      <c r="I6" s="987" t="s">
        <v>570</v>
      </c>
      <c r="J6" s="1759"/>
      <c r="K6" s="1760"/>
      <c r="L6" s="21" t="s">
        <v>576</v>
      </c>
    </row>
    <row r="7" spans="1:22" ht="13.5" customHeight="1">
      <c r="B7" s="315"/>
      <c r="C7" s="315"/>
      <c r="D7" s="315"/>
      <c r="E7" s="275" t="s">
        <v>97</v>
      </c>
      <c r="F7" s="275" t="s">
        <v>146</v>
      </c>
      <c r="G7" s="275" t="s">
        <v>206</v>
      </c>
      <c r="H7" s="275" t="s">
        <v>571</v>
      </c>
      <c r="I7" s="275" t="s">
        <v>573</v>
      </c>
      <c r="J7" s="275" t="s">
        <v>118</v>
      </c>
      <c r="K7" s="275" t="s">
        <v>574</v>
      </c>
      <c r="L7" s="21" t="s">
        <v>577</v>
      </c>
    </row>
    <row r="8" spans="1:22" ht="13.5" customHeight="1" thickBot="1">
      <c r="B8" s="10"/>
      <c r="C8" s="10"/>
      <c r="D8" s="10"/>
      <c r="E8" s="14"/>
      <c r="F8" s="14"/>
      <c r="G8" s="298" t="str">
        <f>'KEY INPUTS'!D46</f>
        <v>Dec. 31, 2020</v>
      </c>
      <c r="H8" s="14"/>
      <c r="I8" s="14"/>
      <c r="J8" s="16"/>
      <c r="K8" s="147" t="s">
        <v>575</v>
      </c>
      <c r="L8" s="19"/>
    </row>
    <row r="9" spans="1:22" ht="21" customHeight="1" thickTop="1">
      <c r="B9" s="1761" t="s">
        <v>3673</v>
      </c>
      <c r="C9" s="1762"/>
      <c r="D9" s="1763"/>
      <c r="E9" s="367"/>
      <c r="F9" s="603"/>
      <c r="G9" s="367"/>
      <c r="H9" s="604"/>
      <c r="I9" s="945"/>
      <c r="J9" s="605"/>
      <c r="K9" s="367"/>
      <c r="L9" s="606"/>
      <c r="M9" s="318"/>
    </row>
    <row r="10" spans="1:22" ht="21" customHeight="1">
      <c r="B10" s="1764"/>
      <c r="C10" s="1764"/>
      <c r="D10" s="1765"/>
      <c r="E10" s="367"/>
      <c r="F10" s="603"/>
      <c r="G10" s="367"/>
      <c r="H10" s="604"/>
      <c r="I10" s="945"/>
      <c r="J10" s="605"/>
      <c r="K10" s="367"/>
      <c r="L10" s="606"/>
      <c r="M10" s="318"/>
      <c r="P10" s="315"/>
      <c r="Q10" s="315"/>
      <c r="R10" s="315"/>
      <c r="S10" s="315"/>
      <c r="T10" s="315"/>
      <c r="U10" s="315"/>
      <c r="V10" s="315"/>
    </row>
    <row r="11" spans="1:22" ht="21" customHeight="1">
      <c r="B11" s="1764"/>
      <c r="C11" s="1764"/>
      <c r="D11" s="1765"/>
      <c r="E11" s="367"/>
      <c r="F11" s="603"/>
      <c r="G11" s="367"/>
      <c r="H11" s="604"/>
      <c r="I11" s="945"/>
      <c r="J11" s="605"/>
      <c r="K11" s="367"/>
      <c r="L11" s="606"/>
      <c r="M11" s="318"/>
      <c r="P11" s="315"/>
      <c r="Q11" s="315"/>
      <c r="R11" s="315"/>
      <c r="S11" s="315"/>
      <c r="T11" s="315"/>
      <c r="U11" s="315"/>
      <c r="V11" s="315"/>
    </row>
    <row r="12" spans="1:22" ht="21" customHeight="1">
      <c r="B12" s="1764"/>
      <c r="C12" s="1764"/>
      <c r="D12" s="1765"/>
      <c r="E12" s="367"/>
      <c r="F12" s="603"/>
      <c r="G12" s="367"/>
      <c r="H12" s="604"/>
      <c r="I12" s="945"/>
      <c r="J12" s="605"/>
      <c r="K12" s="367"/>
      <c r="L12" s="606"/>
      <c r="M12" s="318"/>
      <c r="P12" s="370"/>
      <c r="Q12" s="315"/>
      <c r="R12" s="315"/>
      <c r="S12" s="315"/>
      <c r="T12" s="315"/>
      <c r="U12" s="315"/>
      <c r="V12" s="315"/>
    </row>
    <row r="13" spans="1:22" ht="21" customHeight="1">
      <c r="B13" s="1764"/>
      <c r="C13" s="1764"/>
      <c r="D13" s="1765"/>
      <c r="E13" s="367"/>
      <c r="F13" s="603"/>
      <c r="G13" s="367"/>
      <c r="H13" s="604"/>
      <c r="I13" s="945"/>
      <c r="J13" s="605"/>
      <c r="K13" s="367"/>
      <c r="L13" s="606"/>
      <c r="M13" s="318"/>
      <c r="P13" s="315"/>
      <c r="Q13" s="315"/>
      <c r="R13" s="315"/>
      <c r="S13" s="315"/>
      <c r="T13" s="315"/>
      <c r="U13" s="315"/>
      <c r="V13" s="315"/>
    </row>
    <row r="14" spans="1:22" ht="21" customHeight="1">
      <c r="B14" s="1764"/>
      <c r="C14" s="1764"/>
      <c r="D14" s="1765"/>
      <c r="E14" s="367"/>
      <c r="F14" s="603"/>
      <c r="G14" s="367"/>
      <c r="H14" s="604"/>
      <c r="I14" s="945"/>
      <c r="J14" s="367"/>
      <c r="K14" s="367"/>
      <c r="L14" s="606"/>
      <c r="P14" s="315"/>
      <c r="Q14" s="315"/>
      <c r="R14" s="315"/>
      <c r="S14" s="315"/>
      <c r="T14" s="315"/>
      <c r="U14" s="315"/>
      <c r="V14" s="315"/>
    </row>
    <row r="15" spans="1:22" ht="21" customHeight="1">
      <c r="A15" s="1613" t="s">
        <v>141</v>
      </c>
      <c r="B15" s="1764"/>
      <c r="C15" s="1764"/>
      <c r="D15" s="1765"/>
      <c r="E15" s="367"/>
      <c r="F15" s="603"/>
      <c r="G15" s="367"/>
      <c r="H15" s="604"/>
      <c r="I15" s="945"/>
      <c r="J15" s="367"/>
      <c r="K15" s="367"/>
      <c r="L15" s="606"/>
      <c r="P15" s="315"/>
      <c r="Q15" s="315"/>
      <c r="R15" s="315"/>
      <c r="S15" s="315"/>
      <c r="T15" s="315"/>
      <c r="U15" s="315"/>
      <c r="V15" s="315"/>
    </row>
    <row r="16" spans="1:22" ht="21" customHeight="1">
      <c r="A16" s="1613"/>
      <c r="B16" s="1764"/>
      <c r="C16" s="1764"/>
      <c r="D16" s="1765"/>
      <c r="E16" s="367"/>
      <c r="F16" s="603"/>
      <c r="G16" s="367"/>
      <c r="H16" s="604"/>
      <c r="I16" s="945"/>
      <c r="J16" s="367"/>
      <c r="K16" s="367"/>
      <c r="L16" s="606"/>
      <c r="P16" s="315"/>
      <c r="Q16" s="315"/>
      <c r="R16" s="315"/>
      <c r="S16" s="315"/>
      <c r="T16" s="315"/>
      <c r="U16" s="315"/>
      <c r="V16" s="315"/>
    </row>
    <row r="17" spans="1:22" ht="21" customHeight="1">
      <c r="A17" s="1613"/>
      <c r="B17" s="1764"/>
      <c r="C17" s="1764"/>
      <c r="D17" s="1765"/>
      <c r="E17" s="367"/>
      <c r="F17" s="603"/>
      <c r="G17" s="367"/>
      <c r="H17" s="604"/>
      <c r="I17" s="945"/>
      <c r="J17" s="367"/>
      <c r="K17" s="367"/>
      <c r="L17" s="606"/>
      <c r="P17" s="315"/>
      <c r="Q17" s="315"/>
      <c r="R17" s="315"/>
      <c r="S17" s="315"/>
      <c r="T17" s="315"/>
      <c r="U17" s="315"/>
      <c r="V17" s="315"/>
    </row>
    <row r="18" spans="1:22" ht="21" customHeight="1">
      <c r="A18" s="136"/>
      <c r="B18" s="1764"/>
      <c r="C18" s="1764"/>
      <c r="D18" s="1765"/>
      <c r="E18" s="367"/>
      <c r="F18" s="603"/>
      <c r="G18" s="367"/>
      <c r="H18" s="604"/>
      <c r="I18" s="945"/>
      <c r="J18" s="367"/>
      <c r="K18" s="367"/>
      <c r="L18" s="606"/>
      <c r="P18" s="315"/>
      <c r="Q18" s="315"/>
      <c r="R18" s="315"/>
      <c r="S18" s="315"/>
      <c r="T18" s="315"/>
      <c r="U18" s="315"/>
      <c r="V18" s="315"/>
    </row>
    <row r="19" spans="1:22" ht="21" customHeight="1">
      <c r="B19" s="1764"/>
      <c r="C19" s="1764"/>
      <c r="D19" s="1765"/>
      <c r="E19" s="367"/>
      <c r="F19" s="603"/>
      <c r="G19" s="367"/>
      <c r="H19" s="604"/>
      <c r="I19" s="945"/>
      <c r="J19" s="367"/>
      <c r="K19" s="367"/>
      <c r="L19" s="606"/>
      <c r="P19" s="315"/>
      <c r="Q19" s="315"/>
      <c r="R19" s="315"/>
      <c r="S19" s="315"/>
      <c r="T19" s="315"/>
      <c r="U19" s="315"/>
      <c r="V19" s="315"/>
    </row>
    <row r="20" spans="1:22" ht="21" customHeight="1">
      <c r="B20" s="1764"/>
      <c r="C20" s="1764"/>
      <c r="D20" s="1765"/>
      <c r="E20" s="367"/>
      <c r="F20" s="603"/>
      <c r="G20" s="367"/>
      <c r="H20" s="604"/>
      <c r="I20" s="945"/>
      <c r="J20" s="367"/>
      <c r="K20" s="367"/>
      <c r="L20" s="606"/>
      <c r="P20" s="315"/>
      <c r="Q20" s="315"/>
      <c r="R20" s="315"/>
      <c r="S20" s="315"/>
      <c r="T20" s="315"/>
      <c r="U20" s="315"/>
      <c r="V20" s="315"/>
    </row>
    <row r="21" spans="1:22" ht="21" customHeight="1">
      <c r="B21" s="1764"/>
      <c r="C21" s="1764"/>
      <c r="D21" s="1765"/>
      <c r="E21" s="367"/>
      <c r="F21" s="603"/>
      <c r="G21" s="367"/>
      <c r="H21" s="607"/>
      <c r="I21" s="945"/>
      <c r="J21" s="367"/>
      <c r="K21" s="367"/>
      <c r="L21" s="606"/>
      <c r="P21" s="315"/>
      <c r="Q21" s="315"/>
      <c r="R21" s="315"/>
      <c r="S21" s="315"/>
      <c r="T21" s="315"/>
      <c r="U21" s="315"/>
      <c r="V21" s="315"/>
    </row>
    <row r="22" spans="1:22" ht="21" customHeight="1" thickBot="1">
      <c r="B22" s="1764"/>
      <c r="C22" s="1764"/>
      <c r="D22" s="1765"/>
      <c r="E22" s="608"/>
      <c r="F22" s="1447"/>
      <c r="G22" s="608"/>
      <c r="H22" s="1448"/>
      <c r="I22" s="946"/>
      <c r="J22" s="608"/>
      <c r="K22" s="608"/>
      <c r="L22" s="1449"/>
      <c r="P22" s="315"/>
      <c r="Q22" s="315"/>
      <c r="R22" s="315"/>
      <c r="S22" s="315"/>
      <c r="T22" s="315"/>
      <c r="U22" s="315"/>
      <c r="V22" s="315"/>
    </row>
    <row r="23" spans="1:22" ht="21" customHeight="1" thickTop="1" thickBot="1">
      <c r="B23" s="146"/>
      <c r="C23" s="27"/>
      <c r="D23" s="786" t="s">
        <v>3402</v>
      </c>
      <c r="E23" s="79">
        <f>SUM(E9:E22)</f>
        <v>0</v>
      </c>
      <c r="F23" s="14"/>
      <c r="G23" s="79">
        <f>SUM(G9:G22)</f>
        <v>0</v>
      </c>
      <c r="H23" s="79"/>
      <c r="I23" s="79"/>
      <c r="J23" s="79">
        <f>SUM(J9:J22)</f>
        <v>0</v>
      </c>
      <c r="K23" s="79">
        <f>SUM(K9:K22)</f>
        <v>0</v>
      </c>
      <c r="L23" s="19"/>
      <c r="M23" s="247"/>
      <c r="P23" s="315"/>
      <c r="Q23" s="315"/>
      <c r="R23" s="315"/>
      <c r="S23" s="315"/>
      <c r="T23" s="315"/>
      <c r="U23" s="315"/>
      <c r="V23" s="315"/>
    </row>
    <row r="24" spans="1:22" ht="13.5" customHeight="1" thickTop="1">
      <c r="B24" s="204" t="s">
        <v>38</v>
      </c>
      <c r="C24" s="205"/>
      <c r="D24" s="206"/>
      <c r="E24" s="279"/>
      <c r="F24" s="279"/>
      <c r="G24" s="279"/>
      <c r="H24" s="279"/>
      <c r="I24" s="279"/>
      <c r="J24" s="978"/>
      <c r="K24" s="978"/>
      <c r="L24" s="279"/>
      <c r="P24" s="315"/>
      <c r="Q24" s="315"/>
      <c r="R24" s="315"/>
      <c r="S24" s="315"/>
      <c r="T24" s="315"/>
      <c r="U24" s="315"/>
      <c r="V24" s="315"/>
    </row>
    <row r="25" spans="1:22" ht="13.5" customHeight="1">
      <c r="B25" s="204" t="s">
        <v>39</v>
      </c>
      <c r="C25" s="205"/>
      <c r="D25" s="206"/>
      <c r="E25" s="279"/>
      <c r="F25" s="279"/>
      <c r="G25" s="279"/>
      <c r="H25" s="279"/>
      <c r="I25" s="279"/>
      <c r="J25" s="279"/>
      <c r="K25" s="279"/>
      <c r="L25" s="279"/>
      <c r="P25" s="315"/>
      <c r="Q25" s="315"/>
      <c r="R25" s="315"/>
      <c r="S25" s="315"/>
      <c r="T25" s="315"/>
      <c r="U25" s="315"/>
      <c r="V25" s="315"/>
    </row>
    <row r="26" spans="1:22" ht="13.5" customHeight="1">
      <c r="B26" s="204" t="s">
        <v>40</v>
      </c>
      <c r="C26" s="205"/>
      <c r="D26" s="206"/>
      <c r="E26" s="279"/>
      <c r="F26" s="279"/>
      <c r="G26" s="279"/>
      <c r="H26" s="279"/>
      <c r="I26" s="279"/>
      <c r="J26" s="279"/>
      <c r="K26" s="279"/>
      <c r="L26" s="279"/>
      <c r="P26" s="315"/>
      <c r="Q26" s="315"/>
      <c r="R26" s="315"/>
      <c r="S26" s="315"/>
      <c r="T26" s="315"/>
      <c r="U26" s="315"/>
      <c r="V26" s="315"/>
    </row>
    <row r="27" spans="1:22" ht="13.5" customHeight="1">
      <c r="B27" s="204"/>
      <c r="C27" s="205"/>
      <c r="D27" s="207" t="str">
        <f>"All notes with an original date of issue of "&amp;TEXT('KEY INPUTS'!D33-3,"0")&amp;" or prior require one legally payable installment to be budgeted if it is contemplated that such notes will be renewed in "&amp;TEXT('KEY INPUTS'!D33,"0")&amp; " or"</f>
        <v>All notes with an original date of issue of 2018 or prior require one legally payable installment to be budgeted if it is contemplated that such notes will be renewed in 2021 or</v>
      </c>
      <c r="E27" s="279"/>
      <c r="F27" s="279"/>
      <c r="G27" s="279"/>
      <c r="H27" s="279"/>
      <c r="I27" s="279"/>
      <c r="J27" s="279"/>
      <c r="K27" s="279"/>
      <c r="L27" s="279"/>
    </row>
    <row r="28" spans="1:22" ht="13.5" customHeight="1">
      <c r="B28" s="204"/>
      <c r="C28" s="205"/>
      <c r="D28" s="207" t="s">
        <v>41</v>
      </c>
      <c r="E28" s="279"/>
      <c r="F28" s="279"/>
      <c r="G28" s="279"/>
      <c r="H28" s="279"/>
      <c r="I28" s="279"/>
      <c r="J28" s="149" t="s">
        <v>103</v>
      </c>
      <c r="K28" s="279"/>
      <c r="L28" s="279"/>
    </row>
    <row r="29" spans="1:22">
      <c r="B29" s="203" t="s">
        <v>42</v>
      </c>
      <c r="C29" s="203"/>
      <c r="D29" s="203"/>
      <c r="E29" s="315"/>
      <c r="F29" s="315"/>
      <c r="G29" s="315"/>
      <c r="H29" s="315"/>
      <c r="I29" s="315"/>
      <c r="J29" s="315"/>
      <c r="K29" s="315"/>
      <c r="L29" s="315"/>
    </row>
    <row r="32" spans="1:22">
      <c r="J32" s="221"/>
    </row>
    <row r="33" spans="7:11">
      <c r="G33" s="221"/>
      <c r="J33" s="221"/>
      <c r="K33" s="246"/>
    </row>
    <row r="35" spans="7:11">
      <c r="K35" s="305"/>
    </row>
  </sheetData>
  <sheetProtection algorithmName="SHA-512" hashValue="+vptrtte63C6pO5FOIlny6+P3HwoxhLSyTZFGZnaoSyO6lS5V/12iaf21gQ55nITLIXUDiMLZ9p/P1k/QFUyhA==" saltValue="GJpLRuw/hiCyFxm/+6Ipeg==" spinCount="100000" sheet="1" objects="1" scenarios="1"/>
  <mergeCells count="19">
    <mergeCell ref="B18:D18"/>
    <mergeCell ref="B19:D19"/>
    <mergeCell ref="B20:D20"/>
    <mergeCell ref="B21:D21"/>
    <mergeCell ref="B22:D22"/>
    <mergeCell ref="B2:L2"/>
    <mergeCell ref="B3:L3"/>
    <mergeCell ref="A15:A17"/>
    <mergeCell ref="C6:D6"/>
    <mergeCell ref="J5:K6"/>
    <mergeCell ref="B9:D9"/>
    <mergeCell ref="B10:D10"/>
    <mergeCell ref="B11:D11"/>
    <mergeCell ref="B12:D12"/>
    <mergeCell ref="B13:D13"/>
    <mergeCell ref="B14:D14"/>
    <mergeCell ref="B15:D15"/>
    <mergeCell ref="B16:D16"/>
    <mergeCell ref="B17:D17"/>
  </mergeCells>
  <phoneticPr fontId="0" type="noConversion"/>
  <pageMargins left="0.25" right="0.25" top="0.5" bottom="0.5" header="0.25" footer="0.25"/>
  <pageSetup paperSize="5" orientation="landscape" r:id="rId1"/>
  <headerFooter alignWithMargins="0"/>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5"/>
  <dimension ref="A1:P35"/>
  <sheetViews>
    <sheetView workbookViewId="0">
      <selection activeCell="D22" sqref="D22"/>
    </sheetView>
  </sheetViews>
  <sheetFormatPr defaultColWidth="9.109375" defaultRowHeight="13.2"/>
  <cols>
    <col min="1" max="1" width="5.6640625" style="315" customWidth="1"/>
    <col min="2" max="3" width="4.88671875" style="315" customWidth="1"/>
    <col min="4" max="4" width="30.6640625" style="315" customWidth="1"/>
    <col min="5" max="12" width="15.6640625" style="315" customWidth="1"/>
    <col min="13" max="13" width="12.88671875" style="315" bestFit="1" customWidth="1"/>
    <col min="14" max="16384" width="9.109375" style="315"/>
  </cols>
  <sheetData>
    <row r="1" spans="1:16">
      <c r="B1" s="844"/>
      <c r="C1" s="844"/>
      <c r="D1" s="844"/>
      <c r="E1" s="844"/>
      <c r="F1" s="844"/>
      <c r="G1" s="844"/>
      <c r="H1" s="844"/>
      <c r="I1" s="844"/>
      <c r="J1" s="844"/>
      <c r="K1" s="844"/>
      <c r="L1" s="844"/>
    </row>
    <row r="2" spans="1:16" ht="20.399999999999999">
      <c r="B2" s="1635" t="s">
        <v>140</v>
      </c>
      <c r="C2" s="1635"/>
      <c r="D2" s="1635"/>
      <c r="E2" s="1635"/>
      <c r="F2" s="1635"/>
      <c r="G2" s="1635"/>
      <c r="H2" s="1635"/>
      <c r="I2" s="1635"/>
      <c r="J2" s="1635"/>
      <c r="K2" s="1635"/>
      <c r="L2" s="1635"/>
    </row>
    <row r="3" spans="1:16" ht="21" thickBot="1">
      <c r="B3" s="1635"/>
      <c r="C3" s="1635"/>
      <c r="D3" s="1635"/>
      <c r="E3" s="1635"/>
      <c r="F3" s="1635"/>
      <c r="G3" s="1635"/>
      <c r="H3" s="1635"/>
      <c r="I3" s="1635"/>
      <c r="J3" s="1635"/>
      <c r="K3" s="1635"/>
      <c r="L3" s="1635"/>
    </row>
    <row r="4" spans="1:16" ht="13.5" customHeight="1" thickTop="1">
      <c r="B4" s="877"/>
      <c r="C4" s="877"/>
      <c r="D4" s="877"/>
      <c r="E4" s="878"/>
      <c r="F4" s="878"/>
      <c r="G4" s="878"/>
      <c r="H4" s="878"/>
      <c r="I4" s="878"/>
      <c r="J4" s="877"/>
      <c r="K4" s="877"/>
      <c r="L4" s="854"/>
    </row>
    <row r="5" spans="1:16" ht="13.5" customHeight="1">
      <c r="B5" s="844"/>
      <c r="C5" s="844"/>
      <c r="D5" s="844"/>
      <c r="E5" s="880" t="s">
        <v>144</v>
      </c>
      <c r="F5" s="885" t="s">
        <v>144</v>
      </c>
      <c r="G5" s="885" t="s">
        <v>441</v>
      </c>
      <c r="H5" s="885" t="s">
        <v>18</v>
      </c>
      <c r="I5" s="885" t="s">
        <v>572</v>
      </c>
      <c r="J5" s="1766" t="str">
        <f>TEXT('KEY INPUTS'!D33,"0")&amp;" Budget Requirements"</f>
        <v>2021 Budget Requirements</v>
      </c>
      <c r="K5" s="1767"/>
      <c r="L5" s="855" t="s">
        <v>573</v>
      </c>
    </row>
    <row r="6" spans="1:16" ht="13.5" customHeight="1">
      <c r="B6" s="844"/>
      <c r="C6" s="1636" t="s">
        <v>143</v>
      </c>
      <c r="D6" s="1637"/>
      <c r="E6" s="880" t="s">
        <v>441</v>
      </c>
      <c r="F6" s="885" t="s">
        <v>145</v>
      </c>
      <c r="G6" s="885" t="s">
        <v>569</v>
      </c>
      <c r="H6" s="885" t="s">
        <v>570</v>
      </c>
      <c r="I6" s="885" t="s">
        <v>570</v>
      </c>
      <c r="J6" s="1768"/>
      <c r="K6" s="1769"/>
      <c r="L6" s="855" t="s">
        <v>576</v>
      </c>
    </row>
    <row r="7" spans="1:16" ht="13.5" customHeight="1">
      <c r="B7" s="844"/>
      <c r="C7" s="844"/>
      <c r="D7" s="844"/>
      <c r="E7" s="880" t="s">
        <v>97</v>
      </c>
      <c r="F7" s="880" t="s">
        <v>146</v>
      </c>
      <c r="G7" s="880" t="s">
        <v>206</v>
      </c>
      <c r="H7" s="880" t="s">
        <v>571</v>
      </c>
      <c r="I7" s="880" t="s">
        <v>573</v>
      </c>
      <c r="J7" s="880" t="s">
        <v>118</v>
      </c>
      <c r="K7" s="880" t="s">
        <v>574</v>
      </c>
      <c r="L7" s="855" t="s">
        <v>577</v>
      </c>
    </row>
    <row r="8" spans="1:16" ht="13.5" customHeight="1" thickBot="1">
      <c r="B8" s="886"/>
      <c r="C8" s="886"/>
      <c r="D8" s="886"/>
      <c r="E8" s="887"/>
      <c r="F8" s="887"/>
      <c r="G8" s="1075" t="str">
        <f>'KEY INPUTS'!D46</f>
        <v>Dec. 31, 2020</v>
      </c>
      <c r="H8" s="887"/>
      <c r="I8" s="887"/>
      <c r="J8" s="888"/>
      <c r="K8" s="1076" t="s">
        <v>575</v>
      </c>
      <c r="L8" s="857"/>
    </row>
    <row r="9" spans="1:16" ht="21" customHeight="1" thickTop="1">
      <c r="B9" s="1033"/>
      <c r="C9" s="834" t="s">
        <v>3324</v>
      </c>
      <c r="D9" s="1013"/>
      <c r="E9" s="833">
        <f>+'33-Note Debt Service'!E23</f>
        <v>0</v>
      </c>
      <c r="F9" s="1077"/>
      <c r="G9" s="833">
        <f>+'33-Note Debt Service'!G23</f>
        <v>0</v>
      </c>
      <c r="H9" s="1078"/>
      <c r="I9" s="1079"/>
      <c r="J9" s="1080">
        <f>+'33-Note Debt Service'!J23</f>
        <v>0</v>
      </c>
      <c r="K9" s="833">
        <f>+'33-Note Debt Service'!K23</f>
        <v>0</v>
      </c>
      <c r="L9" s="1081"/>
      <c r="M9" s="318"/>
    </row>
    <row r="10" spans="1:16" ht="21" customHeight="1">
      <c r="B10" s="87"/>
      <c r="C10" s="993"/>
      <c r="D10" s="994"/>
      <c r="E10" s="367"/>
      <c r="F10" s="603"/>
      <c r="G10" s="367"/>
      <c r="H10" s="604"/>
      <c r="I10" s="945"/>
      <c r="J10" s="605"/>
      <c r="K10" s="367"/>
      <c r="L10" s="606"/>
      <c r="M10" s="318"/>
    </row>
    <row r="11" spans="1:16" ht="21" customHeight="1">
      <c r="B11" s="87"/>
      <c r="C11" s="993"/>
      <c r="D11" s="994"/>
      <c r="E11" s="367"/>
      <c r="F11" s="603"/>
      <c r="G11" s="367"/>
      <c r="H11" s="604"/>
      <c r="I11" s="945"/>
      <c r="J11" s="605"/>
      <c r="K11" s="367"/>
      <c r="L11" s="606"/>
      <c r="M11" s="318"/>
    </row>
    <row r="12" spans="1:16" ht="21" customHeight="1">
      <c r="B12" s="87"/>
      <c r="C12" s="993"/>
      <c r="D12" s="994"/>
      <c r="E12" s="367"/>
      <c r="F12" s="603"/>
      <c r="G12" s="367"/>
      <c r="H12" s="604"/>
      <c r="I12" s="945"/>
      <c r="J12" s="605"/>
      <c r="K12" s="367"/>
      <c r="L12" s="606"/>
      <c r="M12" s="318"/>
      <c r="P12" s="370"/>
    </row>
    <row r="13" spans="1:16" ht="21" customHeight="1">
      <c r="B13" s="87"/>
      <c r="C13" s="993"/>
      <c r="D13" s="994"/>
      <c r="E13" s="367"/>
      <c r="F13" s="603"/>
      <c r="G13" s="367"/>
      <c r="H13" s="604"/>
      <c r="I13" s="945"/>
      <c r="J13" s="605"/>
      <c r="K13" s="367"/>
      <c r="L13" s="606"/>
      <c r="M13" s="318"/>
    </row>
    <row r="14" spans="1:16" ht="21" customHeight="1">
      <c r="B14" s="87"/>
      <c r="C14" s="993"/>
      <c r="D14" s="994"/>
      <c r="E14" s="367"/>
      <c r="F14" s="603"/>
      <c r="G14" s="367"/>
      <c r="H14" s="604"/>
      <c r="I14" s="945"/>
      <c r="J14" s="367"/>
      <c r="K14" s="367"/>
      <c r="L14" s="606"/>
    </row>
    <row r="15" spans="1:16" ht="21" customHeight="1">
      <c r="A15" s="1613" t="s">
        <v>3401</v>
      </c>
      <c r="B15" s="87"/>
      <c r="C15" s="993"/>
      <c r="D15" s="994"/>
      <c r="E15" s="367"/>
      <c r="F15" s="603"/>
      <c r="G15" s="367"/>
      <c r="H15" s="604"/>
      <c r="I15" s="945"/>
      <c r="J15" s="367"/>
      <c r="K15" s="367"/>
      <c r="L15" s="606"/>
    </row>
    <row r="16" spans="1:16" ht="21" customHeight="1">
      <c r="A16" s="1613"/>
      <c r="B16" s="87"/>
      <c r="C16" s="993"/>
      <c r="D16" s="994"/>
      <c r="E16" s="367"/>
      <c r="F16" s="603"/>
      <c r="G16" s="367"/>
      <c r="H16" s="604"/>
      <c r="I16" s="945"/>
      <c r="J16" s="367"/>
      <c r="K16" s="367"/>
      <c r="L16" s="606"/>
    </row>
    <row r="17" spans="1:13" ht="21" customHeight="1">
      <c r="A17" s="1613"/>
      <c r="B17" s="87"/>
      <c r="C17" s="993"/>
      <c r="D17" s="994"/>
      <c r="E17" s="367"/>
      <c r="F17" s="603"/>
      <c r="G17" s="367"/>
      <c r="H17" s="604"/>
      <c r="I17" s="945"/>
      <c r="J17" s="367"/>
      <c r="K17" s="367"/>
      <c r="L17" s="606"/>
    </row>
    <row r="18" spans="1:13" ht="21" customHeight="1">
      <c r="A18" s="136"/>
      <c r="B18" s="87"/>
      <c r="C18" s="993"/>
      <c r="D18" s="994"/>
      <c r="E18" s="367"/>
      <c r="F18" s="603"/>
      <c r="G18" s="367"/>
      <c r="H18" s="604"/>
      <c r="I18" s="945"/>
      <c r="J18" s="367"/>
      <c r="K18" s="367"/>
      <c r="L18" s="606"/>
    </row>
    <row r="19" spans="1:13" ht="21" customHeight="1">
      <c r="B19" s="87"/>
      <c r="C19" s="993"/>
      <c r="D19" s="994"/>
      <c r="E19" s="367"/>
      <c r="F19" s="603"/>
      <c r="G19" s="367"/>
      <c r="H19" s="604"/>
      <c r="I19" s="945"/>
      <c r="J19" s="367"/>
      <c r="K19" s="367"/>
      <c r="L19" s="606"/>
    </row>
    <row r="20" spans="1:13" ht="21" customHeight="1">
      <c r="B20" s="87"/>
      <c r="C20" s="993"/>
      <c r="D20" s="994"/>
      <c r="E20" s="367"/>
      <c r="F20" s="603"/>
      <c r="G20" s="367"/>
      <c r="H20" s="604"/>
      <c r="I20" s="945"/>
      <c r="J20" s="367"/>
      <c r="K20" s="367"/>
      <c r="L20" s="606"/>
    </row>
    <row r="21" spans="1:13" ht="21" customHeight="1">
      <c r="B21" s="87"/>
      <c r="C21" s="993"/>
      <c r="D21" s="994"/>
      <c r="E21" s="367"/>
      <c r="F21" s="603"/>
      <c r="G21" s="367"/>
      <c r="H21" s="607"/>
      <c r="I21" s="945"/>
      <c r="J21" s="367"/>
      <c r="K21" s="367"/>
      <c r="L21" s="606"/>
    </row>
    <row r="22" spans="1:13" ht="21" customHeight="1" thickBot="1">
      <c r="B22" s="87"/>
      <c r="C22" s="993"/>
      <c r="D22" s="994"/>
      <c r="E22" s="608"/>
      <c r="F22" s="1447"/>
      <c r="G22" s="608"/>
      <c r="H22" s="1448"/>
      <c r="I22" s="946"/>
      <c r="J22" s="608"/>
      <c r="K22" s="608"/>
      <c r="L22" s="1449"/>
    </row>
    <row r="23" spans="1:13" ht="21" customHeight="1" thickTop="1" thickBot="1">
      <c r="B23" s="146"/>
      <c r="C23" s="27"/>
      <c r="D23" s="786" t="s">
        <v>3403</v>
      </c>
      <c r="E23" s="79">
        <f>SUM(E9:E22)</f>
        <v>0</v>
      </c>
      <c r="F23" s="14"/>
      <c r="G23" s="79">
        <f>SUM(G9:G22)</f>
        <v>0</v>
      </c>
      <c r="H23" s="79"/>
      <c r="I23" s="79"/>
      <c r="J23" s="79">
        <f>SUM(J9:J22)</f>
        <v>0</v>
      </c>
      <c r="K23" s="79">
        <f>SUM(K9:K22)</f>
        <v>0</v>
      </c>
      <c r="L23" s="19"/>
      <c r="M23" s="247"/>
    </row>
    <row r="24" spans="1:13" ht="13.5" customHeight="1" thickTop="1">
      <c r="B24" s="204" t="s">
        <v>38</v>
      </c>
      <c r="C24" s="205"/>
      <c r="D24" s="206"/>
      <c r="E24" s="279"/>
      <c r="F24" s="279"/>
      <c r="G24" s="279"/>
      <c r="H24" s="279"/>
      <c r="I24" s="279"/>
      <c r="J24" s="978"/>
      <c r="K24" s="978"/>
      <c r="L24" s="279"/>
    </row>
    <row r="25" spans="1:13" ht="13.5" customHeight="1">
      <c r="B25" s="204" t="s">
        <v>39</v>
      </c>
      <c r="C25" s="205"/>
      <c r="D25" s="206"/>
      <c r="E25" s="279"/>
      <c r="F25" s="279"/>
      <c r="G25" s="279"/>
      <c r="H25" s="279"/>
      <c r="I25" s="279"/>
      <c r="J25" s="279"/>
      <c r="K25" s="279"/>
      <c r="L25" s="279"/>
    </row>
    <row r="26" spans="1:13" ht="13.5" customHeight="1">
      <c r="B26" s="204" t="s">
        <v>40</v>
      </c>
      <c r="C26" s="205"/>
      <c r="D26" s="206"/>
      <c r="E26" s="279"/>
      <c r="F26" s="279"/>
      <c r="G26" s="279"/>
      <c r="H26" s="279"/>
      <c r="I26" s="279"/>
      <c r="J26" s="279"/>
      <c r="K26" s="279"/>
      <c r="L26" s="279"/>
    </row>
    <row r="27" spans="1:13" ht="13.5" customHeight="1">
      <c r="B27" s="204"/>
      <c r="C27" s="205"/>
      <c r="D27" s="207" t="str">
        <f>"All notes with an original date of issue of "&amp;TEXT('KEY INPUTS'!D33-3,"0")&amp;" or prior require one legally payable installment to be budgeted if it is contemplated that such notes will be renewed in "&amp;TEXT('KEY INPUTS'!D33,"0")&amp; " or"</f>
        <v>All notes with an original date of issue of 2018 or prior require one legally payable installment to be budgeted if it is contemplated that such notes will be renewed in 2021 or</v>
      </c>
      <c r="E27" s="279"/>
      <c r="F27" s="279"/>
      <c r="G27" s="279"/>
      <c r="H27" s="279"/>
      <c r="I27" s="279"/>
      <c r="J27" s="279"/>
      <c r="K27" s="279"/>
      <c r="L27" s="279"/>
    </row>
    <row r="28" spans="1:13" ht="13.5" customHeight="1">
      <c r="B28" s="204"/>
      <c r="C28" s="205"/>
      <c r="D28" s="207" t="s">
        <v>41</v>
      </c>
      <c r="E28" s="279"/>
      <c r="F28" s="279"/>
      <c r="G28" s="279"/>
      <c r="H28" s="279"/>
      <c r="I28" s="279"/>
      <c r="J28" s="149" t="s">
        <v>103</v>
      </c>
      <c r="K28" s="279"/>
      <c r="L28" s="279"/>
    </row>
    <row r="29" spans="1:13">
      <c r="B29" s="203" t="s">
        <v>42</v>
      </c>
      <c r="C29" s="203"/>
      <c r="D29" s="203"/>
    </row>
    <row r="32" spans="1:13">
      <c r="J32" s="318"/>
    </row>
    <row r="33" spans="7:11">
      <c r="G33" s="318"/>
      <c r="J33" s="318"/>
      <c r="K33" s="246"/>
    </row>
    <row r="35" spans="7:11">
      <c r="K35" s="318"/>
    </row>
  </sheetData>
  <sheetProtection algorithmName="SHA-512" hashValue="UayXYf62+nN1voIiDPtH8dPAEcXvAuC/tPc/m9JjNrPnB7wLRB4U5QoPM+JFvTI5OwsD7kHZVD0Xmog31QCxTA==" saltValue="+b20d5FIe7N19GunH7lIdQ==" spinCount="100000" sheet="1" objects="1" scenarios="1"/>
  <mergeCells count="5">
    <mergeCell ref="B2:L2"/>
    <mergeCell ref="B3:L3"/>
    <mergeCell ref="J5:K6"/>
    <mergeCell ref="C6:D6"/>
    <mergeCell ref="A15:A17"/>
  </mergeCells>
  <pageMargins left="0.25" right="0.25" top="0.5" bottom="0.5" header="0.25" footer="0.25"/>
  <pageSetup paperSize="5" orientation="landscape" r:id="rId1"/>
  <headerFooter alignWithMargins="0"/>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6"/>
  <dimension ref="A1:P35"/>
  <sheetViews>
    <sheetView workbookViewId="0">
      <selection activeCell="E10" sqref="E10"/>
    </sheetView>
  </sheetViews>
  <sheetFormatPr defaultColWidth="9.109375" defaultRowHeight="13.2"/>
  <cols>
    <col min="1" max="1" width="5.6640625" style="315" customWidth="1"/>
    <col min="2" max="3" width="4.88671875" style="315" customWidth="1"/>
    <col min="4" max="4" width="30.6640625" style="315" customWidth="1"/>
    <col min="5" max="12" width="15.6640625" style="315" customWidth="1"/>
    <col min="13" max="13" width="12.88671875" style="315" bestFit="1" customWidth="1"/>
    <col min="14" max="16384" width="9.109375" style="315"/>
  </cols>
  <sheetData>
    <row r="1" spans="1:16">
      <c r="B1" s="844"/>
      <c r="C1" s="844"/>
      <c r="D1" s="844"/>
      <c r="E1" s="844"/>
      <c r="F1" s="844"/>
      <c r="G1" s="844"/>
      <c r="H1" s="844"/>
      <c r="I1" s="844"/>
      <c r="J1" s="844"/>
      <c r="K1" s="844"/>
      <c r="L1" s="844"/>
    </row>
    <row r="2" spans="1:16" ht="20.399999999999999">
      <c r="B2" s="1635" t="s">
        <v>140</v>
      </c>
      <c r="C2" s="1635"/>
      <c r="D2" s="1635"/>
      <c r="E2" s="1635"/>
      <c r="F2" s="1635"/>
      <c r="G2" s="1635"/>
      <c r="H2" s="1635"/>
      <c r="I2" s="1635"/>
      <c r="J2" s="1635"/>
      <c r="K2" s="1635"/>
      <c r="L2" s="1635"/>
    </row>
    <row r="3" spans="1:16" ht="21" thickBot="1">
      <c r="B3" s="1635"/>
      <c r="C3" s="1635"/>
      <c r="D3" s="1635"/>
      <c r="E3" s="1635"/>
      <c r="F3" s="1635"/>
      <c r="G3" s="1635"/>
      <c r="H3" s="1635"/>
      <c r="I3" s="1635"/>
      <c r="J3" s="1635"/>
      <c r="K3" s="1635"/>
      <c r="L3" s="1635"/>
    </row>
    <row r="4" spans="1:16" ht="13.5" customHeight="1" thickTop="1">
      <c r="B4" s="877"/>
      <c r="C4" s="877"/>
      <c r="D4" s="877"/>
      <c r="E4" s="878"/>
      <c r="F4" s="878"/>
      <c r="G4" s="878"/>
      <c r="H4" s="878"/>
      <c r="I4" s="878"/>
      <c r="J4" s="877"/>
      <c r="K4" s="877"/>
      <c r="L4" s="854"/>
    </row>
    <row r="5" spans="1:16" ht="13.5" customHeight="1">
      <c r="B5" s="844"/>
      <c r="C5" s="844"/>
      <c r="D5" s="844"/>
      <c r="E5" s="880" t="s">
        <v>144</v>
      </c>
      <c r="F5" s="885" t="s">
        <v>144</v>
      </c>
      <c r="G5" s="885" t="s">
        <v>441</v>
      </c>
      <c r="H5" s="885" t="s">
        <v>18</v>
      </c>
      <c r="I5" s="885" t="s">
        <v>572</v>
      </c>
      <c r="J5" s="1766" t="str">
        <f>TEXT('KEY INPUTS'!D33,"0")&amp;" Budget Requirements"</f>
        <v>2021 Budget Requirements</v>
      </c>
      <c r="K5" s="1767"/>
      <c r="L5" s="855" t="s">
        <v>573</v>
      </c>
    </row>
    <row r="6" spans="1:16" ht="13.5" customHeight="1">
      <c r="B6" s="844"/>
      <c r="C6" s="1636" t="s">
        <v>143</v>
      </c>
      <c r="D6" s="1637"/>
      <c r="E6" s="880" t="s">
        <v>441</v>
      </c>
      <c r="F6" s="885" t="s">
        <v>145</v>
      </c>
      <c r="G6" s="885" t="s">
        <v>569</v>
      </c>
      <c r="H6" s="885" t="s">
        <v>570</v>
      </c>
      <c r="I6" s="885" t="s">
        <v>570</v>
      </c>
      <c r="J6" s="1768"/>
      <c r="K6" s="1769"/>
      <c r="L6" s="855" t="s">
        <v>576</v>
      </c>
    </row>
    <row r="7" spans="1:16" ht="13.5" customHeight="1">
      <c r="B7" s="844"/>
      <c r="C7" s="844"/>
      <c r="D7" s="844"/>
      <c r="E7" s="880" t="s">
        <v>97</v>
      </c>
      <c r="F7" s="880" t="s">
        <v>146</v>
      </c>
      <c r="G7" s="880" t="s">
        <v>206</v>
      </c>
      <c r="H7" s="880" t="s">
        <v>571</v>
      </c>
      <c r="I7" s="880" t="s">
        <v>573</v>
      </c>
      <c r="J7" s="880" t="s">
        <v>118</v>
      </c>
      <c r="K7" s="880" t="s">
        <v>574</v>
      </c>
      <c r="L7" s="855" t="s">
        <v>577</v>
      </c>
    </row>
    <row r="8" spans="1:16" ht="13.5" customHeight="1" thickBot="1">
      <c r="B8" s="886"/>
      <c r="C8" s="886"/>
      <c r="D8" s="886"/>
      <c r="E8" s="887"/>
      <c r="F8" s="887"/>
      <c r="G8" s="1075" t="str">
        <f>'KEY INPUTS'!D46</f>
        <v>Dec. 31, 2020</v>
      </c>
      <c r="H8" s="887"/>
      <c r="I8" s="887"/>
      <c r="J8" s="888"/>
      <c r="K8" s="1076" t="s">
        <v>575</v>
      </c>
      <c r="L8" s="857"/>
    </row>
    <row r="9" spans="1:16" ht="21" customHeight="1" thickTop="1">
      <c r="B9" s="1033"/>
      <c r="C9" s="834" t="s">
        <v>3324</v>
      </c>
      <c r="D9" s="1013"/>
      <c r="E9" s="833">
        <f>+'33.1-Note Debt Service'!E23</f>
        <v>0</v>
      </c>
      <c r="F9" s="1077"/>
      <c r="G9" s="833">
        <f>+'33.1-Note Debt Service'!G23</f>
        <v>0</v>
      </c>
      <c r="H9" s="1078"/>
      <c r="I9" s="1079"/>
      <c r="J9" s="1080">
        <f>+'33.1-Note Debt Service'!J23</f>
        <v>0</v>
      </c>
      <c r="K9" s="833">
        <f>+'33.1-Note Debt Service'!K23</f>
        <v>0</v>
      </c>
      <c r="L9" s="1081"/>
      <c r="M9" s="318"/>
    </row>
    <row r="10" spans="1:16" ht="21" customHeight="1">
      <c r="B10" s="87"/>
      <c r="C10" s="1599"/>
      <c r="D10" s="1600"/>
      <c r="E10" s="367"/>
      <c r="F10" s="603"/>
      <c r="G10" s="367"/>
      <c r="H10" s="604"/>
      <c r="I10" s="945"/>
      <c r="J10" s="605"/>
      <c r="K10" s="367"/>
      <c r="L10" s="606"/>
      <c r="M10" s="318"/>
    </row>
    <row r="11" spans="1:16" ht="21" customHeight="1">
      <c r="B11" s="87"/>
      <c r="C11" s="1599"/>
      <c r="D11" s="1600"/>
      <c r="E11" s="367"/>
      <c r="F11" s="603"/>
      <c r="G11" s="367"/>
      <c r="H11" s="604"/>
      <c r="I11" s="945"/>
      <c r="J11" s="605"/>
      <c r="K11" s="367"/>
      <c r="L11" s="606"/>
      <c r="M11" s="318"/>
    </row>
    <row r="12" spans="1:16" ht="21" customHeight="1">
      <c r="B12" s="87"/>
      <c r="C12" s="1599"/>
      <c r="D12" s="1600"/>
      <c r="E12" s="367"/>
      <c r="F12" s="603"/>
      <c r="G12" s="367"/>
      <c r="H12" s="604"/>
      <c r="I12" s="945"/>
      <c r="J12" s="605"/>
      <c r="K12" s="367"/>
      <c r="L12" s="606"/>
      <c r="M12" s="318"/>
      <c r="P12" s="370"/>
    </row>
    <row r="13" spans="1:16" ht="21" customHeight="1">
      <c r="B13" s="87"/>
      <c r="C13" s="1599"/>
      <c r="D13" s="1600"/>
      <c r="E13" s="367"/>
      <c r="F13" s="603"/>
      <c r="G13" s="367"/>
      <c r="H13" s="604"/>
      <c r="I13" s="945"/>
      <c r="J13" s="605"/>
      <c r="K13" s="367"/>
      <c r="L13" s="606"/>
      <c r="M13" s="318"/>
    </row>
    <row r="14" spans="1:16" ht="21" customHeight="1">
      <c r="B14" s="87"/>
      <c r="C14" s="1599"/>
      <c r="D14" s="1600"/>
      <c r="E14" s="367"/>
      <c r="F14" s="603"/>
      <c r="G14" s="367"/>
      <c r="H14" s="604"/>
      <c r="I14" s="945"/>
      <c r="J14" s="367"/>
      <c r="K14" s="367"/>
      <c r="L14" s="606"/>
    </row>
    <row r="15" spans="1:16" ht="21" customHeight="1">
      <c r="A15" s="1613" t="s">
        <v>3404</v>
      </c>
      <c r="B15" s="87"/>
      <c r="C15" s="1599"/>
      <c r="D15" s="1600"/>
      <c r="E15" s="367"/>
      <c r="F15" s="603"/>
      <c r="G15" s="367"/>
      <c r="H15" s="604"/>
      <c r="I15" s="945"/>
      <c r="J15" s="367"/>
      <c r="K15" s="367"/>
      <c r="L15" s="606"/>
    </row>
    <row r="16" spans="1:16" ht="21" customHeight="1">
      <c r="A16" s="1613"/>
      <c r="B16" s="87"/>
      <c r="C16" s="1599"/>
      <c r="D16" s="1600"/>
      <c r="E16" s="367"/>
      <c r="F16" s="603"/>
      <c r="G16" s="367"/>
      <c r="H16" s="604"/>
      <c r="I16" s="945"/>
      <c r="J16" s="367"/>
      <c r="K16" s="367"/>
      <c r="L16" s="606"/>
    </row>
    <row r="17" spans="1:13" ht="21" customHeight="1">
      <c r="A17" s="1613"/>
      <c r="B17" s="87"/>
      <c r="C17" s="1599"/>
      <c r="D17" s="1600"/>
      <c r="E17" s="367"/>
      <c r="F17" s="603"/>
      <c r="G17" s="367"/>
      <c r="H17" s="604"/>
      <c r="I17" s="945"/>
      <c r="J17" s="367"/>
      <c r="K17" s="367"/>
      <c r="L17" s="606"/>
    </row>
    <row r="18" spans="1:13" ht="21" customHeight="1">
      <c r="A18" s="136"/>
      <c r="B18" s="87"/>
      <c r="C18" s="1599"/>
      <c r="D18" s="1600"/>
      <c r="E18" s="367"/>
      <c r="F18" s="603"/>
      <c r="G18" s="367"/>
      <c r="H18" s="604"/>
      <c r="I18" s="945"/>
      <c r="J18" s="367"/>
      <c r="K18" s="367"/>
      <c r="L18" s="606"/>
    </row>
    <row r="19" spans="1:13" ht="21" customHeight="1">
      <c r="B19" s="87"/>
      <c r="C19" s="1599"/>
      <c r="D19" s="1600"/>
      <c r="E19" s="367"/>
      <c r="F19" s="603"/>
      <c r="G19" s="367"/>
      <c r="H19" s="604"/>
      <c r="I19" s="945"/>
      <c r="J19" s="367"/>
      <c r="K19" s="367"/>
      <c r="L19" s="606"/>
    </row>
    <row r="20" spans="1:13" ht="21" customHeight="1">
      <c r="B20" s="87"/>
      <c r="C20" s="1599"/>
      <c r="D20" s="1600"/>
      <c r="E20" s="367"/>
      <c r="F20" s="603"/>
      <c r="G20" s="367"/>
      <c r="H20" s="604"/>
      <c r="I20" s="945"/>
      <c r="J20" s="367"/>
      <c r="K20" s="367"/>
      <c r="L20" s="606"/>
    </row>
    <row r="21" spans="1:13" ht="21" customHeight="1">
      <c r="B21" s="87"/>
      <c r="C21" s="1599"/>
      <c r="D21" s="1600"/>
      <c r="E21" s="367"/>
      <c r="F21" s="603"/>
      <c r="G21" s="367"/>
      <c r="H21" s="607"/>
      <c r="I21" s="945"/>
      <c r="J21" s="367"/>
      <c r="K21" s="367"/>
      <c r="L21" s="606"/>
    </row>
    <row r="22" spans="1:13" ht="21" customHeight="1" thickBot="1">
      <c r="B22" s="87"/>
      <c r="C22" s="1599"/>
      <c r="D22" s="1600"/>
      <c r="E22" s="608"/>
      <c r="F22" s="1447"/>
      <c r="G22" s="608"/>
      <c r="H22" s="1448"/>
      <c r="I22" s="946"/>
      <c r="J22" s="608"/>
      <c r="K22" s="608"/>
      <c r="L22" s="1449"/>
    </row>
    <row r="23" spans="1:13" ht="21" customHeight="1" thickTop="1" thickBot="1">
      <c r="B23" s="146"/>
      <c r="C23" s="27"/>
      <c r="D23" s="786" t="s">
        <v>3403</v>
      </c>
      <c r="E23" s="79">
        <f>SUM(E9:E22)</f>
        <v>0</v>
      </c>
      <c r="F23" s="14"/>
      <c r="G23" s="79">
        <f>SUM(G9:G22)</f>
        <v>0</v>
      </c>
      <c r="H23" s="79"/>
      <c r="I23" s="79"/>
      <c r="J23" s="79">
        <f>SUM(J9:J22)</f>
        <v>0</v>
      </c>
      <c r="K23" s="79">
        <f>SUM(K9:K22)</f>
        <v>0</v>
      </c>
      <c r="L23" s="19"/>
      <c r="M23" s="247"/>
    </row>
    <row r="24" spans="1:13" ht="13.5" customHeight="1" thickTop="1">
      <c r="B24" s="204" t="s">
        <v>38</v>
      </c>
      <c r="C24" s="205"/>
      <c r="D24" s="206"/>
      <c r="E24" s="279"/>
      <c r="F24" s="279"/>
      <c r="G24" s="279"/>
      <c r="H24" s="279"/>
      <c r="I24" s="279"/>
      <c r="J24" s="978"/>
      <c r="K24" s="978"/>
      <c r="L24" s="279"/>
    </row>
    <row r="25" spans="1:13" ht="13.5" customHeight="1">
      <c r="B25" s="204" t="s">
        <v>39</v>
      </c>
      <c r="C25" s="205"/>
      <c r="D25" s="206"/>
      <c r="E25" s="279"/>
      <c r="F25" s="279"/>
      <c r="G25" s="279"/>
      <c r="H25" s="279"/>
      <c r="I25" s="279"/>
      <c r="J25" s="279"/>
      <c r="K25" s="279"/>
      <c r="L25" s="279"/>
    </row>
    <row r="26" spans="1:13" ht="13.5" customHeight="1">
      <c r="B26" s="204" t="s">
        <v>40</v>
      </c>
      <c r="C26" s="205"/>
      <c r="D26" s="206"/>
      <c r="E26" s="279"/>
      <c r="F26" s="279"/>
      <c r="G26" s="279"/>
      <c r="H26" s="279"/>
      <c r="I26" s="279"/>
      <c r="J26" s="279"/>
      <c r="K26" s="279"/>
      <c r="L26" s="279"/>
    </row>
    <row r="27" spans="1:13" ht="13.5" customHeight="1">
      <c r="B27" s="204"/>
      <c r="C27" s="205"/>
      <c r="D27" s="207" t="str">
        <f>"All notes with an original date of issue of "&amp;TEXT('KEY INPUTS'!D33-3,"0")&amp;" or prior require one legally payable installment to be budgeted if it is contemplated that such notes will be renewed in "&amp;TEXT('KEY INPUTS'!D33,"0")&amp; " or"</f>
        <v>All notes with an original date of issue of 2018 or prior require one legally payable installment to be budgeted if it is contemplated that such notes will be renewed in 2021 or</v>
      </c>
      <c r="E27" s="279"/>
      <c r="F27" s="279"/>
      <c r="G27" s="279"/>
      <c r="H27" s="279"/>
      <c r="I27" s="279"/>
      <c r="J27" s="279"/>
      <c r="K27" s="279"/>
      <c r="L27" s="279"/>
    </row>
    <row r="28" spans="1:13" ht="13.5" customHeight="1">
      <c r="B28" s="204"/>
      <c r="C28" s="205"/>
      <c r="D28" s="207" t="s">
        <v>41</v>
      </c>
      <c r="E28" s="279"/>
      <c r="F28" s="279"/>
      <c r="G28" s="279"/>
      <c r="H28" s="279"/>
      <c r="I28" s="279"/>
      <c r="J28" s="149" t="s">
        <v>103</v>
      </c>
      <c r="K28" s="279"/>
      <c r="L28" s="279"/>
    </row>
    <row r="29" spans="1:13">
      <c r="B29" s="203" t="s">
        <v>42</v>
      </c>
      <c r="C29" s="203"/>
      <c r="D29" s="203"/>
    </row>
    <row r="32" spans="1:13">
      <c r="J32" s="318"/>
    </row>
    <row r="33" spans="7:11">
      <c r="G33" s="318"/>
      <c r="J33" s="318"/>
      <c r="K33" s="246"/>
    </row>
    <row r="35" spans="7:11">
      <c r="K35" s="318"/>
    </row>
  </sheetData>
  <sheetProtection algorithmName="SHA-512" hashValue="PP4Qrb8xs/oknWhElVliOPn6IIwVYEJdTTY/ECCdSO9F8gSs5Sm5JxAhb3yQ6cxMVDxUxT3f8djmyX2ZkVfXXA==" saltValue="qXN0sGTN3HpkfdYmWlZy3Q==" spinCount="100000" sheet="1" objects="1" scenarios="1"/>
  <mergeCells count="18">
    <mergeCell ref="C18:D18"/>
    <mergeCell ref="C19:D19"/>
    <mergeCell ref="C20:D20"/>
    <mergeCell ref="C21:D21"/>
    <mergeCell ref="C22:D22"/>
    <mergeCell ref="B2:L2"/>
    <mergeCell ref="B3:L3"/>
    <mergeCell ref="J5:K6"/>
    <mergeCell ref="C6:D6"/>
    <mergeCell ref="A15:A17"/>
    <mergeCell ref="C10:D10"/>
    <mergeCell ref="C11:D11"/>
    <mergeCell ref="C12:D12"/>
    <mergeCell ref="C13:D13"/>
    <mergeCell ref="C14:D14"/>
    <mergeCell ref="C15:D15"/>
    <mergeCell ref="C16:D16"/>
    <mergeCell ref="C17:D17"/>
  </mergeCells>
  <pageMargins left="0.25" right="0.25" top="0.5" bottom="0.5" header="0.25" footer="0.25"/>
  <pageSetup paperSize="5" orientation="landscape" r:id="rId1"/>
  <headerFooter alignWithMargins="0"/>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7"/>
  <dimension ref="A1:U29"/>
  <sheetViews>
    <sheetView zoomScaleNormal="100" workbookViewId="0">
      <selection activeCell="C10" sqref="C10:D10"/>
    </sheetView>
  </sheetViews>
  <sheetFormatPr defaultRowHeight="13.2"/>
  <cols>
    <col min="1" max="1" width="5.6640625" customWidth="1"/>
    <col min="2" max="3" width="4.88671875" customWidth="1"/>
    <col min="4" max="4" width="30.6640625" customWidth="1"/>
    <col min="5" max="12" width="15.6640625" customWidth="1"/>
  </cols>
  <sheetData>
    <row r="1" spans="1:21">
      <c r="B1" s="315"/>
      <c r="C1" s="315"/>
      <c r="D1" s="315"/>
      <c r="E1" s="315"/>
      <c r="F1" s="315"/>
      <c r="G1" s="315"/>
      <c r="H1" s="315"/>
      <c r="I1" s="315"/>
      <c r="J1" s="315"/>
      <c r="K1" s="315"/>
      <c r="L1" s="315"/>
    </row>
    <row r="2" spans="1:21" ht="20.399999999999999">
      <c r="B2" s="1546" t="s">
        <v>542</v>
      </c>
      <c r="C2" s="1546"/>
      <c r="D2" s="1546"/>
      <c r="E2" s="1546"/>
      <c r="F2" s="1546"/>
      <c r="G2" s="1546"/>
      <c r="H2" s="1546"/>
      <c r="I2" s="1546"/>
      <c r="J2" s="1546"/>
      <c r="K2" s="1546"/>
      <c r="L2" s="1546"/>
    </row>
    <row r="3" spans="1:21" ht="21" thickBot="1">
      <c r="B3" s="1546"/>
      <c r="C3" s="1546"/>
      <c r="D3" s="1546"/>
      <c r="E3" s="1546"/>
      <c r="F3" s="1546"/>
      <c r="G3" s="1546"/>
      <c r="H3" s="1546"/>
      <c r="I3" s="1546"/>
      <c r="J3" s="1546"/>
      <c r="K3" s="1546"/>
      <c r="L3" s="1546"/>
    </row>
    <row r="4" spans="1:21" ht="13.5" customHeight="1" thickTop="1">
      <c r="B4" s="11"/>
      <c r="C4" s="11"/>
      <c r="D4" s="11"/>
      <c r="E4" s="12"/>
      <c r="F4" s="12"/>
      <c r="G4" s="12"/>
      <c r="H4" s="12"/>
      <c r="I4" s="12"/>
      <c r="J4" s="11"/>
      <c r="K4" s="11"/>
      <c r="L4" s="18"/>
    </row>
    <row r="5" spans="1:21" ht="13.5" customHeight="1">
      <c r="B5" s="315"/>
      <c r="C5" s="315"/>
      <c r="D5" s="315"/>
      <c r="E5" s="275" t="s">
        <v>144</v>
      </c>
      <c r="F5" s="987" t="s">
        <v>144</v>
      </c>
      <c r="G5" s="987" t="s">
        <v>441</v>
      </c>
      <c r="H5" s="987" t="s">
        <v>18</v>
      </c>
      <c r="I5" s="987" t="s">
        <v>572</v>
      </c>
      <c r="J5" s="1757" t="str">
        <f>'33-Note Debt Service'!J5:K6</f>
        <v>2021 Budget Requirements</v>
      </c>
      <c r="K5" s="1758"/>
      <c r="L5" s="21" t="s">
        <v>573</v>
      </c>
    </row>
    <row r="6" spans="1:21" ht="13.5" customHeight="1">
      <c r="B6" s="315"/>
      <c r="C6" s="1584" t="s">
        <v>143</v>
      </c>
      <c r="D6" s="1634"/>
      <c r="E6" s="275" t="s">
        <v>441</v>
      </c>
      <c r="F6" s="987" t="s">
        <v>145</v>
      </c>
      <c r="G6" s="987" t="s">
        <v>569</v>
      </c>
      <c r="H6" s="987" t="s">
        <v>570</v>
      </c>
      <c r="I6" s="987" t="s">
        <v>570</v>
      </c>
      <c r="J6" s="1759"/>
      <c r="K6" s="1760"/>
      <c r="L6" s="21" t="s">
        <v>576</v>
      </c>
    </row>
    <row r="7" spans="1:21" ht="13.5" customHeight="1">
      <c r="B7" s="315"/>
      <c r="C7" s="315"/>
      <c r="D7" s="315"/>
      <c r="E7" s="275" t="s">
        <v>97</v>
      </c>
      <c r="F7" s="275" t="s">
        <v>146</v>
      </c>
      <c r="G7" s="275" t="s">
        <v>206</v>
      </c>
      <c r="H7" s="275" t="s">
        <v>571</v>
      </c>
      <c r="I7" s="275" t="s">
        <v>573</v>
      </c>
      <c r="J7" s="275" t="s">
        <v>118</v>
      </c>
      <c r="K7" s="275" t="s">
        <v>574</v>
      </c>
      <c r="L7" s="21" t="s">
        <v>577</v>
      </c>
    </row>
    <row r="8" spans="1:21" ht="13.5" customHeight="1" thickBot="1">
      <c r="B8" s="10"/>
      <c r="C8" s="10"/>
      <c r="D8" s="10"/>
      <c r="E8" s="14"/>
      <c r="F8" s="14"/>
      <c r="G8" s="298" t="str">
        <f>'KEY INPUTS'!D46</f>
        <v>Dec. 31, 2020</v>
      </c>
      <c r="H8" s="14"/>
      <c r="I8" s="14"/>
      <c r="J8" s="16"/>
      <c r="K8" s="147" t="s">
        <v>575</v>
      </c>
      <c r="L8" s="19"/>
    </row>
    <row r="9" spans="1:21" ht="21" customHeight="1" thickTop="1">
      <c r="B9" s="86" t="s">
        <v>308</v>
      </c>
      <c r="C9" s="1770" t="s">
        <v>3673</v>
      </c>
      <c r="D9" s="1771"/>
      <c r="E9" s="610"/>
      <c r="F9" s="611"/>
      <c r="G9" s="610"/>
      <c r="H9" s="610"/>
      <c r="I9" s="947"/>
      <c r="J9" s="610"/>
      <c r="K9" s="610"/>
      <c r="L9" s="613"/>
      <c r="O9" s="315"/>
      <c r="P9" s="315"/>
      <c r="Q9" s="315"/>
      <c r="R9" s="315"/>
      <c r="S9" s="315"/>
      <c r="T9" s="315"/>
      <c r="U9" s="315"/>
    </row>
    <row r="10" spans="1:21" ht="21" customHeight="1">
      <c r="B10" s="87" t="s">
        <v>309</v>
      </c>
      <c r="C10" s="1599"/>
      <c r="D10" s="1600"/>
      <c r="E10" s="593"/>
      <c r="F10" s="614"/>
      <c r="G10" s="593"/>
      <c r="H10" s="593"/>
      <c r="I10" s="948"/>
      <c r="J10" s="593"/>
      <c r="K10" s="593"/>
      <c r="L10" s="616"/>
      <c r="O10" s="315"/>
      <c r="P10" s="315"/>
      <c r="Q10" s="315"/>
      <c r="R10" s="315"/>
      <c r="S10" s="315"/>
      <c r="T10" s="315"/>
      <c r="U10" s="315"/>
    </row>
    <row r="11" spans="1:21" ht="21" customHeight="1">
      <c r="B11" s="87" t="s">
        <v>310</v>
      </c>
      <c r="C11" s="1599"/>
      <c r="D11" s="1600"/>
      <c r="E11" s="593"/>
      <c r="F11" s="614"/>
      <c r="G11" s="593"/>
      <c r="H11" s="593"/>
      <c r="I11" s="948"/>
      <c r="J11" s="593"/>
      <c r="K11" s="593"/>
      <c r="L11" s="616"/>
      <c r="O11" s="370"/>
      <c r="P11" s="315"/>
      <c r="Q11" s="315"/>
      <c r="R11" s="315"/>
      <c r="S11" s="315"/>
      <c r="T11" s="315"/>
      <c r="U11" s="315"/>
    </row>
    <row r="12" spans="1:21" ht="21" customHeight="1">
      <c r="B12" s="87" t="s">
        <v>311</v>
      </c>
      <c r="C12" s="1599"/>
      <c r="D12" s="1600"/>
      <c r="E12" s="593"/>
      <c r="F12" s="614"/>
      <c r="G12" s="593"/>
      <c r="H12" s="593"/>
      <c r="I12" s="948"/>
      <c r="J12" s="593"/>
      <c r="K12" s="593"/>
      <c r="L12" s="616"/>
      <c r="O12" s="315"/>
      <c r="P12" s="315"/>
      <c r="Q12" s="315"/>
      <c r="R12" s="315"/>
      <c r="S12" s="315"/>
      <c r="T12" s="315"/>
      <c r="U12" s="315"/>
    </row>
    <row r="13" spans="1:21" ht="21" customHeight="1">
      <c r="B13" s="87" t="s">
        <v>312</v>
      </c>
      <c r="C13" s="1599"/>
      <c r="D13" s="1600"/>
      <c r="E13" s="593"/>
      <c r="F13" s="614"/>
      <c r="G13" s="593"/>
      <c r="H13" s="593"/>
      <c r="I13" s="948"/>
      <c r="J13" s="593"/>
      <c r="K13" s="593"/>
      <c r="L13" s="616"/>
      <c r="O13" s="315"/>
      <c r="P13" s="315"/>
      <c r="Q13" s="315"/>
      <c r="R13" s="315"/>
      <c r="S13" s="315"/>
      <c r="T13" s="315"/>
      <c r="U13" s="315"/>
    </row>
    <row r="14" spans="1:21" ht="21" customHeight="1">
      <c r="B14" s="87" t="s">
        <v>313</v>
      </c>
      <c r="C14" s="1599"/>
      <c r="D14" s="1600"/>
      <c r="E14" s="596"/>
      <c r="F14" s="617"/>
      <c r="G14" s="596"/>
      <c r="H14" s="596"/>
      <c r="I14" s="949"/>
      <c r="J14" s="593"/>
      <c r="K14" s="593"/>
      <c r="L14" s="616"/>
      <c r="O14" s="315"/>
      <c r="P14" s="315"/>
      <c r="Q14" s="315"/>
      <c r="R14" s="315"/>
      <c r="S14" s="315"/>
      <c r="T14" s="315"/>
      <c r="U14" s="315"/>
    </row>
    <row r="15" spans="1:21" ht="21" customHeight="1">
      <c r="A15" s="1613" t="s">
        <v>578</v>
      </c>
      <c r="B15" s="87" t="s">
        <v>314</v>
      </c>
      <c r="C15" s="1599"/>
      <c r="D15" s="1600"/>
      <c r="E15" s="593"/>
      <c r="F15" s="614"/>
      <c r="G15" s="593"/>
      <c r="H15" s="593"/>
      <c r="I15" s="948"/>
      <c r="J15" s="593"/>
      <c r="K15" s="593"/>
      <c r="L15" s="616"/>
      <c r="O15" s="315"/>
      <c r="P15" s="315"/>
      <c r="Q15" s="315"/>
      <c r="R15" s="315"/>
      <c r="S15" s="315"/>
      <c r="T15" s="315"/>
      <c r="U15" s="315"/>
    </row>
    <row r="16" spans="1:21" ht="21" customHeight="1">
      <c r="A16" s="1613"/>
      <c r="B16" s="87" t="s">
        <v>409</v>
      </c>
      <c r="C16" s="1599"/>
      <c r="D16" s="1600"/>
      <c r="E16" s="593"/>
      <c r="F16" s="614"/>
      <c r="G16" s="593"/>
      <c r="H16" s="593"/>
      <c r="I16" s="948"/>
      <c r="J16" s="593"/>
      <c r="K16" s="593"/>
      <c r="L16" s="616"/>
      <c r="O16" s="315"/>
      <c r="P16" s="315"/>
      <c r="Q16" s="315"/>
      <c r="R16" s="315"/>
      <c r="S16" s="315"/>
      <c r="T16" s="315"/>
      <c r="U16" s="315"/>
    </row>
    <row r="17" spans="1:21" ht="21" customHeight="1">
      <c r="A17" s="1613"/>
      <c r="B17" s="87" t="s">
        <v>410</v>
      </c>
      <c r="C17" s="1599"/>
      <c r="D17" s="1600"/>
      <c r="E17" s="593"/>
      <c r="F17" s="614"/>
      <c r="G17" s="593"/>
      <c r="H17" s="593"/>
      <c r="I17" s="948"/>
      <c r="J17" s="593"/>
      <c r="K17" s="593"/>
      <c r="L17" s="616"/>
      <c r="O17" s="315"/>
      <c r="P17" s="315"/>
      <c r="Q17" s="315"/>
      <c r="R17" s="315"/>
      <c r="S17" s="315"/>
      <c r="T17" s="315"/>
      <c r="U17" s="315"/>
    </row>
    <row r="18" spans="1:21" ht="21" customHeight="1">
      <c r="A18" s="136"/>
      <c r="B18" s="87" t="s">
        <v>411</v>
      </c>
      <c r="C18" s="1599"/>
      <c r="D18" s="1600"/>
      <c r="E18" s="593"/>
      <c r="F18" s="614"/>
      <c r="G18" s="593"/>
      <c r="H18" s="593"/>
      <c r="I18" s="948"/>
      <c r="J18" s="593"/>
      <c r="K18" s="593"/>
      <c r="L18" s="616"/>
      <c r="O18" s="315"/>
      <c r="P18" s="315"/>
      <c r="Q18" s="315"/>
      <c r="R18" s="315"/>
      <c r="S18" s="315"/>
      <c r="T18" s="315"/>
      <c r="U18" s="315"/>
    </row>
    <row r="19" spans="1:21" ht="21" customHeight="1">
      <c r="B19" s="87" t="s">
        <v>234</v>
      </c>
      <c r="C19" s="1599"/>
      <c r="D19" s="1600"/>
      <c r="E19" s="593"/>
      <c r="F19" s="614"/>
      <c r="G19" s="593"/>
      <c r="H19" s="593"/>
      <c r="I19" s="948"/>
      <c r="J19" s="593"/>
      <c r="K19" s="593"/>
      <c r="L19" s="616"/>
      <c r="O19" s="315"/>
      <c r="P19" s="315"/>
      <c r="Q19" s="315"/>
      <c r="R19" s="315"/>
      <c r="S19" s="315"/>
      <c r="T19" s="315"/>
      <c r="U19" s="315"/>
    </row>
    <row r="20" spans="1:21" ht="21" customHeight="1">
      <c r="B20" s="87" t="s">
        <v>236</v>
      </c>
      <c r="C20" s="1599"/>
      <c r="D20" s="1600"/>
      <c r="E20" s="593"/>
      <c r="F20" s="614"/>
      <c r="G20" s="593"/>
      <c r="H20" s="593"/>
      <c r="I20" s="948"/>
      <c r="J20" s="593"/>
      <c r="K20" s="593"/>
      <c r="L20" s="616"/>
      <c r="O20" s="315"/>
      <c r="P20" s="315"/>
      <c r="Q20" s="315"/>
      <c r="R20" s="315"/>
      <c r="S20" s="315"/>
      <c r="T20" s="315"/>
      <c r="U20" s="315"/>
    </row>
    <row r="21" spans="1:21" ht="21" customHeight="1">
      <c r="B21" s="87" t="s">
        <v>237</v>
      </c>
      <c r="C21" s="1599"/>
      <c r="D21" s="1600"/>
      <c r="E21" s="593"/>
      <c r="F21" s="614"/>
      <c r="G21" s="593"/>
      <c r="H21" s="593"/>
      <c r="I21" s="948"/>
      <c r="J21" s="593"/>
      <c r="K21" s="593"/>
      <c r="L21" s="616"/>
      <c r="O21" s="315"/>
      <c r="P21" s="315"/>
      <c r="Q21" s="315"/>
      <c r="R21" s="315"/>
      <c r="S21" s="315"/>
      <c r="T21" s="315"/>
      <c r="U21" s="315"/>
    </row>
    <row r="22" spans="1:21" ht="21" customHeight="1" thickBot="1">
      <c r="B22" s="87" t="s">
        <v>597</v>
      </c>
      <c r="C22" s="1599"/>
      <c r="D22" s="1600"/>
      <c r="E22" s="619"/>
      <c r="F22" s="609"/>
      <c r="G22" s="619"/>
      <c r="H22" s="619"/>
      <c r="I22" s="950"/>
      <c r="J22" s="619"/>
      <c r="K22" s="619"/>
      <c r="L22" s="620"/>
      <c r="O22" s="315"/>
      <c r="P22" s="315"/>
      <c r="Q22" s="315"/>
      <c r="R22" s="315"/>
      <c r="S22" s="315"/>
      <c r="T22" s="315"/>
      <c r="U22" s="315"/>
    </row>
    <row r="23" spans="1:21" ht="21" customHeight="1" thickTop="1" thickBot="1">
      <c r="B23" s="146"/>
      <c r="C23" s="27"/>
      <c r="D23" s="77" t="s">
        <v>142</v>
      </c>
      <c r="E23" s="135"/>
      <c r="F23" s="14"/>
      <c r="G23" s="135">
        <f>SUM(G9:G22)</f>
        <v>0</v>
      </c>
      <c r="H23" s="135">
        <f>SUM(H9:H22)</f>
        <v>0</v>
      </c>
      <c r="I23" s="135"/>
      <c r="J23" s="135">
        <f>SUM(J9:J22)</f>
        <v>0</v>
      </c>
      <c r="K23" s="135">
        <f>SUM(K9:K22)</f>
        <v>0</v>
      </c>
      <c r="L23" s="19"/>
      <c r="O23" s="315"/>
      <c r="P23" s="315"/>
      <c r="Q23" s="315"/>
      <c r="R23" s="315"/>
      <c r="S23" s="315"/>
      <c r="T23" s="315"/>
      <c r="U23" s="315"/>
    </row>
    <row r="24" spans="1:21" ht="13.5" customHeight="1" thickTop="1">
      <c r="B24" s="152" t="s">
        <v>579</v>
      </c>
      <c r="C24" s="44"/>
      <c r="D24" s="150"/>
      <c r="E24" s="279"/>
      <c r="F24" s="279"/>
      <c r="G24" s="279"/>
      <c r="H24" s="279"/>
      <c r="I24" s="279"/>
      <c r="J24" s="978"/>
      <c r="K24" s="978"/>
      <c r="L24" s="279"/>
      <c r="O24" s="315"/>
      <c r="P24" s="315"/>
      <c r="Q24" s="315"/>
      <c r="R24" s="315"/>
      <c r="S24" s="315"/>
      <c r="T24" s="315"/>
      <c r="U24" s="315"/>
    </row>
    <row r="25" spans="1:21" ht="13.5" customHeight="1">
      <c r="B25" s="152"/>
      <c r="C25" s="44" t="str">
        <f>"Assessment Notes with an original date of issue of "&amp;TEXT('KEY INPUTS'!D33-3,"0")&amp;" or prior must be appropriated in full in the "&amp;TEXT('KEY INPUTS'!D33,"0")&amp;" Dedicated Assessment Budget or written intent of permanent financing"</f>
        <v>Assessment Notes with an original date of issue of 2018 or prior must be appropriated in full in the 2021 Dedicated Assessment Budget or written intent of permanent financing</v>
      </c>
      <c r="D25" s="150"/>
      <c r="E25" s="279"/>
      <c r="F25" s="279"/>
      <c r="G25" s="279"/>
      <c r="H25" s="279"/>
      <c r="I25" s="279"/>
      <c r="J25" s="279"/>
      <c r="K25" s="279"/>
      <c r="L25" s="279"/>
      <c r="O25" s="315"/>
      <c r="P25" s="315"/>
      <c r="Q25" s="315"/>
      <c r="R25" s="315"/>
      <c r="S25" s="315"/>
      <c r="T25" s="315"/>
      <c r="U25" s="315"/>
    </row>
    <row r="26" spans="1:21" ht="13.5" customHeight="1">
      <c r="B26" s="152"/>
      <c r="C26" s="44"/>
      <c r="D26" s="153" t="s">
        <v>580</v>
      </c>
      <c r="E26" s="279"/>
      <c r="F26" s="279"/>
      <c r="G26" s="279"/>
      <c r="H26" s="279"/>
      <c r="I26" s="279"/>
      <c r="J26" s="279"/>
      <c r="K26" s="279"/>
      <c r="L26" s="279"/>
    </row>
    <row r="27" spans="1:21" ht="13.5" customHeight="1">
      <c r="B27" s="152"/>
      <c r="C27" s="44" t="s">
        <v>581</v>
      </c>
      <c r="D27" s="150"/>
      <c r="E27" s="279"/>
      <c r="F27" s="279"/>
      <c r="G27" s="279"/>
      <c r="H27" s="279"/>
      <c r="I27" s="279"/>
      <c r="J27" s="279"/>
      <c r="K27" s="279"/>
      <c r="L27" s="279"/>
    </row>
    <row r="28" spans="1:21" ht="13.5" customHeight="1">
      <c r="B28" s="152"/>
      <c r="C28" s="44"/>
      <c r="D28" s="150"/>
      <c r="E28" s="279"/>
      <c r="F28" s="279"/>
      <c r="G28" s="279"/>
      <c r="H28" s="279"/>
      <c r="I28" s="279"/>
      <c r="J28" s="149" t="s">
        <v>103</v>
      </c>
      <c r="K28" s="279"/>
      <c r="L28" s="279"/>
    </row>
    <row r="29" spans="1:21">
      <c r="B29" s="8"/>
      <c r="C29" s="34"/>
      <c r="D29" s="34"/>
    </row>
  </sheetData>
  <sheetProtection algorithmName="SHA-512" hashValue="vUfbvUlUzHJkmJttZ8VkC9jRsDhgO50+Vw+izuw6N/7LghIxtNYol4BSjlQIjWNSNJ7KtnUYFDsQLCU/S+usyg==" saltValue="GgT1td9ryolPNKVHJcAKDw==" spinCount="100000" sheet="1" objects="1" scenarios="1"/>
  <mergeCells count="19">
    <mergeCell ref="C18:D18"/>
    <mergeCell ref="C19:D19"/>
    <mergeCell ref="C20:D20"/>
    <mergeCell ref="C21:D21"/>
    <mergeCell ref="C22:D22"/>
    <mergeCell ref="B2:L2"/>
    <mergeCell ref="B3:L3"/>
    <mergeCell ref="A15:A17"/>
    <mergeCell ref="C6:D6"/>
    <mergeCell ref="J5:K6"/>
    <mergeCell ref="C9:D9"/>
    <mergeCell ref="C10:D10"/>
    <mergeCell ref="C11:D11"/>
    <mergeCell ref="C12:D12"/>
    <mergeCell ref="C13:D13"/>
    <mergeCell ref="C14:D14"/>
    <mergeCell ref="C15:D15"/>
    <mergeCell ref="C16:D16"/>
    <mergeCell ref="C17:D17"/>
  </mergeCells>
  <phoneticPr fontId="0" type="noConversion"/>
  <pageMargins left="0.25" right="0.25" top="0.5" bottom="0.5" header="0.25" footer="0.25"/>
  <pageSetup paperSize="5" orientation="landscape" r:id="rId1"/>
  <headerFooter alignWithMargins="0"/>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8"/>
  <dimension ref="A1:R27"/>
  <sheetViews>
    <sheetView workbookViewId="0">
      <selection activeCell="C10" sqref="C10:F10"/>
    </sheetView>
  </sheetViews>
  <sheetFormatPr defaultRowHeight="13.2"/>
  <cols>
    <col min="1" max="1" width="5.6640625" customWidth="1"/>
    <col min="2" max="3" width="4.88671875" customWidth="1"/>
    <col min="4" max="4" width="30.6640625" customWidth="1"/>
    <col min="5" max="6" width="15.6640625" customWidth="1"/>
    <col min="7" max="9" width="30.6640625" customWidth="1"/>
  </cols>
  <sheetData>
    <row r="1" spans="1:18">
      <c r="B1" s="315"/>
      <c r="C1" s="315"/>
      <c r="D1" s="315"/>
      <c r="E1" s="315"/>
      <c r="F1" s="315"/>
      <c r="G1" s="315"/>
      <c r="H1" s="315"/>
      <c r="I1" s="315"/>
    </row>
    <row r="2" spans="1:18" ht="20.399999999999999">
      <c r="B2" s="1546" t="s">
        <v>456</v>
      </c>
      <c r="C2" s="1546"/>
      <c r="D2" s="1546"/>
      <c r="E2" s="1546"/>
      <c r="F2" s="1546"/>
      <c r="G2" s="1546"/>
      <c r="H2" s="1546"/>
      <c r="I2" s="1546"/>
    </row>
    <row r="3" spans="1:18" ht="21" thickBot="1">
      <c r="B3" s="1546"/>
      <c r="C3" s="1546"/>
      <c r="D3" s="1546"/>
      <c r="E3" s="1546"/>
      <c r="F3" s="1546"/>
      <c r="G3" s="1546"/>
      <c r="H3" s="1546"/>
      <c r="I3" s="1546"/>
    </row>
    <row r="4" spans="1:18" ht="13.5" customHeight="1" thickTop="1">
      <c r="B4" s="11"/>
      <c r="C4" s="11"/>
      <c r="D4" s="11"/>
      <c r="E4" s="54"/>
      <c r="F4" s="986"/>
      <c r="G4" s="986"/>
      <c r="H4" s="11"/>
      <c r="I4" s="191"/>
    </row>
    <row r="5" spans="1:18" ht="13.5" customHeight="1">
      <c r="B5" s="315"/>
      <c r="C5" s="315"/>
      <c r="D5" s="315"/>
      <c r="E5" s="995"/>
      <c r="F5" s="995"/>
      <c r="G5" s="987" t="s">
        <v>441</v>
      </c>
      <c r="H5" s="1757" t="str">
        <f>'34-Assmt Note Debt Service'!J5</f>
        <v>2021 Budget Requirements</v>
      </c>
      <c r="I5" s="1773"/>
    </row>
    <row r="6" spans="1:18" ht="13.5" customHeight="1">
      <c r="B6" s="315"/>
      <c r="C6" s="1584" t="s">
        <v>440</v>
      </c>
      <c r="D6" s="1772"/>
      <c r="E6" s="995"/>
      <c r="F6" s="995"/>
      <c r="G6" s="987" t="s">
        <v>457</v>
      </c>
      <c r="H6" s="1759"/>
      <c r="I6" s="1774"/>
    </row>
    <row r="7" spans="1:18" ht="13.5" customHeight="1">
      <c r="B7" s="315"/>
      <c r="C7" s="315"/>
      <c r="D7" s="315"/>
      <c r="E7" s="995"/>
      <c r="F7" s="984"/>
      <c r="G7" s="299" t="str">
        <f>'KEY INPUTS'!D46</f>
        <v>Dec. 31, 2020</v>
      </c>
      <c r="H7" s="275" t="s">
        <v>118</v>
      </c>
      <c r="I7" s="21" t="s">
        <v>458</v>
      </c>
    </row>
    <row r="8" spans="1:18" ht="13.5" customHeight="1" thickBot="1">
      <c r="B8" s="10"/>
      <c r="C8" s="10"/>
      <c r="D8" s="10"/>
      <c r="E8" s="10"/>
      <c r="F8" s="162"/>
      <c r="G8" s="237"/>
      <c r="H8" s="16"/>
      <c r="I8" s="154"/>
    </row>
    <row r="9" spans="1:18" ht="21" customHeight="1" thickTop="1">
      <c r="B9" s="86" t="s">
        <v>308</v>
      </c>
      <c r="C9" s="1770" t="s">
        <v>3673</v>
      </c>
      <c r="D9" s="1775"/>
      <c r="E9" s="1775"/>
      <c r="F9" s="1771"/>
      <c r="G9" s="621"/>
      <c r="H9" s="610"/>
      <c r="I9" s="622"/>
      <c r="L9" s="315"/>
      <c r="M9" s="315"/>
      <c r="N9" s="315"/>
      <c r="O9" s="315"/>
      <c r="P9" s="315"/>
      <c r="Q9" s="315"/>
      <c r="R9" s="315"/>
    </row>
    <row r="10" spans="1:18" ht="21" customHeight="1">
      <c r="B10" s="87" t="s">
        <v>309</v>
      </c>
      <c r="C10" s="1599"/>
      <c r="D10" s="1599"/>
      <c r="E10" s="1599"/>
      <c r="F10" s="1600"/>
      <c r="G10" s="623"/>
      <c r="H10" s="593"/>
      <c r="I10" s="594"/>
      <c r="L10" s="315"/>
      <c r="M10" s="315"/>
      <c r="N10" s="315"/>
      <c r="O10" s="315"/>
      <c r="P10" s="315"/>
      <c r="Q10" s="315"/>
      <c r="R10" s="315"/>
    </row>
    <row r="11" spans="1:18" ht="21" customHeight="1">
      <c r="B11" s="87" t="s">
        <v>310</v>
      </c>
      <c r="C11" s="1599"/>
      <c r="D11" s="1599"/>
      <c r="E11" s="1599"/>
      <c r="F11" s="1600"/>
      <c r="G11" s="623"/>
      <c r="H11" s="593"/>
      <c r="I11" s="594"/>
      <c r="L11" s="370"/>
      <c r="M11" s="315"/>
      <c r="N11" s="315"/>
      <c r="O11" s="315"/>
      <c r="P11" s="315"/>
      <c r="Q11" s="315"/>
      <c r="R11" s="315"/>
    </row>
    <row r="12" spans="1:18" ht="21" customHeight="1">
      <c r="B12" s="87" t="s">
        <v>311</v>
      </c>
      <c r="C12" s="1599"/>
      <c r="D12" s="1599"/>
      <c r="E12" s="1599"/>
      <c r="F12" s="1600"/>
      <c r="G12" s="623"/>
      <c r="H12" s="593"/>
      <c r="I12" s="594"/>
      <c r="L12" s="315"/>
      <c r="M12" s="315"/>
      <c r="N12" s="315"/>
      <c r="O12" s="315"/>
      <c r="P12" s="315"/>
      <c r="Q12" s="315"/>
      <c r="R12" s="315"/>
    </row>
    <row r="13" spans="1:18" ht="21" customHeight="1">
      <c r="B13" s="87" t="s">
        <v>312</v>
      </c>
      <c r="C13" s="1599"/>
      <c r="D13" s="1599"/>
      <c r="E13" s="1599"/>
      <c r="F13" s="1600"/>
      <c r="G13" s="623"/>
      <c r="H13" s="593"/>
      <c r="I13" s="594"/>
      <c r="L13" s="315"/>
      <c r="M13" s="315"/>
      <c r="N13" s="315"/>
      <c r="O13" s="315"/>
      <c r="P13" s="315"/>
      <c r="Q13" s="315"/>
      <c r="R13" s="315"/>
    </row>
    <row r="14" spans="1:18" ht="21" customHeight="1">
      <c r="B14" s="87" t="s">
        <v>313</v>
      </c>
      <c r="C14" s="1599"/>
      <c r="D14" s="1599"/>
      <c r="E14" s="1599"/>
      <c r="F14" s="1600"/>
      <c r="G14" s="624"/>
      <c r="H14" s="593"/>
      <c r="I14" s="594"/>
      <c r="L14" s="315"/>
      <c r="M14" s="315"/>
      <c r="N14" s="315"/>
      <c r="O14" s="315"/>
      <c r="P14" s="315"/>
      <c r="Q14" s="315"/>
      <c r="R14" s="315"/>
    </row>
    <row r="15" spans="1:18" ht="21" customHeight="1">
      <c r="A15" s="1613" t="s">
        <v>675</v>
      </c>
      <c r="B15" s="87" t="s">
        <v>314</v>
      </c>
      <c r="C15" s="1599"/>
      <c r="D15" s="1599"/>
      <c r="E15" s="1599"/>
      <c r="F15" s="1600"/>
      <c r="G15" s="623"/>
      <c r="H15" s="593"/>
      <c r="I15" s="594"/>
      <c r="L15" s="315"/>
      <c r="M15" s="315"/>
      <c r="N15" s="315"/>
      <c r="O15" s="315"/>
      <c r="P15" s="315"/>
      <c r="Q15" s="315"/>
      <c r="R15" s="315"/>
    </row>
    <row r="16" spans="1:18" ht="21" customHeight="1">
      <c r="A16" s="1613"/>
      <c r="B16" s="87" t="s">
        <v>409</v>
      </c>
      <c r="C16" s="1599"/>
      <c r="D16" s="1599"/>
      <c r="E16" s="1599"/>
      <c r="F16" s="1600"/>
      <c r="G16" s="623"/>
      <c r="H16" s="593"/>
      <c r="I16" s="594"/>
      <c r="L16" s="315"/>
      <c r="M16" s="315"/>
      <c r="N16" s="315"/>
      <c r="O16" s="315"/>
      <c r="P16" s="315"/>
      <c r="Q16" s="315"/>
      <c r="R16" s="315"/>
    </row>
    <row r="17" spans="1:18" ht="21" customHeight="1">
      <c r="A17" s="1613"/>
      <c r="B17" s="87" t="s">
        <v>410</v>
      </c>
      <c r="C17" s="1599"/>
      <c r="D17" s="1599"/>
      <c r="E17" s="1599"/>
      <c r="F17" s="1600"/>
      <c r="G17" s="623"/>
      <c r="H17" s="593"/>
      <c r="I17" s="594"/>
      <c r="L17" s="315"/>
      <c r="M17" s="315"/>
      <c r="N17" s="315"/>
      <c r="O17" s="315"/>
      <c r="P17" s="315"/>
      <c r="Q17" s="315"/>
      <c r="R17" s="315"/>
    </row>
    <row r="18" spans="1:18" ht="21" customHeight="1">
      <c r="A18" s="136"/>
      <c r="B18" s="87" t="s">
        <v>411</v>
      </c>
      <c r="C18" s="1599"/>
      <c r="D18" s="1599"/>
      <c r="E18" s="1599"/>
      <c r="F18" s="1600"/>
      <c r="G18" s="623"/>
      <c r="H18" s="593"/>
      <c r="I18" s="594"/>
      <c r="L18" s="315"/>
      <c r="M18" s="315"/>
      <c r="N18" s="315"/>
      <c r="O18" s="315"/>
      <c r="P18" s="315"/>
      <c r="Q18" s="315"/>
      <c r="R18" s="315"/>
    </row>
    <row r="19" spans="1:18" ht="21" customHeight="1">
      <c r="B19" s="87" t="s">
        <v>234</v>
      </c>
      <c r="C19" s="1599"/>
      <c r="D19" s="1599"/>
      <c r="E19" s="1599"/>
      <c r="F19" s="1600"/>
      <c r="G19" s="623"/>
      <c r="H19" s="593"/>
      <c r="I19" s="594"/>
      <c r="L19" s="315"/>
      <c r="M19" s="315"/>
      <c r="N19" s="315"/>
      <c r="O19" s="315"/>
      <c r="P19" s="315"/>
      <c r="Q19" s="315"/>
      <c r="R19" s="315"/>
    </row>
    <row r="20" spans="1:18" ht="21" customHeight="1">
      <c r="B20" s="87" t="s">
        <v>236</v>
      </c>
      <c r="C20" s="1599"/>
      <c r="D20" s="1599"/>
      <c r="E20" s="1599"/>
      <c r="F20" s="1600"/>
      <c r="G20" s="623"/>
      <c r="H20" s="593"/>
      <c r="I20" s="594"/>
      <c r="L20" s="315"/>
      <c r="M20" s="315"/>
      <c r="N20" s="315"/>
      <c r="O20" s="315"/>
      <c r="P20" s="315"/>
      <c r="Q20" s="315"/>
      <c r="R20" s="315"/>
    </row>
    <row r="21" spans="1:18" ht="21" customHeight="1">
      <c r="B21" s="87" t="s">
        <v>237</v>
      </c>
      <c r="C21" s="1599"/>
      <c r="D21" s="1599"/>
      <c r="E21" s="1599"/>
      <c r="F21" s="1600"/>
      <c r="G21" s="623"/>
      <c r="H21" s="593"/>
      <c r="I21" s="594"/>
      <c r="L21" s="315"/>
      <c r="M21" s="315"/>
      <c r="N21" s="315"/>
      <c r="O21" s="315"/>
      <c r="P21" s="315"/>
      <c r="Q21" s="315"/>
      <c r="R21" s="315"/>
    </row>
    <row r="22" spans="1:18" ht="21" customHeight="1" thickBot="1">
      <c r="B22" s="87" t="s">
        <v>597</v>
      </c>
      <c r="C22" s="1599"/>
      <c r="D22" s="1599"/>
      <c r="E22" s="1599"/>
      <c r="F22" s="1600"/>
      <c r="G22" s="625"/>
      <c r="H22" s="619"/>
      <c r="I22" s="626"/>
      <c r="L22" s="315"/>
      <c r="M22" s="315"/>
      <c r="N22" s="315"/>
      <c r="O22" s="315"/>
      <c r="P22" s="315"/>
      <c r="Q22" s="315"/>
      <c r="R22" s="315"/>
    </row>
    <row r="23" spans="1:18" ht="21" customHeight="1" thickTop="1" thickBot="1">
      <c r="B23" s="146"/>
      <c r="C23" s="27"/>
      <c r="D23" s="137" t="s">
        <v>142</v>
      </c>
      <c r="E23" s="121"/>
      <c r="F23" s="162"/>
      <c r="G23" s="238">
        <f>SUM(G9:G22)</f>
        <v>0</v>
      </c>
      <c r="H23" s="135">
        <f>SUM(H9:H22)</f>
        <v>0</v>
      </c>
      <c r="I23" s="155">
        <f>SUM(I9:I22)</f>
        <v>0</v>
      </c>
      <c r="L23" s="315"/>
      <c r="M23" s="315"/>
      <c r="N23" s="315"/>
      <c r="O23" s="315"/>
      <c r="P23" s="315"/>
      <c r="Q23" s="315"/>
      <c r="R23" s="315"/>
    </row>
    <row r="24" spans="1:18" ht="13.5" customHeight="1" thickTop="1">
      <c r="B24" s="152"/>
      <c r="C24" s="44"/>
      <c r="D24" s="150"/>
      <c r="E24" s="279"/>
      <c r="F24" s="279"/>
      <c r="G24" s="279"/>
      <c r="H24" s="978"/>
      <c r="I24" s="978"/>
      <c r="L24" s="315"/>
      <c r="M24" s="315"/>
      <c r="N24" s="315"/>
      <c r="O24" s="315"/>
      <c r="P24" s="315"/>
      <c r="Q24" s="315"/>
      <c r="R24" s="315"/>
    </row>
    <row r="25" spans="1:18" ht="13.5" customHeight="1">
      <c r="B25" s="152"/>
      <c r="C25" s="44"/>
      <c r="D25" s="150"/>
      <c r="E25" s="279"/>
      <c r="F25" s="279"/>
      <c r="G25" s="279"/>
      <c r="H25" s="279"/>
      <c r="I25" s="279"/>
      <c r="L25" s="315"/>
      <c r="M25" s="315"/>
      <c r="N25" s="315"/>
      <c r="O25" s="315"/>
      <c r="P25" s="315"/>
      <c r="Q25" s="315"/>
      <c r="R25" s="315"/>
    </row>
    <row r="26" spans="1:18" ht="13.5" customHeight="1">
      <c r="B26" s="152"/>
      <c r="C26" s="44"/>
      <c r="D26" s="150"/>
      <c r="E26" s="279"/>
      <c r="F26" s="279"/>
      <c r="G26" s="279"/>
      <c r="H26" s="149" t="s">
        <v>103</v>
      </c>
      <c r="I26" s="279"/>
    </row>
    <row r="27" spans="1:18">
      <c r="B27" s="8"/>
      <c r="C27" s="34"/>
      <c r="D27" s="34"/>
    </row>
  </sheetData>
  <sheetProtection algorithmName="SHA-512" hashValue="I9ojGNF95SMG2j0jXtH8UXnsU6OlI2Ft0YmDyAdPoGu5D2NW5QwnP/TxuYNVAuyntZXdg8lq9q/JBW+LTuwqug==" saltValue="GdVCaMwu0o3QsYhpn+xjFA==" spinCount="100000" sheet="1" objects="1" scenarios="1"/>
  <mergeCells count="19">
    <mergeCell ref="C18:F18"/>
    <mergeCell ref="C19:F19"/>
    <mergeCell ref="C20:F20"/>
    <mergeCell ref="C21:F21"/>
    <mergeCell ref="C22:F22"/>
    <mergeCell ref="B2:I2"/>
    <mergeCell ref="B3:I3"/>
    <mergeCell ref="A15:A17"/>
    <mergeCell ref="C6:D6"/>
    <mergeCell ref="H5:I6"/>
    <mergeCell ref="C9:F9"/>
    <mergeCell ref="C10:F10"/>
    <mergeCell ref="C11:F11"/>
    <mergeCell ref="C12:F12"/>
    <mergeCell ref="C13:F13"/>
    <mergeCell ref="C14:F14"/>
    <mergeCell ref="C15:F15"/>
    <mergeCell ref="C16:F16"/>
    <mergeCell ref="C17:F17"/>
  </mergeCells>
  <phoneticPr fontId="0" type="noConversion"/>
  <pageMargins left="0.25" right="0.25" top="0.5" bottom="0.5" header="0.25" footer="0.25"/>
  <pageSetup paperSize="5" orientation="landscape" r:id="rId1"/>
  <headerFooter alignWithMargins="0"/>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9"/>
  <dimension ref="A1:U33"/>
  <sheetViews>
    <sheetView tabSelected="1" zoomScaleNormal="100" workbookViewId="0">
      <selection activeCell="G16" sqref="G16"/>
    </sheetView>
  </sheetViews>
  <sheetFormatPr defaultRowHeight="13.2"/>
  <cols>
    <col min="1" max="1" width="3.6640625" customWidth="1"/>
    <col min="2" max="2" width="5.109375" customWidth="1"/>
    <col min="3" max="3" width="4.88671875" customWidth="1"/>
    <col min="4" max="4" width="35.6640625" customWidth="1"/>
    <col min="5" max="12" width="15.6640625" customWidth="1"/>
  </cols>
  <sheetData>
    <row r="1" spans="2:21" ht="8.25" customHeight="1"/>
    <row r="2" spans="2:21" ht="20.399999999999999">
      <c r="B2" s="1546" t="s">
        <v>543</v>
      </c>
      <c r="C2" s="1546"/>
      <c r="D2" s="1546"/>
      <c r="E2" s="1546"/>
      <c r="F2" s="1546"/>
      <c r="G2" s="1546"/>
      <c r="H2" s="1546"/>
      <c r="I2" s="1546"/>
      <c r="J2" s="1546"/>
      <c r="K2" s="1546"/>
      <c r="L2" s="1546"/>
    </row>
    <row r="3" spans="2:21" ht="9.75" customHeight="1" thickBot="1">
      <c r="B3" s="1546"/>
      <c r="C3" s="1546"/>
      <c r="D3" s="1546"/>
      <c r="E3" s="1546"/>
      <c r="F3" s="1546"/>
      <c r="G3" s="1546"/>
      <c r="H3" s="1546"/>
      <c r="I3" s="1546"/>
      <c r="J3" s="1546"/>
      <c r="K3" s="1546"/>
      <c r="L3" s="1546"/>
    </row>
    <row r="4" spans="2:21" ht="13.5" customHeight="1" thickTop="1">
      <c r="B4" s="11"/>
      <c r="C4" s="11"/>
      <c r="D4" s="11"/>
      <c r="E4" s="1776" t="str">
        <f>'KEY INPUTS'!D25</f>
        <v>Balance - January 1, 2020</v>
      </c>
      <c r="F4" s="1658"/>
      <c r="G4" s="12"/>
      <c r="H4" s="12"/>
      <c r="I4" s="12"/>
      <c r="J4" s="12"/>
      <c r="K4" s="1776" t="str">
        <f>'KEY INPUTS'!D26</f>
        <v>Balance - December 31, 2020</v>
      </c>
      <c r="L4" s="1781"/>
    </row>
    <row r="5" spans="2:21" ht="13.5" customHeight="1">
      <c r="B5" s="1584" t="s">
        <v>544</v>
      </c>
      <c r="C5" s="1584"/>
      <c r="D5" s="1634"/>
      <c r="E5" s="1777"/>
      <c r="F5" s="1778"/>
      <c r="G5" s="20"/>
      <c r="H5" s="20"/>
      <c r="I5" s="20"/>
      <c r="J5" s="20"/>
      <c r="K5" s="1777"/>
      <c r="L5" s="1782"/>
    </row>
    <row r="6" spans="2:21" ht="13.5" customHeight="1">
      <c r="B6" s="1584" t="s">
        <v>545</v>
      </c>
      <c r="C6" s="1584"/>
      <c r="D6" s="1634"/>
      <c r="E6" s="1779"/>
      <c r="F6" s="1780"/>
      <c r="G6" s="20">
        <f>'KEY INPUTS'!D34</f>
        <v>2020</v>
      </c>
      <c r="H6" s="912" t="s">
        <v>228</v>
      </c>
      <c r="I6" s="20" t="s">
        <v>246</v>
      </c>
      <c r="J6" s="20" t="s">
        <v>549</v>
      </c>
      <c r="K6" s="1779"/>
      <c r="L6" s="1783"/>
    </row>
    <row r="7" spans="2:21" ht="13.5" customHeight="1">
      <c r="B7" s="1584" t="s">
        <v>546</v>
      </c>
      <c r="C7" s="1584"/>
      <c r="D7" s="1634"/>
      <c r="E7" s="13" t="s">
        <v>547</v>
      </c>
      <c r="F7" s="13" t="s">
        <v>548</v>
      </c>
      <c r="G7" s="13" t="s">
        <v>549</v>
      </c>
      <c r="H7" s="13"/>
      <c r="I7" s="13"/>
      <c r="J7" s="13" t="s">
        <v>466</v>
      </c>
      <c r="K7" s="13" t="s">
        <v>547</v>
      </c>
      <c r="L7" s="21" t="s">
        <v>548</v>
      </c>
    </row>
    <row r="8" spans="2:21" ht="13.5" customHeight="1" thickBot="1">
      <c r="B8" s="10"/>
      <c r="C8" s="10"/>
      <c r="D8" s="10"/>
      <c r="E8" s="14"/>
      <c r="F8" s="14"/>
      <c r="G8" s="16"/>
      <c r="H8" s="16"/>
      <c r="I8" s="14"/>
      <c r="J8" s="14"/>
      <c r="K8" s="16"/>
      <c r="L8" s="154"/>
    </row>
    <row r="9" spans="2:21" ht="21" customHeight="1" thickTop="1">
      <c r="B9" s="1536" t="s">
        <v>3678</v>
      </c>
      <c r="C9" s="1536"/>
      <c r="D9" s="1537"/>
      <c r="E9" s="1508"/>
      <c r="F9" s="1508">
        <v>286.29000000000002</v>
      </c>
      <c r="G9" s="1508"/>
      <c r="H9" s="1508"/>
      <c r="I9" s="1508"/>
      <c r="J9" s="1508"/>
      <c r="K9" s="568">
        <v>286.29000000000002</v>
      </c>
      <c r="L9" s="1509"/>
    </row>
    <row r="10" spans="2:21" ht="21" customHeight="1">
      <c r="B10" s="1536" t="s">
        <v>3679</v>
      </c>
      <c r="C10" s="1536"/>
      <c r="D10" s="1537"/>
      <c r="E10" s="568"/>
      <c r="F10" s="568">
        <v>2681.14</v>
      </c>
      <c r="G10" s="568"/>
      <c r="H10" s="568"/>
      <c r="I10" s="568">
        <v>2681.14</v>
      </c>
      <c r="J10" s="568"/>
      <c r="K10" s="568">
        <v>0</v>
      </c>
      <c r="L10" s="691"/>
      <c r="M10" s="221"/>
      <c r="O10" s="315"/>
      <c r="P10" s="315"/>
      <c r="Q10" s="315"/>
      <c r="R10" s="315"/>
      <c r="S10" s="315"/>
      <c r="T10" s="315"/>
      <c r="U10" s="315"/>
    </row>
    <row r="11" spans="2:21" ht="21" customHeight="1">
      <c r="B11" s="1536" t="s">
        <v>3680</v>
      </c>
      <c r="C11" s="1536"/>
      <c r="D11" s="1537"/>
      <c r="E11" s="568"/>
      <c r="F11" s="568">
        <v>600</v>
      </c>
      <c r="G11" s="568"/>
      <c r="H11" s="568"/>
      <c r="I11" s="568">
        <v>600</v>
      </c>
      <c r="J11" s="568"/>
      <c r="K11" s="568">
        <v>0</v>
      </c>
      <c r="L11" s="691"/>
      <c r="O11" s="315"/>
      <c r="P11" s="315"/>
      <c r="Q11" s="315"/>
      <c r="R11" s="315"/>
      <c r="S11" s="315"/>
      <c r="T11" s="315"/>
      <c r="U11" s="315"/>
    </row>
    <row r="12" spans="2:21" ht="21" customHeight="1">
      <c r="B12" s="1536" t="s">
        <v>3681</v>
      </c>
      <c r="C12" s="1536"/>
      <c r="D12" s="1537"/>
      <c r="E12" s="1510">
        <v>924.78</v>
      </c>
      <c r="F12" s="1510"/>
      <c r="G12" s="568"/>
      <c r="H12" s="568"/>
      <c r="I12" s="568"/>
      <c r="J12" s="568"/>
      <c r="K12" s="568">
        <v>924.78</v>
      </c>
      <c r="L12" s="691"/>
      <c r="M12" s="221"/>
      <c r="O12" s="370"/>
      <c r="P12" s="315"/>
      <c r="Q12" s="315"/>
      <c r="R12" s="315"/>
      <c r="S12" s="315"/>
      <c r="T12" s="315"/>
      <c r="U12" s="315"/>
    </row>
    <row r="13" spans="2:21" ht="21" customHeight="1">
      <c r="B13" s="1536" t="s">
        <v>3682</v>
      </c>
      <c r="C13" s="1536"/>
      <c r="D13" s="1537"/>
      <c r="E13" s="568"/>
      <c r="F13" s="568">
        <v>5067</v>
      </c>
      <c r="G13" s="568"/>
      <c r="H13" s="568"/>
      <c r="I13" s="568">
        <v>2829.45</v>
      </c>
      <c r="J13" s="568"/>
      <c r="K13" s="568">
        <v>2237.5500000000002</v>
      </c>
      <c r="L13" s="691"/>
      <c r="O13" s="315"/>
      <c r="P13" s="315"/>
      <c r="Q13" s="315"/>
      <c r="R13" s="315"/>
      <c r="S13" s="315"/>
      <c r="T13" s="315"/>
      <c r="U13" s="315"/>
    </row>
    <row r="14" spans="2:21" ht="21" customHeight="1">
      <c r="B14" s="1764" t="s">
        <v>3683</v>
      </c>
      <c r="C14" s="1764"/>
      <c r="D14" s="1765"/>
      <c r="E14" s="568"/>
      <c r="F14" s="568">
        <v>12892.25</v>
      </c>
      <c r="G14" s="1510"/>
      <c r="H14" s="1510">
        <v>20630.36</v>
      </c>
      <c r="I14" s="1510"/>
      <c r="J14" s="1510"/>
      <c r="K14" s="568">
        <v>33522.61</v>
      </c>
      <c r="L14" s="691"/>
      <c r="M14" s="221"/>
      <c r="O14" s="315"/>
      <c r="P14" s="315"/>
      <c r="Q14" s="315"/>
      <c r="R14" s="315"/>
      <c r="S14" s="315"/>
      <c r="T14" s="315"/>
      <c r="U14" s="315"/>
    </row>
    <row r="15" spans="2:21" ht="21" customHeight="1">
      <c r="B15" s="1544" t="s">
        <v>3684</v>
      </c>
      <c r="C15" s="1536"/>
      <c r="D15" s="1537"/>
      <c r="E15" s="568"/>
      <c r="F15" s="568"/>
      <c r="G15" s="568">
        <v>43700</v>
      </c>
      <c r="H15" s="568">
        <v>265000</v>
      </c>
      <c r="I15" s="568">
        <v>6940</v>
      </c>
      <c r="J15" s="568"/>
      <c r="K15" s="568">
        <v>301760</v>
      </c>
      <c r="L15" s="691"/>
      <c r="O15" s="315"/>
      <c r="P15" s="315"/>
      <c r="Q15" s="315"/>
      <c r="R15" s="315"/>
      <c r="S15" s="315"/>
      <c r="T15" s="315"/>
      <c r="U15" s="315"/>
    </row>
    <row r="16" spans="2:21" ht="21" customHeight="1">
      <c r="B16" s="1544" t="s">
        <v>3685</v>
      </c>
      <c r="C16" s="1536"/>
      <c r="D16" s="1537"/>
      <c r="E16" s="568"/>
      <c r="F16" s="568"/>
      <c r="G16" s="568">
        <v>97000</v>
      </c>
      <c r="H16" s="568">
        <v>270000</v>
      </c>
      <c r="I16" s="568">
        <v>43340.6</v>
      </c>
      <c r="J16" s="568"/>
      <c r="K16" s="568">
        <v>323659.40000000002</v>
      </c>
      <c r="L16" s="691"/>
      <c r="M16" s="221"/>
      <c r="O16" s="315"/>
      <c r="P16" s="315"/>
      <c r="Q16" s="315"/>
      <c r="R16" s="315"/>
      <c r="S16" s="315"/>
      <c r="T16" s="315"/>
      <c r="U16" s="315"/>
    </row>
    <row r="17" spans="1:21" ht="21" customHeight="1">
      <c r="A17" s="1613" t="s">
        <v>552</v>
      </c>
      <c r="B17" s="1784" t="s">
        <v>3686</v>
      </c>
      <c r="C17" s="1764"/>
      <c r="D17" s="1765"/>
      <c r="E17" s="568"/>
      <c r="F17" s="568"/>
      <c r="G17" s="568">
        <v>144500</v>
      </c>
      <c r="H17" s="568"/>
      <c r="I17" s="568">
        <v>5000.79</v>
      </c>
      <c r="J17" s="568"/>
      <c r="K17" s="568">
        <v>139499.21</v>
      </c>
      <c r="L17" s="691"/>
      <c r="O17" s="315"/>
      <c r="P17" s="315"/>
      <c r="Q17" s="315"/>
      <c r="R17" s="315"/>
      <c r="S17" s="315"/>
      <c r="T17" s="315"/>
      <c r="U17" s="315"/>
    </row>
    <row r="18" spans="1:21" ht="21" customHeight="1">
      <c r="A18" s="1613"/>
      <c r="B18" s="1784" t="s">
        <v>3687</v>
      </c>
      <c r="C18" s="1764"/>
      <c r="D18" s="1765"/>
      <c r="E18" s="568"/>
      <c r="F18" s="568"/>
      <c r="G18" s="568">
        <v>149000</v>
      </c>
      <c r="H18" s="568"/>
      <c r="I18" s="568">
        <v>5000</v>
      </c>
      <c r="J18" s="568"/>
      <c r="K18" s="568">
        <v>144000</v>
      </c>
      <c r="L18" s="691"/>
      <c r="M18" s="221"/>
      <c r="O18" s="315"/>
      <c r="P18" s="315"/>
      <c r="Q18" s="315"/>
      <c r="R18" s="315"/>
      <c r="S18" s="315"/>
      <c r="T18" s="315"/>
      <c r="U18" s="315"/>
    </row>
    <row r="19" spans="1:21" ht="21" customHeight="1">
      <c r="A19" s="1613"/>
      <c r="B19" s="1784" t="s">
        <v>3688</v>
      </c>
      <c r="C19" s="1764"/>
      <c r="D19" s="1765"/>
      <c r="E19" s="568"/>
      <c r="F19" s="568"/>
      <c r="G19" s="568">
        <v>74000</v>
      </c>
      <c r="H19" s="568"/>
      <c r="I19" s="568">
        <v>0</v>
      </c>
      <c r="J19" s="568"/>
      <c r="K19" s="568">
        <v>74000</v>
      </c>
      <c r="L19" s="691"/>
      <c r="O19" s="315"/>
      <c r="P19" s="315"/>
      <c r="Q19" s="315"/>
      <c r="R19" s="315"/>
      <c r="S19" s="315"/>
      <c r="T19" s="315"/>
      <c r="U19" s="315"/>
    </row>
    <row r="20" spans="1:21" ht="21" customHeight="1">
      <c r="A20" s="136"/>
      <c r="B20" s="1784" t="s">
        <v>3689</v>
      </c>
      <c r="C20" s="1764"/>
      <c r="D20" s="1765"/>
      <c r="E20" s="568"/>
      <c r="F20" s="568"/>
      <c r="G20" s="568">
        <v>39000</v>
      </c>
      <c r="H20" s="568"/>
      <c r="I20" s="568">
        <v>0</v>
      </c>
      <c r="J20" s="568"/>
      <c r="K20" s="568">
        <v>39000</v>
      </c>
      <c r="L20" s="691"/>
      <c r="M20" s="221"/>
      <c r="O20" s="315"/>
      <c r="P20" s="315"/>
      <c r="Q20" s="315"/>
      <c r="R20" s="315"/>
      <c r="S20" s="315"/>
      <c r="T20" s="315"/>
      <c r="U20" s="315"/>
    </row>
    <row r="21" spans="1:21" ht="21" customHeight="1">
      <c r="A21" s="136"/>
      <c r="B21" s="1784" t="s">
        <v>3690</v>
      </c>
      <c r="C21" s="1764"/>
      <c r="D21" s="1765"/>
      <c r="E21" s="568"/>
      <c r="F21" s="568"/>
      <c r="G21" s="568">
        <v>361000</v>
      </c>
      <c r="H21" s="568"/>
      <c r="I21" s="568">
        <v>5000</v>
      </c>
      <c r="J21" s="568"/>
      <c r="K21" s="568">
        <v>356000</v>
      </c>
      <c r="L21" s="691"/>
      <c r="O21" s="315"/>
      <c r="P21" s="315"/>
      <c r="Q21" s="315"/>
      <c r="R21" s="315"/>
      <c r="S21" s="315"/>
      <c r="T21" s="315"/>
      <c r="U21" s="315"/>
    </row>
    <row r="22" spans="1:21" ht="21" customHeight="1">
      <c r="A22" s="136"/>
      <c r="B22" s="1784" t="s">
        <v>3691</v>
      </c>
      <c r="C22" s="1764"/>
      <c r="D22" s="1765"/>
      <c r="E22" s="568"/>
      <c r="F22" s="568"/>
      <c r="G22" s="568">
        <v>390000</v>
      </c>
      <c r="H22" s="568"/>
      <c r="I22" s="568">
        <v>11631.5</v>
      </c>
      <c r="J22" s="568"/>
      <c r="K22" s="568">
        <v>378368.5</v>
      </c>
      <c r="L22" s="691"/>
      <c r="M22" s="221"/>
      <c r="O22" s="315"/>
      <c r="P22" s="315"/>
      <c r="Q22" s="315"/>
      <c r="R22" s="315"/>
      <c r="S22" s="315"/>
      <c r="T22" s="315"/>
      <c r="U22" s="315"/>
    </row>
    <row r="23" spans="1:21" ht="21" customHeight="1">
      <c r="B23" s="1764"/>
      <c r="C23" s="1764"/>
      <c r="D23" s="1765"/>
      <c r="E23" s="568"/>
      <c r="F23" s="568"/>
      <c r="G23" s="568"/>
      <c r="H23" s="568"/>
      <c r="I23" s="568"/>
      <c r="J23" s="568"/>
      <c r="K23" s="568"/>
      <c r="L23" s="691"/>
      <c r="O23" s="315"/>
      <c r="P23" s="315"/>
      <c r="Q23" s="315"/>
      <c r="R23" s="315"/>
      <c r="S23" s="315"/>
      <c r="T23" s="315"/>
      <c r="U23" s="315"/>
    </row>
    <row r="24" spans="1:21" s="315" customFormat="1" ht="21" customHeight="1">
      <c r="B24" s="1764"/>
      <c r="C24" s="1764"/>
      <c r="D24" s="1765"/>
      <c r="E24" s="568"/>
      <c r="F24" s="568"/>
      <c r="G24" s="568"/>
      <c r="H24" s="568"/>
      <c r="I24" s="568"/>
      <c r="J24" s="568"/>
      <c r="K24" s="568"/>
      <c r="L24" s="691"/>
    </row>
    <row r="25" spans="1:21" ht="21" customHeight="1">
      <c r="B25" s="1764"/>
      <c r="C25" s="1764"/>
      <c r="D25" s="1765"/>
      <c r="E25" s="568"/>
      <c r="F25" s="568"/>
      <c r="G25" s="568"/>
      <c r="H25" s="568"/>
      <c r="I25" s="568"/>
      <c r="J25" s="568"/>
      <c r="K25" s="568"/>
      <c r="L25" s="691"/>
      <c r="M25" s="221"/>
      <c r="O25" s="315"/>
      <c r="P25" s="315"/>
      <c r="Q25" s="315"/>
      <c r="R25" s="315"/>
      <c r="S25" s="315"/>
      <c r="T25" s="315"/>
      <c r="U25" s="315"/>
    </row>
    <row r="26" spans="1:21" ht="21" customHeight="1">
      <c r="B26" s="1764"/>
      <c r="C26" s="1764"/>
      <c r="D26" s="1765"/>
      <c r="E26" s="568"/>
      <c r="F26" s="568"/>
      <c r="G26" s="568"/>
      <c r="H26" s="568"/>
      <c r="I26" s="568"/>
      <c r="J26" s="568"/>
      <c r="K26" s="568"/>
      <c r="L26" s="691"/>
      <c r="O26" s="315"/>
      <c r="P26" s="315"/>
      <c r="Q26" s="315"/>
      <c r="R26" s="315"/>
      <c r="S26" s="315"/>
      <c r="T26" s="315"/>
      <c r="U26" s="315"/>
    </row>
    <row r="27" spans="1:21" ht="21" customHeight="1" thickBot="1">
      <c r="B27" s="1764"/>
      <c r="C27" s="1764"/>
      <c r="D27" s="1765"/>
      <c r="E27" s="1511"/>
      <c r="F27" s="1511"/>
      <c r="G27" s="1511"/>
      <c r="H27" s="1511"/>
      <c r="I27" s="1511"/>
      <c r="J27" s="1511"/>
      <c r="K27" s="1511"/>
      <c r="L27" s="1512"/>
      <c r="O27" s="315"/>
      <c r="P27" s="315"/>
      <c r="Q27" s="315"/>
      <c r="R27" s="315"/>
      <c r="S27" s="315"/>
      <c r="T27" s="315"/>
      <c r="U27" s="315"/>
    </row>
    <row r="28" spans="1:21" ht="21" customHeight="1" thickTop="1" thickBot="1">
      <c r="B28" s="146"/>
      <c r="C28" s="27"/>
      <c r="D28" s="77" t="s">
        <v>550</v>
      </c>
      <c r="E28" s="1515">
        <f t="shared" ref="E28:L28" si="0">SUM(E9:E27)</f>
        <v>924.78</v>
      </c>
      <c r="F28" s="1515">
        <f>SUM(F9:F27)</f>
        <v>21526.68</v>
      </c>
      <c r="G28" s="1515">
        <f t="shared" si="0"/>
        <v>1298200</v>
      </c>
      <c r="H28" s="1515">
        <f t="shared" si="0"/>
        <v>555630.36</v>
      </c>
      <c r="I28" s="1515">
        <f t="shared" si="0"/>
        <v>83023.48000000001</v>
      </c>
      <c r="J28" s="1515">
        <f t="shared" si="0"/>
        <v>0</v>
      </c>
      <c r="K28" s="1516">
        <f t="shared" si="0"/>
        <v>1793258.3399999999</v>
      </c>
      <c r="L28" s="1516">
        <f t="shared" si="0"/>
        <v>0</v>
      </c>
    </row>
    <row r="29" spans="1:21" ht="13.5" customHeight="1" thickTop="1">
      <c r="B29" s="152"/>
      <c r="C29" s="44" t="s">
        <v>551</v>
      </c>
      <c r="D29" s="150"/>
      <c r="E29" s="42"/>
      <c r="F29" s="42"/>
      <c r="G29" s="42"/>
      <c r="H29" s="42"/>
      <c r="I29" s="42"/>
      <c r="J29" s="42"/>
      <c r="K29" s="148"/>
      <c r="L29" s="148"/>
    </row>
    <row r="31" spans="1:21">
      <c r="L31" s="221"/>
    </row>
    <row r="32" spans="1:21">
      <c r="L32" s="221"/>
    </row>
    <row r="33" spans="12:12">
      <c r="L33" s="221"/>
    </row>
  </sheetData>
  <sheetProtection algorithmName="SHA-512" hashValue="FVNRuzuk+CFu2teGuVoG/FidwKWWPbGneBmgsEKlxu6hn9ZEPHlJkrRnwZL3v4fNkOIeAsNgpfwLzkqNiVgIfA==" saltValue="pS/GURhhAb45smvpTkQeyA==" spinCount="100000" sheet="1" objects="1" scenarios="1"/>
  <mergeCells count="20">
    <mergeCell ref="B20:D20"/>
    <mergeCell ref="B21:D21"/>
    <mergeCell ref="B27:D27"/>
    <mergeCell ref="B22:D22"/>
    <mergeCell ref="B23:D23"/>
    <mergeCell ref="B24:D24"/>
    <mergeCell ref="B25:D25"/>
    <mergeCell ref="B26:D26"/>
    <mergeCell ref="B2:L2"/>
    <mergeCell ref="B3:L3"/>
    <mergeCell ref="A17:A19"/>
    <mergeCell ref="B5:D5"/>
    <mergeCell ref="B6:D6"/>
    <mergeCell ref="B7:D7"/>
    <mergeCell ref="E4:F6"/>
    <mergeCell ref="K4:L6"/>
    <mergeCell ref="B14:D14"/>
    <mergeCell ref="B17:D17"/>
    <mergeCell ref="B18:D18"/>
    <mergeCell ref="B19:D19"/>
  </mergeCells>
  <phoneticPr fontId="0" type="noConversion"/>
  <pageMargins left="0.25" right="0.25" top="0.5" bottom="0.5" header="0.25" footer="0.25"/>
  <pageSetup paperSize="5" orientation="landscape" r:id="rId1"/>
  <headerFooter alignWithMargins="0"/>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0"/>
  <dimension ref="A1:T38"/>
  <sheetViews>
    <sheetView zoomScaleNormal="100" workbookViewId="0">
      <selection activeCell="H9" sqref="H9"/>
    </sheetView>
  </sheetViews>
  <sheetFormatPr defaultRowHeight="13.2"/>
  <cols>
    <col min="1" max="1" width="3.6640625" customWidth="1"/>
    <col min="2" max="3" width="4.88671875" customWidth="1"/>
    <col min="4" max="4" width="35.6640625" customWidth="1"/>
    <col min="5" max="12" width="15.6640625" customWidth="1"/>
    <col min="13" max="13" width="15.33203125" customWidth="1"/>
  </cols>
  <sheetData>
    <row r="1" spans="1:20" ht="8.25" customHeight="1"/>
    <row r="2" spans="1:20" ht="20.399999999999999">
      <c r="B2" s="1546" t="s">
        <v>553</v>
      </c>
      <c r="C2" s="1546"/>
      <c r="D2" s="1546"/>
      <c r="E2" s="1546"/>
      <c r="F2" s="1546"/>
      <c r="G2" s="1546"/>
      <c r="H2" s="1546"/>
      <c r="I2" s="1546"/>
      <c r="J2" s="1546"/>
      <c r="K2" s="1546"/>
      <c r="L2" s="1546"/>
    </row>
    <row r="3" spans="1:20" ht="9.75" customHeight="1" thickBot="1">
      <c r="B3" s="1546"/>
      <c r="C3" s="1546"/>
      <c r="D3" s="1546"/>
      <c r="E3" s="1546"/>
      <c r="F3" s="1546"/>
      <c r="G3" s="1546"/>
      <c r="H3" s="1546"/>
      <c r="I3" s="1546"/>
      <c r="J3" s="1546"/>
      <c r="K3" s="1546"/>
      <c r="L3" s="1546"/>
    </row>
    <row r="4" spans="1:20"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20" ht="13.5" customHeight="1">
      <c r="B5" s="1584" t="s">
        <v>544</v>
      </c>
      <c r="C5" s="1584"/>
      <c r="D5" s="1634"/>
      <c r="E5" s="1777"/>
      <c r="F5" s="1778"/>
      <c r="G5" s="20"/>
      <c r="H5" s="20"/>
      <c r="I5" s="20"/>
      <c r="J5" s="20"/>
      <c r="K5" s="1777"/>
      <c r="L5" s="1782"/>
    </row>
    <row r="6" spans="1:20" ht="13.5" customHeight="1">
      <c r="B6" s="1584" t="s">
        <v>545</v>
      </c>
      <c r="C6" s="1584"/>
      <c r="D6" s="1634"/>
      <c r="E6" s="1779"/>
      <c r="F6" s="1780"/>
      <c r="G6" s="20">
        <f>'KEY INPUTS'!D34</f>
        <v>2020</v>
      </c>
      <c r="H6" s="912" t="s">
        <v>228</v>
      </c>
      <c r="I6" s="20" t="s">
        <v>246</v>
      </c>
      <c r="J6" s="20" t="s">
        <v>549</v>
      </c>
      <c r="K6" s="1779"/>
      <c r="L6" s="1783"/>
    </row>
    <row r="7" spans="1:20" ht="13.5" customHeight="1">
      <c r="B7" s="1584" t="s">
        <v>546</v>
      </c>
      <c r="C7" s="1584"/>
      <c r="D7" s="1634"/>
      <c r="E7" s="13" t="s">
        <v>547</v>
      </c>
      <c r="F7" s="13" t="s">
        <v>548</v>
      </c>
      <c r="G7" s="13" t="s">
        <v>549</v>
      </c>
      <c r="H7" s="275"/>
      <c r="I7" s="13"/>
      <c r="J7" s="13" t="s">
        <v>466</v>
      </c>
      <c r="K7" s="13" t="s">
        <v>547</v>
      </c>
      <c r="L7" s="21" t="s">
        <v>548</v>
      </c>
    </row>
    <row r="8" spans="1:20" ht="13.5" customHeight="1" thickBot="1">
      <c r="B8" s="10"/>
      <c r="C8" s="10"/>
      <c r="D8" s="10"/>
      <c r="E8" s="14"/>
      <c r="F8" s="14"/>
      <c r="G8" s="16"/>
      <c r="H8" s="16"/>
      <c r="I8" s="14"/>
      <c r="J8" s="14"/>
      <c r="K8" s="16"/>
      <c r="L8" s="154"/>
    </row>
    <row r="9" spans="1:20" ht="21" customHeight="1" thickTop="1">
      <c r="B9" s="222" t="s">
        <v>3324</v>
      </c>
      <c r="C9" s="22"/>
      <c r="D9" s="23"/>
      <c r="E9" s="1513">
        <f>'35- Cap Fund Imprv Auth'!E28</f>
        <v>924.78</v>
      </c>
      <c r="F9" s="1513">
        <f>'35- Cap Fund Imprv Auth'!F28</f>
        <v>21526.68</v>
      </c>
      <c r="G9" s="1513">
        <f>+'35- Cap Fund Imprv Auth'!G28</f>
        <v>1298200</v>
      </c>
      <c r="H9" s="1513">
        <f>+'35- Cap Fund Imprv Auth'!H28</f>
        <v>555630.36</v>
      </c>
      <c r="I9" s="1513">
        <f>+'35- Cap Fund Imprv Auth'!I28</f>
        <v>83023.48000000001</v>
      </c>
      <c r="J9" s="1513">
        <f>+'35- Cap Fund Imprv Auth'!J28</f>
        <v>0</v>
      </c>
      <c r="K9" s="1513">
        <f>+'35- Cap Fund Imprv Auth'!K28</f>
        <v>1793258.3399999999</v>
      </c>
      <c r="L9" s="1514">
        <f>+'35- Cap Fund Imprv Auth'!L28</f>
        <v>0</v>
      </c>
    </row>
    <row r="10" spans="1:20" ht="21" customHeight="1">
      <c r="B10" s="1764"/>
      <c r="C10" s="1764"/>
      <c r="D10" s="1765"/>
      <c r="E10" s="568"/>
      <c r="F10" s="568"/>
      <c r="G10" s="568"/>
      <c r="H10" s="568"/>
      <c r="I10" s="568"/>
      <c r="J10" s="568"/>
      <c r="K10" s="568"/>
      <c r="L10" s="691"/>
      <c r="N10" s="315"/>
      <c r="O10" s="315"/>
      <c r="P10" s="315"/>
      <c r="Q10" s="315"/>
      <c r="R10" s="315"/>
      <c r="S10" s="315"/>
      <c r="T10" s="315"/>
    </row>
    <row r="11" spans="1:20" ht="21" customHeight="1">
      <c r="B11" s="1764"/>
      <c r="C11" s="1764"/>
      <c r="D11" s="1765"/>
      <c r="E11" s="568"/>
      <c r="F11" s="568"/>
      <c r="G11" s="568"/>
      <c r="H11" s="568"/>
      <c r="I11" s="568"/>
      <c r="J11" s="568"/>
      <c r="K11" s="568"/>
      <c r="L11" s="691"/>
      <c r="N11" s="315"/>
      <c r="O11" s="315"/>
      <c r="P11" s="315"/>
      <c r="Q11" s="315"/>
      <c r="R11" s="315"/>
      <c r="S11" s="315"/>
      <c r="T11" s="315"/>
    </row>
    <row r="12" spans="1:20" ht="21" customHeight="1">
      <c r="A12" s="1613" t="s">
        <v>3563</v>
      </c>
      <c r="B12" s="1764"/>
      <c r="C12" s="1764"/>
      <c r="D12" s="1765"/>
      <c r="E12" s="568"/>
      <c r="F12" s="568"/>
      <c r="G12" s="568"/>
      <c r="H12" s="568"/>
      <c r="I12" s="568"/>
      <c r="J12" s="568"/>
      <c r="K12" s="568"/>
      <c r="L12" s="691"/>
      <c r="M12" s="221"/>
      <c r="N12" s="315"/>
      <c r="O12" s="315"/>
      <c r="P12" s="315"/>
      <c r="Q12" s="315"/>
      <c r="R12" s="315"/>
      <c r="S12" s="315"/>
      <c r="T12" s="315"/>
    </row>
    <row r="13" spans="1:20" ht="21" customHeight="1">
      <c r="A13" s="1613"/>
      <c r="B13" s="1764"/>
      <c r="C13" s="1764"/>
      <c r="D13" s="1765"/>
      <c r="E13" s="568"/>
      <c r="F13" s="568"/>
      <c r="G13" s="568"/>
      <c r="H13" s="568"/>
      <c r="I13" s="568"/>
      <c r="J13" s="568"/>
      <c r="K13" s="568"/>
      <c r="L13" s="691"/>
      <c r="N13" s="315"/>
      <c r="O13" s="315"/>
      <c r="P13" s="315"/>
      <c r="Q13" s="315"/>
      <c r="R13" s="315"/>
      <c r="S13" s="315"/>
      <c r="T13" s="315"/>
    </row>
    <row r="14" spans="1:20" s="315" customFormat="1" ht="21" customHeight="1">
      <c r="A14" s="1613"/>
      <c r="B14" s="1764"/>
      <c r="C14" s="1764"/>
      <c r="D14" s="1765"/>
      <c r="E14" s="568"/>
      <c r="F14" s="568"/>
      <c r="G14" s="568"/>
      <c r="H14" s="568"/>
      <c r="I14" s="568"/>
      <c r="J14" s="568"/>
      <c r="K14" s="568"/>
      <c r="L14" s="691"/>
    </row>
    <row r="15" spans="1:20" s="315" customFormat="1" ht="21" customHeight="1">
      <c r="A15" s="1613"/>
      <c r="B15" s="1764"/>
      <c r="C15" s="1764"/>
      <c r="D15" s="1765"/>
      <c r="E15" s="568"/>
      <c r="F15" s="568"/>
      <c r="G15" s="568"/>
      <c r="H15" s="568"/>
      <c r="I15" s="568"/>
      <c r="J15" s="568"/>
      <c r="K15" s="568"/>
      <c r="L15" s="691"/>
    </row>
    <row r="16" spans="1:20" s="315" customFormat="1" ht="21" customHeight="1">
      <c r="A16" s="1613"/>
      <c r="B16" s="1764"/>
      <c r="C16" s="1764"/>
      <c r="D16" s="1765"/>
      <c r="E16" s="568"/>
      <c r="F16" s="568"/>
      <c r="G16" s="568"/>
      <c r="H16" s="568"/>
      <c r="I16" s="568"/>
      <c r="J16" s="568"/>
      <c r="K16" s="568"/>
      <c r="L16" s="691"/>
    </row>
    <row r="17" spans="1:20" s="315" customFormat="1" ht="21" customHeight="1">
      <c r="A17" s="1613"/>
      <c r="B17" s="1764"/>
      <c r="C17" s="1764"/>
      <c r="D17" s="1765"/>
      <c r="E17" s="568"/>
      <c r="F17" s="568"/>
      <c r="G17" s="568"/>
      <c r="H17" s="568"/>
      <c r="I17" s="568"/>
      <c r="J17" s="568"/>
      <c r="K17" s="568"/>
      <c r="L17" s="691"/>
    </row>
    <row r="18" spans="1:20" s="315" customFormat="1" ht="21" customHeight="1">
      <c r="A18" s="1613"/>
      <c r="B18" s="1764"/>
      <c r="C18" s="1764"/>
      <c r="D18" s="1765"/>
      <c r="E18" s="568"/>
      <c r="F18" s="568"/>
      <c r="G18" s="568"/>
      <c r="H18" s="568"/>
      <c r="I18" s="568"/>
      <c r="J18" s="568"/>
      <c r="K18" s="568"/>
      <c r="L18" s="691"/>
    </row>
    <row r="19" spans="1:20" s="315" customFormat="1" ht="21" customHeight="1">
      <c r="A19" s="1613"/>
      <c r="B19" s="1764"/>
      <c r="C19" s="1764"/>
      <c r="D19" s="1765"/>
      <c r="E19" s="568"/>
      <c r="F19" s="568"/>
      <c r="G19" s="568"/>
      <c r="H19" s="568"/>
      <c r="I19" s="568"/>
      <c r="J19" s="568"/>
      <c r="K19" s="568"/>
      <c r="L19" s="691"/>
    </row>
    <row r="20" spans="1:20" s="315" customFormat="1" ht="21" customHeight="1">
      <c r="A20" s="1613"/>
      <c r="B20" s="1764"/>
      <c r="C20" s="1764"/>
      <c r="D20" s="1765"/>
      <c r="E20" s="568"/>
      <c r="F20" s="568"/>
      <c r="G20" s="568"/>
      <c r="H20" s="568"/>
      <c r="I20" s="568"/>
      <c r="J20" s="568"/>
      <c r="K20" s="568"/>
      <c r="L20" s="691"/>
    </row>
    <row r="21" spans="1:20" s="315" customFormat="1" ht="21" customHeight="1">
      <c r="A21" s="1613"/>
      <c r="B21" s="1764"/>
      <c r="C21" s="1764"/>
      <c r="D21" s="1765"/>
      <c r="E21" s="568"/>
      <c r="F21" s="568"/>
      <c r="G21" s="568"/>
      <c r="H21" s="568"/>
      <c r="I21" s="568"/>
      <c r="J21" s="568"/>
      <c r="K21" s="568"/>
      <c r="L21" s="691"/>
    </row>
    <row r="22" spans="1:20" s="315" customFormat="1" ht="21" customHeight="1">
      <c r="A22" s="1613"/>
      <c r="B22" s="1764"/>
      <c r="C22" s="1764"/>
      <c r="D22" s="1765"/>
      <c r="E22" s="568"/>
      <c r="F22" s="568"/>
      <c r="G22" s="568"/>
      <c r="H22" s="568"/>
      <c r="I22" s="568"/>
      <c r="J22" s="568"/>
      <c r="K22" s="568"/>
      <c r="L22" s="691"/>
    </row>
    <row r="23" spans="1:20" s="315" customFormat="1" ht="21" customHeight="1">
      <c r="A23" s="1613"/>
      <c r="B23" s="1764"/>
      <c r="C23" s="1764"/>
      <c r="D23" s="1765"/>
      <c r="E23" s="568"/>
      <c r="F23" s="568"/>
      <c r="G23" s="568"/>
      <c r="H23" s="568"/>
      <c r="I23" s="568"/>
      <c r="J23" s="568"/>
      <c r="K23" s="568"/>
      <c r="L23" s="691"/>
    </row>
    <row r="24" spans="1:20" ht="21" customHeight="1">
      <c r="A24" s="1613"/>
      <c r="B24" s="1764"/>
      <c r="C24" s="1764"/>
      <c r="D24" s="1765"/>
      <c r="E24" s="568"/>
      <c r="F24" s="568"/>
      <c r="G24" s="568"/>
      <c r="H24" s="568"/>
      <c r="I24" s="568"/>
      <c r="J24" s="568"/>
      <c r="K24" s="568"/>
      <c r="L24" s="691"/>
      <c r="M24" s="221"/>
      <c r="N24" s="315"/>
      <c r="O24" s="315"/>
      <c r="P24" s="315"/>
      <c r="Q24" s="315"/>
      <c r="R24" s="315"/>
      <c r="S24" s="315"/>
      <c r="T24" s="315"/>
    </row>
    <row r="25" spans="1:20" ht="21" customHeight="1">
      <c r="B25" s="1764"/>
      <c r="C25" s="1764"/>
      <c r="D25" s="1765"/>
      <c r="E25" s="568"/>
      <c r="F25" s="568"/>
      <c r="G25" s="568"/>
      <c r="H25" s="568"/>
      <c r="I25" s="568"/>
      <c r="J25" s="568"/>
      <c r="K25" s="568"/>
      <c r="L25" s="691"/>
      <c r="N25" s="315"/>
      <c r="O25" s="315"/>
      <c r="P25" s="315"/>
      <c r="Q25" s="315"/>
      <c r="R25" s="315"/>
      <c r="S25" s="315"/>
      <c r="T25" s="315"/>
    </row>
    <row r="26" spans="1:20" ht="21" customHeight="1">
      <c r="B26" s="1764"/>
      <c r="C26" s="1764"/>
      <c r="D26" s="1765"/>
      <c r="E26" s="568"/>
      <c r="F26" s="568"/>
      <c r="G26" s="568"/>
      <c r="H26" s="568"/>
      <c r="I26" s="568"/>
      <c r="J26" s="568"/>
      <c r="K26" s="568"/>
      <c r="L26" s="691"/>
      <c r="N26" s="315"/>
      <c r="O26" s="315"/>
      <c r="P26" s="315"/>
      <c r="Q26" s="315"/>
      <c r="R26" s="315"/>
      <c r="S26" s="315"/>
      <c r="T26" s="315"/>
    </row>
    <row r="27" spans="1:20" ht="21" customHeight="1" thickBot="1">
      <c r="B27" s="1764"/>
      <c r="C27" s="1764"/>
      <c r="D27" s="1765"/>
      <c r="E27" s="1511"/>
      <c r="F27" s="1511"/>
      <c r="G27" s="1511"/>
      <c r="H27" s="1511"/>
      <c r="I27" s="1511"/>
      <c r="J27" s="1511"/>
      <c r="K27" s="1511"/>
      <c r="L27" s="1512"/>
      <c r="N27" s="315"/>
      <c r="O27" s="315"/>
      <c r="P27" s="315"/>
      <c r="Q27" s="315"/>
      <c r="R27" s="315"/>
      <c r="S27" s="315"/>
      <c r="T27" s="315"/>
    </row>
    <row r="28" spans="1:20" ht="21" customHeight="1" thickTop="1" thickBot="1">
      <c r="B28" s="146"/>
      <c r="C28" s="27"/>
      <c r="D28" s="786" t="s">
        <v>3323</v>
      </c>
      <c r="E28" s="1515">
        <f>SUM(E9:E27)</f>
        <v>924.78</v>
      </c>
      <c r="F28" s="1515">
        <f>SUM(F9:F27)</f>
        <v>21526.68</v>
      </c>
      <c r="G28" s="1515">
        <f t="shared" ref="G28:K28" si="0">SUM(G9:G27)</f>
        <v>1298200</v>
      </c>
      <c r="H28" s="1515">
        <f t="shared" si="0"/>
        <v>555630.36</v>
      </c>
      <c r="I28" s="1515">
        <f t="shared" si="0"/>
        <v>83023.48000000001</v>
      </c>
      <c r="J28" s="1515">
        <f t="shared" si="0"/>
        <v>0</v>
      </c>
      <c r="K28" s="1515">
        <f t="shared" si="0"/>
        <v>1793258.3399999999</v>
      </c>
      <c r="L28" s="1516">
        <f>SUM(L9:L27)</f>
        <v>0</v>
      </c>
    </row>
    <row r="29" spans="1:20" ht="13.5" customHeight="1" thickTop="1">
      <c r="B29" s="152"/>
      <c r="C29" s="44" t="s">
        <v>551</v>
      </c>
      <c r="D29" s="150"/>
      <c r="E29" s="42"/>
      <c r="F29" s="42"/>
      <c r="G29" s="42"/>
      <c r="H29" s="42"/>
      <c r="I29" s="42"/>
      <c r="J29" s="42"/>
      <c r="K29" s="148"/>
      <c r="L29" s="148"/>
    </row>
    <row r="30" spans="1:20">
      <c r="K30" s="221"/>
      <c r="L30" s="280"/>
    </row>
    <row r="33" spans="5:12">
      <c r="E33" s="318"/>
      <c r="F33" s="318"/>
    </row>
    <row r="34" spans="5:12">
      <c r="K34" s="318"/>
      <c r="L34" s="318"/>
    </row>
    <row r="35" spans="5:12">
      <c r="L35" s="221"/>
    </row>
    <row r="36" spans="5:12">
      <c r="L36" s="221"/>
    </row>
    <row r="38" spans="5:12">
      <c r="L38" s="318"/>
    </row>
  </sheetData>
  <sheetProtection algorithmName="SHA-512" hashValue="2jJnzhS/VnULDeKsR1McsmUMtBo2jNG4v9yz11/UCf9NZc86b6KSZYRHmEiKU26TeDVn4dNDO3F3LOjs4orh/Q==" saltValue="8Au51BBtT7BKvdylRCsDjg==" spinCount="100000" sheet="1" objects="1" scenarios="1"/>
  <mergeCells count="26">
    <mergeCell ref="B27:D27"/>
    <mergeCell ref="B26:D26"/>
    <mergeCell ref="B10:D10"/>
    <mergeCell ref="B11:D11"/>
    <mergeCell ref="B12:D12"/>
    <mergeCell ref="B21:D21"/>
    <mergeCell ref="B22:D22"/>
    <mergeCell ref="B23:D23"/>
    <mergeCell ref="B24:D24"/>
    <mergeCell ref="B25:D25"/>
    <mergeCell ref="B2:L2"/>
    <mergeCell ref="B3:L3"/>
    <mergeCell ref="A12:A24"/>
    <mergeCell ref="B5:D5"/>
    <mergeCell ref="B6:D6"/>
    <mergeCell ref="B7:D7"/>
    <mergeCell ref="E4:F6"/>
    <mergeCell ref="K4:L6"/>
    <mergeCell ref="B13:D13"/>
    <mergeCell ref="B14:D14"/>
    <mergeCell ref="B15:D15"/>
    <mergeCell ref="B16:D16"/>
    <mergeCell ref="B17:D17"/>
    <mergeCell ref="B18:D18"/>
    <mergeCell ref="B19:D19"/>
    <mergeCell ref="B20:D20"/>
  </mergeCells>
  <phoneticPr fontId="0" type="noConversion"/>
  <pageMargins left="0.25" right="0.25" top="0.5" bottom="0.5" header="0.25" footer="0.25"/>
  <pageSetup paperSize="5" orientation="landscape" r:id="rId1"/>
  <headerFooter alignWithMargins="0"/>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1"/>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+'35.1- Cap Fund Imprv Auth '!E28</f>
        <v>924.78</v>
      </c>
      <c r="F9" s="1513">
        <f>+'35.1- Cap Fund Imprv Auth '!F28</f>
        <v>21526.68</v>
      </c>
      <c r="G9" s="1513">
        <f>+'35.1- Cap Fund Imprv Auth '!G28</f>
        <v>1298200</v>
      </c>
      <c r="H9" s="1513">
        <f>+'35.1- Cap Fund Imprv Auth '!H28</f>
        <v>555630.36</v>
      </c>
      <c r="I9" s="1513">
        <f>+'35.1- Cap Fund Imprv Auth '!I28</f>
        <v>83023.48000000001</v>
      </c>
      <c r="J9" s="1513">
        <f>+'35.1- Cap Fund Imprv Auth '!J28</f>
        <v>0</v>
      </c>
      <c r="K9" s="1513">
        <f>+'35.1- Cap Fund Imprv Auth '!K28</f>
        <v>1793258.3399999999</v>
      </c>
      <c r="L9" s="1514">
        <f>+'35.1- Cap Fund Imprv Auth '!L28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3564</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O5n691yifivRq/QlWXVHRPLfOZg4Wvl9OgcK07qfSl7W2ZadgLW0UarbN25dV4Lc3gHOD9vLKFwe9/hTdHcnbw==" saltValue="xsw8qZQTJTC3XQi+5OHvcQ=="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2"/>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+'35.2- Cap Fund Imprv Auth'!E28</f>
        <v>924.78</v>
      </c>
      <c r="F9" s="1513">
        <f>+'35.2- Cap Fund Imprv Auth'!F28</f>
        <v>21526.68</v>
      </c>
      <c r="G9" s="1513">
        <f>+'35.2- Cap Fund Imprv Auth'!G28</f>
        <v>1298200</v>
      </c>
      <c r="H9" s="1513">
        <f>+'35.2- Cap Fund Imprv Auth'!H28</f>
        <v>555630.36</v>
      </c>
      <c r="I9" s="1513">
        <f>+'35.2- Cap Fund Imprv Auth'!I28</f>
        <v>83023.48000000001</v>
      </c>
      <c r="J9" s="1513">
        <f>+'35.2- Cap Fund Imprv Auth'!J28</f>
        <v>0</v>
      </c>
      <c r="K9" s="1513">
        <f>+'35.2- Cap Fund Imprv Auth'!K28</f>
        <v>1793258.3399999999</v>
      </c>
      <c r="L9" s="1514">
        <f>+'35.2-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3565</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jQGZSyOmTtp5msj+36MEqeujMjHBqLvnT71ydgU/hKTTsGzMqOYDbxkH6yyTC1LC2aUHK1dcuPdWTC8cC+MSQ==" saltValue="gXNZf007cNepLCnJPawZ/Q=="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3"/>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+'35.3- Cap Fund Imprv Auth'!E28</f>
        <v>924.78</v>
      </c>
      <c r="F9" s="1513">
        <f>+'35.3- Cap Fund Imprv Auth'!F28</f>
        <v>21526.68</v>
      </c>
      <c r="G9" s="1513">
        <f>+'35.3- Cap Fund Imprv Auth'!G28</f>
        <v>1298200</v>
      </c>
      <c r="H9" s="1513">
        <f>+'35.3- Cap Fund Imprv Auth'!H28</f>
        <v>555630.36</v>
      </c>
      <c r="I9" s="1513">
        <f>+'35.3- Cap Fund Imprv Auth'!I28</f>
        <v>83023.48000000001</v>
      </c>
      <c r="J9" s="1513">
        <f>+'35.3- Cap Fund Imprv Auth'!J28</f>
        <v>0</v>
      </c>
      <c r="K9" s="1513">
        <f>+'35.3- Cap Fund Imprv Auth'!K28</f>
        <v>1793258.3399999999</v>
      </c>
      <c r="L9" s="1514">
        <f>+'35.3-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3566</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VE0tBI1gIa6Hf+ppDaGi6UQ5iR/UghAeJFZTYNPfRJtuoMuAPmIq+58owSih3unmap9xiV3FxQ1V2JTL8gPlXg==" saltValue="q6+hPJND6hpfvCZMaw3BcQ=="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4"/>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+'35.4- Cap Fund Imprv Auth'!E28</f>
        <v>924.78</v>
      </c>
      <c r="F9" s="1513">
        <f>+'35.4- Cap Fund Imprv Auth'!F28</f>
        <v>21526.68</v>
      </c>
      <c r="G9" s="1513">
        <f>+'35.4- Cap Fund Imprv Auth'!G28</f>
        <v>1298200</v>
      </c>
      <c r="H9" s="1513">
        <f>+'35.4- Cap Fund Imprv Auth'!H28</f>
        <v>555630.36</v>
      </c>
      <c r="I9" s="1513">
        <f>+'35.4- Cap Fund Imprv Auth'!I28</f>
        <v>83023.48000000001</v>
      </c>
      <c r="J9" s="1513">
        <f>+'35.4- Cap Fund Imprv Auth'!J28</f>
        <v>0</v>
      </c>
      <c r="K9" s="1513">
        <f>+'35.4- Cap Fund Imprv Auth'!K28</f>
        <v>1793258.3399999999</v>
      </c>
      <c r="L9" s="1514">
        <f>+'35.4-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3567</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isL6jKV2ATWickpF1/5sHvpeCm4OGAGNoWF0e0gd8Tn/jW3777WFk7clrllY2vgfwuCSPtoapv/1tIm9PghVFQ==" saltValue="6W6+zcujpHhWkY/unS8szQ=="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5"/>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+'35.5- Cap Fund Imprv Auth'!E28</f>
        <v>924.78</v>
      </c>
      <c r="F9" s="1513">
        <f>+'35.5- Cap Fund Imprv Auth'!F28</f>
        <v>21526.68</v>
      </c>
      <c r="G9" s="1513">
        <f>+'35.5- Cap Fund Imprv Auth'!G28</f>
        <v>1298200</v>
      </c>
      <c r="H9" s="1513">
        <f>+'35.5- Cap Fund Imprv Auth'!H28</f>
        <v>555630.36</v>
      </c>
      <c r="I9" s="1513">
        <f>+'35.5- Cap Fund Imprv Auth'!I28</f>
        <v>83023.48000000001</v>
      </c>
      <c r="J9" s="1513">
        <f>+'35.5- Cap Fund Imprv Auth'!J28</f>
        <v>0</v>
      </c>
      <c r="K9" s="1513">
        <f>+'35.5- Cap Fund Imprv Auth'!K28</f>
        <v>1793258.3399999999</v>
      </c>
      <c r="L9" s="1514">
        <f>+'35.5-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3568</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MdIqOOHy8iqX5ob8IDutjjRfSm8rbYgcSASqGnJ/pU4X7Bp+JwIRNBXDZGDKuw/Q2KTROwv4aKXmu0SwuUE57w==" saltValue="MZKlSkTgNFZU4Cds6aaiMQ=="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6"/>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+'35.6- Cap Fund Imprv Auth'!E28</f>
        <v>924.78</v>
      </c>
      <c r="F9" s="1513">
        <f>+'35.6- Cap Fund Imprv Auth'!F28</f>
        <v>21526.68</v>
      </c>
      <c r="G9" s="1513">
        <f>+'35.6- Cap Fund Imprv Auth'!G28</f>
        <v>1298200</v>
      </c>
      <c r="H9" s="1513">
        <f>+'35.6- Cap Fund Imprv Auth'!H28</f>
        <v>555630.36</v>
      </c>
      <c r="I9" s="1513">
        <f>+'35.6- Cap Fund Imprv Auth'!I28</f>
        <v>83023.48000000001</v>
      </c>
      <c r="J9" s="1513">
        <f>+'35.6- Cap Fund Imprv Auth'!J28</f>
        <v>0</v>
      </c>
      <c r="K9" s="1513">
        <f>+'35.6- Cap Fund Imprv Auth'!K28</f>
        <v>1793258.3399999999</v>
      </c>
      <c r="L9" s="1514">
        <f>+'35.6-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3569</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d3MmdKugUsELHdMfl3de7rTX+aKzCliqkDRaIaziZVYrydz8NP/V0PzMPDyN6f9LFAWFjmSV+FG+Z8WnXCXkng==" saltValue="oqkP+ybdUuT0QrWZq/xIWw=="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7"/>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+'35.7- Cap Fund Imprv Auth'!E28</f>
        <v>924.78</v>
      </c>
      <c r="F9" s="1513">
        <f>+'35.7- Cap Fund Imprv Auth'!F28</f>
        <v>21526.68</v>
      </c>
      <c r="G9" s="1513">
        <f>+'35.7- Cap Fund Imprv Auth'!G28</f>
        <v>1298200</v>
      </c>
      <c r="H9" s="1513">
        <f>+'35.7- Cap Fund Imprv Auth'!H28</f>
        <v>555630.36</v>
      </c>
      <c r="I9" s="1513">
        <f>+'35.7- Cap Fund Imprv Auth'!I28</f>
        <v>83023.48000000001</v>
      </c>
      <c r="J9" s="1513">
        <f>+'35.7- Cap Fund Imprv Auth'!J28</f>
        <v>0</v>
      </c>
      <c r="K9" s="1513">
        <f>+'35.7- Cap Fund Imprv Auth'!K28</f>
        <v>1793258.3399999999</v>
      </c>
      <c r="L9" s="1514">
        <f>+'35.7-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3570</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yDr1cjb4B9jIEFH1FiXdIFBFdW45+vUP/LULoBlzofbdYLZOPZrduAgU0VnmshSCLn3wgCeUeGJa/md9tGwOcg==" saltValue="VWt8YMZL6jxKoNJxZviYfA=="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8"/>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+'35.8- Cap Fund Imprv Auth'!E28</f>
        <v>924.78</v>
      </c>
      <c r="F9" s="1513">
        <f>+'35.8- Cap Fund Imprv Auth'!F28</f>
        <v>21526.68</v>
      </c>
      <c r="G9" s="1513">
        <f>+'35.8- Cap Fund Imprv Auth'!G28</f>
        <v>1298200</v>
      </c>
      <c r="H9" s="1513">
        <f>+'35.8- Cap Fund Imprv Auth'!H28</f>
        <v>555630.36</v>
      </c>
      <c r="I9" s="1513">
        <f>+'35.8- Cap Fund Imprv Auth'!I28</f>
        <v>83023.48000000001</v>
      </c>
      <c r="J9" s="1513">
        <f>+'35.8- Cap Fund Imprv Auth'!J28</f>
        <v>0</v>
      </c>
      <c r="K9" s="1513">
        <f>+'35.8- Cap Fund Imprv Auth'!K28</f>
        <v>1793258.3399999999</v>
      </c>
      <c r="L9" s="1514">
        <f>+'35.8-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3571</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764"/>
      <c r="C27" s="1764"/>
      <c r="D27" s="1765"/>
      <c r="E27" s="1511"/>
      <c r="F27" s="1511"/>
      <c r="G27" s="1511"/>
      <c r="H27" s="1511"/>
      <c r="I27" s="1511"/>
      <c r="J27" s="1511"/>
      <c r="K27" s="1511"/>
      <c r="L27" s="1512"/>
    </row>
    <row r="28" spans="1:13" ht="21" customHeight="1" thickTop="1" thickBot="1">
      <c r="B28" s="146"/>
      <c r="C28" s="27"/>
      <c r="D28" s="786" t="s">
        <v>3323</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tgG2QFjji2X+EDpNhG/Vr3KXS1uozXEPo40o6KteOV4WP8X9aarXmrBDLadwpAijSf1ljG9njDcBO4IEhppUSQ==" saltValue="sippSVf/7Bpcw+mfgGGH/A==" spinCount="100000" sheet="1" objects="1" scenarios="1"/>
  <mergeCells count="26">
    <mergeCell ref="B27:D27"/>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9"/>
  <dimension ref="A1:M38"/>
  <sheetViews>
    <sheetView zoomScaleNormal="100" workbookViewId="0">
      <selection activeCell="H9" sqref="H9"/>
    </sheetView>
  </sheetViews>
  <sheetFormatPr defaultColWidth="9.109375" defaultRowHeight="13.2"/>
  <cols>
    <col min="1" max="1" width="3.6640625" style="315" customWidth="1"/>
    <col min="2" max="3" width="4.88671875" style="315" customWidth="1"/>
    <col min="4" max="4" width="35.6640625" style="315" customWidth="1"/>
    <col min="5" max="12" width="15.6640625" style="315" customWidth="1"/>
    <col min="13" max="13" width="15.33203125" style="315" customWidth="1"/>
    <col min="14" max="16384" width="9.109375" style="315"/>
  </cols>
  <sheetData>
    <row r="1" spans="1:13" ht="8.25" customHeight="1"/>
    <row r="2" spans="1:13" ht="20.399999999999999">
      <c r="B2" s="1546" t="s">
        <v>553</v>
      </c>
      <c r="C2" s="1546"/>
      <c r="D2" s="1546"/>
      <c r="E2" s="1546"/>
      <c r="F2" s="1546"/>
      <c r="G2" s="1546"/>
      <c r="H2" s="1546"/>
      <c r="I2" s="1546"/>
      <c r="J2" s="1546"/>
      <c r="K2" s="1546"/>
      <c r="L2" s="1546"/>
    </row>
    <row r="3" spans="1:13" ht="9.75" customHeight="1" thickBot="1">
      <c r="B3" s="1546"/>
      <c r="C3" s="1546"/>
      <c r="D3" s="1546"/>
      <c r="E3" s="1546"/>
      <c r="F3" s="1546"/>
      <c r="G3" s="1546"/>
      <c r="H3" s="1546"/>
      <c r="I3" s="1546"/>
      <c r="J3" s="1546"/>
      <c r="K3" s="1546"/>
      <c r="L3" s="1546"/>
    </row>
    <row r="4" spans="1:13" ht="13.5" customHeight="1" thickTop="1">
      <c r="B4" s="11"/>
      <c r="C4" s="11"/>
      <c r="D4" s="11"/>
      <c r="E4" s="1776" t="str">
        <f>'35- Cap Fund Imprv Auth'!E4:F6</f>
        <v>Balance - January 1, 2020</v>
      </c>
      <c r="F4" s="1658"/>
      <c r="G4" s="12"/>
      <c r="H4" s="12"/>
      <c r="I4" s="12"/>
      <c r="J4" s="12"/>
      <c r="K4" s="1776" t="str">
        <f>'35- Cap Fund Imprv Auth'!K4:L6</f>
        <v>Balance - December 31, 2020</v>
      </c>
      <c r="L4" s="1781"/>
    </row>
    <row r="5" spans="1:13" ht="13.5" customHeight="1">
      <c r="B5" s="1584" t="s">
        <v>544</v>
      </c>
      <c r="C5" s="1584"/>
      <c r="D5" s="1634"/>
      <c r="E5" s="1777"/>
      <c r="F5" s="1778"/>
      <c r="G5" s="749"/>
      <c r="H5" s="749"/>
      <c r="I5" s="749"/>
      <c r="J5" s="749"/>
      <c r="K5" s="1777"/>
      <c r="L5" s="1782"/>
    </row>
    <row r="6" spans="1:13" ht="13.5" customHeight="1">
      <c r="B6" s="1584" t="s">
        <v>545</v>
      </c>
      <c r="C6" s="1584"/>
      <c r="D6" s="1634"/>
      <c r="E6" s="1779"/>
      <c r="F6" s="1780"/>
      <c r="G6" s="749">
        <f>'KEY INPUTS'!D34</f>
        <v>2020</v>
      </c>
      <c r="H6" s="912" t="s">
        <v>228</v>
      </c>
      <c r="I6" s="749" t="s">
        <v>246</v>
      </c>
      <c r="J6" s="749" t="s">
        <v>549</v>
      </c>
      <c r="K6" s="1779"/>
      <c r="L6" s="1783"/>
    </row>
    <row r="7" spans="1:13" ht="13.5" customHeight="1">
      <c r="B7" s="1584" t="s">
        <v>546</v>
      </c>
      <c r="C7" s="1584"/>
      <c r="D7" s="1634"/>
      <c r="E7" s="275" t="s">
        <v>547</v>
      </c>
      <c r="F7" s="275" t="s">
        <v>548</v>
      </c>
      <c r="G7" s="275" t="s">
        <v>549</v>
      </c>
      <c r="H7" s="275"/>
      <c r="I7" s="275"/>
      <c r="J7" s="275" t="s">
        <v>466</v>
      </c>
      <c r="K7" s="275" t="s">
        <v>547</v>
      </c>
      <c r="L7" s="21" t="s">
        <v>548</v>
      </c>
    </row>
    <row r="8" spans="1:13" ht="13.5" customHeight="1" thickBot="1">
      <c r="B8" s="10"/>
      <c r="C8" s="10"/>
      <c r="D8" s="10"/>
      <c r="E8" s="14"/>
      <c r="F8" s="14"/>
      <c r="G8" s="16"/>
      <c r="H8" s="16"/>
      <c r="I8" s="14"/>
      <c r="J8" s="14"/>
      <c r="K8" s="16"/>
      <c r="L8" s="154"/>
    </row>
    <row r="9" spans="1:13" ht="21" customHeight="1" thickTop="1">
      <c r="B9" s="222" t="s">
        <v>3324</v>
      </c>
      <c r="C9" s="276"/>
      <c r="D9" s="23"/>
      <c r="E9" s="1513">
        <f>+'35.9- Cap Fund Imprv Auth'!E28</f>
        <v>924.78</v>
      </c>
      <c r="F9" s="1513">
        <f>+'35.9- Cap Fund Imprv Auth'!F28</f>
        <v>21526.68</v>
      </c>
      <c r="G9" s="1513">
        <f>+'35.9- Cap Fund Imprv Auth'!G28</f>
        <v>1298200</v>
      </c>
      <c r="H9" s="1513">
        <f>+'35.9- Cap Fund Imprv Auth'!H28</f>
        <v>555630.36</v>
      </c>
      <c r="I9" s="1513">
        <f>+'35.9- Cap Fund Imprv Auth'!I28</f>
        <v>83023.48000000001</v>
      </c>
      <c r="J9" s="1513">
        <f>+'35.9- Cap Fund Imprv Auth'!J28</f>
        <v>0</v>
      </c>
      <c r="K9" s="1513">
        <f>+'35.9- Cap Fund Imprv Auth'!K28</f>
        <v>1793258.3399999999</v>
      </c>
      <c r="L9" s="1514">
        <f>+'35.9- Cap Fund Imprv Auth'!L28</f>
        <v>0</v>
      </c>
    </row>
    <row r="10" spans="1:13" ht="21" customHeight="1">
      <c r="B10" s="1764"/>
      <c r="C10" s="1764"/>
      <c r="D10" s="1765"/>
      <c r="E10" s="568"/>
      <c r="F10" s="568"/>
      <c r="G10" s="568"/>
      <c r="H10" s="568"/>
      <c r="I10" s="568"/>
      <c r="J10" s="568"/>
      <c r="K10" s="568"/>
      <c r="L10" s="691"/>
    </row>
    <row r="11" spans="1:13" ht="21" customHeight="1">
      <c r="B11" s="1764"/>
      <c r="C11" s="1764"/>
      <c r="D11" s="1765"/>
      <c r="E11" s="568"/>
      <c r="F11" s="568"/>
      <c r="G11" s="568"/>
      <c r="H11" s="568"/>
      <c r="I11" s="568"/>
      <c r="J11" s="568"/>
      <c r="K11" s="568"/>
      <c r="L11" s="691"/>
    </row>
    <row r="12" spans="1:13" ht="21" customHeight="1">
      <c r="A12" s="1613" t="s">
        <v>3572</v>
      </c>
      <c r="B12" s="1764"/>
      <c r="C12" s="1764"/>
      <c r="D12" s="1765"/>
      <c r="E12" s="568"/>
      <c r="F12" s="568"/>
      <c r="G12" s="568"/>
      <c r="H12" s="568"/>
      <c r="I12" s="568"/>
      <c r="J12" s="568"/>
      <c r="K12" s="568"/>
      <c r="L12" s="691"/>
      <c r="M12" s="318"/>
    </row>
    <row r="13" spans="1:13" ht="21" customHeight="1">
      <c r="A13" s="1613"/>
      <c r="B13" s="1764"/>
      <c r="C13" s="1764"/>
      <c r="D13" s="1765"/>
      <c r="E13" s="568"/>
      <c r="F13" s="568"/>
      <c r="G13" s="568"/>
      <c r="H13" s="568"/>
      <c r="I13" s="568"/>
      <c r="J13" s="568"/>
      <c r="K13" s="568"/>
      <c r="L13" s="691"/>
    </row>
    <row r="14" spans="1:13" ht="21" customHeight="1">
      <c r="A14" s="1613"/>
      <c r="B14" s="1764"/>
      <c r="C14" s="1764"/>
      <c r="D14" s="1765"/>
      <c r="E14" s="568"/>
      <c r="F14" s="568"/>
      <c r="G14" s="568"/>
      <c r="H14" s="568"/>
      <c r="I14" s="568"/>
      <c r="J14" s="568"/>
      <c r="K14" s="568"/>
      <c r="L14" s="691"/>
    </row>
    <row r="15" spans="1:13" ht="21" customHeight="1">
      <c r="A15" s="1613"/>
      <c r="B15" s="1764"/>
      <c r="C15" s="1764"/>
      <c r="D15" s="1765"/>
      <c r="E15" s="568"/>
      <c r="F15" s="568"/>
      <c r="G15" s="568"/>
      <c r="H15" s="568"/>
      <c r="I15" s="568"/>
      <c r="J15" s="568"/>
      <c r="K15" s="568"/>
      <c r="L15" s="691"/>
    </row>
    <row r="16" spans="1:13" ht="21" customHeight="1">
      <c r="A16" s="1613"/>
      <c r="B16" s="1764"/>
      <c r="C16" s="1764"/>
      <c r="D16" s="1765"/>
      <c r="E16" s="568"/>
      <c r="F16" s="568"/>
      <c r="G16" s="568"/>
      <c r="H16" s="568"/>
      <c r="I16" s="568"/>
      <c r="J16" s="568"/>
      <c r="K16" s="568"/>
      <c r="L16" s="691"/>
    </row>
    <row r="17" spans="1:13" ht="21" customHeight="1">
      <c r="A17" s="1613"/>
      <c r="B17" s="1764"/>
      <c r="C17" s="1764"/>
      <c r="D17" s="1765"/>
      <c r="E17" s="568"/>
      <c r="F17" s="568"/>
      <c r="G17" s="568"/>
      <c r="H17" s="568"/>
      <c r="I17" s="568"/>
      <c r="J17" s="568"/>
      <c r="K17" s="568"/>
      <c r="L17" s="691"/>
    </row>
    <row r="18" spans="1:13" ht="21" customHeight="1">
      <c r="A18" s="1613"/>
      <c r="B18" s="1764"/>
      <c r="C18" s="1764"/>
      <c r="D18" s="1765"/>
      <c r="E18" s="568"/>
      <c r="F18" s="568"/>
      <c r="G18" s="568"/>
      <c r="H18" s="568"/>
      <c r="I18" s="568"/>
      <c r="J18" s="568"/>
      <c r="K18" s="568"/>
      <c r="L18" s="691"/>
    </row>
    <row r="19" spans="1:13" ht="21" customHeight="1">
      <c r="A19" s="1613"/>
      <c r="B19" s="1764"/>
      <c r="C19" s="1764"/>
      <c r="D19" s="1765"/>
      <c r="E19" s="568"/>
      <c r="F19" s="568"/>
      <c r="G19" s="568"/>
      <c r="H19" s="568"/>
      <c r="I19" s="568"/>
      <c r="J19" s="568"/>
      <c r="K19" s="568"/>
      <c r="L19" s="691"/>
    </row>
    <row r="20" spans="1:13" ht="21" customHeight="1">
      <c r="A20" s="1613"/>
      <c r="B20" s="1764"/>
      <c r="C20" s="1764"/>
      <c r="D20" s="1765"/>
      <c r="E20" s="568"/>
      <c r="F20" s="568"/>
      <c r="G20" s="568"/>
      <c r="H20" s="568"/>
      <c r="I20" s="568"/>
      <c r="J20" s="568"/>
      <c r="K20" s="568"/>
      <c r="L20" s="691"/>
    </row>
    <row r="21" spans="1:13" ht="21" customHeight="1">
      <c r="A21" s="1613"/>
      <c r="B21" s="1764"/>
      <c r="C21" s="1764"/>
      <c r="D21" s="1765"/>
      <c r="E21" s="568"/>
      <c r="F21" s="568"/>
      <c r="G21" s="568"/>
      <c r="H21" s="568"/>
      <c r="I21" s="568"/>
      <c r="J21" s="568"/>
      <c r="K21" s="568"/>
      <c r="L21" s="691"/>
    </row>
    <row r="22" spans="1:13" ht="21" customHeight="1">
      <c r="A22" s="1613"/>
      <c r="B22" s="1764"/>
      <c r="C22" s="1764"/>
      <c r="D22" s="1765"/>
      <c r="E22" s="568"/>
      <c r="F22" s="568"/>
      <c r="G22" s="568"/>
      <c r="H22" s="568"/>
      <c r="I22" s="568"/>
      <c r="J22" s="568"/>
      <c r="K22" s="568"/>
      <c r="L22" s="691"/>
    </row>
    <row r="23" spans="1:13" ht="21" customHeight="1">
      <c r="A23" s="1613"/>
      <c r="B23" s="1764"/>
      <c r="C23" s="1764"/>
      <c r="D23" s="1765"/>
      <c r="E23" s="568"/>
      <c r="F23" s="568"/>
      <c r="G23" s="568"/>
      <c r="H23" s="568"/>
      <c r="I23" s="568"/>
      <c r="J23" s="568"/>
      <c r="K23" s="568"/>
      <c r="L23" s="691"/>
    </row>
    <row r="24" spans="1:13" ht="21" customHeight="1">
      <c r="A24" s="1613"/>
      <c r="B24" s="1764"/>
      <c r="C24" s="1764"/>
      <c r="D24" s="1765"/>
      <c r="E24" s="568"/>
      <c r="F24" s="568"/>
      <c r="G24" s="568"/>
      <c r="H24" s="568"/>
      <c r="I24" s="568"/>
      <c r="J24" s="568"/>
      <c r="K24" s="568"/>
      <c r="L24" s="691"/>
      <c r="M24" s="318"/>
    </row>
    <row r="25" spans="1:13" ht="21" customHeight="1">
      <c r="B25" s="1764"/>
      <c r="C25" s="1764"/>
      <c r="D25" s="1765"/>
      <c r="E25" s="568"/>
      <c r="F25" s="568"/>
      <c r="G25" s="568"/>
      <c r="H25" s="568"/>
      <c r="I25" s="568"/>
      <c r="J25" s="568"/>
      <c r="K25" s="568"/>
      <c r="L25" s="691"/>
    </row>
    <row r="26" spans="1:13" ht="21" customHeight="1">
      <c r="B26" s="1764"/>
      <c r="C26" s="1764"/>
      <c r="D26" s="1765"/>
      <c r="E26" s="568"/>
      <c r="F26" s="568"/>
      <c r="G26" s="568"/>
      <c r="H26" s="568"/>
      <c r="I26" s="568"/>
      <c r="J26" s="568"/>
      <c r="K26" s="568"/>
      <c r="L26" s="691"/>
    </row>
    <row r="27" spans="1:13" ht="21" customHeight="1" thickBot="1">
      <c r="B27" s="145"/>
      <c r="C27" s="316"/>
      <c r="D27" s="75"/>
      <c r="E27" s="1517"/>
      <c r="F27" s="1517"/>
      <c r="G27" s="1517"/>
      <c r="H27" s="1517"/>
      <c r="I27" s="1517"/>
      <c r="J27" s="1517"/>
      <c r="K27" s="1517"/>
      <c r="L27" s="1518"/>
    </row>
    <row r="28" spans="1:13" ht="21" customHeight="1" thickTop="1" thickBot="1">
      <c r="B28" s="146"/>
      <c r="C28" s="27"/>
      <c r="D28" s="786" t="s">
        <v>3405</v>
      </c>
      <c r="E28" s="1515">
        <f t="shared" ref="E28:K28" si="0">SUM(E9:E27)</f>
        <v>924.78</v>
      </c>
      <c r="F28" s="1515">
        <f>SUM(F9:F27)</f>
        <v>21526.68</v>
      </c>
      <c r="G28" s="1515">
        <f t="shared" si="0"/>
        <v>1298200</v>
      </c>
      <c r="H28" s="1515">
        <f t="shared" si="0"/>
        <v>555630.36</v>
      </c>
      <c r="I28" s="1515">
        <f t="shared" si="0"/>
        <v>83023.48000000001</v>
      </c>
      <c r="J28" s="1515">
        <f t="shared" si="0"/>
        <v>0</v>
      </c>
      <c r="K28" s="1515">
        <f t="shared" si="0"/>
        <v>1793258.3399999999</v>
      </c>
      <c r="L28" s="1516">
        <f>SUM(L9:L27)</f>
        <v>0</v>
      </c>
    </row>
    <row r="29" spans="1:13" ht="13.5" customHeight="1" thickTop="1">
      <c r="B29" s="152"/>
      <c r="C29" s="44" t="s">
        <v>551</v>
      </c>
      <c r="D29" s="150"/>
      <c r="E29" s="279"/>
      <c r="F29" s="279"/>
      <c r="G29" s="279"/>
      <c r="H29" s="279"/>
      <c r="I29" s="279"/>
      <c r="J29" s="279"/>
      <c r="K29" s="746"/>
      <c r="L29" s="746"/>
    </row>
    <row r="30" spans="1:13">
      <c r="K30" s="318"/>
      <c r="L30" s="280"/>
    </row>
    <row r="33" spans="5:12">
      <c r="E33" s="318"/>
      <c r="F33" s="318"/>
    </row>
    <row r="34" spans="5:12">
      <c r="K34" s="318"/>
      <c r="L34" s="318"/>
    </row>
    <row r="35" spans="5:12">
      <c r="L35" s="318"/>
    </row>
    <row r="36" spans="5:12">
      <c r="L36" s="318"/>
    </row>
    <row r="38" spans="5:12">
      <c r="L38" s="318"/>
    </row>
  </sheetData>
  <sheetProtection algorithmName="SHA-512" hashValue="nVmhJfAJFsp0BQidEHFlvyxJHvp1tC9vtjpwqK4n8seej/xv6DnoUZOhfirw/UQrPXJA4lSEIv4TN2CC4Phztw==" saltValue="wCWePcYVMEj4CgUqqruCwg==" spinCount="100000" sheet="1" objects="1" scenarios="1"/>
  <mergeCells count="25">
    <mergeCell ref="B23:D23"/>
    <mergeCell ref="B24:D24"/>
    <mergeCell ref="B25:D25"/>
    <mergeCell ref="B26:D26"/>
    <mergeCell ref="B18:D18"/>
    <mergeCell ref="B19:D19"/>
    <mergeCell ref="B20:D20"/>
    <mergeCell ref="B21:D21"/>
    <mergeCell ref="B22:D22"/>
    <mergeCell ref="B7:D7"/>
    <mergeCell ref="A12:A24"/>
    <mergeCell ref="B2:L2"/>
    <mergeCell ref="B3:L3"/>
    <mergeCell ref="E4:F6"/>
    <mergeCell ref="K4:L6"/>
    <mergeCell ref="B5:D5"/>
    <mergeCell ref="B6:D6"/>
    <mergeCell ref="B10:D10"/>
    <mergeCell ref="B11:D11"/>
    <mergeCell ref="B12:D12"/>
    <mergeCell ref="B13:D13"/>
    <mergeCell ref="B14:D14"/>
    <mergeCell ref="B15:D15"/>
    <mergeCell ref="B16:D16"/>
    <mergeCell ref="B17:D17"/>
  </mergeCells>
  <pageMargins left="0.25" right="0.25" top="0.5" bottom="0.5" header="0.25" footer="0.25"/>
  <pageSetup paperSize="5" orientation="landscape" r:id="rId1"/>
  <headerFooter alignWithMargins="0"/>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0"/>
  <dimension ref="B1:S54"/>
  <sheetViews>
    <sheetView zoomScaleNormal="100" workbookViewId="0">
      <selection activeCell="I30" sqref="I30"/>
    </sheetView>
  </sheetViews>
  <sheetFormatPr defaultRowHeight="13.2"/>
  <cols>
    <col min="1" max="4" width="4.6640625" customWidth="1"/>
    <col min="7" max="7" width="14.44140625" customWidth="1"/>
    <col min="8" max="8" width="15" customWidth="1"/>
    <col min="9" max="10" width="16.6640625" customWidth="1"/>
    <col min="11" max="11" width="11.109375" bestFit="1" customWidth="1"/>
  </cols>
  <sheetData>
    <row r="1" spans="2:19">
      <c r="B1" s="315"/>
      <c r="C1" s="315"/>
      <c r="D1" s="315"/>
      <c r="E1" s="315"/>
      <c r="F1" s="315"/>
      <c r="G1" s="315"/>
      <c r="H1" s="315"/>
      <c r="I1" s="315"/>
      <c r="J1" s="315"/>
    </row>
    <row r="2" spans="2:19">
      <c r="B2" s="315"/>
      <c r="C2" s="315"/>
      <c r="D2" s="315"/>
      <c r="E2" s="315"/>
      <c r="F2" s="315"/>
      <c r="G2" s="315"/>
      <c r="H2" s="315"/>
      <c r="I2" s="315"/>
      <c r="J2" s="315"/>
    </row>
    <row r="3" spans="2:19" ht="22.8">
      <c r="B3" s="1586" t="s">
        <v>554</v>
      </c>
      <c r="C3" s="1586"/>
      <c r="D3" s="1586"/>
      <c r="E3" s="1586"/>
      <c r="F3" s="1586"/>
      <c r="G3" s="1586"/>
      <c r="H3" s="1586"/>
      <c r="I3" s="1586"/>
      <c r="J3" s="1586"/>
    </row>
    <row r="4" spans="2:19">
      <c r="B4" s="315"/>
      <c r="C4" s="315"/>
      <c r="D4" s="315"/>
      <c r="E4" s="315"/>
      <c r="F4" s="315"/>
      <c r="G4" s="315"/>
      <c r="H4" s="315"/>
      <c r="I4" s="315"/>
      <c r="J4" s="315"/>
    </row>
    <row r="5" spans="2:19" ht="15.6">
      <c r="B5" s="1547" t="s">
        <v>555</v>
      </c>
      <c r="C5" s="1547"/>
      <c r="D5" s="1547"/>
      <c r="E5" s="1547"/>
      <c r="F5" s="1547"/>
      <c r="G5" s="1547"/>
      <c r="H5" s="1547"/>
      <c r="I5" s="1547"/>
      <c r="J5" s="1547"/>
    </row>
    <row r="6" spans="2:19" ht="13.8" thickBot="1">
      <c r="B6" s="315"/>
      <c r="C6" s="315"/>
      <c r="D6" s="315"/>
      <c r="E6" s="315"/>
      <c r="F6" s="315"/>
      <c r="G6" s="315"/>
      <c r="H6" s="315"/>
      <c r="I6" s="315"/>
      <c r="J6" s="315"/>
    </row>
    <row r="7" spans="2:19" ht="28.5" customHeight="1" thickTop="1" thickBot="1">
      <c r="B7" s="61"/>
      <c r="C7" s="61"/>
      <c r="D7" s="61"/>
      <c r="E7" s="61"/>
      <c r="F7" s="61"/>
      <c r="G7" s="61"/>
      <c r="H7" s="61"/>
      <c r="I7" s="4" t="s">
        <v>101</v>
      </c>
      <c r="J7" s="982" t="s">
        <v>102</v>
      </c>
    </row>
    <row r="8" spans="2:19" ht="21" customHeight="1" thickTop="1">
      <c r="B8" s="276" t="str">
        <f>'KEY INPUTS'!D25</f>
        <v>Balance - January 1, 2020</v>
      </c>
      <c r="C8" s="276"/>
      <c r="D8" s="276"/>
      <c r="E8" s="276"/>
      <c r="F8" s="276"/>
      <c r="G8" s="276"/>
      <c r="H8" s="50"/>
      <c r="I8" s="143" t="s">
        <v>662</v>
      </c>
      <c r="J8" s="916">
        <v>38866.239999999998</v>
      </c>
      <c r="K8" s="318"/>
    </row>
    <row r="9" spans="2:19" ht="21" customHeight="1">
      <c r="B9" s="316" t="str">
        <f>"Received from "&amp;TEXT('KEY INPUTS'!D34,"0")&amp;" Budget Appropriation *"</f>
        <v>Received from 2020 Budget Appropriation *</v>
      </c>
      <c r="C9" s="316"/>
      <c r="D9" s="316"/>
      <c r="E9" s="316"/>
      <c r="F9" s="316"/>
      <c r="G9" s="316"/>
      <c r="H9" s="49"/>
      <c r="I9" s="144" t="s">
        <v>662</v>
      </c>
      <c r="J9" s="573">
        <v>42000</v>
      </c>
    </row>
    <row r="10" spans="2:19" ht="21" customHeight="1">
      <c r="B10" s="559"/>
      <c r="C10" s="559"/>
      <c r="D10" s="559"/>
      <c r="E10" s="559"/>
      <c r="F10" s="559"/>
      <c r="G10" s="559"/>
      <c r="H10" s="559"/>
      <c r="I10" s="144" t="s">
        <v>662</v>
      </c>
      <c r="J10" s="571"/>
    </row>
    <row r="11" spans="2:19" ht="11.25" customHeight="1">
      <c r="B11" s="32" t="s">
        <v>183</v>
      </c>
      <c r="C11" s="7"/>
      <c r="D11" s="7"/>
      <c r="E11" s="7"/>
      <c r="F11" s="7"/>
      <c r="G11" s="7"/>
      <c r="H11" s="83"/>
      <c r="I11" s="1787" t="s">
        <v>662</v>
      </c>
      <c r="J11" s="1785"/>
      <c r="M11" s="315"/>
      <c r="N11" s="315"/>
      <c r="O11" s="315"/>
      <c r="P11" s="315"/>
      <c r="Q11" s="315"/>
      <c r="R11" s="315"/>
      <c r="S11" s="315"/>
    </row>
    <row r="12" spans="2:19" ht="12.75" customHeight="1">
      <c r="B12" s="277"/>
      <c r="C12" s="33" t="s">
        <v>184</v>
      </c>
      <c r="D12" s="277"/>
      <c r="E12" s="277"/>
      <c r="F12" s="277"/>
      <c r="G12" s="277"/>
      <c r="H12" s="53"/>
      <c r="I12" s="1788"/>
      <c r="J12" s="1786"/>
      <c r="M12" s="315"/>
      <c r="N12" s="315"/>
      <c r="O12" s="315"/>
      <c r="P12" s="315"/>
      <c r="Q12" s="315"/>
      <c r="R12" s="315"/>
      <c r="S12" s="315"/>
    </row>
    <row r="13" spans="2:19" ht="21" customHeight="1">
      <c r="B13" s="368"/>
      <c r="C13" s="1082"/>
      <c r="D13" s="368"/>
      <c r="E13" s="368"/>
      <c r="F13" s="368"/>
      <c r="G13" s="368"/>
      <c r="H13" s="368"/>
      <c r="I13" s="962"/>
      <c r="J13" s="573"/>
      <c r="M13" s="370"/>
      <c r="N13" s="315"/>
      <c r="O13" s="315"/>
      <c r="P13" s="315"/>
      <c r="Q13" s="315"/>
      <c r="R13" s="315"/>
      <c r="S13" s="315"/>
    </row>
    <row r="14" spans="2:19" ht="21" customHeight="1">
      <c r="B14" s="316" t="s">
        <v>185</v>
      </c>
      <c r="C14" s="316"/>
      <c r="D14" s="316"/>
      <c r="E14" s="316"/>
      <c r="F14" s="316"/>
      <c r="G14" s="316"/>
      <c r="H14" s="316"/>
      <c r="I14" s="144" t="s">
        <v>662</v>
      </c>
      <c r="J14" s="125" t="s">
        <v>662</v>
      </c>
      <c r="M14" s="315"/>
      <c r="N14" s="315"/>
      <c r="O14" s="315"/>
      <c r="P14" s="315"/>
      <c r="Q14" s="315"/>
      <c r="R14" s="315"/>
      <c r="S14" s="315"/>
    </row>
    <row r="15" spans="2:19" ht="21" customHeight="1">
      <c r="B15" s="559"/>
      <c r="C15" s="559"/>
      <c r="D15" s="559"/>
      <c r="E15" s="559"/>
      <c r="F15" s="559"/>
      <c r="G15" s="559"/>
      <c r="H15" s="559"/>
      <c r="I15" s="367"/>
      <c r="J15" s="125" t="s">
        <v>662</v>
      </c>
      <c r="M15" s="315"/>
      <c r="N15" s="315"/>
      <c r="O15" s="315"/>
      <c r="P15" s="315"/>
      <c r="Q15" s="315"/>
      <c r="R15" s="315"/>
      <c r="S15" s="315"/>
    </row>
    <row r="16" spans="2:19" ht="21" customHeight="1">
      <c r="B16" s="559"/>
      <c r="C16" s="559"/>
      <c r="D16" s="559"/>
      <c r="E16" s="559"/>
      <c r="F16" s="559"/>
      <c r="G16" s="559"/>
      <c r="H16" s="559"/>
      <c r="I16" s="367"/>
      <c r="J16" s="125" t="s">
        <v>662</v>
      </c>
      <c r="M16" s="315"/>
      <c r="N16" s="315"/>
      <c r="O16" s="315"/>
      <c r="P16" s="315"/>
      <c r="Q16" s="315"/>
      <c r="R16" s="315"/>
      <c r="S16" s="315"/>
    </row>
    <row r="17" spans="2:19" ht="21" customHeight="1">
      <c r="B17" s="559"/>
      <c r="C17" s="559"/>
      <c r="D17" s="559"/>
      <c r="E17" s="559"/>
      <c r="F17" s="559"/>
      <c r="G17" s="559"/>
      <c r="H17" s="559"/>
      <c r="I17" s="367"/>
      <c r="J17" s="125" t="s">
        <v>662</v>
      </c>
      <c r="M17" s="315"/>
      <c r="N17" s="315"/>
      <c r="O17" s="315"/>
      <c r="P17" s="315"/>
      <c r="Q17" s="315"/>
      <c r="R17" s="315"/>
      <c r="S17" s="315"/>
    </row>
    <row r="18" spans="2:19" ht="21" customHeight="1">
      <c r="B18" s="559"/>
      <c r="C18" s="559"/>
      <c r="D18" s="559"/>
      <c r="E18" s="559"/>
      <c r="F18" s="559"/>
      <c r="G18" s="559"/>
      <c r="H18" s="559"/>
      <c r="I18" s="367"/>
      <c r="J18" s="125" t="s">
        <v>662</v>
      </c>
      <c r="M18" s="315"/>
      <c r="N18" s="315"/>
      <c r="O18" s="315"/>
      <c r="P18" s="315"/>
      <c r="Q18" s="315"/>
      <c r="R18" s="315"/>
      <c r="S18" s="315"/>
    </row>
    <row r="19" spans="2:19" ht="21" customHeight="1">
      <c r="B19" s="559"/>
      <c r="C19" s="559"/>
      <c r="D19" s="559"/>
      <c r="E19" s="559"/>
      <c r="F19" s="559"/>
      <c r="G19" s="559"/>
      <c r="H19" s="559"/>
      <c r="I19" s="367"/>
      <c r="J19" s="125" t="s">
        <v>662</v>
      </c>
      <c r="M19" s="315"/>
      <c r="N19" s="315"/>
      <c r="O19" s="315"/>
      <c r="P19" s="315"/>
      <c r="Q19" s="315"/>
      <c r="R19" s="315"/>
      <c r="S19" s="315"/>
    </row>
    <row r="20" spans="2:19" ht="21" customHeight="1">
      <c r="B20" s="559"/>
      <c r="C20" s="559"/>
      <c r="D20" s="559"/>
      <c r="E20" s="559"/>
      <c r="F20" s="559"/>
      <c r="G20" s="559"/>
      <c r="H20" s="559"/>
      <c r="I20" s="367"/>
      <c r="J20" s="125" t="s">
        <v>662</v>
      </c>
      <c r="M20" s="315"/>
      <c r="N20" s="315"/>
      <c r="O20" s="315"/>
      <c r="P20" s="315"/>
      <c r="Q20" s="315"/>
      <c r="R20" s="315"/>
      <c r="S20" s="315"/>
    </row>
    <row r="21" spans="2:19" ht="21" customHeight="1">
      <c r="B21" s="559"/>
      <c r="C21" s="559"/>
      <c r="D21" s="559"/>
      <c r="E21" s="559"/>
      <c r="F21" s="559"/>
      <c r="G21" s="559"/>
      <c r="H21" s="559"/>
      <c r="I21" s="367"/>
      <c r="J21" s="125" t="s">
        <v>662</v>
      </c>
      <c r="M21" s="315"/>
      <c r="N21" s="315"/>
      <c r="O21" s="315"/>
      <c r="P21" s="315"/>
      <c r="Q21" s="315"/>
      <c r="R21" s="315"/>
      <c r="S21" s="315"/>
    </row>
    <row r="22" spans="2:19" ht="21" customHeight="1">
      <c r="B22" s="559"/>
      <c r="C22" s="559"/>
      <c r="D22" s="559"/>
      <c r="E22" s="559"/>
      <c r="F22" s="559"/>
      <c r="G22" s="559"/>
      <c r="H22" s="559"/>
      <c r="I22" s="367"/>
      <c r="J22" s="125" t="s">
        <v>662</v>
      </c>
      <c r="M22" s="315"/>
      <c r="N22" s="315"/>
      <c r="O22" s="315"/>
      <c r="P22" s="315"/>
      <c r="Q22" s="315"/>
      <c r="R22" s="315"/>
      <c r="S22" s="315"/>
    </row>
    <row r="23" spans="2:19" ht="21" customHeight="1">
      <c r="B23" s="559"/>
      <c r="C23" s="559"/>
      <c r="D23" s="559"/>
      <c r="E23" s="559"/>
      <c r="F23" s="559"/>
      <c r="G23" s="559"/>
      <c r="H23" s="559"/>
      <c r="I23" s="367"/>
      <c r="J23" s="125" t="s">
        <v>662</v>
      </c>
      <c r="M23" s="315"/>
      <c r="N23" s="315"/>
      <c r="O23" s="315"/>
      <c r="P23" s="315"/>
      <c r="Q23" s="315"/>
      <c r="R23" s="315"/>
      <c r="S23" s="315"/>
    </row>
    <row r="24" spans="2:19" ht="21" customHeight="1">
      <c r="B24" s="559"/>
      <c r="C24" s="559"/>
      <c r="D24" s="559"/>
      <c r="E24" s="559"/>
      <c r="F24" s="559"/>
      <c r="G24" s="559"/>
      <c r="H24" s="559"/>
      <c r="I24" s="367"/>
      <c r="J24" s="125" t="s">
        <v>662</v>
      </c>
      <c r="M24" s="315"/>
      <c r="N24" s="315"/>
      <c r="O24" s="315"/>
      <c r="P24" s="315"/>
      <c r="Q24" s="315"/>
      <c r="R24" s="315"/>
      <c r="S24" s="315"/>
    </row>
    <row r="25" spans="2:19" ht="21" customHeight="1">
      <c r="B25" s="559"/>
      <c r="C25" s="559"/>
      <c r="D25" s="559"/>
      <c r="E25" s="559"/>
      <c r="F25" s="559"/>
      <c r="G25" s="559"/>
      <c r="H25" s="559"/>
      <c r="I25" s="367"/>
      <c r="J25" s="125" t="s">
        <v>662</v>
      </c>
      <c r="M25" s="315"/>
      <c r="N25" s="315"/>
      <c r="O25" s="315"/>
      <c r="P25" s="315"/>
      <c r="Q25" s="315"/>
      <c r="R25" s="315"/>
      <c r="S25" s="315"/>
    </row>
    <row r="26" spans="2:19" ht="21" customHeight="1">
      <c r="B26" s="559"/>
      <c r="C26" s="559"/>
      <c r="D26" s="559"/>
      <c r="E26" s="559"/>
      <c r="F26" s="559"/>
      <c r="G26" s="559"/>
      <c r="H26" s="559"/>
      <c r="I26" s="367"/>
      <c r="J26" s="125" t="s">
        <v>662</v>
      </c>
      <c r="M26" s="315"/>
      <c r="N26" s="315"/>
      <c r="O26" s="315"/>
      <c r="P26" s="315"/>
      <c r="Q26" s="315"/>
      <c r="R26" s="315"/>
      <c r="S26" s="315"/>
    </row>
    <row r="27" spans="2:19" ht="21" customHeight="1">
      <c r="B27" s="559"/>
      <c r="C27" s="559"/>
      <c r="D27" s="559"/>
      <c r="E27" s="559"/>
      <c r="F27" s="559"/>
      <c r="G27" s="559"/>
      <c r="H27" s="559"/>
      <c r="I27" s="367"/>
      <c r="J27" s="125" t="s">
        <v>662</v>
      </c>
      <c r="M27" s="315"/>
      <c r="N27" s="315"/>
      <c r="O27" s="315"/>
      <c r="P27" s="315"/>
      <c r="Q27" s="315"/>
      <c r="R27" s="315"/>
      <c r="S27" s="315"/>
    </row>
    <row r="28" spans="2:19" ht="21" customHeight="1">
      <c r="B28" s="559"/>
      <c r="C28" s="559"/>
      <c r="D28" s="559"/>
      <c r="E28" s="559"/>
      <c r="F28" s="559"/>
      <c r="G28" s="559"/>
      <c r="H28" s="559"/>
      <c r="I28" s="367"/>
      <c r="J28" s="125" t="s">
        <v>662</v>
      </c>
    </row>
    <row r="29" spans="2:19" ht="21" customHeight="1">
      <c r="B29" s="316" t="s">
        <v>186</v>
      </c>
      <c r="C29" s="316"/>
      <c r="D29" s="316"/>
      <c r="E29" s="316"/>
      <c r="F29" s="316"/>
      <c r="G29" s="316"/>
      <c r="H29" s="49"/>
      <c r="I29" s="367">
        <v>65600</v>
      </c>
      <c r="J29" s="125" t="s">
        <v>662</v>
      </c>
    </row>
    <row r="30" spans="2:19" ht="21" customHeight="1">
      <c r="B30" s="316"/>
      <c r="C30" s="316"/>
      <c r="D30" s="316"/>
      <c r="E30" s="316"/>
      <c r="F30" s="316"/>
      <c r="G30" s="316"/>
      <c r="H30" s="316"/>
      <c r="I30" s="68"/>
      <c r="J30" s="125" t="s">
        <v>662</v>
      </c>
    </row>
    <row r="31" spans="2:19" ht="21" customHeight="1" thickBot="1">
      <c r="B31" s="316" t="str">
        <f>'KEY INPUTS'!D26</f>
        <v>Balance - December 31, 2020</v>
      </c>
      <c r="C31" s="316"/>
      <c r="D31" s="316"/>
      <c r="E31" s="316"/>
      <c r="F31" s="316"/>
      <c r="G31" s="316"/>
      <c r="H31" s="49"/>
      <c r="I31" s="70">
        <f>+SUM(J8:J13)-SUM(I13:I30)</f>
        <v>15266.239999999991</v>
      </c>
      <c r="J31" s="157" t="s">
        <v>662</v>
      </c>
      <c r="K31" s="221"/>
    </row>
    <row r="32" spans="2:19" ht="21" customHeight="1" thickTop="1" thickBot="1">
      <c r="B32" s="315"/>
      <c r="C32" s="315"/>
      <c r="D32" s="315"/>
      <c r="E32" s="315"/>
      <c r="F32" s="315"/>
      <c r="G32" s="315"/>
      <c r="H32" s="315"/>
      <c r="I32" s="71">
        <f>SUM(I8:I31)</f>
        <v>80866.239999999991</v>
      </c>
      <c r="J32" s="72">
        <f>SUM(J8:J31)</f>
        <v>80866.239999999991</v>
      </c>
      <c r="L32" s="221"/>
    </row>
    <row r="33" spans="2:11" ht="13.8" thickTop="1"/>
    <row r="34" spans="2:11">
      <c r="K34" s="221"/>
    </row>
    <row r="37" spans="2:11">
      <c r="B37" t="str">
        <f>"*The full amount of the "&amp;TEXT('KEY INPUTS'!D34,"0")&amp;" budget appropriation should be transferred to this account unless the balance of the"</f>
        <v>*The full amount of the 2020 budget appropriation should be transferred to this account unless the balance of the</v>
      </c>
    </row>
    <row r="38" spans="2:11">
      <c r="B38" t="s">
        <v>187</v>
      </c>
    </row>
    <row r="54" spans="2:10" ht="13.8">
      <c r="B54" s="1545" t="s">
        <v>182</v>
      </c>
      <c r="C54" s="1545"/>
      <c r="D54" s="1545"/>
      <c r="E54" s="1545"/>
      <c r="F54" s="1545"/>
      <c r="G54" s="1545"/>
      <c r="H54" s="1545"/>
      <c r="I54" s="1545"/>
      <c r="J54" s="1545"/>
    </row>
  </sheetData>
  <sheetProtection algorithmName="SHA-512" hashValue="6dBHUspB65HmRUeJl2Ov7Nu0w1ZR/G/aT9pMD0kAXHfbInjPDPGEQ1ihWFif+lfHn7xFkRTfW223UgvCGiTJ3Q==" saltValue="8rKX8aTt08fu/K/juBRyOA==" spinCount="100000" sheet="1" objects="1" scenarios="1"/>
  <mergeCells count="5">
    <mergeCell ref="B3:J3"/>
    <mergeCell ref="B5:J5"/>
    <mergeCell ref="B54:J54"/>
    <mergeCell ref="J11:J12"/>
    <mergeCell ref="I11:I12"/>
  </mergeCells>
  <phoneticPr fontId="0" type="noConversion"/>
  <pageMargins left="0.25" right="0.25" top="0.5" bottom="0.5" header="0.25" footer="0.25"/>
  <pageSetup paperSize="5" orientation="portrait" r:id="rId1"/>
  <headerFooter alignWithMargins="0"/>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1"/>
  <dimension ref="B3:T55"/>
  <sheetViews>
    <sheetView topLeftCell="A25" zoomScaleNormal="100" workbookViewId="0">
      <selection activeCell="I34" sqref="I34:I41"/>
    </sheetView>
  </sheetViews>
  <sheetFormatPr defaultRowHeight="13.2"/>
  <cols>
    <col min="1" max="1" width="4.6640625" customWidth="1"/>
    <col min="2" max="2" width="6.6640625" customWidth="1"/>
    <col min="3" max="4" width="4.6640625" customWidth="1"/>
    <col min="6" max="6" width="6.6640625" customWidth="1"/>
    <col min="7" max="10" width="16.6640625" customWidth="1"/>
  </cols>
  <sheetData>
    <row r="3" spans="2:20" ht="22.8">
      <c r="B3" s="1586" t="s">
        <v>554</v>
      </c>
      <c r="C3" s="1586"/>
      <c r="D3" s="1586"/>
      <c r="E3" s="1586"/>
      <c r="F3" s="1586"/>
      <c r="G3" s="1586"/>
      <c r="H3" s="1586"/>
      <c r="I3" s="1586"/>
      <c r="J3" s="1586"/>
    </row>
    <row r="5" spans="2:20" ht="15.6">
      <c r="B5" s="1547" t="s">
        <v>188</v>
      </c>
      <c r="C5" s="1547"/>
      <c r="D5" s="1547"/>
      <c r="E5" s="1547"/>
      <c r="F5" s="1547"/>
      <c r="G5" s="1547"/>
      <c r="H5" s="1547"/>
      <c r="I5" s="1547"/>
      <c r="J5" s="1547"/>
    </row>
    <row r="6" spans="2:20" ht="13.8" thickBot="1"/>
    <row r="7" spans="2:20" ht="28.5" customHeight="1" thickTop="1" thickBot="1">
      <c r="B7" s="1029"/>
      <c r="C7" s="1029"/>
      <c r="D7" s="1029"/>
      <c r="E7" s="1029"/>
      <c r="F7" s="1029"/>
      <c r="G7" s="1029"/>
      <c r="H7" s="1029"/>
      <c r="I7" s="957" t="s">
        <v>101</v>
      </c>
      <c r="J7" s="3" t="s">
        <v>102</v>
      </c>
      <c r="N7" s="315"/>
      <c r="O7" s="315"/>
      <c r="P7" s="315"/>
      <c r="Q7" s="315"/>
      <c r="R7" s="315"/>
      <c r="S7" s="315"/>
      <c r="T7" s="315"/>
    </row>
    <row r="8" spans="2:20" ht="21" customHeight="1" thickTop="1">
      <c r="B8" s="374" t="str">
        <f>'KEY INPUTS'!D25</f>
        <v>Balance - January 1, 2020</v>
      </c>
      <c r="C8" s="374"/>
      <c r="D8" s="374"/>
      <c r="E8" s="374"/>
      <c r="F8" s="374"/>
      <c r="G8" s="374"/>
      <c r="H8" s="1084"/>
      <c r="I8" s="1070" t="s">
        <v>662</v>
      </c>
      <c r="J8" s="632">
        <v>0</v>
      </c>
      <c r="N8" s="315"/>
      <c r="O8" s="315"/>
      <c r="P8" s="315"/>
      <c r="Q8" s="315"/>
      <c r="R8" s="315"/>
      <c r="S8" s="315"/>
      <c r="T8" s="315"/>
    </row>
    <row r="9" spans="2:20" ht="21" customHeight="1">
      <c r="B9" s="376" t="str">
        <f>"Received from "&amp;TEXT('KEY INPUTS'!D34,"0")&amp;"  Budget Appropriation *"</f>
        <v>Received from 2020  Budget Appropriation *</v>
      </c>
      <c r="C9" s="376"/>
      <c r="D9" s="376"/>
      <c r="E9" s="376"/>
      <c r="F9" s="376"/>
      <c r="G9" s="376"/>
      <c r="H9" s="1085"/>
      <c r="I9" s="963" t="s">
        <v>662</v>
      </c>
      <c r="J9" s="623"/>
      <c r="N9" s="370"/>
      <c r="O9" s="315"/>
      <c r="P9" s="315"/>
      <c r="Q9" s="315"/>
      <c r="R9" s="315"/>
      <c r="S9" s="315"/>
      <c r="T9" s="315"/>
    </row>
    <row r="10" spans="2:20" ht="21" customHeight="1">
      <c r="B10" s="376" t="str">
        <f>"Received from "&amp;TEXT('KEY INPUTS'!D34,"0")&amp;" Emergency Appropriation *"</f>
        <v>Received from 2020 Emergency Appropriation *</v>
      </c>
      <c r="C10" s="376"/>
      <c r="D10" s="376"/>
      <c r="E10" s="376"/>
      <c r="F10" s="376"/>
      <c r="G10" s="376"/>
      <c r="H10" s="1085"/>
      <c r="I10" s="963" t="s">
        <v>662</v>
      </c>
      <c r="J10" s="623"/>
      <c r="N10" s="315"/>
      <c r="O10" s="315"/>
      <c r="P10" s="315"/>
      <c r="Q10" s="315"/>
      <c r="R10" s="315"/>
      <c r="S10" s="315"/>
      <c r="T10" s="315"/>
    </row>
    <row r="11" spans="2:20" ht="21" customHeight="1">
      <c r="B11" s="559"/>
      <c r="C11" s="559"/>
      <c r="D11" s="559"/>
      <c r="E11" s="559"/>
      <c r="F11" s="559"/>
      <c r="G11" s="559"/>
      <c r="H11" s="812"/>
      <c r="I11" s="1083"/>
      <c r="J11" s="369"/>
      <c r="N11" s="315"/>
      <c r="O11" s="315"/>
      <c r="P11" s="315"/>
      <c r="Q11" s="315"/>
      <c r="R11" s="315"/>
      <c r="S11" s="315"/>
      <c r="T11" s="315"/>
    </row>
    <row r="12" spans="2:20" ht="21" customHeight="1">
      <c r="B12" s="559"/>
      <c r="C12" s="559"/>
      <c r="D12" s="559"/>
      <c r="E12" s="559"/>
      <c r="F12" s="559"/>
      <c r="G12" s="559"/>
      <c r="H12" s="559"/>
      <c r="I12" s="593"/>
      <c r="J12" s="967" t="s">
        <v>662</v>
      </c>
      <c r="N12" s="315"/>
      <c r="O12" s="315"/>
      <c r="P12" s="315"/>
      <c r="Q12" s="315"/>
      <c r="R12" s="315"/>
      <c r="S12" s="315"/>
      <c r="T12" s="315"/>
    </row>
    <row r="13" spans="2:20" ht="21" customHeight="1">
      <c r="B13" s="376" t="s">
        <v>186</v>
      </c>
      <c r="C13" s="376"/>
      <c r="D13" s="376"/>
      <c r="E13" s="376"/>
      <c r="F13" s="376"/>
      <c r="G13" s="376"/>
      <c r="H13" s="1085"/>
      <c r="I13" s="1426"/>
      <c r="J13" s="967" t="s">
        <v>662</v>
      </c>
      <c r="N13" s="315"/>
      <c r="O13" s="315"/>
      <c r="P13" s="315"/>
      <c r="Q13" s="315"/>
      <c r="R13" s="315"/>
      <c r="S13" s="315"/>
      <c r="T13" s="315"/>
    </row>
    <row r="14" spans="2:20" ht="21" customHeight="1">
      <c r="B14" s="559"/>
      <c r="C14" s="559"/>
      <c r="D14" s="559"/>
      <c r="E14" s="559"/>
      <c r="F14" s="559"/>
      <c r="G14" s="559"/>
      <c r="H14" s="559"/>
      <c r="I14" s="593"/>
      <c r="J14" s="967" t="s">
        <v>662</v>
      </c>
      <c r="N14" s="315"/>
      <c r="O14" s="315"/>
      <c r="P14" s="315"/>
      <c r="Q14" s="315"/>
      <c r="R14" s="315"/>
      <c r="S14" s="315"/>
      <c r="T14" s="315"/>
    </row>
    <row r="15" spans="2:20" ht="21" customHeight="1" thickBot="1">
      <c r="B15" s="376" t="str">
        <f>'KEY INPUTS'!D26</f>
        <v>Balance - December 31, 2020</v>
      </c>
      <c r="C15" s="376"/>
      <c r="D15" s="376"/>
      <c r="E15" s="376"/>
      <c r="F15" s="376"/>
      <c r="G15" s="376"/>
      <c r="H15" s="1085"/>
      <c r="I15" s="1088">
        <f>+SUM(J8:J11)-SUM(I11:I14)</f>
        <v>0</v>
      </c>
      <c r="J15" s="1086" t="s">
        <v>662</v>
      </c>
      <c r="N15" s="315"/>
      <c r="O15" s="315"/>
      <c r="P15" s="315"/>
      <c r="Q15" s="315"/>
      <c r="R15" s="315"/>
      <c r="S15" s="315"/>
      <c r="T15" s="315"/>
    </row>
    <row r="16" spans="2:20" ht="21" customHeight="1" thickTop="1" thickBot="1">
      <c r="I16" s="1046">
        <f>SUM(I8:I15)</f>
        <v>0</v>
      </c>
      <c r="J16" s="1089">
        <f>SUM(J8:J15)</f>
        <v>0</v>
      </c>
      <c r="N16" s="315"/>
      <c r="O16" s="315"/>
      <c r="P16" s="315"/>
      <c r="Q16" s="315"/>
      <c r="R16" s="315"/>
      <c r="S16" s="315"/>
      <c r="T16" s="315"/>
    </row>
    <row r="17" spans="2:20" ht="13.8" thickTop="1">
      <c r="N17" s="315"/>
      <c r="O17" s="315"/>
      <c r="P17" s="315"/>
      <c r="Q17" s="315"/>
      <c r="R17" s="315"/>
      <c r="S17" s="315"/>
      <c r="T17" s="315"/>
    </row>
    <row r="18" spans="2:20">
      <c r="N18" s="315"/>
      <c r="O18" s="315"/>
      <c r="P18" s="315"/>
      <c r="Q18" s="315"/>
      <c r="R18" s="315"/>
      <c r="S18" s="315"/>
      <c r="T18" s="315"/>
    </row>
    <row r="19" spans="2:20">
      <c r="C19" s="188" t="str">
        <f>"*The full amount of the "&amp;TEXT('KEY INPUTS'!D34,"0")&amp;" budget appropriation should be transferred to this account unless the balance of the"</f>
        <v>*The full amount of the 2020 budget appropriation should be transferred to this account unless the balance of the</v>
      </c>
      <c r="D19" s="188"/>
      <c r="E19" s="188"/>
      <c r="N19" s="315"/>
      <c r="O19" s="315"/>
      <c r="P19" s="315"/>
      <c r="Q19" s="315"/>
      <c r="R19" s="315"/>
      <c r="S19" s="315"/>
      <c r="T19" s="315"/>
    </row>
    <row r="20" spans="2:20">
      <c r="C20" s="188"/>
      <c r="D20" s="188" t="s">
        <v>187</v>
      </c>
      <c r="E20" s="188"/>
      <c r="N20" s="315"/>
      <c r="O20" s="315"/>
      <c r="P20" s="315"/>
      <c r="Q20" s="315"/>
      <c r="R20" s="315"/>
      <c r="S20" s="315"/>
      <c r="T20" s="315"/>
    </row>
    <row r="21" spans="2:20">
      <c r="D21" s="100"/>
      <c r="E21" s="100"/>
      <c r="N21" s="315"/>
      <c r="O21" s="315"/>
      <c r="P21" s="315"/>
      <c r="Q21" s="315"/>
      <c r="R21" s="315"/>
      <c r="S21" s="315"/>
      <c r="T21" s="315"/>
    </row>
    <row r="22" spans="2:20">
      <c r="D22" s="100"/>
      <c r="E22" s="100"/>
      <c r="N22" s="315"/>
      <c r="O22" s="315"/>
      <c r="P22" s="315"/>
      <c r="Q22" s="315"/>
      <c r="R22" s="315"/>
      <c r="S22" s="315"/>
      <c r="T22" s="315"/>
    </row>
    <row r="23" spans="2:20">
      <c r="D23" s="100"/>
      <c r="E23" s="100"/>
      <c r="N23" s="315"/>
      <c r="O23" s="315"/>
      <c r="P23" s="315"/>
      <c r="Q23" s="315"/>
      <c r="R23" s="315"/>
      <c r="S23" s="315"/>
      <c r="T23" s="315"/>
    </row>
    <row r="24" spans="2:20">
      <c r="D24" s="100"/>
      <c r="E24" s="100"/>
    </row>
    <row r="27" spans="2:20" ht="17.399999999999999">
      <c r="B27" s="1596" t="str">
        <f>"CAPITAL  IMPROVEMENTS  AUTHORIZED  IN  "&amp;TEXT('KEY INPUTS'!D34,"0")</f>
        <v>CAPITAL  IMPROVEMENTS  AUTHORIZED  IN  2020</v>
      </c>
      <c r="C27" s="1596"/>
      <c r="D27" s="1596"/>
      <c r="E27" s="1596"/>
      <c r="F27" s="1596"/>
      <c r="G27" s="1596"/>
      <c r="H27" s="1596"/>
      <c r="I27" s="1596"/>
      <c r="J27" s="1596"/>
    </row>
    <row r="28" spans="2:20" ht="17.399999999999999">
      <c r="B28" s="1596" t="s">
        <v>210</v>
      </c>
      <c r="C28" s="1596"/>
      <c r="D28" s="1596"/>
      <c r="E28" s="1596"/>
      <c r="F28" s="1596"/>
      <c r="G28" s="1596"/>
      <c r="H28" s="1596"/>
      <c r="I28" s="1596"/>
      <c r="J28" s="1596"/>
    </row>
    <row r="29" spans="2:20" ht="13.8" thickBot="1"/>
    <row r="30" spans="2:20" ht="13.8" thickTop="1">
      <c r="B30" s="877"/>
      <c r="C30" s="877"/>
      <c r="D30" s="877"/>
      <c r="E30" s="877"/>
      <c r="F30" s="877"/>
      <c r="G30" s="878"/>
      <c r="H30" s="878"/>
      <c r="I30" s="878"/>
      <c r="J30" s="1059" t="s">
        <v>251</v>
      </c>
    </row>
    <row r="31" spans="2:20">
      <c r="B31" s="844"/>
      <c r="C31" s="1636" t="s">
        <v>440</v>
      </c>
      <c r="D31" s="1636"/>
      <c r="E31" s="1636"/>
      <c r="F31" s="844"/>
      <c r="G31" s="880" t="s">
        <v>441</v>
      </c>
      <c r="H31" s="880" t="s">
        <v>209</v>
      </c>
      <c r="I31" s="880" t="s">
        <v>213</v>
      </c>
      <c r="J31" s="985" t="s">
        <v>252</v>
      </c>
    </row>
    <row r="32" spans="2:20">
      <c r="B32" s="844"/>
      <c r="C32" s="844"/>
      <c r="D32" s="844"/>
      <c r="E32" s="844"/>
      <c r="F32" s="844"/>
      <c r="G32" s="880" t="s">
        <v>211</v>
      </c>
      <c r="H32" s="880" t="s">
        <v>212</v>
      </c>
      <c r="I32" s="880" t="s">
        <v>214</v>
      </c>
      <c r="J32" s="985" t="str">
        <f>"of "&amp;TEXT('KEY INPUTS'!D34,"0")&amp;" or Prior"</f>
        <v>of 2020 or Prior</v>
      </c>
    </row>
    <row r="33" spans="2:11" ht="13.8" thickBot="1">
      <c r="B33" s="886"/>
      <c r="C33" s="886"/>
      <c r="D33" s="886"/>
      <c r="E33" s="886"/>
      <c r="F33" s="886"/>
      <c r="G33" s="888"/>
      <c r="H33" s="888" t="s">
        <v>468</v>
      </c>
      <c r="I33" s="888" t="s">
        <v>250</v>
      </c>
      <c r="J33" s="1061" t="s">
        <v>253</v>
      </c>
    </row>
    <row r="34" spans="2:11" ht="21" customHeight="1" thickTop="1">
      <c r="B34" s="1544" t="s">
        <v>3684</v>
      </c>
      <c r="C34" s="633"/>
      <c r="D34" s="562"/>
      <c r="E34" s="562"/>
      <c r="F34" s="562"/>
      <c r="G34" s="891">
        <f>+H34+I34+J34</f>
        <v>43700</v>
      </c>
      <c r="H34" s="564">
        <v>41500</v>
      </c>
      <c r="I34" s="564"/>
      <c r="J34" s="564">
        <v>2200</v>
      </c>
      <c r="K34" s="722"/>
    </row>
    <row r="35" spans="2:11" ht="21" customHeight="1">
      <c r="B35" s="1544" t="s">
        <v>3685</v>
      </c>
      <c r="C35" s="634"/>
      <c r="D35" s="634"/>
      <c r="E35" s="634"/>
      <c r="F35" s="634"/>
      <c r="G35" s="833">
        <f t="shared" ref="G35:G43" si="0">+H35+I35+J35</f>
        <v>97000</v>
      </c>
      <c r="H35" s="367">
        <v>92100</v>
      </c>
      <c r="I35" s="367"/>
      <c r="J35" s="367">
        <v>4900</v>
      </c>
      <c r="K35" s="742"/>
    </row>
    <row r="36" spans="2:11" ht="21" customHeight="1">
      <c r="B36" s="560" t="s">
        <v>3686</v>
      </c>
      <c r="C36" s="559"/>
      <c r="D36" s="559"/>
      <c r="E36" s="559"/>
      <c r="F36" s="559"/>
      <c r="G36" s="833">
        <f t="shared" si="0"/>
        <v>144500</v>
      </c>
      <c r="H36" s="367">
        <v>137200</v>
      </c>
      <c r="I36" s="367"/>
      <c r="J36" s="367">
        <v>7300</v>
      </c>
    </row>
    <row r="37" spans="2:11" ht="21" customHeight="1">
      <c r="B37" s="635" t="s">
        <v>3692</v>
      </c>
      <c r="C37" s="559"/>
      <c r="D37" s="559"/>
      <c r="E37" s="559"/>
      <c r="F37" s="559"/>
      <c r="G37" s="833">
        <f t="shared" si="0"/>
        <v>149000</v>
      </c>
      <c r="H37" s="367">
        <v>141500</v>
      </c>
      <c r="I37" s="367"/>
      <c r="J37" s="367">
        <v>7500</v>
      </c>
      <c r="K37" s="241"/>
    </row>
    <row r="38" spans="2:11" ht="21" customHeight="1">
      <c r="B38" s="635" t="s">
        <v>3693</v>
      </c>
      <c r="C38" s="559"/>
      <c r="D38" s="559"/>
      <c r="E38" s="559"/>
      <c r="F38" s="559"/>
      <c r="G38" s="833">
        <f t="shared" si="0"/>
        <v>74000</v>
      </c>
      <c r="H38" s="367">
        <v>70300</v>
      </c>
      <c r="I38" s="367"/>
      <c r="J38" s="367">
        <v>3700</v>
      </c>
    </row>
    <row r="39" spans="2:11" ht="21" customHeight="1">
      <c r="B39" s="635" t="s">
        <v>3694</v>
      </c>
      <c r="C39" s="559"/>
      <c r="D39" s="559"/>
      <c r="E39" s="559"/>
      <c r="F39" s="559"/>
      <c r="G39" s="833">
        <f t="shared" si="0"/>
        <v>39000</v>
      </c>
      <c r="H39" s="367">
        <v>37000</v>
      </c>
      <c r="I39" s="367"/>
      <c r="J39" s="367">
        <v>2000</v>
      </c>
      <c r="K39" s="241"/>
    </row>
    <row r="40" spans="2:11" ht="21" customHeight="1">
      <c r="B40" s="635" t="s">
        <v>3695</v>
      </c>
      <c r="C40" s="559"/>
      <c r="D40" s="559"/>
      <c r="E40" s="559"/>
      <c r="F40" s="559"/>
      <c r="G40" s="833">
        <f t="shared" si="0"/>
        <v>361000</v>
      </c>
      <c r="H40" s="367">
        <v>342500</v>
      </c>
      <c r="I40" s="367"/>
      <c r="J40" s="367">
        <v>18500</v>
      </c>
    </row>
    <row r="41" spans="2:11" ht="21" customHeight="1">
      <c r="B41" s="635" t="s">
        <v>3696</v>
      </c>
      <c r="C41" s="559"/>
      <c r="D41" s="559"/>
      <c r="E41" s="559"/>
      <c r="F41" s="559"/>
      <c r="G41" s="833">
        <f t="shared" si="0"/>
        <v>390000</v>
      </c>
      <c r="H41" s="367">
        <v>370500</v>
      </c>
      <c r="I41" s="367"/>
      <c r="J41" s="367">
        <v>19500</v>
      </c>
    </row>
    <row r="42" spans="2:11" ht="21" customHeight="1">
      <c r="B42" s="559"/>
      <c r="C42" s="559"/>
      <c r="D42" s="559"/>
      <c r="E42" s="559"/>
      <c r="F42" s="559"/>
      <c r="G42" s="833">
        <f t="shared" si="0"/>
        <v>0</v>
      </c>
      <c r="H42" s="367"/>
      <c r="I42" s="367"/>
      <c r="J42" s="571"/>
    </row>
    <row r="43" spans="2:11" ht="21" customHeight="1" thickBot="1">
      <c r="B43" s="559"/>
      <c r="C43" s="559"/>
      <c r="D43" s="559"/>
      <c r="E43" s="559"/>
      <c r="F43" s="559"/>
      <c r="G43" s="1090">
        <f t="shared" si="0"/>
        <v>0</v>
      </c>
      <c r="H43" s="608"/>
      <c r="I43" s="608"/>
      <c r="J43" s="636"/>
    </row>
    <row r="44" spans="2:11" ht="21" customHeight="1" thickTop="1" thickBot="1">
      <c r="B44" s="886"/>
      <c r="C44" s="886"/>
      <c r="D44" s="886"/>
      <c r="E44" s="1503" t="s">
        <v>209</v>
      </c>
      <c r="F44" s="886"/>
      <c r="G44" s="1091">
        <f>SUM(G34:G43)</f>
        <v>1298200</v>
      </c>
      <c r="H44" s="1006">
        <f>SUM(H34:H43)</f>
        <v>1232600</v>
      </c>
      <c r="I44" s="1006">
        <f>SUM(I34:I43)</f>
        <v>0</v>
      </c>
      <c r="J44" s="1092">
        <f>SUM(J34:J43)</f>
        <v>65600</v>
      </c>
    </row>
    <row r="45" spans="2:11" ht="13.8" thickTop="1"/>
    <row r="46" spans="2:11">
      <c r="C46" s="38" t="s">
        <v>254</v>
      </c>
      <c r="D46" t="s">
        <v>255</v>
      </c>
    </row>
    <row r="47" spans="2:11">
      <c r="D47" t="s">
        <v>159</v>
      </c>
    </row>
    <row r="49" spans="2:10">
      <c r="B49" s="315"/>
    </row>
    <row r="54" spans="2:10" ht="13.8">
      <c r="B54" s="1545" t="s">
        <v>189</v>
      </c>
      <c r="C54" s="1545"/>
      <c r="D54" s="1545"/>
      <c r="E54" s="1545"/>
      <c r="F54" s="1545"/>
      <c r="G54" s="1545"/>
      <c r="H54" s="1545"/>
      <c r="I54" s="1545"/>
      <c r="J54" s="1545"/>
    </row>
    <row r="55" spans="2:10">
      <c r="J55" s="241"/>
    </row>
  </sheetData>
  <sheetProtection algorithmName="SHA-512" hashValue="S8sgD1iAo8kSkeWJas0iyByx/0ekPYOIMCJ17kFkMuXhqq1GqVpKUDNj0pEfrSbjIEu4bgYCywsb0c6zsqmFwg==" saltValue="QzDOcxlXHX7dAbVvmm4zKw==" spinCount="100000" sheet="1" objects="1" scenarios="1"/>
  <mergeCells count="6">
    <mergeCell ref="B3:J3"/>
    <mergeCell ref="B5:J5"/>
    <mergeCell ref="B54:J54"/>
    <mergeCell ref="B27:J27"/>
    <mergeCell ref="B28:J28"/>
    <mergeCell ref="C31:E31"/>
  </mergeCells>
  <phoneticPr fontId="0" type="noConversion"/>
  <pageMargins left="0.25" right="0.25" top="0.5" bottom="0.5" header="0.25" footer="0.25"/>
  <pageSetup paperSize="5" orientation="portrait" r:id="rId1"/>
  <headerFooter alignWithMargins="0"/>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2"/>
  <dimension ref="B3:T62"/>
  <sheetViews>
    <sheetView zoomScaleNormal="100" workbookViewId="0">
      <selection activeCell="I17" sqref="I17"/>
    </sheetView>
  </sheetViews>
  <sheetFormatPr defaultRowHeight="13.2"/>
  <cols>
    <col min="1" max="1" width="4.6640625" customWidth="1"/>
    <col min="2" max="2" width="3.44140625" customWidth="1"/>
    <col min="3" max="4" width="4.6640625" customWidth="1"/>
    <col min="6" max="6" width="9" customWidth="1"/>
    <col min="7" max="10" width="16.6640625" customWidth="1"/>
    <col min="11" max="11" width="4.6640625" bestFit="1" customWidth="1"/>
    <col min="13" max="13" width="10.109375" style="65" bestFit="1" customWidth="1"/>
  </cols>
  <sheetData>
    <row r="3" spans="2:20" ht="22.8">
      <c r="B3" s="1586" t="s">
        <v>554</v>
      </c>
      <c r="C3" s="1586"/>
      <c r="D3" s="1586"/>
      <c r="E3" s="1586"/>
      <c r="F3" s="1586"/>
      <c r="G3" s="1586"/>
      <c r="H3" s="1586"/>
      <c r="I3" s="1586"/>
      <c r="J3" s="1586"/>
    </row>
    <row r="5" spans="2:20" ht="15.6">
      <c r="B5" s="1547" t="s">
        <v>160</v>
      </c>
      <c r="C5" s="1547"/>
      <c r="D5" s="1547"/>
      <c r="E5" s="1547"/>
      <c r="F5" s="1547"/>
      <c r="G5" s="1547"/>
      <c r="H5" s="1547"/>
      <c r="I5" s="1547"/>
      <c r="J5" s="1547"/>
    </row>
    <row r="6" spans="2:20" ht="15.6">
      <c r="B6" s="1789" t="str">
        <f>'KEY INPUTS'!D49</f>
        <v>YEAR  - 2020</v>
      </c>
      <c r="C6" s="1547"/>
      <c r="D6" s="1547"/>
      <c r="E6" s="1547"/>
      <c r="F6" s="1547"/>
      <c r="G6" s="1547"/>
      <c r="H6" s="1547"/>
      <c r="I6" s="1547"/>
      <c r="J6" s="1547"/>
      <c r="N6" s="315"/>
      <c r="O6" s="315"/>
      <c r="P6" s="315"/>
      <c r="Q6" s="315"/>
      <c r="R6" s="315"/>
      <c r="S6" s="315"/>
      <c r="T6" s="315"/>
    </row>
    <row r="7" spans="2:20" ht="13.8" thickBot="1">
      <c r="N7" s="315"/>
      <c r="O7" s="315"/>
      <c r="P7" s="315"/>
      <c r="Q7" s="315"/>
      <c r="R7" s="315"/>
      <c r="S7" s="315"/>
      <c r="T7" s="315"/>
    </row>
    <row r="8" spans="2:20" ht="28.5" customHeight="1" thickTop="1" thickBot="1">
      <c r="B8" s="61"/>
      <c r="C8" s="61"/>
      <c r="D8" s="61"/>
      <c r="E8" s="61"/>
      <c r="F8" s="61"/>
      <c r="G8" s="61"/>
      <c r="H8" s="61"/>
      <c r="I8" s="4" t="s">
        <v>101</v>
      </c>
      <c r="J8" s="3" t="s">
        <v>102</v>
      </c>
      <c r="N8" s="370"/>
      <c r="O8" s="315"/>
      <c r="P8" s="315"/>
      <c r="Q8" s="315"/>
      <c r="R8" s="315"/>
      <c r="S8" s="315"/>
      <c r="T8" s="315"/>
    </row>
    <row r="9" spans="2:20" ht="21" customHeight="1" thickTop="1">
      <c r="B9" s="276" t="str">
        <f>'KEY INPUTS'!D25</f>
        <v>Balance - January 1, 2020</v>
      </c>
      <c r="C9" s="276"/>
      <c r="D9" s="276"/>
      <c r="E9" s="276"/>
      <c r="F9" s="276"/>
      <c r="G9" s="276"/>
      <c r="H9" s="50"/>
      <c r="I9" s="143" t="s">
        <v>662</v>
      </c>
      <c r="J9" s="632">
        <v>4336.8500000000004</v>
      </c>
      <c r="K9" s="221"/>
      <c r="L9" s="318"/>
      <c r="N9" s="315"/>
      <c r="O9" s="315"/>
      <c r="P9" s="315"/>
      <c r="Q9" s="315"/>
      <c r="R9" s="315"/>
      <c r="S9" s="315"/>
      <c r="T9" s="315"/>
    </row>
    <row r="10" spans="2:20" ht="21" customHeight="1">
      <c r="B10" s="316" t="s">
        <v>161</v>
      </c>
      <c r="C10" s="316"/>
      <c r="D10" s="316"/>
      <c r="E10" s="316"/>
      <c r="F10" s="316"/>
      <c r="G10" s="316"/>
      <c r="H10" s="49"/>
      <c r="I10" s="144" t="s">
        <v>662</v>
      </c>
      <c r="J10" s="623">
        <v>1526.98</v>
      </c>
      <c r="N10" s="315"/>
      <c r="O10" s="315"/>
      <c r="P10" s="315"/>
      <c r="Q10" s="315"/>
      <c r="R10" s="315"/>
      <c r="S10" s="315"/>
      <c r="T10" s="315"/>
    </row>
    <row r="11" spans="2:20" ht="21" customHeight="1">
      <c r="B11" s="316" t="s">
        <v>162</v>
      </c>
      <c r="C11" s="316"/>
      <c r="D11" s="316"/>
      <c r="E11" s="316"/>
      <c r="F11" s="316"/>
      <c r="G11" s="316"/>
      <c r="H11" s="49"/>
      <c r="I11" s="144" t="s">
        <v>662</v>
      </c>
      <c r="J11" s="623"/>
      <c r="N11" s="315"/>
      <c r="O11" s="315"/>
      <c r="P11" s="315"/>
      <c r="Q11" s="315"/>
      <c r="R11" s="315"/>
      <c r="S11" s="315"/>
      <c r="T11" s="315"/>
    </row>
    <row r="12" spans="2:20" ht="21" customHeight="1">
      <c r="B12" s="368"/>
      <c r="C12" s="1082"/>
      <c r="D12" s="368"/>
      <c r="E12" s="368"/>
      <c r="F12" s="368"/>
      <c r="G12" s="368"/>
      <c r="H12" s="368"/>
      <c r="I12" s="674"/>
      <c r="J12" s="369"/>
      <c r="N12" s="315"/>
      <c r="O12" s="315"/>
      <c r="P12" s="315"/>
      <c r="Q12" s="315"/>
      <c r="R12" s="315"/>
      <c r="S12" s="315"/>
      <c r="T12" s="315"/>
    </row>
    <row r="13" spans="2:20" ht="21" customHeight="1">
      <c r="B13" s="368"/>
      <c r="C13" s="1082"/>
      <c r="D13" s="368"/>
      <c r="E13" s="368"/>
      <c r="F13" s="368"/>
      <c r="G13" s="368"/>
      <c r="H13" s="368"/>
      <c r="I13" s="674"/>
      <c r="J13" s="369"/>
      <c r="N13" s="315"/>
      <c r="O13" s="315"/>
      <c r="P13" s="315"/>
      <c r="Q13" s="315"/>
      <c r="R13" s="315"/>
      <c r="S13" s="315"/>
      <c r="T13" s="315"/>
    </row>
    <row r="14" spans="2:20" ht="21" customHeight="1">
      <c r="B14" s="559"/>
      <c r="C14" s="559"/>
      <c r="D14" s="559"/>
      <c r="E14" s="559"/>
      <c r="F14" s="559"/>
      <c r="G14" s="559"/>
      <c r="H14" s="559"/>
      <c r="I14" s="593"/>
      <c r="J14" s="1439"/>
      <c r="N14" s="315"/>
      <c r="O14" s="315"/>
      <c r="P14" s="315"/>
      <c r="Q14" s="315"/>
      <c r="R14" s="315"/>
      <c r="S14" s="315"/>
      <c r="T14" s="315"/>
    </row>
    <row r="15" spans="2:20" ht="21" customHeight="1">
      <c r="B15" s="316" t="s">
        <v>186</v>
      </c>
      <c r="C15" s="316"/>
      <c r="D15" s="316"/>
      <c r="E15" s="316"/>
      <c r="F15" s="316"/>
      <c r="G15" s="316"/>
      <c r="H15" s="49"/>
      <c r="I15" s="593"/>
      <c r="J15" s="125" t="s">
        <v>662</v>
      </c>
      <c r="N15" s="315"/>
      <c r="O15" s="315"/>
      <c r="P15" s="315"/>
      <c r="Q15" s="315"/>
      <c r="R15" s="315"/>
      <c r="S15" s="315"/>
      <c r="T15" s="315"/>
    </row>
    <row r="16" spans="2:20" ht="21" customHeight="1">
      <c r="B16" s="316" t="str">
        <f>"Appropriated to "&amp;TEXT('KEY INPUTS'!D34,"0")&amp;" Budget Revenue"</f>
        <v>Appropriated to 2020 Budget Revenue</v>
      </c>
      <c r="C16" s="316"/>
      <c r="D16" s="316"/>
      <c r="E16" s="316"/>
      <c r="F16" s="316"/>
      <c r="G16" s="316"/>
      <c r="H16" s="49"/>
      <c r="I16" s="593">
        <v>4336.8500000000004</v>
      </c>
      <c r="J16" s="125" t="s">
        <v>662</v>
      </c>
      <c r="N16" s="315"/>
      <c r="O16" s="315"/>
      <c r="P16" s="315"/>
      <c r="Q16" s="315"/>
      <c r="R16" s="315"/>
      <c r="S16" s="315"/>
      <c r="T16" s="315"/>
    </row>
    <row r="17" spans="2:20" ht="21" customHeight="1" thickBot="1">
      <c r="B17" s="316" t="str">
        <f>'KEY INPUTS'!D26</f>
        <v>Balance - December 31, 2020</v>
      </c>
      <c r="C17" s="316"/>
      <c r="D17" s="316"/>
      <c r="E17" s="316"/>
      <c r="F17" s="316"/>
      <c r="G17" s="316"/>
      <c r="H17" s="49"/>
      <c r="I17" s="151">
        <f>SUM(J9:J14)-SUM(I12:I16)</f>
        <v>1526.9799999999996</v>
      </c>
      <c r="J17" s="157" t="s">
        <v>662</v>
      </c>
      <c r="K17" s="221"/>
      <c r="L17" s="221"/>
      <c r="N17" s="315"/>
      <c r="O17" s="315"/>
      <c r="P17" s="315"/>
      <c r="Q17" s="315"/>
      <c r="R17" s="315"/>
      <c r="S17" s="315"/>
      <c r="T17" s="315"/>
    </row>
    <row r="18" spans="2:20" ht="21" customHeight="1" thickTop="1" thickBot="1">
      <c r="I18" s="122">
        <f>SUM(I9:I17)</f>
        <v>5863.83</v>
      </c>
      <c r="J18" s="159">
        <f>SUM(J9:J17)</f>
        <v>5863.83</v>
      </c>
      <c r="N18" s="315"/>
      <c r="O18" s="315"/>
      <c r="P18" s="315"/>
      <c r="Q18" s="315"/>
      <c r="R18" s="315"/>
      <c r="S18" s="315"/>
      <c r="T18" s="315"/>
    </row>
    <row r="19" spans="2:20" ht="13.8" thickTop="1">
      <c r="N19" s="315"/>
      <c r="O19" s="315"/>
      <c r="P19" s="315"/>
      <c r="Q19" s="315"/>
      <c r="R19" s="315"/>
      <c r="S19" s="315"/>
      <c r="T19" s="315"/>
    </row>
    <row r="20" spans="2:20">
      <c r="N20" s="315"/>
      <c r="O20" s="315"/>
      <c r="P20" s="315"/>
      <c r="Q20" s="315"/>
      <c r="R20" s="315"/>
      <c r="S20" s="315"/>
      <c r="T20" s="315"/>
    </row>
    <row r="21" spans="2:20">
      <c r="N21" s="315"/>
      <c r="O21" s="315"/>
      <c r="P21" s="315"/>
      <c r="Q21" s="315"/>
      <c r="R21" s="315"/>
      <c r="S21" s="315"/>
      <c r="T21" s="315"/>
    </row>
    <row r="22" spans="2:20">
      <c r="N22" s="315"/>
      <c r="O22" s="315"/>
      <c r="P22" s="315"/>
      <c r="Q22" s="315"/>
      <c r="R22" s="315"/>
      <c r="S22" s="315"/>
      <c r="T22" s="315"/>
    </row>
    <row r="26" spans="2:20" ht="15.6">
      <c r="B26" s="933"/>
      <c r="C26" s="933"/>
      <c r="D26" s="933"/>
      <c r="E26" s="933"/>
      <c r="F26" s="933"/>
      <c r="G26" s="933"/>
      <c r="H26" s="933"/>
      <c r="I26" s="933"/>
      <c r="J26" s="933"/>
    </row>
    <row r="27" spans="2:20">
      <c r="B27" s="251"/>
      <c r="C27" s="251"/>
      <c r="D27" s="251"/>
      <c r="E27" s="251"/>
      <c r="F27" s="251"/>
      <c r="G27" s="251"/>
      <c r="H27" s="251"/>
      <c r="I27" s="251"/>
      <c r="J27" s="251"/>
    </row>
    <row r="28" spans="2:20">
      <c r="B28" s="251"/>
      <c r="C28" s="251"/>
      <c r="D28" s="251"/>
      <c r="E28" s="251"/>
      <c r="F28" s="251"/>
      <c r="G28" s="251"/>
      <c r="H28" s="251"/>
      <c r="I28" s="251"/>
      <c r="J28" s="251"/>
    </row>
    <row r="29" spans="2:20">
      <c r="B29" s="934"/>
      <c r="C29" s="251"/>
      <c r="D29" s="251"/>
      <c r="E29" s="251"/>
      <c r="F29" s="251"/>
      <c r="G29" s="251"/>
      <c r="H29" s="251"/>
      <c r="I29" s="251"/>
      <c r="J29" s="251"/>
    </row>
    <row r="30" spans="2:20">
      <c r="B30" s="934"/>
      <c r="C30" s="251"/>
      <c r="D30" s="251"/>
      <c r="E30" s="251"/>
      <c r="F30" s="251"/>
      <c r="G30" s="251"/>
      <c r="H30" s="251"/>
      <c r="I30" s="251"/>
      <c r="J30" s="251"/>
    </row>
    <row r="31" spans="2:20">
      <c r="B31" s="934"/>
      <c r="C31" s="251"/>
      <c r="D31" s="251"/>
      <c r="E31" s="251"/>
      <c r="F31" s="251"/>
      <c r="G31" s="251"/>
      <c r="H31" s="251"/>
      <c r="I31" s="251"/>
      <c r="J31" s="251"/>
    </row>
    <row r="32" spans="2:20">
      <c r="B32" s="934"/>
      <c r="C32" s="251"/>
      <c r="D32" s="251"/>
      <c r="E32" s="251"/>
      <c r="F32" s="251"/>
      <c r="G32" s="251"/>
      <c r="H32" s="251"/>
      <c r="I32" s="935"/>
      <c r="J32" s="936"/>
    </row>
    <row r="33" spans="2:10">
      <c r="B33" s="934"/>
      <c r="C33" s="251"/>
      <c r="D33" s="251"/>
      <c r="E33" s="251"/>
      <c r="F33" s="251"/>
      <c r="G33" s="251"/>
      <c r="H33" s="251"/>
      <c r="I33" s="251"/>
      <c r="J33" s="251"/>
    </row>
    <row r="34" spans="2:10">
      <c r="B34" s="934"/>
      <c r="C34" s="251"/>
      <c r="D34" s="251"/>
      <c r="E34" s="251"/>
      <c r="F34" s="251"/>
      <c r="G34" s="251"/>
      <c r="H34" s="251"/>
      <c r="I34" s="935"/>
      <c r="J34" s="936"/>
    </row>
    <row r="35" spans="2:10">
      <c r="B35" s="934"/>
      <c r="C35" s="251"/>
      <c r="D35" s="251"/>
      <c r="E35" s="251"/>
      <c r="F35" s="251"/>
      <c r="G35" s="251"/>
      <c r="H35" s="251"/>
      <c r="I35" s="251"/>
      <c r="J35" s="251"/>
    </row>
    <row r="36" spans="2:10">
      <c r="B36" s="934"/>
      <c r="C36" s="251"/>
      <c r="D36" s="251"/>
      <c r="E36" s="251"/>
      <c r="F36" s="251"/>
      <c r="G36" s="251"/>
      <c r="H36" s="251"/>
      <c r="I36" s="251"/>
      <c r="J36" s="251"/>
    </row>
    <row r="37" spans="2:10">
      <c r="B37" s="934"/>
      <c r="C37" s="251"/>
      <c r="D37" s="251"/>
      <c r="E37" s="251"/>
      <c r="F37" s="251"/>
      <c r="G37" s="251"/>
      <c r="H37" s="935"/>
      <c r="I37" s="936"/>
      <c r="J37" s="251"/>
    </row>
    <row r="38" spans="2:10">
      <c r="B38" s="934"/>
      <c r="C38" s="251"/>
      <c r="D38" s="251"/>
      <c r="E38" s="251"/>
      <c r="F38" s="251"/>
      <c r="G38" s="251"/>
      <c r="H38" s="251"/>
      <c r="I38" s="251"/>
      <c r="J38" s="251"/>
    </row>
    <row r="39" spans="2:10">
      <c r="B39" s="934"/>
      <c r="C39" s="251"/>
      <c r="D39" s="251"/>
      <c r="E39" s="251"/>
      <c r="F39" s="251"/>
      <c r="G39" s="251"/>
      <c r="H39" s="251"/>
      <c r="I39" s="251"/>
      <c r="J39" s="251"/>
    </row>
    <row r="40" spans="2:10">
      <c r="B40" s="934"/>
      <c r="C40" s="251"/>
      <c r="D40" s="251"/>
      <c r="E40" s="251"/>
      <c r="F40" s="251"/>
      <c r="G40" s="251"/>
      <c r="H40" s="935"/>
      <c r="I40" s="936"/>
      <c r="J40" s="251"/>
    </row>
    <row r="41" spans="2:10">
      <c r="B41" s="934"/>
      <c r="C41" s="251"/>
      <c r="D41" s="251"/>
      <c r="E41" s="251"/>
      <c r="F41" s="251"/>
      <c r="G41" s="251"/>
      <c r="H41" s="251"/>
      <c r="I41" s="251"/>
      <c r="J41" s="251"/>
    </row>
    <row r="42" spans="2:10">
      <c r="B42" s="934"/>
      <c r="C42" s="251"/>
      <c r="D42" s="251"/>
      <c r="E42" s="251"/>
      <c r="F42" s="251"/>
      <c r="G42" s="251"/>
      <c r="H42" s="935"/>
      <c r="I42" s="936"/>
      <c r="J42" s="251"/>
    </row>
    <row r="43" spans="2:10">
      <c r="B43" s="934"/>
      <c r="C43" s="251"/>
      <c r="D43" s="251"/>
      <c r="E43" s="251"/>
      <c r="F43" s="251"/>
      <c r="G43" s="251"/>
      <c r="H43" s="251"/>
      <c r="I43" s="251"/>
      <c r="J43" s="251"/>
    </row>
    <row r="44" spans="2:10">
      <c r="B44" s="934"/>
      <c r="C44" s="251"/>
      <c r="D44" s="251"/>
      <c r="E44" s="251"/>
      <c r="F44" s="251"/>
      <c r="G44" s="251"/>
      <c r="H44" s="935"/>
      <c r="I44" s="936"/>
      <c r="J44" s="251"/>
    </row>
    <row r="45" spans="2:10">
      <c r="B45" s="934"/>
      <c r="C45" s="251"/>
      <c r="D45" s="251"/>
      <c r="E45" s="251"/>
      <c r="F45" s="251"/>
      <c r="G45" s="251"/>
      <c r="H45" s="251"/>
      <c r="I45" s="251"/>
      <c r="J45" s="251"/>
    </row>
    <row r="46" spans="2:10">
      <c r="B46" s="934"/>
      <c r="C46" s="251"/>
      <c r="D46" s="251"/>
      <c r="E46" s="251"/>
      <c r="F46" s="251"/>
      <c r="G46" s="251"/>
      <c r="H46" s="251"/>
      <c r="I46" s="935"/>
      <c r="J46" s="936"/>
    </row>
    <row r="47" spans="2:10">
      <c r="B47" s="934"/>
      <c r="C47" s="251"/>
      <c r="D47" s="251"/>
      <c r="E47" s="251"/>
      <c r="F47" s="251"/>
      <c r="G47" s="251"/>
      <c r="H47" s="251"/>
      <c r="I47" s="251"/>
      <c r="J47" s="251"/>
    </row>
    <row r="48" spans="2:10">
      <c r="B48" s="934"/>
      <c r="C48" s="251"/>
      <c r="D48" s="251"/>
      <c r="E48" s="251"/>
      <c r="F48" s="251"/>
      <c r="G48" s="251"/>
      <c r="H48" s="251"/>
      <c r="I48" s="251"/>
      <c r="J48" s="251"/>
    </row>
    <row r="49" spans="2:10">
      <c r="B49" s="934"/>
      <c r="C49" s="251"/>
      <c r="D49" s="251"/>
      <c r="E49" s="251"/>
      <c r="F49" s="251"/>
      <c r="G49" s="251"/>
      <c r="H49" s="251"/>
      <c r="I49" s="251"/>
      <c r="J49" s="251"/>
    </row>
    <row r="50" spans="2:10">
      <c r="B50" s="937"/>
      <c r="C50" s="251"/>
      <c r="D50" s="251"/>
      <c r="E50" s="251"/>
      <c r="F50" s="251"/>
      <c r="G50" s="251"/>
      <c r="H50" s="251"/>
      <c r="I50" s="251"/>
      <c r="J50" s="251"/>
    </row>
    <row r="51" spans="2:10">
      <c r="B51" s="937"/>
      <c r="C51" s="251"/>
      <c r="D51" s="251"/>
      <c r="E51" s="251"/>
      <c r="F51" s="251"/>
      <c r="G51" s="251"/>
      <c r="H51" s="251"/>
      <c r="I51" s="251"/>
      <c r="J51" s="251"/>
    </row>
    <row r="52" spans="2:10">
      <c r="B52" s="938"/>
      <c r="C52" s="251"/>
      <c r="D52" s="251"/>
      <c r="E52" s="251"/>
      <c r="F52" s="251"/>
      <c r="G52" s="251"/>
      <c r="H52" s="251"/>
      <c r="I52" s="251"/>
      <c r="J52" s="251"/>
    </row>
    <row r="53" spans="2:10">
      <c r="B53" s="97"/>
    </row>
    <row r="54" spans="2:10">
      <c r="B54" s="160"/>
    </row>
    <row r="55" spans="2:10">
      <c r="B55" s="300"/>
    </row>
    <row r="56" spans="2:10">
      <c r="B56" s="85"/>
    </row>
    <row r="57" spans="2:10">
      <c r="B57" s="85"/>
    </row>
    <row r="58" spans="2:10">
      <c r="B58" s="85"/>
    </row>
    <row r="59" spans="2:10">
      <c r="B59" s="85"/>
    </row>
    <row r="60" spans="2:10">
      <c r="B60" s="85"/>
    </row>
    <row r="61" spans="2:10">
      <c r="B61" s="85"/>
    </row>
    <row r="62" spans="2:10" ht="13.8">
      <c r="B62" s="1545" t="s">
        <v>163</v>
      </c>
      <c r="C62" s="1545"/>
      <c r="D62" s="1545"/>
      <c r="E62" s="1545"/>
      <c r="F62" s="1545"/>
      <c r="G62" s="1545"/>
      <c r="H62" s="1545"/>
      <c r="I62" s="1545"/>
      <c r="J62" s="1545"/>
    </row>
  </sheetData>
  <sheetProtection algorithmName="SHA-512" hashValue="n/JdDsBp3bjC1I6HZIgI4QURptGJJUCC3DA/ZyGmyoafaWcih5S28p7KqHTGwIKZU0+wMKfoKUQBWWJ30FX6cA==" saltValue="rDAlTzqObxkk0pwKJfEORg==" spinCount="100000" sheet="1" objects="1" scenarios="1"/>
  <mergeCells count="4">
    <mergeCell ref="B3:J3"/>
    <mergeCell ref="B5:J5"/>
    <mergeCell ref="B62:J62"/>
    <mergeCell ref="B6:J6"/>
  </mergeCells>
  <phoneticPr fontId="0" type="noConversion"/>
  <pageMargins left="0.25" right="0.25" top="0.5" bottom="0.5" header="0.25" footer="0.25"/>
  <pageSetup paperSize="5" orientation="portrait" r:id="rId1"/>
  <headerFooter alignWithMargins="0"/>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3"/>
  <dimension ref="B2:R62"/>
  <sheetViews>
    <sheetView topLeftCell="A19" zoomScaleNormal="100" workbookViewId="0">
      <selection activeCell="H54" sqref="H54:J54"/>
    </sheetView>
  </sheetViews>
  <sheetFormatPr defaultRowHeight="13.2"/>
  <cols>
    <col min="1" max="4" width="4.6640625" customWidth="1"/>
    <col min="7" max="7" width="10.109375" customWidth="1"/>
    <col min="8" max="8" width="8.33203125" customWidth="1"/>
    <col min="9" max="9" width="4.33203125" customWidth="1"/>
    <col min="10" max="10" width="4.6640625" customWidth="1"/>
    <col min="11" max="11" width="1.6640625" customWidth="1"/>
    <col min="12" max="12" width="7.6640625" customWidth="1"/>
    <col min="13" max="13" width="1.6640625" customWidth="1"/>
    <col min="14" max="14" width="8.6640625" customWidth="1"/>
    <col min="15" max="15" width="1.5546875" customWidth="1"/>
    <col min="16" max="16" width="7.6640625" customWidth="1"/>
    <col min="17" max="17" width="8.6640625" customWidth="1"/>
  </cols>
  <sheetData>
    <row r="2" spans="2:17" ht="17.399999999999999">
      <c r="B2" s="1596" t="s">
        <v>511</v>
      </c>
      <c r="C2" s="1596"/>
      <c r="D2" s="1596"/>
      <c r="E2" s="1596"/>
      <c r="F2" s="1596"/>
      <c r="G2" s="1596"/>
      <c r="H2" s="1596"/>
      <c r="I2" s="1596"/>
      <c r="J2" s="1596"/>
      <c r="K2" s="1596"/>
      <c r="L2" s="1596"/>
      <c r="M2" s="1596"/>
      <c r="N2" s="1596"/>
      <c r="O2" s="1596"/>
      <c r="P2" s="1596"/>
      <c r="Q2" s="1596"/>
    </row>
    <row r="4" spans="2:17" ht="22.8">
      <c r="B4" s="1586" t="s">
        <v>645</v>
      </c>
      <c r="C4" s="1586"/>
      <c r="D4" s="1586"/>
      <c r="E4" s="1586"/>
      <c r="F4" s="1586"/>
      <c r="G4" s="1586"/>
      <c r="H4" s="1586"/>
      <c r="I4" s="1586"/>
      <c r="J4" s="1586"/>
      <c r="K4" s="1586"/>
      <c r="L4" s="1586"/>
      <c r="M4" s="1586"/>
      <c r="N4" s="1586"/>
      <c r="O4" s="1586"/>
      <c r="P4" s="1586"/>
      <c r="Q4" s="1586"/>
    </row>
    <row r="6" spans="2:17">
      <c r="B6" s="1790" t="s">
        <v>147</v>
      </c>
      <c r="C6" s="1790"/>
      <c r="D6" s="1790"/>
      <c r="E6" s="1790"/>
      <c r="F6" s="1790"/>
      <c r="G6" s="1790"/>
      <c r="H6" s="1790"/>
      <c r="I6" s="1790"/>
      <c r="J6" s="1790"/>
      <c r="K6" s="1790"/>
      <c r="L6" s="1790"/>
      <c r="M6" s="1790"/>
      <c r="N6" s="1790"/>
      <c r="O6" s="1790"/>
      <c r="P6" s="1790"/>
      <c r="Q6" s="1790"/>
    </row>
    <row r="8" spans="2:17">
      <c r="B8" s="1791" t="s">
        <v>288</v>
      </c>
      <c r="C8" s="1791"/>
      <c r="D8" s="1791"/>
      <c r="E8" s="1791"/>
      <c r="F8" s="1791"/>
      <c r="G8" s="1791"/>
      <c r="H8" s="1791"/>
      <c r="I8" s="1791"/>
      <c r="J8" s="1791"/>
      <c r="K8" s="1791"/>
      <c r="L8" s="1791"/>
      <c r="M8" s="1791"/>
      <c r="N8" s="1791"/>
      <c r="O8" s="1791"/>
      <c r="P8" s="1791"/>
      <c r="Q8" s="1791"/>
    </row>
    <row r="9" spans="2:17" ht="13.8" thickBot="1">
      <c r="B9" s="10"/>
      <c r="C9" s="10"/>
      <c r="D9" s="10"/>
      <c r="E9" s="10"/>
      <c r="F9" s="10"/>
      <c r="G9" s="10"/>
      <c r="H9" s="10"/>
      <c r="I9" s="10"/>
      <c r="J9" s="10"/>
      <c r="K9" s="10"/>
      <c r="L9" s="10"/>
      <c r="M9" s="10"/>
      <c r="N9" s="10"/>
      <c r="O9" s="10"/>
      <c r="P9" s="10"/>
      <c r="Q9" s="10"/>
    </row>
    <row r="10" spans="2:17" ht="13.8" thickTop="1">
      <c r="B10" s="42"/>
      <c r="C10" s="42"/>
      <c r="D10" s="42"/>
      <c r="E10" s="42"/>
      <c r="F10" s="42"/>
      <c r="G10" s="42"/>
      <c r="H10" s="42"/>
      <c r="I10" s="42"/>
    </row>
    <row r="11" spans="2:17" ht="13.8">
      <c r="B11" s="93" t="s">
        <v>64</v>
      </c>
    </row>
    <row r="12" spans="2:17" ht="21.9" customHeight="1">
      <c r="C12" s="85" t="s">
        <v>308</v>
      </c>
      <c r="D12" s="273" t="str">
        <f>"Total Tax Levy for the Year "&amp;TEXT('KEY INPUTS'!D34,"0")&amp;" was"</f>
        <v>Total Tax Levy for the Year 2020 was</v>
      </c>
      <c r="M12" t="s">
        <v>397</v>
      </c>
      <c r="N12" s="1792">
        <f>+'22-CY Levy'!J17</f>
        <v>9205800.2299999986</v>
      </c>
      <c r="O12" s="1792"/>
      <c r="P12" s="1792"/>
    </row>
    <row r="13" spans="2:17" ht="21.9" customHeight="1">
      <c r="C13" s="85" t="s">
        <v>309</v>
      </c>
      <c r="D13" s="273" t="str">
        <f>"Amount of Item 1 Collected in "&amp;TEXT('KEY INPUTS'!D34,"0")&amp;" (*)"</f>
        <v>Amount of Item 1 Collected in 2020 (*)</v>
      </c>
      <c r="K13" s="42" t="s">
        <v>397</v>
      </c>
      <c r="L13" s="1792">
        <f>+'22-CY Levy'!L32</f>
        <v>9089719.3900000006</v>
      </c>
      <c r="M13" s="1792"/>
      <c r="N13" s="1792"/>
    </row>
    <row r="14" spans="2:17" ht="21.9" customHeight="1">
      <c r="C14" s="85" t="s">
        <v>310</v>
      </c>
      <c r="D14" t="s">
        <v>289</v>
      </c>
      <c r="M14" t="s">
        <v>397</v>
      </c>
      <c r="N14" s="1792">
        <f>+N12*0.7</f>
        <v>6444060.1609999985</v>
      </c>
      <c r="O14" s="1792"/>
      <c r="P14" s="1792"/>
    </row>
    <row r="15" spans="2:17" ht="21.9" customHeight="1">
      <c r="C15" t="s">
        <v>290</v>
      </c>
    </row>
    <row r="17" spans="2:17" ht="13.8" thickBot="1">
      <c r="B17" s="10"/>
      <c r="C17" s="10"/>
      <c r="D17" s="10"/>
      <c r="E17" s="10"/>
      <c r="F17" s="10"/>
      <c r="G17" s="10"/>
      <c r="H17" s="10"/>
      <c r="I17" s="10"/>
      <c r="J17" s="10"/>
      <c r="K17" s="10"/>
      <c r="L17" s="10"/>
      <c r="M17" s="10"/>
      <c r="N17" s="10"/>
      <c r="O17" s="10"/>
      <c r="P17" s="10"/>
      <c r="Q17" s="10"/>
    </row>
    <row r="18" spans="2:17" ht="13.8" thickTop="1"/>
    <row r="19" spans="2:17" ht="13.8">
      <c r="B19" s="93" t="s">
        <v>66</v>
      </c>
    </row>
    <row r="20" spans="2:17">
      <c r="C20" s="85" t="s">
        <v>308</v>
      </c>
      <c r="D20" s="273" t="str">
        <f>"Did any maturities of bonded obligations or notes fall due during the year "&amp;TEXT('KEY INPUTS'!D34,"0")&amp;"?"</f>
        <v>Did any maturities of bonded obligations or notes fall due during the year 2020?</v>
      </c>
    </row>
    <row r="22" spans="2:17">
      <c r="D22" s="1584" t="s">
        <v>291</v>
      </c>
      <c r="E22" s="1584"/>
      <c r="F22" s="1584"/>
      <c r="G22" s="637" t="s">
        <v>3697</v>
      </c>
      <c r="H22" s="161"/>
    </row>
    <row r="24" spans="2:17">
      <c r="C24" s="85" t="s">
        <v>309</v>
      </c>
      <c r="D24" t="s">
        <v>635</v>
      </c>
    </row>
    <row r="25" spans="2:17">
      <c r="E25" s="273" t="str">
        <f>"December 31, "&amp;TEXT('KEY INPUTS'!D34,"0")&amp;"?"</f>
        <v>December 31, 2020?</v>
      </c>
    </row>
    <row r="27" spans="2:17">
      <c r="D27" s="1584" t="s">
        <v>291</v>
      </c>
      <c r="E27" s="1584"/>
      <c r="F27" s="1584"/>
      <c r="G27" s="637" t="s">
        <v>3697</v>
      </c>
      <c r="H27" t="s">
        <v>636</v>
      </c>
    </row>
    <row r="30" spans="2:17">
      <c r="D30" s="116" t="s">
        <v>646</v>
      </c>
    </row>
    <row r="31" spans="2:17" ht="13.8" thickBot="1">
      <c r="B31" s="10"/>
      <c r="C31" s="10"/>
      <c r="D31" s="10"/>
      <c r="E31" s="10"/>
      <c r="F31" s="10"/>
      <c r="G31" s="10"/>
      <c r="H31" s="10"/>
      <c r="I31" s="10"/>
      <c r="J31" s="10"/>
      <c r="K31" s="10"/>
      <c r="L31" s="10"/>
      <c r="M31" s="10"/>
      <c r="N31" s="10"/>
      <c r="O31" s="10"/>
      <c r="P31" s="10"/>
      <c r="Q31" s="10"/>
    </row>
    <row r="32" spans="2:17" ht="13.8" thickTop="1"/>
    <row r="33" spans="2:17" ht="13.8">
      <c r="B33" s="93" t="s">
        <v>894</v>
      </c>
      <c r="C33" s="273" t="str">
        <f>"Does the appropriation required to be included in the "&amp;TEXT('KEY INPUTS'!D33,"0")&amp;" budget for the liquidation of all bonded"</f>
        <v>Does the appropriation required to be included in the 2021 budget for the liquidation of all bonded</v>
      </c>
    </row>
    <row r="34" spans="2:17">
      <c r="B34" t="s">
        <v>647</v>
      </c>
    </row>
    <row r="35" spans="2:17">
      <c r="B35" t="s">
        <v>637</v>
      </c>
      <c r="E35" s="1584"/>
      <c r="F35" s="1584"/>
      <c r="G35" s="1584"/>
      <c r="H35" s="1549"/>
      <c r="I35" s="1549"/>
    </row>
    <row r="36" spans="2:17">
      <c r="E36" s="1584" t="s">
        <v>291</v>
      </c>
      <c r="F36" s="1584"/>
      <c r="G36" s="1584"/>
      <c r="H36" s="637" t="s">
        <v>3698</v>
      </c>
    </row>
    <row r="37" spans="2:17" ht="13.8" thickBot="1">
      <c r="B37" s="10"/>
      <c r="C37" s="10"/>
      <c r="D37" s="10"/>
      <c r="E37" s="10"/>
      <c r="F37" s="10"/>
      <c r="G37" s="10"/>
      <c r="H37" s="10"/>
      <c r="I37" s="10"/>
      <c r="J37" s="10"/>
      <c r="K37" s="10"/>
      <c r="L37" s="10"/>
      <c r="M37" s="10"/>
      <c r="N37" s="10"/>
      <c r="O37" s="10"/>
      <c r="P37" s="10"/>
      <c r="Q37" s="10"/>
    </row>
    <row r="38" spans="2:17" ht="13.8" thickTop="1"/>
    <row r="39" spans="2:17" ht="13.8">
      <c r="B39" s="93" t="s">
        <v>895</v>
      </c>
    </row>
    <row r="40" spans="2:17">
      <c r="C40" s="85" t="s">
        <v>308</v>
      </c>
      <c r="D40" s="273" t="str">
        <f>"Cash Deficit "&amp;TEXT('KEY INPUTS'!D35,"0")</f>
        <v>Cash Deficit 2019</v>
      </c>
      <c r="O40" t="s">
        <v>397</v>
      </c>
      <c r="P40" s="1588">
        <v>0</v>
      </c>
      <c r="Q40" s="1588"/>
    </row>
    <row r="42" spans="2:17">
      <c r="C42" s="85" t="s">
        <v>309</v>
      </c>
      <c r="D42" s="273" t="str">
        <f>"4% of "&amp;TEXT('KEY INPUTS'!D35,"0")&amp;" Tax Levy for all purposes:"</f>
        <v>4% of 2019 Tax Levy for all purposes:</v>
      </c>
    </row>
    <row r="43" spans="2:17">
      <c r="H43" t="s">
        <v>640</v>
      </c>
      <c r="I43" s="38" t="s">
        <v>639</v>
      </c>
      <c r="J43" s="1588">
        <v>0</v>
      </c>
      <c r="K43" s="1588"/>
      <c r="L43" s="1588"/>
      <c r="M43" s="1588"/>
      <c r="N43" s="1" t="s">
        <v>638</v>
      </c>
      <c r="O43" t="s">
        <v>397</v>
      </c>
      <c r="P43" s="1588">
        <v>0</v>
      </c>
      <c r="Q43" s="1588"/>
    </row>
    <row r="45" spans="2:17">
      <c r="C45" s="85" t="s">
        <v>310</v>
      </c>
      <c r="D45" s="273" t="str">
        <f>"Cash Deficit "&amp;TEXT('KEY INPUTS'!D34,"0")</f>
        <v>Cash Deficit 2020</v>
      </c>
      <c r="O45" t="s">
        <v>397</v>
      </c>
      <c r="P45" s="1588">
        <v>0</v>
      </c>
      <c r="Q45" s="1588"/>
    </row>
    <row r="47" spans="2:17">
      <c r="C47" s="85" t="s">
        <v>311</v>
      </c>
      <c r="D47" s="273" t="str">
        <f>"4% of "&amp;TEXT('KEY INPUTS'!D34,"0")&amp;" Tax Levy for all purposes:"</f>
        <v>4% of 2020 Tax Levy for all purposes:</v>
      </c>
    </row>
    <row r="48" spans="2:17">
      <c r="H48" t="s">
        <v>640</v>
      </c>
      <c r="I48" s="38" t="s">
        <v>639</v>
      </c>
      <c r="J48" s="1588">
        <v>0</v>
      </c>
      <c r="K48" s="1588"/>
      <c r="L48" s="1588"/>
      <c r="M48" s="1588"/>
      <c r="N48" s="1" t="s">
        <v>638</v>
      </c>
      <c r="O48" t="s">
        <v>397</v>
      </c>
      <c r="P48" s="1588">
        <v>0</v>
      </c>
      <c r="Q48" s="1588"/>
    </row>
    <row r="50" spans="2:18" ht="13.8" thickBot="1">
      <c r="B50" s="10"/>
      <c r="C50" s="10"/>
      <c r="D50" s="10"/>
      <c r="E50" s="10"/>
      <c r="F50" s="10"/>
      <c r="G50" s="10"/>
      <c r="H50" s="10"/>
      <c r="I50" s="10"/>
      <c r="J50" s="10"/>
      <c r="K50" s="10"/>
      <c r="L50" s="10"/>
      <c r="M50" s="10"/>
      <c r="N50" s="10"/>
      <c r="O50" s="10"/>
      <c r="P50" s="10"/>
      <c r="Q50" s="10"/>
    </row>
    <row r="51" spans="2:18" ht="13.8" thickTop="1"/>
    <row r="52" spans="2:18" ht="13.8">
      <c r="B52" s="93" t="s">
        <v>896</v>
      </c>
      <c r="D52" s="1608" t="s">
        <v>644</v>
      </c>
      <c r="E52" s="1608"/>
      <c r="F52" s="1608"/>
      <c r="H52" s="1608">
        <f>'KEY INPUTS'!D35</f>
        <v>2019</v>
      </c>
      <c r="I52" s="1608"/>
      <c r="J52" s="1608"/>
      <c r="L52" s="1608">
        <f>'KEY INPUTS'!D34</f>
        <v>2020</v>
      </c>
      <c r="M52" s="1608"/>
      <c r="N52" s="1608"/>
      <c r="O52" s="1608" t="s">
        <v>209</v>
      </c>
      <c r="P52" s="1608"/>
      <c r="Q52" s="1608"/>
    </row>
    <row r="54" spans="2:18" ht="21" customHeight="1">
      <c r="C54" s="85" t="s">
        <v>308</v>
      </c>
      <c r="D54" t="s">
        <v>641</v>
      </c>
      <c r="G54" s="38" t="s">
        <v>639</v>
      </c>
      <c r="H54" s="1588">
        <v>0</v>
      </c>
      <c r="I54" s="1588"/>
      <c r="J54" s="1588"/>
      <c r="K54" t="s">
        <v>397</v>
      </c>
      <c r="L54" s="1588">
        <v>0</v>
      </c>
      <c r="M54" s="1588"/>
      <c r="N54" s="1588"/>
      <c r="O54" t="s">
        <v>397</v>
      </c>
      <c r="P54" s="1792">
        <f>+L54+H54</f>
        <v>0</v>
      </c>
      <c r="Q54" s="1792"/>
    </row>
    <row r="55" spans="2:18" ht="21" customHeight="1">
      <c r="C55" s="85" t="s">
        <v>309</v>
      </c>
      <c r="D55" t="s">
        <v>732</v>
      </c>
      <c r="G55" s="38" t="s">
        <v>639</v>
      </c>
      <c r="H55" s="1588">
        <v>0</v>
      </c>
      <c r="I55" s="1588"/>
      <c r="J55" s="1588"/>
      <c r="K55" t="s">
        <v>397</v>
      </c>
      <c r="L55" s="1793">
        <f>+'15-Other Taxes'!I19+'15-Other Taxes'!I18</f>
        <v>2184.3500000000931</v>
      </c>
      <c r="M55" s="1793"/>
      <c r="N55" s="1793"/>
      <c r="O55" t="s">
        <v>397</v>
      </c>
      <c r="P55" s="1792">
        <f>+L55+H55</f>
        <v>2184.3500000000931</v>
      </c>
      <c r="Q55" s="1792"/>
      <c r="R55" s="729"/>
    </row>
    <row r="56" spans="2:18" ht="21" customHeight="1">
      <c r="C56" s="85" t="s">
        <v>310</v>
      </c>
      <c r="D56" t="s">
        <v>642</v>
      </c>
    </row>
    <row r="57" spans="2:18" ht="21" customHeight="1">
      <c r="C57" s="85"/>
      <c r="G57" s="38" t="s">
        <v>639</v>
      </c>
      <c r="H57" s="1588">
        <v>0</v>
      </c>
      <c r="I57" s="1588"/>
      <c r="J57" s="1588"/>
      <c r="K57" t="s">
        <v>397</v>
      </c>
      <c r="L57" s="1794">
        <f>'15-Other Taxes'!I38</f>
        <v>0</v>
      </c>
      <c r="M57" s="1794"/>
      <c r="N57" s="1794"/>
      <c r="O57" t="s">
        <v>397</v>
      </c>
      <c r="P57" s="1792">
        <f>+L57+H57</f>
        <v>0</v>
      </c>
      <c r="Q57" s="1792"/>
      <c r="R57" s="729"/>
    </row>
    <row r="58" spans="2:18" ht="21" customHeight="1">
      <c r="C58" s="85" t="s">
        <v>311</v>
      </c>
      <c r="D58" s="317" t="s">
        <v>3458</v>
      </c>
    </row>
    <row r="59" spans="2:18" ht="21" customHeight="1">
      <c r="C59" s="85"/>
      <c r="G59" s="38" t="s">
        <v>639</v>
      </c>
      <c r="H59" s="1588">
        <v>0</v>
      </c>
      <c r="I59" s="1588"/>
      <c r="J59" s="1588"/>
      <c r="K59" t="s">
        <v>397</v>
      </c>
      <c r="L59" s="1792">
        <f>+'13-Other Taxes'!G18+'13-Other Taxes'!G16+'14-Other Taxes'!G38+'14-Other Taxes'!G17+'14-Other Taxes'!G19+'14-Other Taxes'!G40</f>
        <v>1559649.8800000004</v>
      </c>
      <c r="M59" s="1792"/>
      <c r="N59" s="1792"/>
      <c r="O59" t="s">
        <v>397</v>
      </c>
      <c r="P59" s="1792">
        <f>+L59+H59</f>
        <v>1559649.8800000004</v>
      </c>
      <c r="Q59" s="1792"/>
      <c r="R59" s="729"/>
    </row>
    <row r="62" spans="2:18" ht="13.8">
      <c r="B62" s="1545" t="s">
        <v>643</v>
      </c>
      <c r="C62" s="1545"/>
      <c r="D62" s="1545"/>
      <c r="E62" s="1545"/>
      <c r="F62" s="1545"/>
      <c r="G62" s="1545"/>
      <c r="H62" s="1545"/>
      <c r="I62" s="1545"/>
      <c r="J62" s="1545"/>
      <c r="K62" s="1545"/>
      <c r="L62" s="1545"/>
      <c r="M62" s="1545"/>
      <c r="N62" s="1545"/>
      <c r="O62" s="1545"/>
      <c r="P62" s="1545"/>
      <c r="Q62" s="1545"/>
    </row>
  </sheetData>
  <sheetProtection algorithmName="SHA-512" hashValue="94tdo9n4PO9vwy/v4kKR9MnhUWJOI4goUxv6qUW32tro59NL4uzdbVa3C9WmTX3kLNd/3l4+c1SbIRwVCnhsBQ==" saltValue="hg4yia86hBIs+w4HOXu7yA==" spinCount="100000" sheet="1" objects="1" scenarios="1"/>
  <mergeCells count="35">
    <mergeCell ref="B62:Q62"/>
    <mergeCell ref="P43:Q43"/>
    <mergeCell ref="H52:J52"/>
    <mergeCell ref="H59:J59"/>
    <mergeCell ref="P59:Q59"/>
    <mergeCell ref="L54:N54"/>
    <mergeCell ref="L55:N55"/>
    <mergeCell ref="P57:Q57"/>
    <mergeCell ref="P54:Q54"/>
    <mergeCell ref="L57:N57"/>
    <mergeCell ref="D22:F22"/>
    <mergeCell ref="D27:F27"/>
    <mergeCell ref="H35:I35"/>
    <mergeCell ref="D52:F52"/>
    <mergeCell ref="O52:Q52"/>
    <mergeCell ref="L52:N52"/>
    <mergeCell ref="P40:Q40"/>
    <mergeCell ref="E36:G36"/>
    <mergeCell ref="E35:G35"/>
    <mergeCell ref="B2:Q2"/>
    <mergeCell ref="B4:Q4"/>
    <mergeCell ref="B6:Q6"/>
    <mergeCell ref="B8:Q8"/>
    <mergeCell ref="L59:N59"/>
    <mergeCell ref="P55:Q55"/>
    <mergeCell ref="P48:Q48"/>
    <mergeCell ref="J43:M43"/>
    <mergeCell ref="J48:M48"/>
    <mergeCell ref="P45:Q45"/>
    <mergeCell ref="H54:J54"/>
    <mergeCell ref="H55:J55"/>
    <mergeCell ref="H57:J57"/>
    <mergeCell ref="N12:P12"/>
    <mergeCell ref="N14:P14"/>
    <mergeCell ref="L13:N13"/>
  </mergeCells>
  <phoneticPr fontId="0" type="noConversion"/>
  <pageMargins left="0.25" right="0.25" top="0.5" bottom="0.5" header="0.25" footer="0.25"/>
  <pageSetup paperSize="5" orientation="portrait" r:id="rId1"/>
  <headerFooter alignWithMargins="0"/>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4">
    <tabColor theme="6" tint="0.39997558519241921"/>
  </sheetPr>
  <dimension ref="B12:V68"/>
  <sheetViews>
    <sheetView zoomScaleNormal="100" workbookViewId="0">
      <selection activeCell="B1" sqref="B1"/>
    </sheetView>
  </sheetViews>
  <sheetFormatPr defaultRowHeight="13.2"/>
  <cols>
    <col min="1" max="1" width="4.6640625" customWidth="1"/>
    <col min="3" max="3" width="5.88671875" customWidth="1"/>
  </cols>
  <sheetData>
    <row r="12" spans="16:22">
      <c r="P12" s="315"/>
      <c r="Q12" s="315"/>
      <c r="R12" s="315"/>
      <c r="S12" s="315"/>
      <c r="T12" s="315"/>
      <c r="U12" s="315"/>
      <c r="V12" s="315"/>
    </row>
    <row r="13" spans="16:22">
      <c r="P13" s="315"/>
      <c r="Q13" s="315"/>
      <c r="R13" s="315"/>
      <c r="S13" s="315"/>
      <c r="T13" s="315"/>
      <c r="U13" s="315"/>
      <c r="V13" s="315"/>
    </row>
    <row r="14" spans="16:22">
      <c r="P14" s="370"/>
      <c r="Q14" s="315"/>
      <c r="R14" s="315"/>
      <c r="S14" s="315"/>
      <c r="T14" s="315"/>
      <c r="U14" s="315"/>
      <c r="V14" s="315"/>
    </row>
    <row r="15" spans="16:22">
      <c r="P15" s="315"/>
      <c r="Q15" s="315"/>
      <c r="R15" s="315"/>
      <c r="S15" s="315"/>
      <c r="T15" s="315"/>
      <c r="U15" s="315"/>
      <c r="V15" s="315"/>
    </row>
    <row r="16" spans="16:22">
      <c r="P16" s="315"/>
      <c r="Q16" s="315"/>
      <c r="R16" s="315"/>
      <c r="S16" s="315"/>
      <c r="T16" s="315"/>
      <c r="U16" s="315"/>
      <c r="V16" s="315"/>
    </row>
    <row r="17" spans="2:22">
      <c r="P17" s="315"/>
      <c r="Q17" s="315"/>
      <c r="R17" s="315"/>
      <c r="S17" s="315"/>
      <c r="T17" s="315"/>
      <c r="U17" s="315"/>
      <c r="V17" s="315"/>
    </row>
    <row r="18" spans="2:22">
      <c r="P18" s="315"/>
      <c r="Q18" s="315"/>
      <c r="R18" s="315"/>
      <c r="S18" s="315"/>
      <c r="T18" s="315"/>
      <c r="U18" s="315"/>
      <c r="V18" s="315"/>
    </row>
    <row r="19" spans="2:22">
      <c r="P19" s="315"/>
      <c r="Q19" s="315"/>
      <c r="R19" s="315"/>
      <c r="S19" s="315"/>
      <c r="T19" s="315"/>
      <c r="U19" s="315"/>
      <c r="V19" s="315"/>
    </row>
    <row r="20" spans="2:22">
      <c r="P20" s="315"/>
      <c r="Q20" s="315"/>
      <c r="R20" s="315"/>
      <c r="S20" s="315"/>
      <c r="T20" s="315"/>
      <c r="U20" s="315"/>
      <c r="V20" s="315"/>
    </row>
    <row r="21" spans="2:22">
      <c r="P21" s="315"/>
      <c r="Q21" s="315"/>
      <c r="R21" s="315"/>
      <c r="S21" s="315"/>
      <c r="T21" s="315"/>
      <c r="U21" s="315"/>
      <c r="V21" s="315"/>
    </row>
    <row r="22" spans="2:22" ht="31.8">
      <c r="B22" s="1795" t="s">
        <v>33</v>
      </c>
      <c r="C22" s="1795"/>
      <c r="D22" s="1795"/>
      <c r="E22" s="1795"/>
      <c r="F22" s="1795"/>
      <c r="G22" s="1795"/>
      <c r="H22" s="1795"/>
      <c r="I22" s="1795"/>
      <c r="J22" s="1795"/>
      <c r="K22" s="1795"/>
      <c r="P22" s="315"/>
      <c r="Q22" s="315"/>
      <c r="R22" s="315"/>
      <c r="S22" s="315"/>
      <c r="T22" s="315"/>
      <c r="U22" s="315"/>
      <c r="V22" s="315"/>
    </row>
    <row r="23" spans="2:22">
      <c r="P23" s="315"/>
      <c r="Q23" s="315"/>
      <c r="R23" s="315"/>
      <c r="S23" s="315"/>
      <c r="T23" s="315"/>
      <c r="U23" s="315"/>
      <c r="V23" s="315"/>
    </row>
    <row r="24" spans="2:22">
      <c r="P24" s="315"/>
      <c r="Q24" s="315"/>
      <c r="R24" s="315"/>
      <c r="S24" s="315"/>
      <c r="T24" s="315"/>
      <c r="U24" s="315"/>
      <c r="V24" s="315"/>
    </row>
    <row r="25" spans="2:22">
      <c r="P25" s="315"/>
      <c r="Q25" s="315"/>
      <c r="R25" s="315"/>
      <c r="S25" s="315"/>
      <c r="T25" s="315"/>
      <c r="U25" s="315"/>
      <c r="V25" s="315"/>
    </row>
    <row r="40" spans="3:4">
      <c r="C40" s="169" t="s">
        <v>757</v>
      </c>
    </row>
    <row r="41" spans="3:4">
      <c r="D41" t="s">
        <v>34</v>
      </c>
    </row>
    <row r="42" spans="3:4">
      <c r="C42" t="str">
        <f>"owned and operated by the municipality during the year "&amp;TEXT('KEY INPUTS'!D34,"0")&amp;", please observe"</f>
        <v>owned and operated by the municipality during the year 2020, please observe</v>
      </c>
    </row>
    <row r="43" spans="3:4">
      <c r="C43" t="s">
        <v>35</v>
      </c>
    </row>
    <row r="68" spans="2:11" ht="13.8">
      <c r="B68" s="1545" t="s">
        <v>36</v>
      </c>
      <c r="C68" s="1545"/>
      <c r="D68" s="1545"/>
      <c r="E68" s="1545"/>
      <c r="F68" s="1545"/>
      <c r="G68" s="1545"/>
      <c r="H68" s="1545"/>
      <c r="I68" s="1545"/>
      <c r="J68" s="1545"/>
      <c r="K68" s="1545"/>
    </row>
  </sheetData>
  <sheetProtection password="CAF9" sheet="1" objects="1" scenarios="1"/>
  <mergeCells count="2">
    <mergeCell ref="B22:K22"/>
    <mergeCell ref="B68:K68"/>
  </mergeCells>
  <phoneticPr fontId="0" type="noConversion"/>
  <pageMargins left="0.25" right="0.25" top="0.5" bottom="0.5" header="0.25" footer="0.25"/>
  <pageSetup paperSize="5" orientation="portrait" r:id="rId1"/>
  <headerFooter alignWithMargins="0"/>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5">
    <tabColor theme="6" tint="0.39997558519241921"/>
  </sheetPr>
  <dimension ref="B2:R57"/>
  <sheetViews>
    <sheetView topLeftCell="A17" zoomScaleNormal="100" zoomScaleSheetLayoutView="80" workbookViewId="0">
      <selection activeCell="H41" sqref="H41"/>
    </sheetView>
  </sheetViews>
  <sheetFormatPr defaultColWidth="8.88671875" defaultRowHeight="13.2"/>
  <cols>
    <col min="1" max="1" width="4.6640625" style="391" customWidth="1"/>
    <col min="2" max="2" width="4.88671875" style="391" customWidth="1"/>
    <col min="3" max="4" width="4.6640625" style="391" customWidth="1"/>
    <col min="5" max="5" width="30.6640625" style="391" customWidth="1"/>
    <col min="6" max="6" width="15.6640625" style="391" customWidth="1"/>
    <col min="7" max="8" width="16.6640625" style="391" customWidth="1"/>
    <col min="9" max="9" width="3.6640625" style="391" bestFit="1" customWidth="1"/>
    <col min="10" max="10" width="13.5546875" style="391" bestFit="1" customWidth="1"/>
    <col min="11" max="16384" width="8.88671875" style="391"/>
  </cols>
  <sheetData>
    <row r="2" spans="2:18">
      <c r="B2" s="1803" t="s">
        <v>37</v>
      </c>
      <c r="C2" s="1803"/>
      <c r="D2" s="1803"/>
      <c r="E2" s="1803"/>
      <c r="F2" s="1803"/>
      <c r="G2" s="1803"/>
      <c r="H2" s="1803"/>
    </row>
    <row r="3" spans="2:18">
      <c r="B3" s="1803" t="s">
        <v>476</v>
      </c>
      <c r="C3" s="1803"/>
      <c r="D3" s="1803"/>
      <c r="E3" s="1803"/>
      <c r="F3" s="1803"/>
      <c r="G3" s="1803"/>
      <c r="H3" s="1803"/>
    </row>
    <row r="4" spans="2:18">
      <c r="B4" s="1096"/>
      <c r="C4" s="1096"/>
      <c r="D4" s="1096"/>
      <c r="E4" s="1096"/>
      <c r="F4" s="1096"/>
      <c r="G4" s="1096"/>
      <c r="H4" s="1096"/>
    </row>
    <row r="5" spans="2:18" ht="22.8">
      <c r="B5" s="1804" t="s">
        <v>451</v>
      </c>
      <c r="C5" s="1804"/>
      <c r="D5" s="1804"/>
      <c r="E5" s="1804"/>
      <c r="F5" s="1804"/>
      <c r="G5" s="1804"/>
      <c r="H5" s="1804"/>
    </row>
    <row r="6" spans="2:18" ht="22.8">
      <c r="B6" s="1804" t="str">
        <f>"TRIAL  BALANCE - "&amp;UPPER('KEY INPUTS'!D52)&amp;"  UTILITY  FUND"</f>
        <v>TRIAL  BALANCE - WATER/SEWER UTILITY  UTILITY  FUND</v>
      </c>
      <c r="C6" s="1804"/>
      <c r="D6" s="1804"/>
      <c r="E6" s="1804"/>
      <c r="F6" s="1804"/>
      <c r="G6" s="1804"/>
      <c r="H6" s="1804"/>
    </row>
    <row r="7" spans="2:18" ht="15.6">
      <c r="B7" s="1805" t="str">
        <f>'KEY INPUTS'!D44</f>
        <v>AS  AT  DECEMBER  31, 2020</v>
      </c>
      <c r="C7" s="1806"/>
      <c r="D7" s="1806"/>
      <c r="E7" s="1806"/>
      <c r="F7" s="1806"/>
      <c r="G7" s="1806"/>
      <c r="H7" s="1806"/>
    </row>
    <row r="8" spans="2:18" ht="15.6">
      <c r="B8" s="1800" t="s">
        <v>477</v>
      </c>
      <c r="C8" s="1800"/>
      <c r="D8" s="1800"/>
      <c r="E8" s="1800"/>
      <c r="F8" s="1800"/>
      <c r="G8" s="1800"/>
      <c r="H8" s="1800"/>
    </row>
    <row r="9" spans="2:18">
      <c r="B9" s="1801" t="s">
        <v>75</v>
      </c>
      <c r="C9" s="1801"/>
      <c r="D9" s="1801"/>
      <c r="E9" s="1801"/>
      <c r="F9" s="1801"/>
      <c r="G9" s="1801"/>
      <c r="H9" s="1801"/>
    </row>
    <row r="10" spans="2:18" ht="15" customHeight="1" thickBot="1">
      <c r="B10" s="1802" t="s">
        <v>76</v>
      </c>
      <c r="C10" s="1802"/>
      <c r="D10" s="1802"/>
      <c r="E10" s="1802"/>
      <c r="F10" s="1802"/>
      <c r="G10" s="1802"/>
      <c r="H10" s="1802"/>
    </row>
    <row r="11" spans="2:18" ht="36" customHeight="1" thickTop="1" thickBot="1">
      <c r="B11" s="1796" t="s">
        <v>100</v>
      </c>
      <c r="C11" s="1796"/>
      <c r="D11" s="1796"/>
      <c r="E11" s="1796"/>
      <c r="F11" s="1797"/>
      <c r="G11" s="1097" t="s">
        <v>101</v>
      </c>
      <c r="H11" s="1098" t="s">
        <v>102</v>
      </c>
      <c r="L11" s="315"/>
      <c r="M11" s="315"/>
      <c r="N11" s="315"/>
      <c r="O11" s="315"/>
      <c r="P11" s="315"/>
      <c r="Q11" s="315"/>
      <c r="R11" s="315"/>
    </row>
    <row r="12" spans="2:18" ht="21" customHeight="1" thickTop="1">
      <c r="B12" s="1096"/>
      <c r="C12" s="1096"/>
      <c r="D12" s="1096"/>
      <c r="E12" s="1096"/>
      <c r="F12" s="1096"/>
      <c r="G12" s="1099"/>
      <c r="H12" s="1100"/>
      <c r="L12" s="315"/>
      <c r="M12" s="315"/>
      <c r="N12" s="315"/>
      <c r="O12" s="315"/>
      <c r="P12" s="315"/>
      <c r="Q12" s="315"/>
      <c r="R12" s="315"/>
    </row>
    <row r="13" spans="2:18" ht="21" customHeight="1">
      <c r="B13" s="681" t="s">
        <v>202</v>
      </c>
      <c r="C13" s="681"/>
      <c r="D13" s="681"/>
      <c r="E13" s="681"/>
      <c r="F13" s="681"/>
      <c r="G13" s="593">
        <v>459826.72</v>
      </c>
      <c r="H13" s="601"/>
      <c r="J13" s="730"/>
      <c r="L13" s="370"/>
      <c r="M13" s="315"/>
      <c r="N13" s="315"/>
      <c r="O13" s="315"/>
      <c r="P13" s="315"/>
      <c r="Q13" s="315"/>
      <c r="R13" s="315"/>
    </row>
    <row r="14" spans="2:18" ht="21" customHeight="1">
      <c r="B14" s="639" t="s">
        <v>335</v>
      </c>
      <c r="C14" s="639"/>
      <c r="D14" s="639"/>
      <c r="E14" s="639"/>
      <c r="F14" s="643"/>
      <c r="G14" s="593"/>
      <c r="H14" s="601"/>
      <c r="J14" s="730"/>
      <c r="L14" s="315"/>
      <c r="M14" s="315"/>
      <c r="N14" s="315"/>
      <c r="O14" s="315"/>
      <c r="P14" s="315"/>
      <c r="Q14" s="315"/>
      <c r="R14" s="315"/>
    </row>
    <row r="15" spans="2:18" ht="21" customHeight="1">
      <c r="B15" s="640"/>
      <c r="C15" s="640"/>
      <c r="D15" s="640"/>
      <c r="E15" s="640"/>
      <c r="F15" s="640"/>
      <c r="G15" s="914"/>
      <c r="H15" s="913"/>
      <c r="L15" s="315"/>
      <c r="M15" s="315"/>
      <c r="N15" s="315"/>
      <c r="O15" s="315"/>
      <c r="P15" s="315"/>
      <c r="Q15" s="315"/>
      <c r="R15" s="315"/>
    </row>
    <row r="16" spans="2:18" ht="21" customHeight="1">
      <c r="B16" s="639" t="s">
        <v>3274</v>
      </c>
      <c r="C16" s="639"/>
      <c r="D16" s="639"/>
      <c r="E16" s="639"/>
      <c r="F16" s="639"/>
      <c r="G16" s="1093"/>
      <c r="H16" s="1093"/>
      <c r="L16" s="315"/>
      <c r="M16" s="315"/>
      <c r="N16" s="315"/>
      <c r="O16" s="315"/>
      <c r="P16" s="315"/>
      <c r="Q16" s="315"/>
      <c r="R16" s="315"/>
    </row>
    <row r="17" spans="2:18" ht="21" customHeight="1">
      <c r="B17" s="639" t="s">
        <v>3274</v>
      </c>
      <c r="C17" s="639"/>
      <c r="D17" s="639"/>
      <c r="E17" s="639"/>
      <c r="F17" s="639"/>
      <c r="G17" s="1093"/>
      <c r="H17" s="1093"/>
      <c r="L17" s="315"/>
      <c r="M17" s="315"/>
      <c r="N17" s="315"/>
      <c r="O17" s="315"/>
      <c r="P17" s="315"/>
      <c r="Q17" s="315"/>
      <c r="R17" s="315"/>
    </row>
    <row r="18" spans="2:18" ht="21" customHeight="1">
      <c r="B18" s="639"/>
      <c r="C18" s="639"/>
      <c r="D18" s="639"/>
      <c r="E18" s="639"/>
      <c r="F18" s="639"/>
      <c r="G18" s="1093"/>
      <c r="H18" s="1093"/>
      <c r="L18" s="315"/>
      <c r="M18" s="315"/>
      <c r="N18" s="315"/>
      <c r="O18" s="315"/>
      <c r="P18" s="315"/>
      <c r="Q18" s="315"/>
      <c r="R18" s="315"/>
    </row>
    <row r="19" spans="2:18" ht="21" customHeight="1">
      <c r="B19" s="1101" t="s">
        <v>3263</v>
      </c>
      <c r="C19" s="1096"/>
      <c r="D19" s="1096"/>
      <c r="E19" s="1096"/>
      <c r="F19" s="1096"/>
      <c r="G19" s="1102"/>
      <c r="H19" s="1103"/>
      <c r="L19" s="315"/>
      <c r="M19" s="315"/>
      <c r="N19" s="315"/>
      <c r="O19" s="315"/>
      <c r="P19" s="315"/>
      <c r="Q19" s="315"/>
      <c r="R19" s="315"/>
    </row>
    <row r="20" spans="2:18" ht="21" customHeight="1">
      <c r="B20" s="681" t="s">
        <v>3264</v>
      </c>
      <c r="C20" s="681"/>
      <c r="D20" s="681"/>
      <c r="E20" s="681"/>
      <c r="F20" s="681"/>
      <c r="G20" s="1104">
        <f>'47-Utility1'!L24</f>
        <v>17487.410000000033</v>
      </c>
      <c r="H20" s="1105"/>
      <c r="L20" s="315"/>
      <c r="M20" s="315"/>
      <c r="N20" s="315"/>
      <c r="O20" s="315"/>
      <c r="P20" s="315"/>
      <c r="Q20" s="315"/>
      <c r="R20" s="315"/>
    </row>
    <row r="21" spans="2:18" ht="21" customHeight="1">
      <c r="B21" s="681" t="s">
        <v>3265</v>
      </c>
      <c r="C21" s="681"/>
      <c r="D21" s="681"/>
      <c r="E21" s="681"/>
      <c r="F21" s="681"/>
      <c r="G21" s="680">
        <f>'47-Utility1'!L54</f>
        <v>0</v>
      </c>
      <c r="H21" s="1096"/>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J23" s="730"/>
      <c r="L23" s="315"/>
      <c r="M23" s="315"/>
      <c r="N23" s="315"/>
      <c r="O23" s="315"/>
      <c r="P23" s="315"/>
      <c r="Q23" s="315"/>
      <c r="R23" s="315"/>
    </row>
    <row r="24" spans="2:18" ht="21" customHeight="1">
      <c r="B24" s="639"/>
      <c r="C24" s="639"/>
      <c r="D24" s="639"/>
      <c r="E24" s="639"/>
      <c r="F24" s="639"/>
      <c r="G24" s="593"/>
      <c r="H24" s="601"/>
      <c r="J24" s="730"/>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81" t="s">
        <v>3266</v>
      </c>
      <c r="C26" s="681"/>
      <c r="D26" s="681"/>
      <c r="E26" s="681"/>
      <c r="F26" s="681"/>
      <c r="G26" s="680"/>
      <c r="H26" s="1106"/>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1107" t="s">
        <v>3267</v>
      </c>
      <c r="C30" s="681"/>
      <c r="D30" s="681"/>
      <c r="E30" s="681"/>
      <c r="F30" s="681"/>
      <c r="G30" s="680"/>
      <c r="H30" s="1106"/>
    </row>
    <row r="31" spans="2:18" ht="21" customHeight="1">
      <c r="B31" s="681" t="s">
        <v>3194</v>
      </c>
      <c r="C31" s="681"/>
      <c r="D31" s="681"/>
      <c r="E31" s="681"/>
      <c r="F31" s="681"/>
      <c r="G31" s="593"/>
      <c r="H31" s="1106">
        <f>+'44-Utility1'!I37</f>
        <v>119642.65</v>
      </c>
      <c r="J31" s="730"/>
    </row>
    <row r="32" spans="2:18" ht="21" customHeight="1">
      <c r="B32" s="681" t="s">
        <v>3193</v>
      </c>
      <c r="C32" s="681"/>
      <c r="D32" s="681"/>
      <c r="E32" s="681"/>
      <c r="F32" s="681"/>
      <c r="G32" s="593"/>
      <c r="H32" s="601">
        <v>2648.01</v>
      </c>
    </row>
    <row r="33" spans="2:10" ht="21" customHeight="1">
      <c r="B33" s="681" t="s">
        <v>3192</v>
      </c>
      <c r="C33" s="681"/>
      <c r="D33" s="681"/>
      <c r="E33" s="681"/>
      <c r="F33" s="681"/>
      <c r="G33" s="593"/>
      <c r="H33" s="1108">
        <f>+'49-Utility1'!I29+'49a-Utility1'!I29+'50.1-Utility1'!M24+'49a.1-Utility1'!I29</f>
        <v>13301.44</v>
      </c>
      <c r="J33" s="730"/>
    </row>
    <row r="34" spans="2:10" ht="21" customHeight="1">
      <c r="B34" s="639" t="s">
        <v>3275</v>
      </c>
      <c r="C34" s="639"/>
      <c r="D34" s="639"/>
      <c r="E34" s="639"/>
      <c r="F34" s="643"/>
      <c r="G34" s="593"/>
      <c r="H34" s="601"/>
    </row>
    <row r="35" spans="2:10" ht="21" customHeight="1">
      <c r="B35" s="640" t="s">
        <v>3710</v>
      </c>
      <c r="C35" s="640"/>
      <c r="D35" s="640"/>
      <c r="E35" s="640"/>
      <c r="F35" s="640"/>
      <c r="G35" s="1094"/>
      <c r="H35" s="1093">
        <v>14.08</v>
      </c>
    </row>
    <row r="36" spans="2:10" ht="21" customHeight="1">
      <c r="B36" s="639"/>
      <c r="C36" s="639"/>
      <c r="D36" s="639"/>
      <c r="E36" s="639"/>
      <c r="F36" s="639"/>
      <c r="G36" s="593"/>
      <c r="H36" s="601"/>
    </row>
    <row r="37" spans="2:10" ht="21" customHeight="1">
      <c r="B37" s="639"/>
      <c r="C37" s="640"/>
      <c r="D37" s="639"/>
      <c r="E37" s="639"/>
      <c r="F37" s="663"/>
      <c r="G37" s="1095"/>
      <c r="H37" s="623"/>
    </row>
    <row r="38" spans="2:10" ht="21" customHeight="1" thickBot="1">
      <c r="B38" s="639"/>
      <c r="C38" s="639"/>
      <c r="D38" s="639"/>
      <c r="E38" s="639"/>
      <c r="F38" s="639"/>
      <c r="G38" s="623"/>
      <c r="H38" s="625"/>
    </row>
    <row r="39" spans="2:10" ht="21" customHeight="1" thickTop="1">
      <c r="B39" s="681"/>
      <c r="C39" s="681" t="s">
        <v>3191</v>
      </c>
      <c r="D39" s="681"/>
      <c r="E39" s="681"/>
      <c r="F39" s="681"/>
      <c r="G39" s="1103"/>
      <c r="H39" s="1198">
        <f>SUM(H30:H38)</f>
        <v>135606.17999999996</v>
      </c>
      <c r="I39" s="391" t="s">
        <v>844</v>
      </c>
    </row>
    <row r="40" spans="2:10" ht="21" customHeight="1">
      <c r="B40" s="1110" t="s">
        <v>3276</v>
      </c>
      <c r="C40" s="1110"/>
      <c r="D40" s="1110"/>
      <c r="E40" s="1110"/>
      <c r="F40" s="1110"/>
      <c r="G40" s="1105"/>
      <c r="H40" s="623">
        <v>17487.41</v>
      </c>
    </row>
    <row r="41" spans="2:10" ht="21" customHeight="1">
      <c r="B41" s="639"/>
      <c r="C41" s="639"/>
      <c r="D41" s="639"/>
      <c r="E41" s="639"/>
      <c r="F41" s="639"/>
      <c r="G41" s="593"/>
      <c r="H41" s="601"/>
    </row>
    <row r="42" spans="2:10" ht="21" customHeight="1">
      <c r="B42" s="681" t="s">
        <v>652</v>
      </c>
      <c r="C42" s="681"/>
      <c r="D42" s="681"/>
      <c r="E42" s="681"/>
      <c r="F42" s="681"/>
      <c r="G42" s="680"/>
      <c r="H42" s="1106">
        <f>+'46-Utility1'!K27</f>
        <v>324220.54000000004</v>
      </c>
    </row>
    <row r="43" spans="2:10" ht="21" customHeight="1" thickBot="1">
      <c r="B43" s="681"/>
      <c r="C43" s="681"/>
      <c r="D43" s="681"/>
      <c r="E43" s="681"/>
      <c r="F43" s="681"/>
      <c r="G43" s="1111"/>
      <c r="H43" s="1112"/>
    </row>
    <row r="44" spans="2:10" ht="21" customHeight="1" thickBot="1">
      <c r="B44" s="681" t="s">
        <v>3277</v>
      </c>
      <c r="C44" s="681"/>
      <c r="D44" s="681"/>
      <c r="E44" s="681"/>
      <c r="F44" s="681"/>
      <c r="G44" s="1113">
        <f>SUM(G12:G43)</f>
        <v>477314.13</v>
      </c>
      <c r="H44" s="1114">
        <f>SUM(H39:H43)</f>
        <v>477314.13</v>
      </c>
      <c r="J44" s="392">
        <f>G44-H44</f>
        <v>0</v>
      </c>
    </row>
    <row r="45" spans="2:10" ht="13.8" thickTop="1">
      <c r="B45" s="1798" t="s">
        <v>103</v>
      </c>
      <c r="C45" s="1798"/>
      <c r="D45" s="1798"/>
      <c r="E45" s="1798"/>
      <c r="F45" s="1798"/>
      <c r="G45" s="1798"/>
      <c r="H45" s="1798"/>
    </row>
    <row r="46" spans="2:10">
      <c r="B46" s="393"/>
      <c r="C46" s="393"/>
      <c r="D46" s="393"/>
      <c r="E46" s="393"/>
      <c r="F46" s="393"/>
      <c r="G46" s="393"/>
      <c r="H46" s="393"/>
    </row>
    <row r="47" spans="2:10">
      <c r="B47" s="393"/>
      <c r="C47" s="393"/>
      <c r="D47" s="393"/>
      <c r="E47" s="393"/>
      <c r="F47" s="393"/>
      <c r="G47" s="393"/>
      <c r="H47" s="393"/>
    </row>
    <row r="48" spans="2:10">
      <c r="B48" s="393"/>
      <c r="C48" s="393"/>
      <c r="D48" s="393"/>
      <c r="E48" s="393"/>
      <c r="F48" s="393"/>
      <c r="G48" s="393"/>
      <c r="H48" s="393"/>
    </row>
    <row r="49" spans="2:8">
      <c r="B49" s="393"/>
      <c r="C49" s="393"/>
      <c r="D49" s="393"/>
      <c r="E49" s="393"/>
      <c r="F49" s="393"/>
      <c r="G49" s="393"/>
      <c r="H49" s="393"/>
    </row>
    <row r="50" spans="2:8" ht="13.8">
      <c r="B50" s="1799" t="s">
        <v>3189</v>
      </c>
      <c r="C50" s="1799"/>
      <c r="D50" s="1799"/>
      <c r="E50" s="1799"/>
      <c r="F50" s="1799"/>
      <c r="G50" s="1799"/>
      <c r="H50" s="1799"/>
    </row>
    <row r="54" spans="2:8">
      <c r="H54" s="392"/>
    </row>
    <row r="57" spans="2:8">
      <c r="H57" s="392">
        <f>+H44-G44</f>
        <v>0</v>
      </c>
    </row>
  </sheetData>
  <sheetProtection algorithmName="SHA-512" hashValue="sH4yGq56ovVn0BGvEJUogWteP0HuImTxhBE/PxeK6eo+AhXzbsJ0AO+r9dLck+YX5PM657Tqo67qYclgrB+fxQ==" saltValue="TNc00rbCwMb4D+eIXWLzsA==" spinCount="100000" sheet="1" objects="1" scenarios="1"/>
  <mergeCells count="11">
    <mergeCell ref="B2:H2"/>
    <mergeCell ref="B5:H5"/>
    <mergeCell ref="B6:H6"/>
    <mergeCell ref="B7:H7"/>
    <mergeCell ref="B3:H3"/>
    <mergeCell ref="B11:F11"/>
    <mergeCell ref="B45:H45"/>
    <mergeCell ref="B50:H50"/>
    <mergeCell ref="B8:H8"/>
    <mergeCell ref="B9:H9"/>
    <mergeCell ref="B10:H10"/>
  </mergeCells>
  <pageMargins left="0.25" right="0.25" top="0.5" bottom="0.5" header="0.25" footer="0.25"/>
  <pageSetup paperSize="5" orientation="portrait" r:id="rId1"/>
  <headerFooter alignWithMargins="0"/>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6">
    <tabColor theme="6" tint="0.39997558519241921"/>
  </sheetPr>
  <dimension ref="B2:Q55"/>
  <sheetViews>
    <sheetView topLeftCell="A5" zoomScaleNormal="100" zoomScaleSheetLayoutView="80" workbookViewId="0">
      <selection activeCell="G24" sqref="G24"/>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2" spans="2:17">
      <c r="B2" s="1814" t="s">
        <v>37</v>
      </c>
      <c r="C2" s="1814"/>
      <c r="D2" s="1814"/>
      <c r="E2" s="1814"/>
      <c r="F2" s="1814"/>
      <c r="G2" s="1814"/>
      <c r="H2" s="1814"/>
    </row>
    <row r="3" spans="2:17">
      <c r="B3" s="1814" t="s">
        <v>476</v>
      </c>
      <c r="C3" s="1814"/>
      <c r="D3" s="1814"/>
      <c r="E3" s="1814"/>
      <c r="F3" s="1814"/>
      <c r="G3" s="1814"/>
      <c r="H3" s="1814"/>
    </row>
    <row r="5" spans="2:17" ht="22.8">
      <c r="B5" s="1815" t="s">
        <v>451</v>
      </c>
      <c r="C5" s="1815"/>
      <c r="D5" s="1815"/>
      <c r="E5" s="1815"/>
      <c r="F5" s="1815"/>
      <c r="G5" s="1815"/>
      <c r="H5" s="1815"/>
    </row>
    <row r="6" spans="2:17" ht="22.8">
      <c r="B6" s="1804" t="str">
        <f>"TRIAL  BALANCE - "&amp;UPPER('KEY INPUTS'!D52)&amp;"  UTILITY  FUND (cont'd)"</f>
        <v>TRIAL  BALANCE - WATER/SEWER UTILITY  UTILITY  FUND (cont'd)</v>
      </c>
      <c r="C6" s="1804"/>
      <c r="D6" s="1804"/>
      <c r="E6" s="1804"/>
      <c r="F6" s="1804"/>
      <c r="G6" s="1804"/>
      <c r="H6" s="1804"/>
    </row>
    <row r="7" spans="2:17" ht="15.6">
      <c r="B7" s="1816" t="str">
        <f>'KEY INPUTS'!D44</f>
        <v>AS  AT  DECEMBER  31, 2020</v>
      </c>
      <c r="C7" s="1817"/>
      <c r="D7" s="1817"/>
      <c r="E7" s="1817"/>
      <c r="F7" s="1817"/>
      <c r="G7" s="1817"/>
      <c r="H7" s="1817"/>
    </row>
    <row r="8" spans="2:17" ht="15.6">
      <c r="B8" s="1807" t="s">
        <v>477</v>
      </c>
      <c r="C8" s="1807"/>
      <c r="D8" s="1807"/>
      <c r="E8" s="1807"/>
      <c r="F8" s="1807"/>
      <c r="G8" s="1807"/>
      <c r="H8" s="1807"/>
    </row>
    <row r="9" spans="2:17">
      <c r="B9" s="1808" t="s">
        <v>75</v>
      </c>
      <c r="C9" s="1808"/>
      <c r="D9" s="1808"/>
      <c r="E9" s="1808"/>
      <c r="F9" s="1808"/>
      <c r="G9" s="1808"/>
      <c r="H9" s="1808"/>
    </row>
    <row r="10" spans="2:17" ht="15" customHeight="1" thickBot="1">
      <c r="B10" s="1809" t="s">
        <v>76</v>
      </c>
      <c r="C10" s="1809"/>
      <c r="D10" s="1809"/>
      <c r="E10" s="1809"/>
      <c r="F10" s="1809"/>
      <c r="G10" s="1809"/>
      <c r="H10" s="1809"/>
    </row>
    <row r="11" spans="2:17" ht="36" customHeight="1" thickTop="1" thickBot="1">
      <c r="B11" s="1810" t="s">
        <v>100</v>
      </c>
      <c r="C11" s="1810"/>
      <c r="D11" s="1810"/>
      <c r="E11" s="1810"/>
      <c r="F11" s="1811"/>
      <c r="G11" s="396" t="s">
        <v>101</v>
      </c>
      <c r="H11" s="997" t="s">
        <v>102</v>
      </c>
    </row>
    <row r="12" spans="2:17" ht="21" customHeight="1" thickTop="1">
      <c r="G12" s="254"/>
      <c r="H12" s="255"/>
    </row>
    <row r="13" spans="2:17" ht="21" customHeight="1">
      <c r="B13" s="400" t="s">
        <v>677</v>
      </c>
      <c r="C13" s="395"/>
      <c r="D13" s="395"/>
      <c r="E13" s="395"/>
      <c r="F13" s="395"/>
      <c r="G13" s="285"/>
      <c r="H13" s="256"/>
      <c r="K13" s="315"/>
      <c r="L13" s="315"/>
      <c r="M13" s="315"/>
      <c r="N13" s="315"/>
      <c r="O13" s="315"/>
      <c r="P13" s="315"/>
      <c r="Q13" s="315"/>
    </row>
    <row r="14" spans="2:17" ht="21" customHeight="1">
      <c r="B14" s="395"/>
      <c r="C14" s="395"/>
      <c r="D14" s="395"/>
      <c r="E14" s="395"/>
      <c r="F14" s="395"/>
      <c r="G14" s="285"/>
      <c r="H14" s="256"/>
      <c r="K14" s="315"/>
      <c r="L14" s="315"/>
      <c r="M14" s="315"/>
      <c r="N14" s="315"/>
      <c r="O14" s="315"/>
      <c r="P14" s="315"/>
      <c r="Q14" s="315"/>
    </row>
    <row r="15" spans="2:17" ht="21" customHeight="1">
      <c r="B15" s="391" t="s">
        <v>200</v>
      </c>
      <c r="C15" s="395"/>
      <c r="D15" s="395"/>
      <c r="E15" s="395"/>
      <c r="F15" s="395"/>
      <c r="G15" s="365">
        <v>950300</v>
      </c>
      <c r="H15" s="257" t="s">
        <v>662</v>
      </c>
      <c r="K15" s="370"/>
      <c r="L15" s="315"/>
      <c r="M15" s="315"/>
      <c r="N15" s="315"/>
      <c r="O15" s="315"/>
      <c r="P15" s="315"/>
      <c r="Q15" s="315"/>
    </row>
    <row r="16" spans="2:17" ht="21" customHeight="1">
      <c r="B16" s="395" t="s">
        <v>201</v>
      </c>
      <c r="C16" s="395"/>
      <c r="D16" s="395"/>
      <c r="E16" s="395"/>
      <c r="F16" s="395"/>
      <c r="G16" s="303" t="s">
        <v>662</v>
      </c>
      <c r="H16" s="304">
        <f>+G15</f>
        <v>950300</v>
      </c>
      <c r="K16" s="315"/>
      <c r="L16" s="315"/>
      <c r="M16" s="315"/>
      <c r="N16" s="315"/>
      <c r="O16" s="315"/>
      <c r="P16" s="315"/>
      <c r="Q16" s="315"/>
    </row>
    <row r="17" spans="2:17" ht="21" customHeight="1">
      <c r="B17" s="395"/>
      <c r="C17" s="395"/>
      <c r="D17" s="395"/>
      <c r="E17" s="395"/>
      <c r="F17" s="395"/>
      <c r="G17" s="330"/>
      <c r="H17" s="304"/>
      <c r="K17" s="315"/>
      <c r="L17" s="315"/>
      <c r="M17" s="315"/>
      <c r="N17" s="315"/>
      <c r="O17" s="315"/>
      <c r="P17" s="315"/>
      <c r="Q17" s="315"/>
    </row>
    <row r="18" spans="2:17" ht="21" customHeight="1">
      <c r="B18" s="395"/>
      <c r="C18" s="395" t="s">
        <v>375</v>
      </c>
      <c r="D18" s="395"/>
      <c r="E18" s="395"/>
      <c r="F18" s="395"/>
      <c r="G18" s="365">
        <v>4388468.24</v>
      </c>
      <c r="H18" s="561"/>
      <c r="K18" s="315"/>
      <c r="L18" s="315"/>
      <c r="M18" s="315"/>
      <c r="N18" s="315"/>
      <c r="O18" s="315"/>
      <c r="P18" s="315"/>
      <c r="Q18" s="315"/>
    </row>
    <row r="19" spans="2:17" ht="21" customHeight="1">
      <c r="B19" s="395"/>
      <c r="C19" s="639"/>
      <c r="D19" s="639"/>
      <c r="E19" s="639"/>
      <c r="F19" s="639"/>
      <c r="G19" s="365"/>
      <c r="H19" s="561"/>
      <c r="K19" s="315"/>
      <c r="L19" s="315"/>
      <c r="M19" s="315"/>
      <c r="N19" s="315"/>
      <c r="O19" s="315"/>
      <c r="P19" s="315"/>
      <c r="Q19" s="315"/>
    </row>
    <row r="20" spans="2:17" ht="21" customHeight="1">
      <c r="B20" s="395"/>
      <c r="C20" s="395" t="s">
        <v>942</v>
      </c>
      <c r="D20" s="395"/>
      <c r="E20" s="395"/>
      <c r="F20" s="395"/>
      <c r="G20" s="365"/>
      <c r="H20" s="561"/>
      <c r="K20" s="315"/>
      <c r="L20" s="315"/>
      <c r="M20" s="315"/>
      <c r="N20" s="315"/>
      <c r="O20" s="315"/>
      <c r="P20" s="315"/>
      <c r="Q20" s="315"/>
    </row>
    <row r="21" spans="2:17" ht="21" customHeight="1">
      <c r="B21" s="395"/>
      <c r="C21" s="395" t="s">
        <v>678</v>
      </c>
      <c r="D21" s="395"/>
      <c r="E21" s="395"/>
      <c r="F21" s="395"/>
      <c r="G21" s="330"/>
      <c r="H21" s="343"/>
      <c r="K21" s="315"/>
      <c r="L21" s="315"/>
      <c r="M21" s="315"/>
      <c r="N21" s="315"/>
      <c r="O21" s="315"/>
      <c r="P21" s="315"/>
      <c r="Q21" s="315"/>
    </row>
    <row r="22" spans="2:17" ht="21" customHeight="1">
      <c r="B22" s="395"/>
      <c r="C22" s="395"/>
      <c r="D22" s="395" t="s">
        <v>92</v>
      </c>
      <c r="E22" s="395"/>
      <c r="F22" s="395"/>
      <c r="G22" s="365">
        <v>5126263.25</v>
      </c>
      <c r="H22" s="561"/>
      <c r="K22" s="315"/>
      <c r="L22" s="315"/>
      <c r="M22" s="315"/>
      <c r="N22" s="315"/>
      <c r="O22" s="315"/>
      <c r="P22" s="315"/>
      <c r="Q22" s="315"/>
    </row>
    <row r="23" spans="2:17" ht="21" customHeight="1">
      <c r="B23" s="395"/>
      <c r="C23" s="395"/>
      <c r="D23" s="395" t="s">
        <v>706</v>
      </c>
      <c r="E23" s="395"/>
      <c r="F23" s="395"/>
      <c r="G23" s="365">
        <v>5717636.4500000002</v>
      </c>
      <c r="H23" s="561"/>
      <c r="K23" s="315"/>
      <c r="L23" s="315"/>
      <c r="M23" s="315"/>
      <c r="N23" s="315"/>
      <c r="O23" s="315"/>
      <c r="P23" s="315"/>
      <c r="Q23" s="315"/>
    </row>
    <row r="24" spans="2:17" ht="21" customHeight="1">
      <c r="B24" s="395"/>
      <c r="C24" s="639"/>
      <c r="D24" s="639"/>
      <c r="E24" s="639"/>
      <c r="F24" s="639"/>
      <c r="G24" s="365"/>
      <c r="H24" s="581"/>
      <c r="K24" s="315"/>
      <c r="L24" s="315"/>
      <c r="M24" s="315"/>
      <c r="N24" s="315"/>
      <c r="O24" s="315"/>
      <c r="P24" s="315"/>
      <c r="Q24" s="315"/>
    </row>
    <row r="25" spans="2:17" ht="21" customHeight="1">
      <c r="B25" s="395"/>
      <c r="C25" s="639"/>
      <c r="D25" s="639"/>
      <c r="E25" s="639"/>
      <c r="F25" s="639"/>
      <c r="G25" s="365"/>
      <c r="H25" s="581" t="s">
        <v>3190</v>
      </c>
    </row>
    <row r="26" spans="2:17" ht="21" customHeight="1">
      <c r="B26" s="395"/>
      <c r="C26" s="640"/>
      <c r="D26" s="639"/>
      <c r="E26" s="639"/>
      <c r="F26" s="639"/>
      <c r="G26" s="365"/>
      <c r="H26" s="642"/>
    </row>
    <row r="27" spans="2:17" ht="21" customHeight="1">
      <c r="B27" s="395"/>
      <c r="C27" s="639"/>
      <c r="D27" s="639"/>
      <c r="E27" s="639"/>
      <c r="F27" s="639"/>
      <c r="G27" s="365"/>
      <c r="H27" s="581" t="s">
        <v>3190</v>
      </c>
    </row>
    <row r="28" spans="2:17" ht="21" customHeight="1">
      <c r="B28" s="395"/>
      <c r="C28" s="639"/>
      <c r="D28" s="639"/>
      <c r="E28" s="639"/>
      <c r="F28" s="639"/>
      <c r="G28" s="365"/>
      <c r="H28" s="581"/>
    </row>
    <row r="29" spans="2:17" ht="21" customHeight="1">
      <c r="B29" s="395"/>
      <c r="C29" s="639"/>
      <c r="D29" s="639"/>
      <c r="E29" s="639"/>
      <c r="F29" s="639"/>
      <c r="G29" s="365"/>
      <c r="H29" s="581"/>
      <c r="K29" s="315"/>
      <c r="L29" s="315"/>
      <c r="M29" s="315"/>
      <c r="N29" s="315"/>
      <c r="O29" s="315"/>
      <c r="P29" s="315"/>
      <c r="Q29" s="315"/>
    </row>
    <row r="30" spans="2:17" ht="21" customHeight="1">
      <c r="B30" s="395"/>
      <c r="C30" s="639"/>
      <c r="D30" s="639"/>
      <c r="E30" s="639"/>
      <c r="F30" s="639"/>
      <c r="G30" s="365"/>
      <c r="H30" s="581"/>
      <c r="K30" s="315"/>
      <c r="L30" s="315"/>
      <c r="M30" s="315"/>
      <c r="N30" s="315"/>
      <c r="O30" s="315"/>
      <c r="P30" s="315"/>
      <c r="Q30" s="315"/>
    </row>
    <row r="31" spans="2:17" ht="21" customHeight="1">
      <c r="B31" s="395"/>
      <c r="C31" s="639"/>
      <c r="D31" s="639"/>
      <c r="E31" s="639"/>
      <c r="F31" s="639"/>
      <c r="G31" s="365"/>
      <c r="H31" s="581" t="s">
        <v>3190</v>
      </c>
    </row>
    <row r="32" spans="2:17" ht="21" customHeight="1">
      <c r="B32" s="395"/>
      <c r="C32" s="640"/>
      <c r="D32" s="639"/>
      <c r="E32" s="639"/>
      <c r="F32" s="639"/>
      <c r="G32" s="365"/>
      <c r="H32" s="642"/>
    </row>
    <row r="33" spans="2:17" ht="21" customHeight="1">
      <c r="B33" s="395"/>
      <c r="C33" s="639"/>
      <c r="D33" s="639"/>
      <c r="E33" s="639"/>
      <c r="F33" s="639"/>
      <c r="G33" s="365"/>
      <c r="H33" s="581" t="s">
        <v>3190</v>
      </c>
    </row>
    <row r="34" spans="2:17" ht="21" customHeight="1">
      <c r="B34" s="395"/>
      <c r="C34" s="639"/>
      <c r="D34" s="639"/>
      <c r="E34" s="639"/>
      <c r="F34" s="639"/>
      <c r="G34" s="365"/>
      <c r="H34" s="581"/>
    </row>
    <row r="35" spans="2:17" ht="21" customHeight="1">
      <c r="B35" s="395"/>
      <c r="C35" s="639"/>
      <c r="D35" s="639"/>
      <c r="E35" s="639"/>
      <c r="F35" s="639"/>
      <c r="G35" s="365"/>
      <c r="H35" s="581"/>
      <c r="K35" s="315"/>
      <c r="L35" s="315"/>
      <c r="M35" s="315"/>
      <c r="N35" s="315"/>
      <c r="O35" s="315"/>
      <c r="P35" s="315"/>
      <c r="Q35" s="315"/>
    </row>
    <row r="36" spans="2:17" ht="21" customHeight="1">
      <c r="B36" s="395"/>
      <c r="C36" s="639"/>
      <c r="D36" s="639"/>
      <c r="E36" s="639"/>
      <c r="F36" s="639"/>
      <c r="G36" s="365"/>
      <c r="H36" s="581" t="s">
        <v>3190</v>
      </c>
    </row>
    <row r="37" spans="2:17" ht="21" customHeight="1">
      <c r="B37" s="395"/>
      <c r="C37" s="640"/>
      <c r="D37" s="639"/>
      <c r="E37" s="639"/>
      <c r="F37" s="639"/>
      <c r="G37" s="365"/>
      <c r="H37" s="642"/>
    </row>
    <row r="38" spans="2:17" ht="21" customHeight="1">
      <c r="B38" s="395"/>
      <c r="C38" s="639"/>
      <c r="D38" s="639"/>
      <c r="E38" s="639"/>
      <c r="F38" s="639"/>
      <c r="G38" s="365"/>
      <c r="H38" s="581" t="s">
        <v>3190</v>
      </c>
    </row>
    <row r="39" spans="2:17" ht="21" customHeight="1">
      <c r="B39" s="395"/>
      <c r="C39" s="639"/>
      <c r="D39" s="639"/>
      <c r="E39" s="639"/>
      <c r="F39" s="639"/>
      <c r="G39" s="365"/>
      <c r="H39" s="581"/>
    </row>
    <row r="40" spans="2:17" ht="21" customHeight="1">
      <c r="B40" s="395"/>
      <c r="C40" s="639"/>
      <c r="D40" s="639"/>
      <c r="E40" s="639"/>
      <c r="F40" s="639"/>
      <c r="G40" s="365"/>
      <c r="H40" s="581"/>
    </row>
    <row r="41" spans="2:17" ht="21" customHeight="1">
      <c r="B41" s="395"/>
      <c r="C41" s="639"/>
      <c r="D41" s="639"/>
      <c r="E41" s="639"/>
      <c r="F41" s="639"/>
      <c r="G41" s="365"/>
      <c r="H41" s="581" t="s">
        <v>3190</v>
      </c>
    </row>
    <row r="42" spans="2:17" ht="21" customHeight="1">
      <c r="B42" s="395"/>
      <c r="C42" s="639"/>
      <c r="D42" s="639"/>
      <c r="E42" s="639"/>
      <c r="F42" s="639"/>
      <c r="G42" s="365"/>
      <c r="H42" s="581" t="s">
        <v>3190</v>
      </c>
    </row>
    <row r="43" spans="2:17" ht="21" customHeight="1" thickBot="1">
      <c r="B43" s="395"/>
      <c r="C43" s="395"/>
      <c r="D43" s="395"/>
      <c r="E43" s="395"/>
      <c r="F43" s="395"/>
      <c r="G43" s="307"/>
      <c r="H43" s="398"/>
      <c r="I43" s="392"/>
      <c r="M43" s="392"/>
    </row>
    <row r="44" spans="2:17" ht="21" customHeight="1" thickBot="1">
      <c r="B44" s="395"/>
      <c r="C44" s="395" t="s">
        <v>3323</v>
      </c>
      <c r="D44" s="395"/>
      <c r="E44" s="395"/>
      <c r="F44" s="395"/>
      <c r="G44" s="336">
        <f>SUM(G15:G42)</f>
        <v>16182667.940000001</v>
      </c>
      <c r="H44" s="397">
        <f>SUM(H15:H43)</f>
        <v>950300</v>
      </c>
      <c r="I44" s="392"/>
      <c r="K44" s="392"/>
    </row>
    <row r="45" spans="2:17" ht="13.8" thickTop="1">
      <c r="B45" s="1812" t="s">
        <v>103</v>
      </c>
      <c r="C45" s="1812"/>
      <c r="D45" s="1812"/>
      <c r="E45" s="1812"/>
      <c r="F45" s="1812"/>
      <c r="G45" s="1813"/>
      <c r="H45" s="1813"/>
    </row>
    <row r="46" spans="2:17">
      <c r="B46" s="393"/>
      <c r="C46" s="393"/>
      <c r="D46" s="393"/>
      <c r="E46" s="393"/>
      <c r="F46" s="393"/>
      <c r="G46" s="393"/>
      <c r="H46" s="393"/>
    </row>
    <row r="47" spans="2:17">
      <c r="B47" s="393"/>
      <c r="C47" s="393"/>
      <c r="D47" s="393"/>
      <c r="E47" s="393"/>
      <c r="F47" s="393"/>
      <c r="G47" s="393"/>
      <c r="H47" s="393"/>
    </row>
    <row r="48" spans="2:17">
      <c r="B48" s="393"/>
      <c r="C48" s="393"/>
      <c r="D48" s="393"/>
      <c r="E48" s="393"/>
      <c r="F48" s="393"/>
      <c r="G48" s="393"/>
      <c r="H48" s="393"/>
    </row>
    <row r="49" spans="2:8">
      <c r="B49" s="393"/>
      <c r="C49" s="393"/>
      <c r="D49" s="393"/>
      <c r="E49" s="393"/>
      <c r="F49" s="393"/>
      <c r="G49" s="393"/>
      <c r="H49" s="393"/>
    </row>
    <row r="50" spans="2:8" ht="13.8">
      <c r="B50" s="1799" t="s">
        <v>3195</v>
      </c>
      <c r="C50" s="1799"/>
      <c r="D50" s="1799"/>
      <c r="E50" s="1799"/>
      <c r="F50" s="1799"/>
      <c r="G50" s="1799"/>
      <c r="H50" s="1799"/>
    </row>
    <row r="55" spans="2:8">
      <c r="H55" s="392"/>
    </row>
  </sheetData>
  <sheetProtection algorithmName="SHA-512" hashValue="UYghL0j54PG9YTeY1h9uxdky3DcfDdnYTd9OPPQem/j4dglKgkpzA75HuoQmDUNoMWAOrTxMq7uOOwWVDuKsXg==" saltValue="XuevrPM1hvkeBOaS29u/YQ==" spinCount="100000" sheet="1" objects="1" scenarios="1"/>
  <mergeCells count="11">
    <mergeCell ref="B2:H2"/>
    <mergeCell ref="B5:H5"/>
    <mergeCell ref="B6:H6"/>
    <mergeCell ref="B7:H7"/>
    <mergeCell ref="B3:H3"/>
    <mergeCell ref="B50:H50"/>
    <mergeCell ref="B8:H8"/>
    <mergeCell ref="B9:H9"/>
    <mergeCell ref="B10:H10"/>
    <mergeCell ref="B11:F11"/>
    <mergeCell ref="B45:H45"/>
  </mergeCells>
  <pageMargins left="0.25" right="0.25" top="0.5" bottom="0.5" header="0.25" footer="0.25"/>
  <pageSetup paperSize="5" orientation="portrait" r:id="rId1"/>
  <headerFooter alignWithMargins="0"/>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7">
    <tabColor theme="6" tint="0.39997558519241921"/>
  </sheetPr>
  <dimension ref="B2:Q55"/>
  <sheetViews>
    <sheetView topLeftCell="B9" zoomScaleNormal="100" zoomScaleSheetLayoutView="80" workbookViewId="0">
      <selection activeCell="B45" sqref="B45:H45"/>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2" spans="2:17">
      <c r="B2" s="1814" t="s">
        <v>37</v>
      </c>
      <c r="C2" s="1814"/>
      <c r="D2" s="1814"/>
      <c r="E2" s="1814"/>
      <c r="F2" s="1814"/>
      <c r="G2" s="1814"/>
      <c r="H2" s="1814"/>
    </row>
    <row r="3" spans="2:17">
      <c r="B3" s="1814" t="s">
        <v>476</v>
      </c>
      <c r="C3" s="1814"/>
      <c r="D3" s="1814"/>
      <c r="E3" s="1814"/>
      <c r="F3" s="1814"/>
      <c r="G3" s="1814"/>
      <c r="H3" s="1814"/>
    </row>
    <row r="5" spans="2:17" ht="22.8">
      <c r="B5" s="1815" t="s">
        <v>451</v>
      </c>
      <c r="C5" s="1815"/>
      <c r="D5" s="1815"/>
      <c r="E5" s="1815"/>
      <c r="F5" s="1815"/>
      <c r="G5" s="1815"/>
      <c r="H5" s="1815"/>
    </row>
    <row r="6" spans="2:17" ht="22.8">
      <c r="B6" s="1804" t="str">
        <f>"TRIAL  BALANCE - "&amp;UPPER('KEY INPUTS'!D52)&amp;"  UTILITY  FUND (cont'd)"</f>
        <v>TRIAL  BALANCE - WATER/SEWER UTILITY  UTILITY  FUND (cont'd)</v>
      </c>
      <c r="C6" s="1804"/>
      <c r="D6" s="1804"/>
      <c r="E6" s="1804"/>
      <c r="F6" s="1804"/>
      <c r="G6" s="1804"/>
      <c r="H6" s="1804"/>
    </row>
    <row r="7" spans="2:17" ht="15.6">
      <c r="B7" s="1816" t="str">
        <f>'KEY INPUTS'!D44</f>
        <v>AS  AT  DECEMBER  31, 2020</v>
      </c>
      <c r="C7" s="1817"/>
      <c r="D7" s="1817"/>
      <c r="E7" s="1817"/>
      <c r="F7" s="1817"/>
      <c r="G7" s="1817"/>
      <c r="H7" s="1817"/>
    </row>
    <row r="8" spans="2:17" ht="15.6">
      <c r="B8" s="1807" t="s">
        <v>477</v>
      </c>
      <c r="C8" s="1807"/>
      <c r="D8" s="1807"/>
      <c r="E8" s="1807"/>
      <c r="F8" s="1807"/>
      <c r="G8" s="1807"/>
      <c r="H8" s="1807"/>
    </row>
    <row r="9" spans="2:17">
      <c r="B9" s="1808" t="s">
        <v>75</v>
      </c>
      <c r="C9" s="1808"/>
      <c r="D9" s="1808"/>
      <c r="E9" s="1808"/>
      <c r="F9" s="1808"/>
      <c r="G9" s="1808"/>
      <c r="H9" s="1808"/>
    </row>
    <row r="10" spans="2:17" ht="15" customHeight="1" thickBot="1">
      <c r="B10" s="1809" t="s">
        <v>76</v>
      </c>
      <c r="C10" s="1809"/>
      <c r="D10" s="1809"/>
      <c r="E10" s="1809"/>
      <c r="F10" s="1809"/>
      <c r="G10" s="1809"/>
      <c r="H10" s="1809"/>
    </row>
    <row r="11" spans="2:17" ht="36" customHeight="1" thickTop="1" thickBot="1">
      <c r="B11" s="1810" t="s">
        <v>100</v>
      </c>
      <c r="C11" s="1810"/>
      <c r="D11" s="1810"/>
      <c r="E11" s="1810"/>
      <c r="F11" s="1811"/>
      <c r="G11" s="396" t="s">
        <v>101</v>
      </c>
      <c r="H11" s="997" t="s">
        <v>102</v>
      </c>
    </row>
    <row r="12" spans="2:17" ht="21" customHeight="1" thickTop="1">
      <c r="B12" s="395"/>
      <c r="C12" s="395" t="s">
        <v>3324</v>
      </c>
      <c r="D12" s="395"/>
      <c r="E12" s="395"/>
      <c r="F12" s="395"/>
      <c r="G12" s="330">
        <f>'41a-Utility1'!G44</f>
        <v>16182667.940000001</v>
      </c>
      <c r="H12" s="304">
        <f>'41a-Utility1'!H44</f>
        <v>950300</v>
      </c>
    </row>
    <row r="13" spans="2:17" ht="21" customHeight="1">
      <c r="C13" s="640"/>
      <c r="D13" s="640"/>
      <c r="E13" s="640"/>
      <c r="F13" s="640"/>
      <c r="G13" s="593"/>
      <c r="H13" s="642"/>
    </row>
    <row r="14" spans="2:17" ht="21" customHeight="1">
      <c r="B14" s="400"/>
      <c r="C14" s="639"/>
      <c r="D14" s="639"/>
      <c r="E14" s="639"/>
      <c r="F14" s="639"/>
      <c r="G14" s="593"/>
      <c r="H14" s="601"/>
      <c r="K14" s="315"/>
      <c r="L14" s="315"/>
      <c r="M14" s="315"/>
      <c r="N14" s="315"/>
      <c r="O14" s="315"/>
      <c r="P14" s="315"/>
      <c r="Q14" s="315"/>
    </row>
    <row r="15" spans="2:17" ht="21" customHeight="1">
      <c r="B15" s="395"/>
      <c r="C15" s="639"/>
      <c r="D15" s="639"/>
      <c r="E15" s="639"/>
      <c r="F15" s="639"/>
      <c r="G15" s="593"/>
      <c r="H15" s="601"/>
      <c r="K15" s="315"/>
      <c r="L15" s="315"/>
      <c r="M15" s="315"/>
      <c r="N15" s="315"/>
      <c r="O15" s="315"/>
      <c r="P15" s="315"/>
      <c r="Q15" s="315"/>
    </row>
    <row r="16" spans="2:17" ht="21" customHeight="1">
      <c r="B16" s="395"/>
      <c r="C16" s="639"/>
      <c r="D16" s="639"/>
      <c r="E16" s="639"/>
      <c r="F16" s="639"/>
      <c r="G16" s="365"/>
      <c r="H16" s="581"/>
      <c r="K16" s="315"/>
      <c r="L16" s="315"/>
      <c r="M16" s="315"/>
      <c r="N16" s="315"/>
      <c r="O16" s="315"/>
      <c r="P16" s="315"/>
      <c r="Q16" s="315"/>
    </row>
    <row r="17" spans="2:17" ht="21" customHeight="1">
      <c r="B17" s="681"/>
      <c r="C17" s="681" t="s">
        <v>3198</v>
      </c>
      <c r="D17" s="681"/>
      <c r="E17" s="681"/>
      <c r="F17" s="681"/>
      <c r="G17" s="897"/>
      <c r="H17" s="904">
        <f>+'49-Utility1'!G22</f>
        <v>5395000</v>
      </c>
      <c r="K17" s="315"/>
      <c r="L17" s="315"/>
      <c r="M17" s="315"/>
      <c r="N17" s="315"/>
      <c r="O17" s="315"/>
      <c r="P17" s="315"/>
      <c r="Q17" s="315"/>
    </row>
    <row r="18" spans="2:17" ht="21" customHeight="1">
      <c r="B18" s="681"/>
      <c r="C18" s="681" t="s">
        <v>3447</v>
      </c>
      <c r="D18" s="681"/>
      <c r="E18" s="681"/>
      <c r="F18" s="681"/>
      <c r="G18" s="897"/>
      <c r="H18" s="904">
        <f>+'49a-Utility1'!G11+'49a-Utility1'!G22+'49a.1-Utility1'!G11+'49a.1-Utility1'!G22</f>
        <v>0</v>
      </c>
    </row>
    <row r="19" spans="2:17" ht="21" customHeight="1">
      <c r="B19" s="681"/>
      <c r="C19" s="681" t="s">
        <v>3457</v>
      </c>
      <c r="D19" s="681"/>
      <c r="E19" s="681"/>
      <c r="F19" s="681"/>
      <c r="G19" s="897"/>
      <c r="H19" s="904">
        <f>+'51a-Utility1'!G23</f>
        <v>0</v>
      </c>
      <c r="K19" s="315"/>
      <c r="L19" s="315"/>
      <c r="M19" s="315"/>
      <c r="N19" s="315"/>
      <c r="O19" s="315"/>
      <c r="P19" s="315"/>
      <c r="Q19" s="315"/>
    </row>
    <row r="20" spans="2:17" ht="21" customHeight="1">
      <c r="B20" s="681"/>
      <c r="C20" s="905" t="s">
        <v>3197</v>
      </c>
      <c r="D20" s="681"/>
      <c r="E20" s="681"/>
      <c r="F20" s="681"/>
      <c r="G20" s="897"/>
      <c r="H20" s="904">
        <f>+'50.1-Utility1'!G18</f>
        <v>0</v>
      </c>
      <c r="K20" s="315"/>
      <c r="L20" s="315"/>
      <c r="M20" s="315"/>
      <c r="N20" s="315"/>
      <c r="O20" s="315"/>
      <c r="P20" s="315"/>
      <c r="Q20" s="315"/>
    </row>
    <row r="21" spans="2:17" ht="21" customHeight="1">
      <c r="B21" s="681"/>
      <c r="C21" s="681" t="s">
        <v>851</v>
      </c>
      <c r="D21" s="681"/>
      <c r="E21" s="681"/>
      <c r="F21" s="681"/>
      <c r="G21" s="897"/>
      <c r="H21" s="904" t="s">
        <v>3190</v>
      </c>
      <c r="K21" s="315"/>
      <c r="L21" s="315"/>
      <c r="M21" s="315"/>
      <c r="N21" s="315"/>
      <c r="O21" s="315"/>
      <c r="P21" s="315"/>
      <c r="Q21" s="315"/>
    </row>
    <row r="22" spans="2:17" ht="21" customHeight="1">
      <c r="B22" s="681"/>
      <c r="C22" s="681"/>
      <c r="D22" s="681" t="s">
        <v>848</v>
      </c>
      <c r="E22" s="681"/>
      <c r="F22" s="681"/>
      <c r="G22" s="897"/>
      <c r="H22" s="904">
        <f>+'52-Totals-Utility 1'!K27</f>
        <v>4366744.95</v>
      </c>
      <c r="J22" s="392"/>
      <c r="K22" s="315"/>
      <c r="L22" s="315"/>
      <c r="M22" s="315"/>
      <c r="N22" s="315"/>
      <c r="O22" s="315"/>
      <c r="P22" s="315"/>
      <c r="Q22" s="315"/>
    </row>
    <row r="23" spans="2:17" ht="21" customHeight="1">
      <c r="B23" s="681"/>
      <c r="C23" s="681"/>
      <c r="D23" s="681" t="s">
        <v>849</v>
      </c>
      <c r="E23" s="681"/>
      <c r="F23" s="681"/>
      <c r="G23" s="897"/>
      <c r="H23" s="904">
        <f>+'52-Totals-Utility 1'!L27</f>
        <v>950300</v>
      </c>
      <c r="J23" s="392"/>
      <c r="K23" s="315"/>
      <c r="L23" s="315"/>
      <c r="M23" s="315"/>
      <c r="N23" s="315"/>
      <c r="O23" s="315"/>
      <c r="P23" s="315"/>
      <c r="Q23" s="315"/>
    </row>
    <row r="24" spans="2:17" ht="21" customHeight="1">
      <c r="B24" s="395"/>
      <c r="C24" s="639" t="s">
        <v>3196</v>
      </c>
      <c r="D24" s="639"/>
      <c r="E24" s="639"/>
      <c r="F24" s="639"/>
      <c r="G24" s="365"/>
      <c r="H24" s="561"/>
    </row>
    <row r="25" spans="2:17" ht="21" customHeight="1">
      <c r="B25" s="395"/>
      <c r="C25" s="639" t="s">
        <v>709</v>
      </c>
      <c r="D25" s="639"/>
      <c r="E25" s="639"/>
      <c r="F25" s="639"/>
      <c r="G25" s="365"/>
      <c r="H25" s="561"/>
    </row>
    <row r="26" spans="2:17" ht="21" customHeight="1">
      <c r="B26" s="395"/>
      <c r="C26" s="639" t="str">
        <f>"DUE TO "&amp;UPPER('KEY INPUTS'!D52)&amp;" OPERATING"</f>
        <v>DUE TO WATER/SEWER UTILITY OPERATING</v>
      </c>
      <c r="D26" s="639"/>
      <c r="E26" s="639"/>
      <c r="F26" s="639"/>
      <c r="G26" s="365"/>
      <c r="H26" s="561"/>
    </row>
    <row r="27" spans="2:17" ht="21" customHeight="1">
      <c r="B27" s="395"/>
      <c r="C27" s="639" t="s">
        <v>708</v>
      </c>
      <c r="D27" s="639"/>
      <c r="E27" s="639"/>
      <c r="F27" s="639"/>
      <c r="G27" s="365"/>
      <c r="H27" s="561">
        <v>4498599.7</v>
      </c>
    </row>
    <row r="28" spans="2:17" ht="21" customHeight="1">
      <c r="B28" s="395"/>
      <c r="C28" s="639" t="s">
        <v>707</v>
      </c>
      <c r="D28" s="639"/>
      <c r="E28" s="639"/>
      <c r="F28" s="639"/>
      <c r="G28" s="365"/>
      <c r="H28" s="561"/>
    </row>
    <row r="29" spans="2:17" ht="21" customHeight="1">
      <c r="B29" s="395"/>
      <c r="C29" s="639" t="s">
        <v>303</v>
      </c>
      <c r="D29" s="639"/>
      <c r="E29" s="639"/>
      <c r="F29" s="639"/>
      <c r="G29" s="365"/>
      <c r="H29" s="561"/>
    </row>
    <row r="30" spans="2:17" ht="21" customHeight="1">
      <c r="B30" s="395"/>
      <c r="C30" s="639"/>
      <c r="D30" s="639"/>
      <c r="E30" s="639"/>
      <c r="F30" s="639"/>
      <c r="G30" s="365"/>
      <c r="H30" s="581" t="s">
        <v>3190</v>
      </c>
    </row>
    <row r="31" spans="2:17" ht="21" customHeight="1">
      <c r="B31" s="395"/>
      <c r="C31" s="639"/>
      <c r="D31" s="639"/>
      <c r="E31" s="639"/>
      <c r="F31" s="639"/>
      <c r="G31" s="365"/>
      <c r="H31" s="581" t="s">
        <v>3190</v>
      </c>
    </row>
    <row r="32" spans="2:17" ht="21" customHeight="1">
      <c r="B32" s="395"/>
      <c r="C32" s="639"/>
      <c r="D32" s="639"/>
      <c r="E32" s="639"/>
      <c r="F32" s="639"/>
      <c r="G32" s="365"/>
      <c r="H32" s="642"/>
    </row>
    <row r="33" spans="2:13" ht="21" customHeight="1">
      <c r="B33" s="395"/>
      <c r="C33" s="639"/>
      <c r="D33" s="639"/>
      <c r="E33" s="639"/>
      <c r="F33" s="639"/>
      <c r="G33" s="365"/>
      <c r="H33" s="581" t="s">
        <v>3190</v>
      </c>
    </row>
    <row r="34" spans="2:13" ht="21" customHeight="1">
      <c r="B34" s="395"/>
      <c r="C34" s="639"/>
      <c r="D34" s="639"/>
      <c r="E34" s="639"/>
      <c r="F34" s="639"/>
      <c r="G34" s="365"/>
      <c r="H34" s="581"/>
    </row>
    <row r="35" spans="2:13" ht="21" customHeight="1">
      <c r="B35" s="395"/>
      <c r="C35" s="639"/>
      <c r="D35" s="639"/>
      <c r="E35" s="639"/>
      <c r="F35" s="639"/>
      <c r="G35" s="365"/>
      <c r="H35" s="581"/>
    </row>
    <row r="36" spans="2:13" ht="21" customHeight="1">
      <c r="B36" s="395"/>
      <c r="C36" s="639"/>
      <c r="D36" s="639"/>
      <c r="E36" s="639"/>
      <c r="F36" s="639"/>
      <c r="G36" s="365"/>
      <c r="H36" s="581" t="s">
        <v>3190</v>
      </c>
    </row>
    <row r="37" spans="2:13" ht="21" customHeight="1">
      <c r="B37" s="395"/>
      <c r="C37" s="639"/>
      <c r="D37" s="639"/>
      <c r="E37" s="639"/>
      <c r="F37" s="639"/>
      <c r="G37" s="365"/>
      <c r="H37" s="642"/>
    </row>
    <row r="38" spans="2:13" ht="21" customHeight="1">
      <c r="B38" s="395"/>
      <c r="C38" s="639"/>
      <c r="D38" s="639"/>
      <c r="E38" s="639"/>
      <c r="F38" s="639"/>
      <c r="G38" s="365"/>
      <c r="H38" s="581" t="s">
        <v>3190</v>
      </c>
    </row>
    <row r="39" spans="2:13" ht="21" customHeight="1">
      <c r="B39" s="395"/>
      <c r="C39" s="639"/>
      <c r="D39" s="639"/>
      <c r="E39" s="639"/>
      <c r="F39" s="639"/>
      <c r="G39" s="365"/>
      <c r="H39" s="581"/>
    </row>
    <row r="40" spans="2:13" ht="21" customHeight="1">
      <c r="B40" s="395"/>
      <c r="C40" s="395" t="s">
        <v>3260</v>
      </c>
      <c r="D40" s="395"/>
      <c r="E40" s="395"/>
      <c r="F40" s="395"/>
      <c r="G40" s="330"/>
      <c r="H40" s="304">
        <f>+'53-Utility1'!I41</f>
        <v>0</v>
      </c>
    </row>
    <row r="41" spans="2:13" ht="21" customHeight="1">
      <c r="B41" s="395"/>
      <c r="C41" s="395" t="s">
        <v>852</v>
      </c>
      <c r="D41" s="395"/>
      <c r="E41" s="395"/>
      <c r="F41" s="395"/>
      <c r="G41" s="330"/>
      <c r="H41" s="304">
        <f>+'53-Utility1'!I24</f>
        <v>17504.25</v>
      </c>
    </row>
    <row r="42" spans="2:13" ht="21" customHeight="1">
      <c r="B42" s="395"/>
      <c r="C42" s="395" t="s">
        <v>676</v>
      </c>
      <c r="D42" s="395"/>
      <c r="E42" s="395"/>
      <c r="F42" s="395"/>
      <c r="G42" s="330"/>
      <c r="H42" s="304">
        <f>+'54-Utility1'!I42</f>
        <v>4219.04</v>
      </c>
    </row>
    <row r="43" spans="2:13" ht="21" customHeight="1" thickBot="1">
      <c r="B43" s="395"/>
      <c r="C43" s="395"/>
      <c r="D43" s="395"/>
      <c r="E43" s="395"/>
      <c r="F43" s="395"/>
      <c r="G43" s="307"/>
      <c r="H43" s="398"/>
      <c r="I43" s="392"/>
      <c r="M43" s="392"/>
    </row>
    <row r="44" spans="2:13" ht="21" customHeight="1" thickBot="1">
      <c r="B44" s="395"/>
      <c r="C44" s="395" t="s">
        <v>847</v>
      </c>
      <c r="D44" s="395"/>
      <c r="E44" s="395"/>
      <c r="F44" s="395"/>
      <c r="G44" s="336">
        <f>SUM(G12:G42)</f>
        <v>16182667.940000001</v>
      </c>
      <c r="H44" s="397">
        <f>SUM(H12:H43)</f>
        <v>16182667.939999998</v>
      </c>
      <c r="I44" s="392"/>
      <c r="K44" s="392"/>
    </row>
    <row r="45" spans="2:13" ht="13.8" thickTop="1">
      <c r="B45" s="1812" t="s">
        <v>103</v>
      </c>
      <c r="C45" s="1812"/>
      <c r="D45" s="1812"/>
      <c r="E45" s="1812"/>
      <c r="F45" s="1812"/>
      <c r="G45" s="1813"/>
      <c r="H45" s="1813"/>
    </row>
    <row r="46" spans="2:13">
      <c r="B46" s="899"/>
      <c r="C46" s="899"/>
      <c r="D46" s="899"/>
      <c r="E46" s="899"/>
      <c r="F46" s="899"/>
      <c r="G46" s="899"/>
      <c r="H46" s="899"/>
    </row>
    <row r="47" spans="2:13">
      <c r="B47" s="899"/>
      <c r="C47" s="899"/>
      <c r="D47" s="899"/>
      <c r="E47" s="899"/>
      <c r="F47" s="899"/>
      <c r="G47" s="899"/>
      <c r="H47" s="899"/>
    </row>
    <row r="48" spans="2:13">
      <c r="B48" s="899"/>
      <c r="C48" s="899"/>
      <c r="D48" s="899"/>
      <c r="E48" s="899"/>
      <c r="F48" s="899"/>
      <c r="G48" s="899"/>
      <c r="H48" s="899"/>
    </row>
    <row r="49" spans="2:8">
      <c r="B49" s="899"/>
      <c r="C49" s="899"/>
      <c r="D49" s="899"/>
      <c r="E49" s="899"/>
      <c r="F49" s="899"/>
      <c r="G49" s="899"/>
      <c r="H49" s="899"/>
    </row>
    <row r="50" spans="2:8" ht="13.8">
      <c r="B50" s="1799" t="s">
        <v>3459</v>
      </c>
      <c r="C50" s="1799"/>
      <c r="D50" s="1799"/>
      <c r="E50" s="1799"/>
      <c r="F50" s="1799"/>
      <c r="G50" s="1799"/>
      <c r="H50" s="1799"/>
    </row>
    <row r="55" spans="2:8">
      <c r="H55" s="392"/>
    </row>
  </sheetData>
  <sheetProtection algorithmName="SHA-512" hashValue="ViB77j6oJ7CWA95vPk/dSrtekvQn9fR4o7WtbxYffT2ckFFd+nLcgLXZiR3+Y9rGJ/0Q6n6r42A1L3mFt2954g==" saltValue="9yqZUQxiCRWldE94cV74EQ=="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8">
    <tabColor theme="6" tint="0.39997558519241921"/>
  </sheetPr>
  <dimension ref="B3:R49"/>
  <sheetViews>
    <sheetView topLeftCell="A15" zoomScaleNormal="100" zoomScaleSheetLayoutView="80" workbookViewId="0">
      <selection activeCell="H40" sqref="H40"/>
    </sheetView>
  </sheetViews>
  <sheetFormatPr defaultColWidth="9.109375" defaultRowHeight="13.2"/>
  <cols>
    <col min="1" max="1" width="4.6640625" style="324" customWidth="1"/>
    <col min="2" max="2" width="4.88671875" style="324" customWidth="1"/>
    <col min="3" max="4" width="4.6640625" style="324" customWidth="1"/>
    <col min="5" max="5" width="30.6640625" style="324" customWidth="1"/>
    <col min="6" max="6" width="15.6640625" style="324" customWidth="1"/>
    <col min="7" max="8" width="16.6640625" style="324" customWidth="1"/>
    <col min="9" max="16384" width="9.109375" style="324"/>
  </cols>
  <sheetData>
    <row r="3" spans="2:18" ht="22.8">
      <c r="B3" s="1820" t="s">
        <v>873</v>
      </c>
      <c r="C3" s="1820"/>
      <c r="D3" s="1820"/>
      <c r="E3" s="1820"/>
      <c r="F3" s="1820"/>
      <c r="G3" s="1820"/>
      <c r="H3" s="1820"/>
    </row>
    <row r="4" spans="2:18" ht="22.8">
      <c r="B4" s="1820" t="s">
        <v>874</v>
      </c>
      <c r="C4" s="1820"/>
      <c r="D4" s="1820"/>
      <c r="E4" s="1820"/>
      <c r="F4" s="1820"/>
      <c r="G4" s="1820"/>
      <c r="H4" s="1820"/>
    </row>
    <row r="5" spans="2:18" ht="15.6">
      <c r="B5" s="1821"/>
      <c r="C5" s="1821"/>
      <c r="D5" s="1821"/>
      <c r="E5" s="1821"/>
      <c r="F5" s="1821"/>
      <c r="G5" s="1821"/>
      <c r="H5" s="1821"/>
    </row>
    <row r="6" spans="2:18" ht="13.8">
      <c r="B6" s="1819" t="s">
        <v>875</v>
      </c>
      <c r="C6" s="1819"/>
      <c r="D6" s="1819"/>
      <c r="E6" s="1819"/>
      <c r="F6" s="1819"/>
      <c r="G6" s="1819"/>
      <c r="H6" s="1819"/>
    </row>
    <row r="7" spans="2:18" ht="13.8">
      <c r="B7" s="1819" t="s">
        <v>879</v>
      </c>
      <c r="C7" s="1819"/>
      <c r="D7" s="1819"/>
      <c r="E7" s="1819"/>
      <c r="F7" s="1819"/>
      <c r="G7" s="1819"/>
      <c r="H7" s="1819"/>
    </row>
    <row r="8" spans="2:18" ht="13.8">
      <c r="B8" s="1115"/>
      <c r="C8" s="1115"/>
      <c r="D8" s="1115"/>
      <c r="E8" s="1115"/>
      <c r="F8" s="1115"/>
      <c r="G8" s="1115"/>
      <c r="H8" s="1115"/>
    </row>
    <row r="9" spans="2:18" ht="15" customHeight="1" thickBot="1">
      <c r="B9" s="1822" t="str">
        <f>'KEY INPUTS'!D44</f>
        <v>AS  AT  DECEMBER  31, 2020</v>
      </c>
      <c r="C9" s="1821"/>
      <c r="D9" s="1821"/>
      <c r="E9" s="1821"/>
      <c r="F9" s="1821"/>
      <c r="G9" s="1821"/>
      <c r="H9" s="1821"/>
    </row>
    <row r="10" spans="2:18" ht="36" customHeight="1" thickTop="1" thickBot="1">
      <c r="B10" s="1823" t="s">
        <v>100</v>
      </c>
      <c r="C10" s="1823"/>
      <c r="D10" s="1823"/>
      <c r="E10" s="1823"/>
      <c r="F10" s="1824"/>
      <c r="G10" s="1116" t="s">
        <v>101</v>
      </c>
      <c r="H10" s="1117" t="s">
        <v>102</v>
      </c>
    </row>
    <row r="11" spans="2:18" ht="21" customHeight="1" thickTop="1">
      <c r="B11" s="1118" t="s">
        <v>375</v>
      </c>
      <c r="C11" s="1118"/>
      <c r="D11" s="1118"/>
      <c r="E11" s="1118"/>
      <c r="F11" s="1118"/>
      <c r="G11" s="641"/>
      <c r="H11" s="642"/>
      <c r="L11" s="315"/>
      <c r="M11" s="315"/>
      <c r="N11" s="315"/>
      <c r="O11" s="315"/>
      <c r="P11" s="315"/>
      <c r="Q11" s="315"/>
      <c r="R11" s="315"/>
    </row>
    <row r="12" spans="2:18" ht="21" customHeight="1">
      <c r="B12" s="639"/>
      <c r="C12" s="639"/>
      <c r="D12" s="639"/>
      <c r="E12" s="639"/>
      <c r="F12" s="639"/>
      <c r="G12" s="593"/>
      <c r="H12" s="601"/>
      <c r="L12" s="315"/>
      <c r="M12" s="315"/>
      <c r="N12" s="315"/>
      <c r="O12" s="315"/>
      <c r="P12" s="315"/>
      <c r="Q12" s="315"/>
      <c r="R12" s="315"/>
    </row>
    <row r="13" spans="2:18" ht="21" customHeight="1">
      <c r="B13" s="639"/>
      <c r="C13" s="639"/>
      <c r="D13" s="639"/>
      <c r="E13" s="639"/>
      <c r="F13" s="639"/>
      <c r="G13" s="593"/>
      <c r="H13" s="601"/>
      <c r="L13" s="370"/>
      <c r="M13" s="315"/>
      <c r="N13" s="315"/>
      <c r="O13" s="315"/>
      <c r="P13" s="315"/>
      <c r="Q13" s="315"/>
      <c r="R13" s="315"/>
    </row>
    <row r="14" spans="2:18" ht="21" customHeight="1">
      <c r="B14" s="639"/>
      <c r="C14" s="639"/>
      <c r="D14" s="639"/>
      <c r="E14" s="639"/>
      <c r="F14" s="639"/>
      <c r="G14" s="593"/>
      <c r="H14" s="601"/>
      <c r="L14" s="315"/>
      <c r="M14" s="315"/>
      <c r="N14" s="315"/>
      <c r="O14" s="315"/>
      <c r="P14" s="315"/>
      <c r="Q14" s="315"/>
      <c r="R14" s="315"/>
    </row>
    <row r="15" spans="2:18" ht="21" customHeight="1">
      <c r="B15" s="639"/>
      <c r="C15" s="639"/>
      <c r="D15" s="639"/>
      <c r="E15" s="639"/>
      <c r="F15" s="639"/>
      <c r="G15" s="593"/>
      <c r="H15" s="601"/>
      <c r="L15" s="315"/>
      <c r="M15" s="315"/>
      <c r="N15" s="315"/>
      <c r="O15" s="315"/>
      <c r="P15" s="315"/>
      <c r="Q15" s="315"/>
      <c r="R15" s="315"/>
    </row>
    <row r="16" spans="2:18" ht="21" customHeight="1">
      <c r="B16" s="639"/>
      <c r="C16" s="639"/>
      <c r="D16" s="639"/>
      <c r="E16" s="639"/>
      <c r="F16" s="639"/>
      <c r="G16" s="593"/>
      <c r="H16" s="601"/>
      <c r="L16" s="315"/>
      <c r="M16" s="315"/>
      <c r="N16" s="315"/>
      <c r="O16" s="315"/>
      <c r="P16" s="315"/>
      <c r="Q16" s="315"/>
      <c r="R16" s="315"/>
    </row>
    <row r="17" spans="2:18" ht="21" customHeight="1">
      <c r="B17" s="639"/>
      <c r="C17" s="639"/>
      <c r="D17" s="639"/>
      <c r="E17" s="639"/>
      <c r="F17" s="639"/>
      <c r="G17" s="593"/>
      <c r="H17" s="601"/>
      <c r="L17" s="315"/>
      <c r="M17" s="315"/>
      <c r="N17" s="315"/>
      <c r="O17" s="315"/>
      <c r="P17" s="315"/>
      <c r="Q17" s="315"/>
      <c r="R17" s="315"/>
    </row>
    <row r="18" spans="2:18" ht="21" customHeight="1">
      <c r="B18" s="639"/>
      <c r="C18" s="639"/>
      <c r="D18" s="639"/>
      <c r="E18" s="639"/>
      <c r="F18" s="639"/>
      <c r="G18" s="593"/>
      <c r="H18" s="601"/>
      <c r="L18" s="315"/>
      <c r="M18" s="315"/>
      <c r="N18" s="315"/>
      <c r="O18" s="315"/>
      <c r="P18" s="315"/>
      <c r="Q18" s="315"/>
      <c r="R18" s="315"/>
    </row>
    <row r="19" spans="2:18" ht="21" customHeight="1">
      <c r="B19" s="639"/>
      <c r="C19" s="639"/>
      <c r="D19" s="639"/>
      <c r="E19" s="639"/>
      <c r="F19" s="639"/>
      <c r="G19" s="593"/>
      <c r="H19" s="601"/>
      <c r="L19" s="315"/>
      <c r="M19" s="315"/>
      <c r="N19" s="315"/>
      <c r="O19" s="315"/>
      <c r="P19" s="315"/>
      <c r="Q19" s="315"/>
      <c r="R19" s="315"/>
    </row>
    <row r="20" spans="2:18" ht="21" customHeight="1">
      <c r="B20" s="639"/>
      <c r="C20" s="639"/>
      <c r="D20" s="639"/>
      <c r="E20" s="639"/>
      <c r="F20" s="639"/>
      <c r="G20" s="593"/>
      <c r="H20" s="601"/>
      <c r="L20" s="315"/>
      <c r="M20" s="315"/>
      <c r="N20" s="315"/>
      <c r="O20" s="315"/>
      <c r="P20" s="315"/>
      <c r="Q20" s="315"/>
      <c r="R20" s="315"/>
    </row>
    <row r="21" spans="2:18" ht="21" customHeight="1">
      <c r="B21" s="639"/>
      <c r="C21" s="639"/>
      <c r="D21" s="639"/>
      <c r="E21" s="639"/>
      <c r="F21" s="639"/>
      <c r="G21" s="593"/>
      <c r="H21" s="601"/>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L23" s="315"/>
      <c r="M23" s="315"/>
      <c r="N23" s="315"/>
      <c r="O23" s="315"/>
      <c r="P23" s="315"/>
      <c r="Q23" s="315"/>
      <c r="R23" s="315"/>
    </row>
    <row r="24" spans="2:18" ht="21" customHeight="1">
      <c r="B24" s="639"/>
      <c r="C24" s="639"/>
      <c r="D24" s="639"/>
      <c r="E24" s="639"/>
      <c r="F24" s="639"/>
      <c r="G24" s="593"/>
      <c r="H24" s="601"/>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39"/>
      <c r="C26" s="639"/>
      <c r="D26" s="639"/>
      <c r="E26" s="639"/>
      <c r="F26" s="639"/>
      <c r="G26" s="593"/>
      <c r="H26" s="601"/>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639"/>
      <c r="C30" s="639"/>
      <c r="D30" s="639"/>
      <c r="E30" s="639"/>
      <c r="F30" s="639"/>
      <c r="G30" s="593"/>
      <c r="H30" s="601"/>
    </row>
    <row r="31" spans="2:18" ht="21" customHeight="1">
      <c r="B31" s="639"/>
      <c r="C31" s="639"/>
      <c r="D31" s="639"/>
      <c r="E31" s="639"/>
      <c r="F31" s="639"/>
      <c r="G31" s="593"/>
      <c r="H31" s="601"/>
    </row>
    <row r="32" spans="2:18" ht="21" customHeight="1">
      <c r="B32" s="639"/>
      <c r="C32" s="639"/>
      <c r="D32" s="639"/>
      <c r="E32" s="639"/>
      <c r="F32" s="639"/>
      <c r="G32" s="593"/>
      <c r="H32" s="601"/>
    </row>
    <row r="33" spans="2:8" ht="21" customHeight="1">
      <c r="B33" s="639"/>
      <c r="C33" s="639"/>
      <c r="D33" s="639"/>
      <c r="E33" s="639"/>
      <c r="F33" s="639"/>
      <c r="G33" s="593"/>
      <c r="H33" s="601"/>
    </row>
    <row r="34" spans="2:8" ht="21" customHeight="1">
      <c r="B34" s="639"/>
      <c r="C34" s="639"/>
      <c r="D34" s="639"/>
      <c r="E34" s="639"/>
      <c r="F34" s="639"/>
      <c r="G34" s="593"/>
      <c r="H34" s="601"/>
    </row>
    <row r="35" spans="2:8" ht="21" customHeight="1">
      <c r="B35" s="639"/>
      <c r="C35" s="639"/>
      <c r="D35" s="639"/>
      <c r="E35" s="639"/>
      <c r="F35" s="639"/>
      <c r="G35" s="593"/>
      <c r="H35" s="601"/>
    </row>
    <row r="36" spans="2:8" ht="21" customHeight="1">
      <c r="B36" s="639"/>
      <c r="C36" s="639"/>
      <c r="D36" s="639"/>
      <c r="E36" s="639"/>
      <c r="F36" s="639"/>
      <c r="G36" s="593"/>
      <c r="H36" s="601"/>
    </row>
    <row r="37" spans="2:8" ht="21" customHeight="1">
      <c r="B37" s="639"/>
      <c r="C37" s="639"/>
      <c r="D37" s="639"/>
      <c r="E37" s="639"/>
      <c r="F37" s="639"/>
      <c r="G37" s="593"/>
      <c r="H37" s="601"/>
    </row>
    <row r="38" spans="2:8" ht="21" customHeight="1">
      <c r="B38" s="1119" t="s">
        <v>3261</v>
      </c>
      <c r="C38" s="1119"/>
      <c r="D38" s="1119"/>
      <c r="E38" s="1119"/>
      <c r="F38" s="1119"/>
      <c r="G38" s="1120"/>
      <c r="H38" s="1108">
        <f>+'51-Utility1'!G23</f>
        <v>0</v>
      </c>
    </row>
    <row r="39" spans="2:8" ht="21" customHeight="1">
      <c r="B39" s="1119" t="s">
        <v>3262</v>
      </c>
      <c r="C39" s="1119"/>
      <c r="D39" s="1119"/>
      <c r="E39" s="1119"/>
      <c r="F39" s="1119"/>
      <c r="G39" s="1120"/>
      <c r="H39" s="1108">
        <f>+'49-Utility1'!G11</f>
        <v>0</v>
      </c>
    </row>
    <row r="40" spans="2:8" ht="21" customHeight="1">
      <c r="B40" s="1119" t="s">
        <v>846</v>
      </c>
      <c r="C40" s="1119"/>
      <c r="D40" s="1119"/>
      <c r="E40" s="1119"/>
      <c r="F40" s="1119"/>
      <c r="G40" s="1120"/>
      <c r="H40" s="1108">
        <f>'43-Utility1'!L20</f>
        <v>0</v>
      </c>
    </row>
    <row r="41" spans="2:8" ht="21" customHeight="1">
      <c r="B41" s="639"/>
      <c r="C41" s="639"/>
      <c r="D41" s="639"/>
      <c r="E41" s="639"/>
      <c r="F41" s="639"/>
      <c r="G41" s="593"/>
      <c r="H41" s="601"/>
    </row>
    <row r="42" spans="2:8" ht="21" customHeight="1">
      <c r="B42" s="639"/>
      <c r="C42" s="639"/>
      <c r="D42" s="639"/>
      <c r="E42" s="639"/>
      <c r="F42" s="639"/>
      <c r="G42" s="593"/>
      <c r="H42" s="601"/>
    </row>
    <row r="43" spans="2:8" ht="21" customHeight="1">
      <c r="B43" s="1121" t="s">
        <v>847</v>
      </c>
      <c r="C43" s="1121"/>
      <c r="D43" s="1121"/>
      <c r="E43" s="1121"/>
      <c r="F43" s="1121"/>
      <c r="G43" s="1087">
        <f>SUM(G11:G42)</f>
        <v>0</v>
      </c>
      <c r="H43" s="1122">
        <f>SUM(H11:H42)</f>
        <v>0</v>
      </c>
    </row>
    <row r="44" spans="2:8">
      <c r="B44" s="1825" t="s">
        <v>103</v>
      </c>
      <c r="C44" s="1825"/>
      <c r="D44" s="1825"/>
      <c r="E44" s="1825"/>
      <c r="F44" s="1825"/>
      <c r="G44" s="1825"/>
      <c r="H44" s="1825"/>
    </row>
    <row r="45" spans="2:8">
      <c r="B45" s="1123"/>
      <c r="C45" s="1123"/>
      <c r="D45" s="1123"/>
      <c r="E45" s="1123"/>
      <c r="F45" s="1123"/>
      <c r="G45" s="1123"/>
      <c r="H45" s="1123"/>
    </row>
    <row r="46" spans="2:8">
      <c r="B46" s="1123"/>
      <c r="C46" s="1123"/>
      <c r="D46" s="1123"/>
      <c r="E46" s="1123"/>
      <c r="F46" s="1123"/>
      <c r="G46" s="1123"/>
      <c r="H46" s="1123"/>
    </row>
    <row r="47" spans="2:8">
      <c r="B47" s="1123"/>
      <c r="C47" s="1123"/>
      <c r="D47" s="1123"/>
      <c r="E47" s="1123"/>
      <c r="F47" s="1123"/>
      <c r="G47" s="1123"/>
      <c r="H47" s="1123"/>
    </row>
    <row r="48" spans="2:8">
      <c r="B48" s="1123"/>
      <c r="C48" s="1123"/>
      <c r="D48" s="1123"/>
      <c r="E48" s="1123"/>
      <c r="F48" s="1123"/>
      <c r="G48" s="1123"/>
      <c r="H48" s="1123"/>
    </row>
    <row r="49" spans="2:8" ht="13.8">
      <c r="B49" s="1818" t="s">
        <v>3199</v>
      </c>
      <c r="C49" s="1818"/>
      <c r="D49" s="1818"/>
      <c r="E49" s="1818"/>
      <c r="F49" s="1818"/>
      <c r="G49" s="1818"/>
      <c r="H49" s="1818"/>
    </row>
  </sheetData>
  <sheetProtection password="CAF9" sheet="1" objects="1" scenarios="1"/>
  <mergeCells count="9">
    <mergeCell ref="B49:H49"/>
    <mergeCell ref="B6:H6"/>
    <mergeCell ref="B7:H7"/>
    <mergeCell ref="B3:H3"/>
    <mergeCell ref="B4:H4"/>
    <mergeCell ref="B5:H5"/>
    <mergeCell ref="B9:H9"/>
    <mergeCell ref="B10:F10"/>
    <mergeCell ref="B44:H44"/>
  </mergeCells>
  <pageMargins left="0.25" right="0.25" top="0.5" bottom="0.5" header="0.25" footer="0.25"/>
  <pageSetup paperSize="5" orientation="portrait" r:id="rId1"/>
  <headerFooter alignWithMargins="0"/>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9">
    <tabColor theme="6" tint="0.39997558519241921"/>
  </sheetPr>
  <dimension ref="A2:V27"/>
  <sheetViews>
    <sheetView zoomScaleNormal="100" zoomScaleSheetLayoutView="80" workbookViewId="0">
      <selection activeCell="B10" sqref="B10"/>
    </sheetView>
  </sheetViews>
  <sheetFormatPr defaultColWidth="9.109375" defaultRowHeight="13.2"/>
  <cols>
    <col min="1" max="1" width="5.6640625" style="324" customWidth="1"/>
    <col min="2" max="3" width="4.88671875" style="324" customWidth="1"/>
    <col min="4" max="4" width="30.6640625" style="324" customWidth="1"/>
    <col min="5" max="12" width="15.6640625" style="324" customWidth="1"/>
    <col min="13" max="16384" width="9.109375" style="324"/>
  </cols>
  <sheetData>
    <row r="2" spans="1:22" ht="20.399999999999999">
      <c r="B2" s="1826" t="str">
        <f>"ANALYSIS  OF "&amp;UPPER('KEY INPUTS'!D52)&amp;" UTILITY  ASSESSMENT  TRUST  CASH  AND  INVESTMENTS"</f>
        <v>ANALYSIS  OF WATER/SEWER UTILITY UTILITY  ASSESSMENT  TRUST  CASH  AND  INVESTMENTS</v>
      </c>
      <c r="C2" s="1826"/>
      <c r="D2" s="1826"/>
      <c r="E2" s="1826"/>
      <c r="F2" s="1826"/>
      <c r="G2" s="1826"/>
      <c r="H2" s="1826"/>
      <c r="I2" s="1826"/>
      <c r="J2" s="1826"/>
      <c r="K2" s="1826"/>
      <c r="L2" s="1826"/>
    </row>
    <row r="3" spans="1:22" ht="21" thickBot="1">
      <c r="B3" s="1826" t="s">
        <v>880</v>
      </c>
      <c r="C3" s="1826"/>
      <c r="D3" s="1826"/>
      <c r="E3" s="1826"/>
      <c r="F3" s="1826"/>
      <c r="G3" s="1826"/>
      <c r="H3" s="1826"/>
      <c r="I3" s="1826"/>
      <c r="J3" s="1826"/>
      <c r="K3" s="1826"/>
      <c r="L3" s="1826"/>
    </row>
    <row r="4" spans="1:22" ht="13.8" thickTop="1">
      <c r="B4" s="1124"/>
      <c r="C4" s="1124"/>
      <c r="D4" s="1124"/>
      <c r="E4" s="1125" t="s">
        <v>558</v>
      </c>
      <c r="F4" s="1124"/>
      <c r="G4" s="1124"/>
      <c r="H4" s="1124"/>
      <c r="I4" s="1124"/>
      <c r="J4" s="1126"/>
      <c r="K4" s="1124"/>
      <c r="L4" s="1127"/>
    </row>
    <row r="5" spans="1:22" ht="15.6">
      <c r="B5" s="1128"/>
      <c r="C5" s="1128" t="s">
        <v>566</v>
      </c>
      <c r="D5" s="1128"/>
      <c r="E5" s="1129" t="s">
        <v>559</v>
      </c>
      <c r="F5" s="1827" t="s">
        <v>560</v>
      </c>
      <c r="G5" s="1828"/>
      <c r="H5" s="1828"/>
      <c r="I5" s="1829"/>
      <c r="J5" s="1130"/>
      <c r="K5" s="1128"/>
      <c r="L5" s="1131" t="s">
        <v>559</v>
      </c>
    </row>
    <row r="6" spans="1:22">
      <c r="B6" s="1128"/>
      <c r="C6" s="1128" t="s">
        <v>567</v>
      </c>
      <c r="D6" s="1128"/>
      <c r="E6" s="1132" t="str">
        <f>'KEY INPUTS'!D45</f>
        <v>Dec. 31, 2019</v>
      </c>
      <c r="F6" s="1129" t="s">
        <v>561</v>
      </c>
      <c r="G6" s="1129" t="s">
        <v>262</v>
      </c>
      <c r="H6" s="1130"/>
      <c r="I6" s="1130"/>
      <c r="J6" s="1130"/>
      <c r="K6" s="1133" t="s">
        <v>565</v>
      </c>
      <c r="L6" s="1134" t="str">
        <f>'KEY INPUTS'!D46</f>
        <v>Dec. 31, 2020</v>
      </c>
    </row>
    <row r="7" spans="1:22" ht="13.8" thickBot="1">
      <c r="B7" s="1135"/>
      <c r="C7" s="1135"/>
      <c r="D7" s="1135"/>
      <c r="E7" s="1136"/>
      <c r="F7" s="1137" t="s">
        <v>562</v>
      </c>
      <c r="G7" s="1137" t="s">
        <v>564</v>
      </c>
      <c r="H7" s="1136"/>
      <c r="I7" s="1136"/>
      <c r="J7" s="1136"/>
      <c r="K7" s="1138"/>
      <c r="L7" s="1139"/>
    </row>
    <row r="8" spans="1:22" ht="21" customHeight="1" thickTop="1">
      <c r="B8" s="1140" t="s">
        <v>656</v>
      </c>
      <c r="C8" s="1140"/>
      <c r="D8" s="1141"/>
      <c r="E8" s="1070" t="s">
        <v>662</v>
      </c>
      <c r="F8" s="1070" t="s">
        <v>662</v>
      </c>
      <c r="G8" s="1070" t="s">
        <v>662</v>
      </c>
      <c r="H8" s="1070" t="s">
        <v>662</v>
      </c>
      <c r="I8" s="1070" t="s">
        <v>662</v>
      </c>
      <c r="J8" s="1070" t="s">
        <v>662</v>
      </c>
      <c r="K8" s="1070" t="s">
        <v>662</v>
      </c>
      <c r="L8" s="858" t="s">
        <v>662</v>
      </c>
      <c r="P8" s="315"/>
      <c r="Q8" s="315"/>
      <c r="R8" s="315"/>
      <c r="S8" s="315"/>
      <c r="T8" s="315"/>
      <c r="U8" s="315"/>
      <c r="V8" s="315"/>
    </row>
    <row r="9" spans="1:22" ht="21" customHeight="1">
      <c r="B9" s="639" t="s">
        <v>3673</v>
      </c>
      <c r="C9" s="639"/>
      <c r="D9" s="643"/>
      <c r="E9" s="593"/>
      <c r="F9" s="593"/>
      <c r="G9" s="593"/>
      <c r="H9" s="593"/>
      <c r="I9" s="593"/>
      <c r="J9" s="593"/>
      <c r="K9" s="593"/>
      <c r="L9" s="1063">
        <f>+E9+F9+G9+H9+I9+J9-K9</f>
        <v>0</v>
      </c>
      <c r="P9" s="315"/>
      <c r="Q9" s="315"/>
      <c r="R9" s="315"/>
      <c r="S9" s="315"/>
      <c r="T9" s="315"/>
      <c r="U9" s="315"/>
      <c r="V9" s="315"/>
    </row>
    <row r="10" spans="1:22" ht="21" customHeight="1">
      <c r="B10" s="639"/>
      <c r="C10" s="639"/>
      <c r="D10" s="643"/>
      <c r="E10" s="593"/>
      <c r="F10" s="593"/>
      <c r="G10" s="593"/>
      <c r="H10" s="593"/>
      <c r="I10" s="593"/>
      <c r="J10" s="593"/>
      <c r="K10" s="593"/>
      <c r="L10" s="1063">
        <f t="shared" ref="L10:L25" si="0">+E10+F10+G10+H10+I10+J10-K10</f>
        <v>0</v>
      </c>
      <c r="P10" s="370"/>
      <c r="Q10" s="315"/>
      <c r="R10" s="315"/>
      <c r="S10" s="315"/>
      <c r="T10" s="315"/>
      <c r="U10" s="315"/>
      <c r="V10" s="315"/>
    </row>
    <row r="11" spans="1:22" ht="21" customHeight="1">
      <c r="B11" s="639"/>
      <c r="C11" s="639"/>
      <c r="D11" s="643"/>
      <c r="E11" s="593"/>
      <c r="F11" s="593"/>
      <c r="G11" s="593"/>
      <c r="H11" s="593"/>
      <c r="I11" s="593"/>
      <c r="J11" s="593"/>
      <c r="K11" s="593"/>
      <c r="L11" s="1063">
        <f t="shared" si="0"/>
        <v>0</v>
      </c>
      <c r="P11" s="315"/>
      <c r="Q11" s="315"/>
      <c r="R11" s="315"/>
      <c r="S11" s="315"/>
      <c r="T11" s="315"/>
      <c r="U11" s="315"/>
      <c r="V11" s="315"/>
    </row>
    <row r="12" spans="1:22" ht="21" customHeight="1">
      <c r="B12" s="639"/>
      <c r="C12" s="639"/>
      <c r="D12" s="643"/>
      <c r="E12" s="593"/>
      <c r="F12" s="593"/>
      <c r="G12" s="593"/>
      <c r="H12" s="593"/>
      <c r="I12" s="593"/>
      <c r="J12" s="593"/>
      <c r="K12" s="593"/>
      <c r="L12" s="1063">
        <f t="shared" si="0"/>
        <v>0</v>
      </c>
      <c r="P12" s="315"/>
      <c r="Q12" s="315"/>
      <c r="R12" s="315"/>
      <c r="S12" s="315"/>
      <c r="T12" s="315"/>
      <c r="U12" s="315"/>
      <c r="V12" s="315"/>
    </row>
    <row r="13" spans="1:22" ht="21" customHeight="1">
      <c r="B13" s="639"/>
      <c r="C13" s="639"/>
      <c r="D13" s="643"/>
      <c r="E13" s="596"/>
      <c r="F13" s="593"/>
      <c r="G13" s="593"/>
      <c r="H13" s="593"/>
      <c r="I13" s="593"/>
      <c r="J13" s="593"/>
      <c r="K13" s="593"/>
      <c r="L13" s="1063">
        <f t="shared" si="0"/>
        <v>0</v>
      </c>
      <c r="P13" s="315"/>
      <c r="Q13" s="315"/>
      <c r="R13" s="315"/>
      <c r="S13" s="315"/>
      <c r="T13" s="315"/>
      <c r="U13" s="315"/>
      <c r="V13" s="315"/>
    </row>
    <row r="14" spans="1:22" ht="21" customHeight="1">
      <c r="B14" s="1121" t="s">
        <v>657</v>
      </c>
      <c r="C14" s="1121"/>
      <c r="D14" s="1147"/>
      <c r="E14" s="963" t="s">
        <v>662</v>
      </c>
      <c r="F14" s="963" t="s">
        <v>662</v>
      </c>
      <c r="G14" s="963" t="s">
        <v>662</v>
      </c>
      <c r="H14" s="963" t="s">
        <v>662</v>
      </c>
      <c r="I14" s="963" t="s">
        <v>662</v>
      </c>
      <c r="J14" s="963" t="s">
        <v>662</v>
      </c>
      <c r="K14" s="963" t="s">
        <v>662</v>
      </c>
      <c r="L14" s="860" t="s">
        <v>662</v>
      </c>
      <c r="P14" s="315"/>
      <c r="Q14" s="315"/>
      <c r="R14" s="315"/>
      <c r="S14" s="315"/>
      <c r="T14" s="315"/>
      <c r="U14" s="315"/>
      <c r="V14" s="315"/>
    </row>
    <row r="15" spans="1:22" ht="21" customHeight="1">
      <c r="A15" s="1830" t="s">
        <v>3200</v>
      </c>
      <c r="B15" s="639"/>
      <c r="C15" s="639"/>
      <c r="D15" s="643"/>
      <c r="E15" s="593"/>
      <c r="F15" s="593"/>
      <c r="G15" s="593"/>
      <c r="H15" s="593"/>
      <c r="I15" s="593"/>
      <c r="J15" s="593"/>
      <c r="K15" s="593"/>
      <c r="L15" s="1063">
        <f t="shared" si="0"/>
        <v>0</v>
      </c>
      <c r="P15" s="315"/>
      <c r="Q15" s="315"/>
      <c r="R15" s="315"/>
      <c r="S15" s="315"/>
      <c r="T15" s="315"/>
      <c r="U15" s="315"/>
      <c r="V15" s="315"/>
    </row>
    <row r="16" spans="1:22" ht="21" customHeight="1">
      <c r="A16" s="1830"/>
      <c r="B16" s="639"/>
      <c r="C16" s="639"/>
      <c r="D16" s="643"/>
      <c r="E16" s="593"/>
      <c r="F16" s="593"/>
      <c r="G16" s="593"/>
      <c r="H16" s="593"/>
      <c r="I16" s="593"/>
      <c r="J16" s="593"/>
      <c r="K16" s="593"/>
      <c r="L16" s="1063">
        <f t="shared" si="0"/>
        <v>0</v>
      </c>
      <c r="P16" s="315"/>
      <c r="Q16" s="315"/>
      <c r="R16" s="315"/>
      <c r="S16" s="315"/>
      <c r="T16" s="315"/>
      <c r="U16" s="315"/>
      <c r="V16" s="315"/>
    </row>
    <row r="17" spans="1:22" ht="21" customHeight="1">
      <c r="A17" s="1830"/>
      <c r="B17" s="639"/>
      <c r="C17" s="639"/>
      <c r="D17" s="643"/>
      <c r="E17" s="593"/>
      <c r="F17" s="593"/>
      <c r="G17" s="593"/>
      <c r="H17" s="593"/>
      <c r="I17" s="593"/>
      <c r="J17" s="593"/>
      <c r="K17" s="593"/>
      <c r="L17" s="1063">
        <f t="shared" si="0"/>
        <v>0</v>
      </c>
      <c r="P17" s="315"/>
      <c r="Q17" s="315"/>
      <c r="R17" s="315"/>
      <c r="S17" s="315"/>
      <c r="T17" s="315"/>
      <c r="U17" s="315"/>
      <c r="V17" s="315"/>
    </row>
    <row r="18" spans="1:22" ht="21" customHeight="1">
      <c r="B18" s="639"/>
      <c r="C18" s="639"/>
      <c r="D18" s="643"/>
      <c r="E18" s="593"/>
      <c r="F18" s="593"/>
      <c r="G18" s="593"/>
      <c r="H18" s="593"/>
      <c r="I18" s="593"/>
      <c r="J18" s="593"/>
      <c r="K18" s="593"/>
      <c r="L18" s="1063">
        <f t="shared" si="0"/>
        <v>0</v>
      </c>
      <c r="P18" s="315"/>
      <c r="Q18" s="315"/>
      <c r="R18" s="315"/>
      <c r="S18" s="315"/>
      <c r="T18" s="315"/>
      <c r="U18" s="315"/>
      <c r="V18" s="315"/>
    </row>
    <row r="19" spans="1:22" ht="21" customHeight="1">
      <c r="B19" s="1121" t="s">
        <v>658</v>
      </c>
      <c r="C19" s="1121"/>
      <c r="D19" s="1147"/>
      <c r="E19" s="593"/>
      <c r="F19" s="593"/>
      <c r="G19" s="593"/>
      <c r="H19" s="593"/>
      <c r="I19" s="593"/>
      <c r="J19" s="593"/>
      <c r="K19" s="593"/>
      <c r="L19" s="1063">
        <f t="shared" si="0"/>
        <v>0</v>
      </c>
      <c r="P19" s="315"/>
      <c r="Q19" s="315"/>
      <c r="R19" s="315"/>
      <c r="S19" s="315"/>
      <c r="T19" s="315"/>
      <c r="U19" s="315"/>
      <c r="V19" s="315"/>
    </row>
    <row r="20" spans="1:22" ht="21" customHeight="1">
      <c r="B20" s="1121" t="s">
        <v>659</v>
      </c>
      <c r="C20" s="1121"/>
      <c r="D20" s="1147"/>
      <c r="E20" s="593"/>
      <c r="F20" s="593"/>
      <c r="G20" s="593"/>
      <c r="H20" s="593"/>
      <c r="I20" s="593"/>
      <c r="J20" s="593"/>
      <c r="K20" s="593"/>
      <c r="L20" s="1063">
        <f t="shared" si="0"/>
        <v>0</v>
      </c>
      <c r="P20" s="315"/>
      <c r="Q20" s="315"/>
      <c r="R20" s="315"/>
      <c r="S20" s="315"/>
      <c r="T20" s="315"/>
      <c r="U20" s="315"/>
      <c r="V20" s="315"/>
    </row>
    <row r="21" spans="1:22" ht="21" customHeight="1">
      <c r="B21" s="1121" t="s">
        <v>263</v>
      </c>
      <c r="C21" s="1121"/>
      <c r="D21" s="1147"/>
      <c r="E21" s="963" t="s">
        <v>662</v>
      </c>
      <c r="F21" s="963" t="s">
        <v>662</v>
      </c>
      <c r="G21" s="963" t="s">
        <v>662</v>
      </c>
      <c r="H21" s="963" t="s">
        <v>662</v>
      </c>
      <c r="I21" s="963" t="s">
        <v>662</v>
      </c>
      <c r="J21" s="963" t="s">
        <v>662</v>
      </c>
      <c r="K21" s="963" t="s">
        <v>662</v>
      </c>
      <c r="L21" s="860" t="s">
        <v>662</v>
      </c>
      <c r="P21" s="315"/>
      <c r="Q21" s="315"/>
      <c r="R21" s="315"/>
      <c r="S21" s="315"/>
      <c r="T21" s="315"/>
      <c r="U21" s="315"/>
      <c r="V21" s="315"/>
    </row>
    <row r="22" spans="1:22" ht="21" customHeight="1">
      <c r="B22" s="639"/>
      <c r="C22" s="639"/>
      <c r="D22" s="643"/>
      <c r="E22" s="593"/>
      <c r="F22" s="593"/>
      <c r="G22" s="593"/>
      <c r="H22" s="593"/>
      <c r="I22" s="593"/>
      <c r="J22" s="593"/>
      <c r="K22" s="593"/>
      <c r="L22" s="1063">
        <f t="shared" si="0"/>
        <v>0</v>
      </c>
      <c r="P22" s="315"/>
      <c r="Q22" s="315"/>
      <c r="R22" s="315"/>
      <c r="S22" s="315"/>
      <c r="T22" s="315"/>
      <c r="U22" s="315"/>
      <c r="V22" s="315"/>
    </row>
    <row r="23" spans="1:22" ht="21" customHeight="1">
      <c r="B23" s="639"/>
      <c r="C23" s="639"/>
      <c r="D23" s="643"/>
      <c r="E23" s="593"/>
      <c r="F23" s="593"/>
      <c r="G23" s="593"/>
      <c r="H23" s="593"/>
      <c r="I23" s="593"/>
      <c r="J23" s="593"/>
      <c r="K23" s="593"/>
      <c r="L23" s="1063">
        <f t="shared" si="0"/>
        <v>0</v>
      </c>
      <c r="P23" s="315"/>
      <c r="Q23" s="315"/>
      <c r="R23" s="315"/>
      <c r="S23" s="315"/>
      <c r="T23" s="315"/>
      <c r="U23" s="315"/>
      <c r="V23" s="315"/>
    </row>
    <row r="24" spans="1:22" ht="21" customHeight="1">
      <c r="B24" s="639"/>
      <c r="C24" s="639"/>
      <c r="D24" s="643"/>
      <c r="E24" s="593"/>
      <c r="F24" s="593"/>
      <c r="G24" s="593"/>
      <c r="H24" s="593"/>
      <c r="I24" s="593"/>
      <c r="J24" s="593"/>
      <c r="K24" s="593"/>
      <c r="L24" s="1063">
        <f t="shared" si="0"/>
        <v>0</v>
      </c>
      <c r="P24" s="315"/>
      <c r="Q24" s="315"/>
      <c r="R24" s="315"/>
      <c r="S24" s="315"/>
      <c r="T24" s="315"/>
      <c r="U24" s="315"/>
      <c r="V24" s="315"/>
    </row>
    <row r="25" spans="1:22" ht="21" customHeight="1" thickBot="1">
      <c r="B25" s="639"/>
      <c r="C25" s="639"/>
      <c r="D25" s="643"/>
      <c r="E25" s="619"/>
      <c r="F25" s="619"/>
      <c r="G25" s="619"/>
      <c r="H25" s="619"/>
      <c r="I25" s="619"/>
      <c r="J25" s="619"/>
      <c r="K25" s="619"/>
      <c r="L25" s="1142">
        <f t="shared" si="0"/>
        <v>0</v>
      </c>
    </row>
    <row r="26" spans="1:22" ht="21" customHeight="1" thickTop="1" thickBot="1">
      <c r="B26" s="1144"/>
      <c r="C26" s="1144"/>
      <c r="D26" s="1145"/>
      <c r="E26" s="1065">
        <f t="shared" ref="E26:K26" si="1">SUM(E9:E25)</f>
        <v>0</v>
      </c>
      <c r="F26" s="1065">
        <f t="shared" si="1"/>
        <v>0</v>
      </c>
      <c r="G26" s="1065">
        <f t="shared" si="1"/>
        <v>0</v>
      </c>
      <c r="H26" s="1065">
        <f t="shared" si="1"/>
        <v>0</v>
      </c>
      <c r="I26" s="1065">
        <f t="shared" si="1"/>
        <v>0</v>
      </c>
      <c r="J26" s="1065">
        <f t="shared" si="1"/>
        <v>0</v>
      </c>
      <c r="K26" s="1065">
        <f t="shared" si="1"/>
        <v>0</v>
      </c>
      <c r="L26" s="1143">
        <f>SUM(L9:L25)</f>
        <v>0</v>
      </c>
    </row>
    <row r="27" spans="1:22" ht="13.8" thickTop="1">
      <c r="B27" s="1146" t="s">
        <v>661</v>
      </c>
      <c r="C27" s="1128"/>
      <c r="D27" s="1128"/>
      <c r="E27" s="1128"/>
      <c r="F27" s="1128"/>
      <c r="G27" s="1128"/>
      <c r="H27" s="1128"/>
      <c r="I27" s="1128"/>
      <c r="J27" s="1128"/>
      <c r="K27" s="1128"/>
      <c r="L27" s="1128"/>
    </row>
  </sheetData>
  <sheetProtection password="CAF9"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0">
    <tabColor theme="6" tint="0.39997558519241921"/>
  </sheetPr>
  <dimension ref="B2:T55"/>
  <sheetViews>
    <sheetView topLeftCell="A16" zoomScaleNormal="100" zoomScaleSheetLayoutView="80" workbookViewId="0">
      <selection activeCell="I39" sqref="I39"/>
    </sheetView>
  </sheetViews>
  <sheetFormatPr defaultColWidth="8.88671875" defaultRowHeight="13.2"/>
  <cols>
    <col min="1" max="1" width="4.6640625" style="391" customWidth="1"/>
    <col min="2" max="3" width="3.6640625" style="391" customWidth="1"/>
    <col min="4" max="4" width="4.6640625" style="391" customWidth="1"/>
    <col min="5" max="5" width="8.88671875" style="391"/>
    <col min="6" max="6" width="16.6640625" style="391" customWidth="1"/>
    <col min="7" max="7" width="8.6640625" style="391" customWidth="1"/>
    <col min="8" max="10" width="16.6640625" style="391" customWidth="1"/>
    <col min="11" max="11" width="8.88671875" style="391"/>
    <col min="12" max="12" width="11.33203125" style="391" bestFit="1" customWidth="1"/>
    <col min="13" max="16384" width="8.88671875" style="391"/>
  </cols>
  <sheetData>
    <row r="2" spans="2:20" ht="22.8">
      <c r="B2" s="1804" t="str">
        <f>"SCHEDULE  OF "&amp;UPPER('KEY INPUTS'!D52)&amp;" UTILITY  BUDGET  -  "&amp;TEXT('KEY INPUTS'!D34,"0")&amp;""</f>
        <v>SCHEDULE  OF WATER/SEWER UTILITY UTILITY  BUDGET  -  2020</v>
      </c>
      <c r="C2" s="1804"/>
      <c r="D2" s="1804"/>
      <c r="E2" s="1804"/>
      <c r="F2" s="1804"/>
      <c r="G2" s="1804"/>
      <c r="H2" s="1804"/>
      <c r="I2" s="1804"/>
      <c r="J2" s="1804"/>
    </row>
    <row r="3" spans="2:20" ht="12" customHeight="1">
      <c r="B3" s="455"/>
      <c r="C3" s="455"/>
      <c r="D3" s="455"/>
      <c r="E3" s="455"/>
      <c r="F3" s="455"/>
      <c r="G3" s="455"/>
      <c r="H3" s="455"/>
      <c r="I3" s="455"/>
      <c r="J3" s="455"/>
    </row>
    <row r="4" spans="2:20" ht="17.25" customHeight="1" thickBot="1">
      <c r="B4" s="1835" t="s">
        <v>881</v>
      </c>
      <c r="C4" s="1835"/>
      <c r="D4" s="1835"/>
      <c r="E4" s="1835"/>
      <c r="F4" s="1835"/>
      <c r="G4" s="1835"/>
      <c r="H4" s="1835"/>
      <c r="I4" s="1835"/>
      <c r="J4" s="1835"/>
    </row>
    <row r="5" spans="2:20" ht="13.8" thickTop="1">
      <c r="B5" s="1831" t="s">
        <v>172</v>
      </c>
      <c r="C5" s="1831"/>
      <c r="D5" s="1831"/>
      <c r="E5" s="1831"/>
      <c r="F5" s="1831"/>
      <c r="G5" s="1832"/>
      <c r="H5" s="454" t="s">
        <v>564</v>
      </c>
      <c r="I5" s="454" t="s">
        <v>672</v>
      </c>
      <c r="J5" s="453" t="s">
        <v>340</v>
      </c>
    </row>
    <row r="6" spans="2:20" ht="13.8" thickBot="1">
      <c r="B6" s="1833"/>
      <c r="C6" s="1833"/>
      <c r="D6" s="1833"/>
      <c r="E6" s="1833"/>
      <c r="F6" s="1833"/>
      <c r="G6" s="1834"/>
      <c r="H6" s="452"/>
      <c r="I6" s="452" t="s">
        <v>339</v>
      </c>
      <c r="J6" s="451" t="s">
        <v>341</v>
      </c>
    </row>
    <row r="7" spans="2:20" ht="21" customHeight="1" thickTop="1">
      <c r="B7" s="450" t="s">
        <v>3213</v>
      </c>
      <c r="C7" s="450"/>
      <c r="D7" s="450"/>
      <c r="E7" s="450"/>
      <c r="F7" s="450"/>
      <c r="G7" s="449"/>
      <c r="H7" s="597">
        <v>30000</v>
      </c>
      <c r="I7" s="448">
        <f>H7</f>
        <v>30000</v>
      </c>
      <c r="J7" s="447">
        <f>+I7-H7</f>
        <v>0</v>
      </c>
    </row>
    <row r="8" spans="2:20" ht="10.5" customHeight="1">
      <c r="B8" s="420" t="s">
        <v>3212</v>
      </c>
      <c r="G8" s="999"/>
      <c r="H8" s="445"/>
      <c r="I8" s="445"/>
      <c r="J8" s="255"/>
    </row>
    <row r="9" spans="2:20">
      <c r="B9" s="444" t="s">
        <v>175</v>
      </c>
      <c r="C9" s="444"/>
      <c r="D9" s="444"/>
      <c r="E9" s="444"/>
      <c r="F9" s="444"/>
      <c r="G9" s="439"/>
      <c r="H9" s="644"/>
      <c r="I9" s="644"/>
      <c r="J9" s="244">
        <f t="shared" ref="J9:J15" si="0">+I9-H9</f>
        <v>0</v>
      </c>
    </row>
    <row r="10" spans="2:20" ht="21" customHeight="1">
      <c r="B10" s="639" t="s">
        <v>3711</v>
      </c>
      <c r="C10" s="639"/>
      <c r="D10" s="639"/>
      <c r="E10" s="639"/>
      <c r="F10" s="639"/>
      <c r="G10" s="1148"/>
      <c r="H10" s="771">
        <v>690500</v>
      </c>
      <c r="I10" s="771">
        <v>833394.89</v>
      </c>
      <c r="J10" s="443">
        <f t="shared" si="0"/>
        <v>142894.89000000001</v>
      </c>
      <c r="N10" s="315"/>
      <c r="O10" s="315"/>
      <c r="P10" s="315"/>
      <c r="Q10" s="315"/>
      <c r="R10" s="315"/>
      <c r="S10" s="315"/>
      <c r="T10" s="315"/>
    </row>
    <row r="11" spans="2:20" ht="21" customHeight="1">
      <c r="B11" s="639"/>
      <c r="C11" s="639"/>
      <c r="D11" s="639"/>
      <c r="E11" s="639"/>
      <c r="F11" s="639"/>
      <c r="G11" s="1148"/>
      <c r="H11" s="771"/>
      <c r="I11" s="771"/>
      <c r="J11" s="256">
        <f t="shared" si="0"/>
        <v>0</v>
      </c>
      <c r="N11" s="315"/>
      <c r="O11" s="315"/>
      <c r="P11" s="315"/>
      <c r="Q11" s="315"/>
      <c r="R11" s="315"/>
      <c r="S11" s="315"/>
      <c r="T11" s="315"/>
    </row>
    <row r="12" spans="2:20" ht="21" customHeight="1">
      <c r="B12" s="639"/>
      <c r="C12" s="639"/>
      <c r="D12" s="639"/>
      <c r="E12" s="639"/>
      <c r="F12" s="639"/>
      <c r="G12" s="1148"/>
      <c r="H12" s="771"/>
      <c r="I12" s="771"/>
      <c r="J12" s="256">
        <f t="shared" si="0"/>
        <v>0</v>
      </c>
      <c r="N12" s="370"/>
      <c r="O12" s="315"/>
      <c r="P12" s="315"/>
      <c r="Q12" s="315"/>
      <c r="R12" s="315"/>
      <c r="S12" s="315"/>
      <c r="T12" s="315"/>
    </row>
    <row r="13" spans="2:20" ht="21" customHeight="1">
      <c r="B13" s="639"/>
      <c r="C13" s="639"/>
      <c r="D13" s="639"/>
      <c r="E13" s="639"/>
      <c r="F13" s="639"/>
      <c r="G13" s="1148"/>
      <c r="H13" s="771"/>
      <c r="I13" s="771"/>
      <c r="J13" s="256">
        <f t="shared" si="0"/>
        <v>0</v>
      </c>
      <c r="N13" s="315"/>
      <c r="O13" s="315"/>
      <c r="P13" s="315"/>
      <c r="Q13" s="315"/>
      <c r="R13" s="315"/>
      <c r="S13" s="315"/>
      <c r="T13" s="315"/>
    </row>
    <row r="14" spans="2:20" ht="21" customHeight="1">
      <c r="B14" s="639"/>
      <c r="C14" s="639"/>
      <c r="D14" s="639"/>
      <c r="E14" s="639"/>
      <c r="F14" s="639"/>
      <c r="G14" s="1148"/>
      <c r="H14" s="771"/>
      <c r="I14" s="771"/>
      <c r="J14" s="256">
        <f t="shared" si="0"/>
        <v>0</v>
      </c>
      <c r="N14" s="315"/>
      <c r="O14" s="315"/>
      <c r="P14" s="315"/>
      <c r="Q14" s="315"/>
      <c r="R14" s="315"/>
      <c r="S14" s="315"/>
      <c r="T14" s="315"/>
    </row>
    <row r="15" spans="2:20" ht="21" customHeight="1">
      <c r="B15" s="395" t="s">
        <v>3211</v>
      </c>
      <c r="C15" s="395"/>
      <c r="D15" s="395"/>
      <c r="E15" s="395"/>
      <c r="F15" s="395"/>
      <c r="G15" s="439"/>
      <c r="H15" s="771"/>
      <c r="I15" s="771"/>
      <c r="J15" s="256">
        <f t="shared" si="0"/>
        <v>0</v>
      </c>
      <c r="N15" s="315"/>
      <c r="O15" s="315"/>
      <c r="P15" s="315"/>
      <c r="Q15" s="315"/>
      <c r="R15" s="315"/>
      <c r="S15" s="315"/>
      <c r="T15" s="315"/>
    </row>
    <row r="16" spans="2:20" ht="21" customHeight="1">
      <c r="B16" s="395" t="s">
        <v>3210</v>
      </c>
      <c r="C16" s="395"/>
      <c r="D16" s="395"/>
      <c r="E16" s="395"/>
      <c r="F16" s="395"/>
      <c r="G16" s="439"/>
      <c r="H16" s="771">
        <v>1165.25</v>
      </c>
      <c r="I16" s="771">
        <v>1165.25</v>
      </c>
      <c r="J16" s="256"/>
      <c r="N16" s="315"/>
      <c r="O16" s="315"/>
      <c r="P16" s="315"/>
      <c r="Q16" s="315"/>
      <c r="R16" s="315"/>
      <c r="S16" s="315"/>
      <c r="T16" s="315"/>
    </row>
    <row r="17" spans="2:20" ht="21" customHeight="1">
      <c r="B17" s="395" t="s">
        <v>338</v>
      </c>
      <c r="C17" s="395"/>
      <c r="D17" s="395"/>
      <c r="E17" s="395"/>
      <c r="F17" s="395"/>
      <c r="G17" s="439"/>
      <c r="H17" s="303" t="s">
        <v>662</v>
      </c>
      <c r="I17" s="303" t="s">
        <v>662</v>
      </c>
      <c r="J17" s="257" t="s">
        <v>662</v>
      </c>
      <c r="N17" s="315"/>
      <c r="O17" s="315"/>
      <c r="P17" s="315"/>
      <c r="Q17" s="315"/>
      <c r="R17" s="315"/>
      <c r="S17" s="315"/>
      <c r="T17" s="315"/>
    </row>
    <row r="18" spans="2:20" ht="21" customHeight="1">
      <c r="B18" s="639"/>
      <c r="C18" s="639"/>
      <c r="D18" s="639"/>
      <c r="E18" s="639"/>
      <c r="F18" s="639"/>
      <c r="G18" s="639"/>
      <c r="H18" s="593"/>
      <c r="I18" s="593"/>
      <c r="J18" s="256">
        <f t="shared" ref="J18:J19" si="1">+I18-H18</f>
        <v>0</v>
      </c>
      <c r="N18" s="315"/>
      <c r="O18" s="315"/>
      <c r="P18" s="315"/>
      <c r="Q18" s="315"/>
      <c r="R18" s="315"/>
      <c r="S18" s="315"/>
      <c r="T18" s="315"/>
    </row>
    <row r="19" spans="2:20" ht="21" customHeight="1" thickBot="1">
      <c r="B19" s="639"/>
      <c r="C19" s="639"/>
      <c r="D19" s="639"/>
      <c r="E19" s="639"/>
      <c r="F19" s="639"/>
      <c r="G19" s="639"/>
      <c r="H19" s="619"/>
      <c r="I19" s="619"/>
      <c r="J19" s="466">
        <f t="shared" si="1"/>
        <v>0</v>
      </c>
      <c r="N19" s="315"/>
      <c r="O19" s="315"/>
      <c r="P19" s="315"/>
      <c r="Q19" s="315"/>
      <c r="R19" s="315"/>
      <c r="S19" s="315"/>
      <c r="T19" s="315"/>
    </row>
    <row r="20" spans="2:20" ht="21" customHeight="1" thickTop="1">
      <c r="B20" s="395"/>
      <c r="C20" s="395"/>
      <c r="D20" s="395" t="s">
        <v>337</v>
      </c>
      <c r="E20" s="395"/>
      <c r="F20" s="395"/>
      <c r="G20" s="442"/>
      <c r="H20" s="441">
        <f>SUM(H7:H19)</f>
        <v>721665.25</v>
      </c>
      <c r="I20" s="441">
        <f>SUM(I7:I19)</f>
        <v>864560.14</v>
      </c>
      <c r="J20" s="244">
        <f>SUM(J7:J19)</f>
        <v>142894.89000000001</v>
      </c>
      <c r="N20" s="315"/>
      <c r="O20" s="315"/>
      <c r="P20" s="315"/>
      <c r="Q20" s="315"/>
      <c r="R20" s="315"/>
      <c r="S20" s="315"/>
      <c r="T20" s="315"/>
    </row>
    <row r="21" spans="2:20" ht="21" customHeight="1" thickBot="1">
      <c r="B21" s="395" t="s">
        <v>3209</v>
      </c>
      <c r="C21" s="440"/>
      <c r="D21" s="440"/>
      <c r="E21" s="395"/>
      <c r="F21" s="395"/>
      <c r="G21" s="439"/>
      <c r="H21" s="645"/>
      <c r="I21" s="645"/>
      <c r="J21" s="255">
        <f>I21-H21</f>
        <v>0</v>
      </c>
      <c r="N21" s="315"/>
      <c r="O21" s="315"/>
      <c r="P21" s="315"/>
      <c r="Q21" s="315"/>
      <c r="R21" s="315"/>
      <c r="S21" s="315"/>
      <c r="T21" s="315"/>
    </row>
    <row r="22" spans="2:20" ht="21" customHeight="1" thickTop="1" thickBot="1">
      <c r="G22" s="438"/>
      <c r="H22" s="437">
        <f>+H20+H21</f>
        <v>721665.25</v>
      </c>
      <c r="I22" s="437">
        <f>+I20+I21</f>
        <v>864560.14</v>
      </c>
      <c r="J22" s="436">
        <f>+J20+J21</f>
        <v>142894.89000000001</v>
      </c>
      <c r="L22" s="392" t="s">
        <v>3190</v>
      </c>
      <c r="N22" s="315"/>
      <c r="O22" s="315"/>
      <c r="P22" s="315"/>
      <c r="Q22" s="315"/>
      <c r="R22" s="315"/>
      <c r="S22" s="315"/>
      <c r="T22" s="315"/>
    </row>
    <row r="23" spans="2:20" ht="13.8" thickTop="1">
      <c r="B23" s="420" t="s">
        <v>3208</v>
      </c>
      <c r="N23" s="315"/>
      <c r="O23" s="315"/>
      <c r="P23" s="315"/>
      <c r="Q23" s="315"/>
      <c r="R23" s="315"/>
      <c r="S23" s="315"/>
      <c r="T23" s="315"/>
    </row>
    <row r="24" spans="2:20">
      <c r="B24" s="420" t="s">
        <v>3207</v>
      </c>
      <c r="N24" s="315"/>
      <c r="O24" s="315"/>
      <c r="P24" s="315"/>
      <c r="Q24" s="315"/>
      <c r="R24" s="315"/>
      <c r="S24" s="315"/>
      <c r="T24" s="315"/>
    </row>
    <row r="25" spans="2:20">
      <c r="N25" s="315"/>
      <c r="O25" s="315"/>
      <c r="P25" s="315"/>
      <c r="Q25" s="315"/>
      <c r="R25" s="315"/>
      <c r="S25" s="315"/>
      <c r="T25" s="315"/>
    </row>
    <row r="26" spans="2:20">
      <c r="N26" s="315"/>
      <c r="O26" s="315"/>
      <c r="P26" s="315"/>
      <c r="Q26" s="315"/>
      <c r="R26" s="315"/>
      <c r="S26" s="315"/>
      <c r="T26" s="315"/>
    </row>
    <row r="27" spans="2:20" ht="17.25" customHeight="1" thickBot="1">
      <c r="B27" s="1835" t="s">
        <v>342</v>
      </c>
      <c r="C27" s="1835"/>
      <c r="D27" s="1835"/>
      <c r="E27" s="1835"/>
      <c r="F27" s="1835"/>
      <c r="G27" s="1835"/>
      <c r="H27" s="1835"/>
      <c r="I27" s="1835"/>
      <c r="J27" s="1835"/>
    </row>
    <row r="28" spans="2:20" ht="21" customHeight="1" thickTop="1">
      <c r="B28" s="435" t="s">
        <v>343</v>
      </c>
      <c r="C28" s="434"/>
      <c r="D28" s="434"/>
      <c r="E28" s="434"/>
      <c r="F28" s="434"/>
      <c r="G28" s="434"/>
      <c r="H28" s="434"/>
      <c r="I28" s="433"/>
      <c r="J28" s="334" t="s">
        <v>662</v>
      </c>
    </row>
    <row r="29" spans="2:20" ht="21" customHeight="1">
      <c r="B29" s="431"/>
      <c r="C29" s="430" t="s">
        <v>181</v>
      </c>
      <c r="D29" s="430"/>
      <c r="E29" s="430"/>
      <c r="F29" s="430"/>
      <c r="G29" s="430"/>
      <c r="H29" s="430"/>
      <c r="I29" s="432"/>
      <c r="J29" s="646">
        <v>721665.25</v>
      </c>
    </row>
    <row r="30" spans="2:20" ht="21" customHeight="1">
      <c r="B30" s="431"/>
      <c r="C30" s="430" t="s">
        <v>344</v>
      </c>
      <c r="D30" s="430"/>
      <c r="E30" s="430"/>
      <c r="F30" s="430"/>
      <c r="G30" s="430"/>
      <c r="H30" s="430"/>
      <c r="I30" s="432"/>
      <c r="J30" s="646">
        <v>0</v>
      </c>
    </row>
    <row r="31" spans="2:20" ht="21" customHeight="1" thickBot="1">
      <c r="B31" s="431"/>
      <c r="C31" s="430" t="s">
        <v>345</v>
      </c>
      <c r="D31" s="430"/>
      <c r="E31" s="430"/>
      <c r="F31" s="430"/>
      <c r="G31" s="430"/>
      <c r="H31" s="430"/>
      <c r="I31" s="432"/>
      <c r="J31" s="648">
        <v>0</v>
      </c>
    </row>
    <row r="32" spans="2:20" ht="21" customHeight="1" thickTop="1">
      <c r="B32" s="431" t="s">
        <v>346</v>
      </c>
      <c r="C32" s="430"/>
      <c r="D32" s="430"/>
      <c r="E32" s="430"/>
      <c r="F32" s="430"/>
      <c r="G32" s="430"/>
      <c r="H32" s="430"/>
      <c r="I32" s="429"/>
      <c r="J32" s="426">
        <f>SUM(J29:J31)</f>
        <v>721665.25</v>
      </c>
    </row>
    <row r="33" spans="2:13" ht="21" customHeight="1" thickBot="1">
      <c r="B33" s="431" t="s">
        <v>347</v>
      </c>
      <c r="C33" s="430"/>
      <c r="D33" s="430"/>
      <c r="E33" s="430"/>
      <c r="F33" s="430"/>
      <c r="G33" s="430"/>
      <c r="H33" s="430"/>
      <c r="I33" s="429"/>
      <c r="J33" s="648">
        <v>0</v>
      </c>
    </row>
    <row r="34" spans="2:13" ht="21" customHeight="1" thickTop="1">
      <c r="B34" s="431" t="s">
        <v>766</v>
      </c>
      <c r="C34" s="430"/>
      <c r="D34" s="430"/>
      <c r="E34" s="430"/>
      <c r="F34" s="430"/>
      <c r="G34" s="430"/>
      <c r="H34" s="430"/>
      <c r="I34" s="429"/>
      <c r="J34" s="426">
        <f>+J32+J33</f>
        <v>721665.25</v>
      </c>
    </row>
    <row r="35" spans="2:13" ht="21" customHeight="1">
      <c r="B35" s="431" t="s">
        <v>348</v>
      </c>
      <c r="C35" s="430"/>
      <c r="D35" s="430"/>
      <c r="E35" s="430"/>
      <c r="F35" s="430"/>
      <c r="G35" s="430"/>
      <c r="H35" s="430"/>
      <c r="I35" s="429"/>
      <c r="J35" s="428"/>
    </row>
    <row r="36" spans="2:13" ht="21" customHeight="1">
      <c r="B36" s="423"/>
      <c r="C36" s="423" t="s">
        <v>628</v>
      </c>
      <c r="D36" s="423"/>
      <c r="E36" s="423"/>
      <c r="F36" s="423"/>
      <c r="G36" s="423"/>
      <c r="H36" s="423"/>
      <c r="I36" s="649">
        <f>574035.6+2648.01</f>
        <v>576683.61</v>
      </c>
      <c r="J36" s="427"/>
    </row>
    <row r="37" spans="2:13" ht="21" customHeight="1">
      <c r="B37" s="423"/>
      <c r="C37" s="423" t="s">
        <v>770</v>
      </c>
      <c r="D37" s="423"/>
      <c r="E37" s="423"/>
      <c r="F37" s="423"/>
      <c r="G37" s="423"/>
      <c r="H37" s="423"/>
      <c r="I37" s="649">
        <v>119642.65</v>
      </c>
      <c r="J37" s="427"/>
    </row>
    <row r="38" spans="2:13" ht="21" customHeight="1" thickBot="1">
      <c r="B38" s="423" t="s">
        <v>349</v>
      </c>
      <c r="C38" s="423"/>
      <c r="D38" s="423"/>
      <c r="E38" s="423"/>
      <c r="F38" s="423"/>
      <c r="G38" s="423"/>
      <c r="H38" s="423"/>
      <c r="I38" s="650">
        <v>0</v>
      </c>
      <c r="J38" s="646"/>
      <c r="M38" s="392"/>
    </row>
    <row r="39" spans="2:13" ht="21" customHeight="1" thickTop="1" thickBot="1">
      <c r="B39" s="423" t="s">
        <v>771</v>
      </c>
      <c r="C39" s="423"/>
      <c r="D39" s="423"/>
      <c r="E39" s="423"/>
      <c r="F39" s="423"/>
      <c r="G39" s="423"/>
      <c r="H39" s="423"/>
      <c r="I39" s="425"/>
      <c r="J39" s="424">
        <f>SUM(I36:I38)</f>
        <v>696326.26</v>
      </c>
    </row>
    <row r="40" spans="2:13" ht="21" customHeight="1" thickTop="1" thickBot="1">
      <c r="B40" s="423" t="s">
        <v>350</v>
      </c>
      <c r="C40" s="423"/>
      <c r="D40" s="423"/>
      <c r="E40" s="423"/>
      <c r="F40" s="423"/>
      <c r="G40" s="423"/>
      <c r="H40" s="423"/>
      <c r="I40" s="422"/>
      <c r="J40" s="421">
        <f>+J34-J39</f>
        <v>25338.989999999991</v>
      </c>
      <c r="K40" s="392"/>
    </row>
    <row r="41" spans="2:13" ht="13.8" thickTop="1"/>
    <row r="42" spans="2:13">
      <c r="B42" s="420" t="s">
        <v>3206</v>
      </c>
      <c r="C42" s="420"/>
      <c r="D42" s="420"/>
      <c r="E42" s="420"/>
      <c r="F42" s="420"/>
    </row>
    <row r="43" spans="2:13">
      <c r="B43" s="420"/>
      <c r="C43" s="420" t="s">
        <v>3205</v>
      </c>
      <c r="D43" s="420"/>
      <c r="E43" s="420"/>
      <c r="F43" s="420"/>
    </row>
    <row r="44" spans="2:13">
      <c r="B44" s="420"/>
      <c r="C44" s="420"/>
      <c r="D44" s="420" t="s">
        <v>3204</v>
      </c>
      <c r="E44" s="420"/>
      <c r="F44" s="420"/>
      <c r="M44" s="392"/>
    </row>
    <row r="45" spans="2:13">
      <c r="B45" s="420"/>
      <c r="C45" s="420" t="s">
        <v>43</v>
      </c>
      <c r="D45" s="420"/>
      <c r="E45" s="420"/>
      <c r="F45" s="420"/>
    </row>
    <row r="46" spans="2:13">
      <c r="B46" s="420"/>
      <c r="C46" s="420" t="s">
        <v>3203</v>
      </c>
      <c r="D46" s="420"/>
      <c r="E46" s="420"/>
      <c r="F46" s="420"/>
    </row>
    <row r="47" spans="2:13">
      <c r="B47" s="420"/>
      <c r="C47" s="420"/>
      <c r="D47" s="420" t="s">
        <v>3202</v>
      </c>
      <c r="E47" s="420"/>
      <c r="F47" s="420"/>
    </row>
    <row r="48" spans="2:13">
      <c r="B48" s="420"/>
      <c r="C48" s="420"/>
      <c r="D48" s="420"/>
      <c r="E48" s="420"/>
      <c r="F48" s="420"/>
    </row>
    <row r="55" spans="2:10" ht="13.8">
      <c r="B55" s="1799" t="s">
        <v>3201</v>
      </c>
      <c r="C55" s="1799"/>
      <c r="D55" s="1799"/>
      <c r="E55" s="1799"/>
      <c r="F55" s="1799"/>
      <c r="G55" s="1799"/>
      <c r="H55" s="1799"/>
      <c r="I55" s="1799"/>
      <c r="J55" s="1799"/>
    </row>
  </sheetData>
  <sheetProtection algorithmName="SHA-512" hashValue="+WULxn9EoR+LC+E8An1GVPbMvTZHaD7HczL/kahTQIQ66JKtREwYx43nDJkygjGEBe70yAz2wMznjVCSc4ZfIQ==" saltValue="AU5Stm6XKLMiu6T5nz92Iw==" spinCount="100000" sheet="1" objects="1" scenarios="1"/>
  <mergeCells count="5">
    <mergeCell ref="B5:G6"/>
    <mergeCell ref="B2:J2"/>
    <mergeCell ref="B55:J55"/>
    <mergeCell ref="B4:J4"/>
    <mergeCell ref="B27:J27"/>
  </mergeCells>
  <pageMargins left="0.25" right="0.25" top="0.5" bottom="0.5" header="0.25" footer="0.25"/>
  <pageSetup paperSize="5" orientation="portrait" r:id="rId1"/>
  <headerFooter alignWithMargins="0"/>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1">
    <tabColor theme="6" tint="0.39997558519241921"/>
  </sheetPr>
  <dimension ref="B3:T57"/>
  <sheetViews>
    <sheetView topLeftCell="A21" zoomScaleNormal="100" zoomScaleSheetLayoutView="80" workbookViewId="0">
      <selection activeCell="J50" sqref="J50"/>
    </sheetView>
  </sheetViews>
  <sheetFormatPr defaultColWidth="8.88671875" defaultRowHeight="13.2"/>
  <cols>
    <col min="1" max="1" width="4.6640625" style="391" customWidth="1"/>
    <col min="2" max="2" width="6.109375" style="391" customWidth="1"/>
    <col min="3" max="3" width="3.33203125" style="391" customWidth="1"/>
    <col min="4" max="4" width="2.6640625" style="391" customWidth="1"/>
    <col min="5" max="5" width="8.88671875" style="391"/>
    <col min="6" max="6" width="5.88671875" style="391" customWidth="1"/>
    <col min="7" max="7" width="8.88671875" style="391"/>
    <col min="8" max="8" width="16" style="391" customWidth="1"/>
    <col min="9" max="9" width="8.88671875" style="391"/>
    <col min="10" max="11" width="16.6640625" style="391" customWidth="1"/>
    <col min="12" max="12" width="8.88671875" style="391"/>
    <col min="13" max="13" width="11.33203125" style="391" customWidth="1"/>
    <col min="14" max="16384" width="8.88671875" style="391"/>
  </cols>
  <sheetData>
    <row r="3" spans="2:20" ht="22.8">
      <c r="B3" s="1815" t="str">
        <f>"STATEMENT  OF  "&amp;TEXT('KEY INPUTS'!D34,"0")&amp;"  OPERATION"</f>
        <v>STATEMENT  OF  2020  OPERATION</v>
      </c>
      <c r="C3" s="1815"/>
      <c r="D3" s="1815"/>
      <c r="E3" s="1815"/>
      <c r="F3" s="1815"/>
      <c r="G3" s="1815"/>
      <c r="H3" s="1815"/>
      <c r="I3" s="1815"/>
      <c r="J3" s="1815"/>
      <c r="K3" s="1815"/>
    </row>
    <row r="5" spans="2:20" ht="20.399999999999999">
      <c r="B5" s="1826" t="str">
        <f>UPPER('KEY INPUTS'!D52)&amp;" UTILITY"</f>
        <v>WATER/SEWER UTILITY UTILITY</v>
      </c>
      <c r="C5" s="1826"/>
      <c r="D5" s="1826"/>
      <c r="E5" s="1826"/>
      <c r="F5" s="1826"/>
      <c r="G5" s="1826"/>
      <c r="H5" s="1826"/>
      <c r="I5" s="1826"/>
      <c r="J5" s="1826"/>
      <c r="K5" s="1826"/>
    </row>
    <row r="8" spans="2:20">
      <c r="B8" s="1096" t="s">
        <v>332</v>
      </c>
      <c r="C8" s="1171" t="str">
        <f>"Section 1 of this sheet is required to be filled out ONLY IF the "&amp;TEXT('KEY INPUTS'!D34,"0")&amp;" "&amp;PROPER('KEY INPUTS'!D52)&amp;" Utility Budget contained"</f>
        <v>Section 1 of this sheet is required to be filled out ONLY IF the 2020 Water/Sewer Utility Utility Budget contained</v>
      </c>
      <c r="D8" s="1096"/>
      <c r="E8" s="1096"/>
      <c r="F8" s="1096"/>
      <c r="G8" s="1096"/>
      <c r="H8" s="1096"/>
      <c r="I8" s="1096"/>
      <c r="J8" s="1096"/>
      <c r="K8" s="1096"/>
    </row>
    <row r="9" spans="2:20">
      <c r="B9" s="1096"/>
      <c r="C9" s="1096" t="s">
        <v>351</v>
      </c>
      <c r="D9" s="1096"/>
      <c r="E9" s="1096"/>
      <c r="F9" s="1096"/>
      <c r="G9" s="1096"/>
      <c r="H9" s="1096"/>
      <c r="I9" s="1096"/>
      <c r="J9" s="1096"/>
      <c r="K9" s="1096"/>
    </row>
    <row r="10" spans="2:20">
      <c r="B10" s="1096"/>
      <c r="C10" s="1096" t="s">
        <v>352</v>
      </c>
      <c r="D10" s="1096"/>
      <c r="E10" s="1096"/>
      <c r="F10" s="1096"/>
      <c r="G10" s="1096"/>
      <c r="H10" s="1096"/>
      <c r="I10" s="1096"/>
      <c r="J10" s="1096"/>
      <c r="K10" s="1096"/>
    </row>
    <row r="11" spans="2:20">
      <c r="B11" s="1096"/>
      <c r="C11" s="1149" t="s">
        <v>3217</v>
      </c>
      <c r="D11" s="1096"/>
      <c r="E11" s="1096"/>
      <c r="F11" s="1096"/>
      <c r="G11" s="1096"/>
      <c r="H11" s="1096"/>
      <c r="I11" s="1096"/>
      <c r="J11" s="1096"/>
      <c r="K11" s="1096"/>
    </row>
    <row r="12" spans="2:20">
      <c r="B12" s="1096"/>
      <c r="C12" s="1096"/>
      <c r="D12" s="1096"/>
      <c r="E12" s="1096"/>
      <c r="F12" s="1096"/>
      <c r="G12" s="1096"/>
      <c r="H12" s="1096"/>
      <c r="I12" s="1096"/>
      <c r="J12" s="1096"/>
      <c r="K12" s="1096"/>
    </row>
    <row r="13" spans="2:20" ht="17.399999999999999">
      <c r="B13" s="1150" t="s">
        <v>353</v>
      </c>
      <c r="C13" s="1096"/>
      <c r="D13" s="1096"/>
      <c r="E13" s="1096"/>
      <c r="F13" s="1096"/>
      <c r="G13" s="1096"/>
      <c r="H13" s="1096"/>
      <c r="I13" s="1096"/>
      <c r="J13" s="1096"/>
      <c r="K13" s="1096"/>
    </row>
    <row r="14" spans="2:20" ht="13.8" thickBot="1">
      <c r="B14" s="1151"/>
      <c r="C14" s="1151"/>
      <c r="D14" s="1151"/>
      <c r="E14" s="1151"/>
      <c r="F14" s="1151"/>
      <c r="G14" s="1151"/>
      <c r="H14" s="1151"/>
      <c r="I14" s="1151"/>
      <c r="J14" s="1151"/>
      <c r="K14" s="1151"/>
    </row>
    <row r="15" spans="2:20" ht="21" customHeight="1" thickTop="1">
      <c r="B15" s="1152" t="s">
        <v>354</v>
      </c>
      <c r="C15" s="1152"/>
      <c r="D15" s="1152"/>
      <c r="E15" s="1152"/>
      <c r="F15" s="1152"/>
      <c r="G15" s="1152"/>
      <c r="H15" s="1152"/>
      <c r="I15" s="1152"/>
      <c r="J15" s="1153" t="s">
        <v>662</v>
      </c>
      <c r="K15" s="457"/>
      <c r="N15" s="315"/>
      <c r="O15" s="315"/>
      <c r="P15" s="315"/>
      <c r="Q15" s="315"/>
      <c r="R15" s="315"/>
      <c r="S15" s="315"/>
      <c r="T15" s="315"/>
    </row>
    <row r="16" spans="2:20" ht="21" customHeight="1">
      <c r="B16" s="681"/>
      <c r="C16" s="681" t="s">
        <v>355</v>
      </c>
      <c r="D16" s="681"/>
      <c r="E16" s="681"/>
      <c r="F16" s="681"/>
      <c r="G16" s="681"/>
      <c r="H16" s="681"/>
      <c r="I16" s="681"/>
      <c r="J16" s="833">
        <f>+'44-Utility1'!I20</f>
        <v>864560.14</v>
      </c>
      <c r="K16" s="457"/>
      <c r="N16" s="315"/>
      <c r="O16" s="315"/>
      <c r="P16" s="315"/>
      <c r="Q16" s="315"/>
      <c r="R16" s="315"/>
      <c r="S16" s="315"/>
      <c r="T16" s="315"/>
    </row>
    <row r="17" spans="2:20" ht="21" customHeight="1">
      <c r="B17" s="681"/>
      <c r="C17" s="681" t="s">
        <v>356</v>
      </c>
      <c r="D17" s="681"/>
      <c r="E17" s="681"/>
      <c r="F17" s="681"/>
      <c r="G17" s="681"/>
      <c r="H17" s="681"/>
      <c r="I17" s="681"/>
      <c r="J17" s="568">
        <v>17010.12</v>
      </c>
      <c r="K17" s="457"/>
      <c r="N17" s="370"/>
      <c r="O17" s="315"/>
      <c r="P17" s="315"/>
      <c r="Q17" s="315"/>
      <c r="R17" s="315"/>
      <c r="S17" s="315"/>
      <c r="T17" s="315"/>
    </row>
    <row r="18" spans="2:20" ht="21" customHeight="1">
      <c r="B18" s="681"/>
      <c r="C18" s="905" t="str">
        <f>TEXT('KEY INPUTS'!D35,"0")&amp;" Appropriation Reserves Canceled in "&amp;TEXT('KEY INPUTS'!D34,0)</f>
        <v>2019 Appropriation Reserves Canceled in 2020</v>
      </c>
      <c r="D18" s="1154"/>
      <c r="E18" s="1154"/>
      <c r="F18" s="1154"/>
      <c r="G18" s="1154"/>
      <c r="H18" s="681"/>
      <c r="I18" s="681"/>
      <c r="J18" s="367">
        <v>35081</v>
      </c>
      <c r="K18" s="457"/>
      <c r="N18" s="315"/>
      <c r="O18" s="315"/>
      <c r="P18" s="315"/>
      <c r="Q18" s="315"/>
      <c r="R18" s="315"/>
      <c r="S18" s="315"/>
      <c r="T18" s="315"/>
    </row>
    <row r="19" spans="2:20" ht="21" customHeight="1">
      <c r="B19" s="395"/>
      <c r="C19" s="639"/>
      <c r="D19" s="639"/>
      <c r="E19" s="639"/>
      <c r="F19" s="639"/>
      <c r="G19" s="639"/>
      <c r="H19" s="639"/>
      <c r="I19" s="639"/>
      <c r="J19" s="367"/>
      <c r="K19" s="457"/>
      <c r="N19" s="315"/>
      <c r="O19" s="315"/>
      <c r="P19" s="315"/>
      <c r="Q19" s="315"/>
      <c r="R19" s="315"/>
      <c r="S19" s="315"/>
      <c r="T19" s="315"/>
    </row>
    <row r="20" spans="2:20" ht="21" customHeight="1">
      <c r="B20" s="395"/>
      <c r="C20" s="639"/>
      <c r="D20" s="639"/>
      <c r="E20" s="639"/>
      <c r="F20" s="639"/>
      <c r="G20" s="639"/>
      <c r="H20" s="639"/>
      <c r="I20" s="639"/>
      <c r="J20" s="367"/>
      <c r="K20" s="457"/>
      <c r="N20" s="315"/>
      <c r="O20" s="315"/>
      <c r="P20" s="315"/>
      <c r="Q20" s="315"/>
      <c r="R20" s="315"/>
      <c r="S20" s="315"/>
      <c r="T20" s="315"/>
    </row>
    <row r="21" spans="2:20" ht="21" customHeight="1">
      <c r="B21" s="681"/>
      <c r="C21" s="681" t="s">
        <v>357</v>
      </c>
      <c r="D21" s="681"/>
      <c r="E21" s="681"/>
      <c r="F21" s="681"/>
      <c r="G21" s="681"/>
      <c r="H21" s="681"/>
      <c r="I21" s="681"/>
      <c r="J21" s="1155"/>
      <c r="K21" s="842">
        <f>SUM(J16:J20)</f>
        <v>916651.26</v>
      </c>
      <c r="N21" s="315"/>
      <c r="O21" s="315"/>
      <c r="P21" s="315"/>
      <c r="Q21" s="315"/>
      <c r="R21" s="315"/>
      <c r="S21" s="315"/>
      <c r="T21" s="315"/>
    </row>
    <row r="22" spans="2:20" ht="21" customHeight="1">
      <c r="B22" s="681" t="s">
        <v>358</v>
      </c>
      <c r="C22" s="681"/>
      <c r="D22" s="681"/>
      <c r="E22" s="681"/>
      <c r="F22" s="681"/>
      <c r="G22" s="681"/>
      <c r="H22" s="681"/>
      <c r="I22" s="681"/>
      <c r="J22" s="1156" t="s">
        <v>662</v>
      </c>
      <c r="K22" s="832"/>
      <c r="N22" s="315"/>
      <c r="O22" s="315"/>
      <c r="P22" s="315"/>
      <c r="Q22" s="315"/>
      <c r="R22" s="315"/>
      <c r="S22" s="315"/>
      <c r="T22" s="315"/>
    </row>
    <row r="23" spans="2:20" ht="21" customHeight="1">
      <c r="B23" s="681"/>
      <c r="C23" s="681" t="s">
        <v>359</v>
      </c>
      <c r="D23" s="681"/>
      <c r="E23" s="681"/>
      <c r="F23" s="681"/>
      <c r="G23" s="681"/>
      <c r="H23" s="681"/>
      <c r="I23" s="681"/>
      <c r="J23" s="1156" t="s">
        <v>662</v>
      </c>
      <c r="K23" s="832"/>
      <c r="N23" s="315"/>
      <c r="O23" s="315"/>
      <c r="P23" s="315"/>
      <c r="Q23" s="315"/>
      <c r="R23" s="315"/>
      <c r="S23" s="315"/>
      <c r="T23" s="315"/>
    </row>
    <row r="24" spans="2:20" ht="21" customHeight="1">
      <c r="B24" s="681"/>
      <c r="C24" s="681"/>
      <c r="D24" s="681" t="s">
        <v>628</v>
      </c>
      <c r="E24" s="681"/>
      <c r="F24" s="681"/>
      <c r="G24" s="681"/>
      <c r="H24" s="681"/>
      <c r="I24" s="681"/>
      <c r="J24" s="833">
        <f>+'44-Utility1'!I36</f>
        <v>576683.61</v>
      </c>
      <c r="K24" s="832"/>
      <c r="N24" s="315"/>
      <c r="O24" s="315"/>
      <c r="P24" s="315"/>
      <c r="Q24" s="315"/>
      <c r="R24" s="315"/>
      <c r="S24" s="315"/>
      <c r="T24" s="315"/>
    </row>
    <row r="25" spans="2:20" ht="21" customHeight="1">
      <c r="B25" s="681"/>
      <c r="C25" s="681"/>
      <c r="D25" s="681" t="s">
        <v>770</v>
      </c>
      <c r="E25" s="681"/>
      <c r="F25" s="681"/>
      <c r="G25" s="681"/>
      <c r="H25" s="681"/>
      <c r="I25" s="681"/>
      <c r="J25" s="833">
        <f>+'44-Utility1'!I37</f>
        <v>119642.65</v>
      </c>
      <c r="K25" s="832"/>
      <c r="N25" s="315"/>
      <c r="O25" s="315"/>
      <c r="P25" s="315"/>
      <c r="Q25" s="315"/>
      <c r="R25" s="315"/>
      <c r="S25" s="315"/>
      <c r="T25" s="315"/>
    </row>
    <row r="26" spans="2:20" ht="21" customHeight="1">
      <c r="B26" s="681"/>
      <c r="C26" s="681" t="s">
        <v>360</v>
      </c>
      <c r="D26" s="681"/>
      <c r="E26" s="681"/>
      <c r="F26" s="681"/>
      <c r="G26" s="681"/>
      <c r="H26" s="681"/>
      <c r="I26" s="681"/>
      <c r="J26" s="568">
        <v>0</v>
      </c>
      <c r="K26" s="832"/>
      <c r="N26" s="315"/>
      <c r="O26" s="315"/>
      <c r="P26" s="315"/>
      <c r="Q26" s="315"/>
      <c r="R26" s="315"/>
      <c r="S26" s="315"/>
      <c r="T26" s="315"/>
    </row>
    <row r="27" spans="2:20" ht="21" customHeight="1">
      <c r="B27" s="681"/>
      <c r="C27" s="681" t="s">
        <v>361</v>
      </c>
      <c r="D27" s="681"/>
      <c r="E27" s="681"/>
      <c r="F27" s="681"/>
      <c r="G27" s="681"/>
      <c r="H27" s="681"/>
      <c r="I27" s="681"/>
      <c r="J27" s="568">
        <v>0</v>
      </c>
      <c r="K27" s="832"/>
      <c r="N27" s="315"/>
      <c r="O27" s="315"/>
      <c r="P27" s="315"/>
      <c r="Q27" s="315"/>
      <c r="R27" s="315"/>
      <c r="S27" s="315"/>
      <c r="T27" s="315"/>
    </row>
    <row r="28" spans="2:20" ht="21" customHeight="1" thickBot="1">
      <c r="B28" s="681"/>
      <c r="C28" s="639"/>
      <c r="D28" s="638"/>
      <c r="E28" s="639"/>
      <c r="F28" s="639"/>
      <c r="G28" s="639"/>
      <c r="H28" s="639"/>
      <c r="I28" s="639"/>
      <c r="J28" s="1007"/>
      <c r="K28" s="832"/>
      <c r="N28" s="315"/>
      <c r="O28" s="315"/>
      <c r="P28" s="315"/>
      <c r="Q28" s="315"/>
      <c r="R28" s="315"/>
      <c r="S28" s="315"/>
      <c r="T28" s="315"/>
    </row>
    <row r="29" spans="2:20" ht="21" customHeight="1">
      <c r="B29" s="681"/>
      <c r="C29" s="681"/>
      <c r="D29" s="681"/>
      <c r="E29" s="681"/>
      <c r="F29" s="681" t="s">
        <v>771</v>
      </c>
      <c r="G29" s="681"/>
      <c r="H29" s="681"/>
      <c r="I29" s="681"/>
      <c r="J29" s="839">
        <f>SUM(J24:J28)</f>
        <v>696326.26</v>
      </c>
      <c r="K29" s="832"/>
      <c r="N29" s="315"/>
      <c r="O29" s="315"/>
      <c r="P29" s="315"/>
      <c r="Q29" s="315"/>
      <c r="R29" s="315"/>
      <c r="S29" s="315"/>
      <c r="T29" s="315"/>
    </row>
    <row r="30" spans="2:20" ht="11.25" customHeight="1">
      <c r="B30" s="1096"/>
      <c r="C30" s="1096"/>
      <c r="D30" s="1096"/>
      <c r="E30" s="1096"/>
      <c r="F30" s="1096" t="s">
        <v>799</v>
      </c>
      <c r="G30" s="1096" t="s">
        <v>800</v>
      </c>
      <c r="H30" s="1096"/>
      <c r="I30" s="1096"/>
      <c r="J30" s="1159"/>
      <c r="K30" s="832"/>
      <c r="N30" s="315"/>
      <c r="O30" s="315"/>
      <c r="P30" s="315"/>
      <c r="Q30" s="315"/>
      <c r="R30" s="315"/>
      <c r="S30" s="315"/>
      <c r="T30" s="315"/>
    </row>
    <row r="31" spans="2:20" ht="13.5" customHeight="1">
      <c r="B31" s="1110"/>
      <c r="C31" s="1110"/>
      <c r="D31" s="1110"/>
      <c r="E31" s="1110"/>
      <c r="F31" s="1110"/>
      <c r="G31" s="1110" t="s">
        <v>801</v>
      </c>
      <c r="H31" s="1110"/>
      <c r="I31" s="1160"/>
      <c r="J31" s="1471"/>
      <c r="K31" s="1157"/>
      <c r="N31" s="315"/>
      <c r="O31" s="315"/>
      <c r="P31" s="315"/>
      <c r="Q31" s="315"/>
      <c r="R31" s="315"/>
      <c r="S31" s="315"/>
      <c r="T31" s="315"/>
    </row>
    <row r="32" spans="2:20" ht="21" customHeight="1" thickBot="1">
      <c r="B32" s="1162"/>
      <c r="C32" s="1162"/>
      <c r="D32" s="1162" t="s">
        <v>802</v>
      </c>
      <c r="E32" s="1162"/>
      <c r="F32" s="1162"/>
      <c r="G32" s="1162"/>
      <c r="H32" s="1162"/>
      <c r="I32" s="1162"/>
      <c r="J32" s="1163"/>
      <c r="K32" s="1158">
        <f>+J29-J31</f>
        <v>696326.26</v>
      </c>
    </row>
    <row r="33" spans="2:15" ht="21" customHeight="1" thickTop="1" thickBot="1">
      <c r="B33" s="1164" t="s">
        <v>803</v>
      </c>
      <c r="C33" s="1164"/>
      <c r="D33" s="1164"/>
      <c r="E33" s="1164"/>
      <c r="F33" s="1164"/>
      <c r="G33" s="1164"/>
      <c r="H33" s="1164"/>
      <c r="I33" s="1164"/>
      <c r="J33" s="1165"/>
      <c r="K33" s="1166">
        <f>IF(M33&gt;0,M33,0)</f>
        <v>220325</v>
      </c>
      <c r="M33" s="392">
        <f>+K21-K32</f>
        <v>220325</v>
      </c>
      <c r="N33" s="701" t="s">
        <v>3433</v>
      </c>
    </row>
    <row r="34" spans="2:15" ht="21" customHeight="1">
      <c r="B34" s="681" t="s">
        <v>804</v>
      </c>
      <c r="C34" s="681"/>
      <c r="D34" s="681"/>
      <c r="E34" s="681"/>
      <c r="F34" s="681"/>
      <c r="G34" s="681"/>
      <c r="H34" s="681"/>
      <c r="I34" s="681"/>
      <c r="J34" s="568">
        <v>0</v>
      </c>
      <c r="K34" s="832"/>
    </row>
    <row r="35" spans="2:15" ht="11.25" customHeight="1">
      <c r="B35" s="1838" t="s">
        <v>805</v>
      </c>
      <c r="C35" s="1838"/>
      <c r="D35" s="1838"/>
      <c r="E35" s="1171" t="str">
        <f>"Balance of Results of "&amp;TEXT('KEY INPUTS'!D34,"0")&amp;" Operation"</f>
        <v>Balance of Results of 2020 Operation</v>
      </c>
      <c r="F35" s="1096"/>
      <c r="G35" s="1096"/>
      <c r="H35" s="1096"/>
      <c r="I35" s="1096"/>
      <c r="J35" s="1159"/>
      <c r="K35" s="832"/>
    </row>
    <row r="36" spans="2:15" ht="12.75" customHeight="1" thickBot="1">
      <c r="B36" s="1839"/>
      <c r="C36" s="1839"/>
      <c r="D36" s="1839"/>
      <c r="E36" s="1110" t="s">
        <v>3549</v>
      </c>
      <c r="F36" s="1110"/>
      <c r="G36" s="1110"/>
      <c r="H36" s="1110"/>
      <c r="I36" s="1110"/>
      <c r="J36" s="1161">
        <f>+K33-J34</f>
        <v>220325</v>
      </c>
      <c r="K36" s="832"/>
    </row>
    <row r="37" spans="2:15" ht="21" customHeight="1" thickBot="1">
      <c r="B37" s="1172"/>
      <c r="C37" s="1172"/>
      <c r="D37" s="1172"/>
      <c r="E37" s="1172"/>
      <c r="F37" s="1172"/>
      <c r="G37" s="1172"/>
      <c r="H37" s="1172"/>
      <c r="I37" s="1172"/>
      <c r="J37" s="1175"/>
      <c r="K37" s="1167"/>
    </row>
    <row r="38" spans="2:15" ht="21" customHeight="1" thickBot="1">
      <c r="B38" s="1173" t="s">
        <v>806</v>
      </c>
      <c r="C38" s="1173"/>
      <c r="D38" s="1173"/>
      <c r="E38" s="1173"/>
      <c r="F38" s="1173"/>
      <c r="G38" s="1173"/>
      <c r="H38" s="1173"/>
      <c r="I38" s="1173"/>
      <c r="J38" s="1176"/>
      <c r="K38" s="1168">
        <f>IF(+M33&gt;0,0,+M33*-1)</f>
        <v>0</v>
      </c>
    </row>
    <row r="39" spans="2:15" ht="21" customHeight="1">
      <c r="B39" s="681" t="s">
        <v>807</v>
      </c>
      <c r="C39" s="681"/>
      <c r="D39" s="681"/>
      <c r="E39" s="681"/>
      <c r="F39" s="681"/>
      <c r="G39" s="681"/>
      <c r="H39" s="681"/>
      <c r="I39" s="681"/>
      <c r="J39" s="1176">
        <f>+'44-Utility1'!I21</f>
        <v>0</v>
      </c>
      <c r="K39" s="832"/>
    </row>
    <row r="40" spans="2:15">
      <c r="B40" s="1840" t="s">
        <v>805</v>
      </c>
      <c r="C40" s="1840"/>
      <c r="D40" s="1840"/>
      <c r="E40" s="1171" t="str">
        <f>"Balance of Results of "&amp;TEXT('KEY INPUTS'!D34,"0")&amp;" Operation"</f>
        <v>Balance of Results of 2020 Operation</v>
      </c>
      <c r="F40" s="1174"/>
      <c r="G40" s="1174"/>
      <c r="H40" s="1174"/>
      <c r="I40" s="1174"/>
      <c r="J40" s="1159"/>
      <c r="K40" s="1169"/>
    </row>
    <row r="41" spans="2:15" ht="13.8" thickBot="1">
      <c r="B41" s="1841"/>
      <c r="C41" s="1841"/>
      <c r="D41" s="1841"/>
      <c r="E41" s="1151" t="s">
        <v>3216</v>
      </c>
      <c r="F41" s="1151"/>
      <c r="G41" s="1151"/>
      <c r="H41" s="1151"/>
      <c r="I41" s="1151"/>
      <c r="J41" s="1177">
        <f>+K38-J39</f>
        <v>0</v>
      </c>
      <c r="K41" s="1170"/>
      <c r="L41" s="730"/>
      <c r="O41" s="392"/>
    </row>
    <row r="42" spans="2:15" ht="13.8" thickTop="1">
      <c r="J42" s="457"/>
      <c r="K42" s="457"/>
    </row>
    <row r="43" spans="2:15" ht="17.399999999999999">
      <c r="B43" s="1150" t="s">
        <v>808</v>
      </c>
      <c r="C43" s="1096"/>
      <c r="D43" s="1096"/>
      <c r="E43" s="1096"/>
      <c r="J43" s="457"/>
      <c r="K43" s="457"/>
    </row>
    <row r="44" spans="2:15">
      <c r="B44" s="1171" t="str">
        <f>"The following Item of '"&amp;TEXT('KEY INPUTS'!D35,"0")&amp;" Appropriation Reserves Canceled in "&amp;TEXT('KEY INPUTS'!D34,"0")&amp;"' is Due to the Current Fund TO THE"</f>
        <v>The following Item of '2019 Appropriation Reserves Canceled in 2020' is Due to the Current Fund TO THE</v>
      </c>
      <c r="C44" s="1096"/>
      <c r="D44" s="1096"/>
      <c r="E44" s="1096"/>
      <c r="F44" s="1096"/>
      <c r="G44" s="1096"/>
      <c r="H44" s="1096"/>
      <c r="I44" s="1096"/>
      <c r="J44" s="832"/>
      <c r="K44" s="832"/>
    </row>
    <row r="45" spans="2:15">
      <c r="B45" s="1171" t="str">
        <f>"EXTENT OF the amount received and Due from the General Budget of "&amp;TEXT('KEY INPUTS'!D35,"0")&amp;" for an Anticipated Deficit in the"</f>
        <v>EXTENT OF the amount received and Due from the General Budget of 2019 for an Anticipated Deficit in the</v>
      </c>
      <c r="C45" s="1096"/>
      <c r="D45" s="1096"/>
      <c r="E45" s="1096"/>
      <c r="F45" s="1096"/>
      <c r="G45" s="1096"/>
      <c r="H45" s="1096"/>
      <c r="I45" s="1096"/>
      <c r="J45" s="832"/>
      <c r="K45" s="832"/>
    </row>
    <row r="46" spans="2:15">
      <c r="B46" s="1171" t="str">
        <f>PROPER('KEY INPUTS'!D52)&amp;" Utility for "&amp;TEXT('KEY INPUTS'!D35,"0")&amp;""</f>
        <v>Water/Sewer Utility Utility for 2019</v>
      </c>
      <c r="C46" s="1096"/>
      <c r="D46" s="1096"/>
      <c r="E46" s="1096"/>
      <c r="F46" s="1096"/>
      <c r="G46" s="1096"/>
      <c r="H46" s="1096"/>
      <c r="I46" s="1096"/>
      <c r="J46" s="832"/>
      <c r="K46" s="832"/>
      <c r="O46"/>
    </row>
    <row r="47" spans="2:15">
      <c r="J47" s="457"/>
      <c r="K47" s="457"/>
      <c r="O47"/>
    </row>
    <row r="48" spans="2:15" ht="21" customHeight="1">
      <c r="B48" s="905" t="str">
        <f>TEXT('KEY INPUTS'!D35,"0")&amp;" Appropriation Reserves Canceled in "&amp;TEXT('KEY INPUTS'!D34,0)</f>
        <v>2019 Appropriation Reserves Canceled in 2020</v>
      </c>
      <c r="C48" s="681"/>
      <c r="D48" s="681"/>
      <c r="E48" s="681"/>
      <c r="F48" s="681"/>
      <c r="G48" s="681"/>
      <c r="H48" s="681"/>
      <c r="I48" s="681"/>
      <c r="J48" s="367">
        <v>35081</v>
      </c>
      <c r="K48" s="832"/>
      <c r="O48"/>
    </row>
    <row r="49" spans="2:15" ht="24" customHeight="1">
      <c r="B49" s="681"/>
      <c r="C49" s="1178" t="s">
        <v>799</v>
      </c>
      <c r="D49" s="681"/>
      <c r="E49" s="1836" t="str">
        <f>"Anticipated Deficit in "&amp;TEXT('KEY INPUTS'!D35,"0")&amp;" Budget - Amount Received and Due from Current Fund - If none, enter 'None '"""</f>
        <v>Anticipated Deficit in 2019 Budget - Amount Received and Due from Current Fund - If none, enter 'None '"</v>
      </c>
      <c r="F49" s="1836"/>
      <c r="G49" s="1836"/>
      <c r="H49" s="1836"/>
      <c r="I49" s="1837"/>
      <c r="J49" s="568">
        <v>0</v>
      </c>
      <c r="K49" s="832"/>
      <c r="O49"/>
    </row>
    <row r="50" spans="2:15" ht="21" customHeight="1">
      <c r="B50" s="681" t="s">
        <v>809</v>
      </c>
      <c r="C50" s="681"/>
      <c r="D50" s="681"/>
      <c r="E50" s="681"/>
      <c r="F50" s="681"/>
      <c r="G50" s="681"/>
      <c r="H50" s="681"/>
      <c r="I50" s="681"/>
      <c r="J50" s="654"/>
      <c r="K50" s="842">
        <f>+MAX(0,J48-J49)</f>
        <v>35081</v>
      </c>
    </row>
    <row r="52" spans="2:15">
      <c r="B52" s="456" t="s">
        <v>3215</v>
      </c>
    </row>
    <row r="53" spans="2:15">
      <c r="B53" s="456"/>
    </row>
    <row r="54" spans="2:15">
      <c r="B54" s="456"/>
    </row>
    <row r="55" spans="2:15">
      <c r="B55" s="456"/>
    </row>
    <row r="56" spans="2:15">
      <c r="B56" s="456"/>
    </row>
    <row r="57" spans="2:15" ht="13.8">
      <c r="B57" s="1799" t="s">
        <v>3214</v>
      </c>
      <c r="C57" s="1799"/>
      <c r="D57" s="1799"/>
      <c r="E57" s="1799"/>
      <c r="F57" s="1799"/>
      <c r="G57" s="1799"/>
      <c r="H57" s="1799"/>
      <c r="I57" s="1799"/>
      <c r="J57" s="1799"/>
      <c r="K57" s="1799"/>
    </row>
  </sheetData>
  <sheetProtection algorithmName="SHA-512" hashValue="PFE33WtuKQXbG+j89gMCaN9IgbgsYpWm6X98Pgdnssg5RE2v8V07HBhB8Aa+s8Hx4zvt1LSnCwH6orWBj8fhpg==" saltValue="BfXE8dZe1bynmFvxR6fL5w==" spinCount="100000" sheet="1" objects="1" scenarios="1"/>
  <mergeCells count="6">
    <mergeCell ref="B57:K57"/>
    <mergeCell ref="E49:I49"/>
    <mergeCell ref="B3:K3"/>
    <mergeCell ref="B5:K5"/>
    <mergeCell ref="B35:D36"/>
    <mergeCell ref="B40:D41"/>
  </mergeCells>
  <pageMargins left="0.25" right="0.25" top="0.5" bottom="0.5" header="0.25" footer="0.25"/>
  <pageSetup paperSize="5" orientation="portrait" r:id="rId1"/>
  <headerFooter alignWithMargins="0"/>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2">
    <tabColor theme="6" tint="0.39997558519241921"/>
  </sheetPr>
  <dimension ref="B2:Z52"/>
  <sheetViews>
    <sheetView topLeftCell="A22" zoomScaleNormal="100" zoomScaleSheetLayoutView="80" workbookViewId="0">
      <selection activeCell="L38" sqref="L38"/>
    </sheetView>
  </sheetViews>
  <sheetFormatPr defaultColWidth="8.88671875" defaultRowHeight="13.2"/>
  <cols>
    <col min="1" max="5" width="4.6640625" style="391" customWidth="1"/>
    <col min="6" max="8" width="8.88671875" style="391"/>
    <col min="9" max="9" width="6.33203125" style="391" customWidth="1"/>
    <col min="10" max="10" width="8.88671875" style="391"/>
    <col min="11" max="12" width="16.6640625" style="391" customWidth="1"/>
    <col min="13" max="13" width="13.5546875" style="391" bestFit="1" customWidth="1"/>
    <col min="14" max="14" width="11.88671875" style="391" bestFit="1" customWidth="1"/>
    <col min="15" max="16384" width="8.88671875" style="391"/>
  </cols>
  <sheetData>
    <row r="2" spans="2:26" ht="20.399999999999999">
      <c r="B2" s="1826" t="str">
        <f>"RESULTS  OF  "&amp;TEXT('KEY INPUTS'!D34,"0")&amp;"  OPERATIONS  - "&amp;UPPER('KEY INPUTS'!D52)&amp;" UTILITY"</f>
        <v>RESULTS  OF  2020  OPERATIONS  - WATER/SEWER UTILITY UTILITY</v>
      </c>
      <c r="C2" s="1826"/>
      <c r="D2" s="1826"/>
      <c r="E2" s="1826"/>
      <c r="F2" s="1826"/>
      <c r="G2" s="1826"/>
      <c r="H2" s="1826"/>
      <c r="I2" s="1826"/>
      <c r="J2" s="1826"/>
      <c r="K2" s="1826"/>
      <c r="L2" s="1826"/>
    </row>
    <row r="3" spans="2:26" ht="13.8" thickBot="1"/>
    <row r="4" spans="2:26" ht="21" customHeight="1" thickTop="1" thickBot="1">
      <c r="B4" s="468"/>
      <c r="C4" s="468"/>
      <c r="D4" s="468"/>
      <c r="E4" s="468"/>
      <c r="F4" s="468"/>
      <c r="G4" s="468"/>
      <c r="H4" s="468"/>
      <c r="I4" s="468"/>
      <c r="J4" s="468"/>
      <c r="K4" s="1097" t="s">
        <v>101</v>
      </c>
      <c r="L4" s="1098" t="s">
        <v>102</v>
      </c>
    </row>
    <row r="5" spans="2:26" ht="21" customHeight="1" thickTop="1">
      <c r="B5" s="1192" t="s">
        <v>218</v>
      </c>
      <c r="C5" s="1152"/>
      <c r="D5" s="1152"/>
      <c r="E5" s="1152"/>
      <c r="F5" s="1152"/>
      <c r="G5" s="1152"/>
      <c r="H5" s="1152"/>
      <c r="I5" s="450"/>
      <c r="J5" s="450"/>
      <c r="K5" s="1184" t="s">
        <v>662</v>
      </c>
      <c r="L5" s="1185">
        <f>IF(+'44-Utility1'!J22&gt;0,+'44-Utility1'!J22,0)</f>
        <v>142894.89000000001</v>
      </c>
      <c r="N5" s="315"/>
      <c r="O5" s="315"/>
      <c r="P5" s="315"/>
      <c r="Q5" s="315"/>
      <c r="R5" s="315"/>
      <c r="S5" s="315"/>
      <c r="T5" s="315"/>
    </row>
    <row r="6" spans="2:26" ht="21" customHeight="1">
      <c r="B6" s="687" t="s">
        <v>219</v>
      </c>
      <c r="C6" s="681"/>
      <c r="D6" s="681"/>
      <c r="E6" s="681"/>
      <c r="F6" s="681"/>
      <c r="G6" s="681"/>
      <c r="H6" s="681"/>
      <c r="I6" s="395"/>
      <c r="J6" s="395"/>
      <c r="K6" s="1186" t="s">
        <v>662</v>
      </c>
      <c r="L6" s="1187">
        <f>+'44-Utility1'!J40</f>
        <v>25338.989999999991</v>
      </c>
      <c r="M6" s="730"/>
      <c r="N6" s="315"/>
      <c r="O6" s="315"/>
      <c r="P6" s="315"/>
      <c r="Q6" s="315"/>
      <c r="R6" s="315"/>
      <c r="S6" s="315"/>
      <c r="T6" s="315"/>
    </row>
    <row r="7" spans="2:26" ht="21" customHeight="1">
      <c r="B7" s="687" t="s">
        <v>220</v>
      </c>
      <c r="C7" s="681"/>
      <c r="D7" s="681"/>
      <c r="E7" s="681"/>
      <c r="F7" s="681"/>
      <c r="G7" s="681"/>
      <c r="H7" s="681"/>
      <c r="I7" s="395"/>
      <c r="J7" s="395"/>
      <c r="K7" s="1186" t="s">
        <v>662</v>
      </c>
      <c r="L7" s="1106">
        <f>'45-Utility1'!J17</f>
        <v>17010.12</v>
      </c>
      <c r="N7" s="370"/>
      <c r="O7" s="315"/>
      <c r="P7" s="315"/>
      <c r="Q7" s="315"/>
      <c r="R7" s="315"/>
      <c r="S7" s="315"/>
      <c r="T7" s="315"/>
    </row>
    <row r="8" spans="2:26" ht="21" customHeight="1">
      <c r="B8" s="1096" t="str">
        <f>"Unexpended Balances of "&amp;TEXT('KEY INPUTS'!D35,"0")&amp;" Appropriations*"</f>
        <v>Unexpended Balances of 2019 Appropriations*</v>
      </c>
      <c r="C8" s="681"/>
      <c r="D8" s="681"/>
      <c r="E8" s="681"/>
      <c r="F8" s="681"/>
      <c r="G8" s="681"/>
      <c r="H8" s="681"/>
      <c r="I8" s="395"/>
      <c r="J8" s="395"/>
      <c r="K8" s="1186" t="s">
        <v>662</v>
      </c>
      <c r="L8" s="1106">
        <f>+'45-Utility1'!K50</f>
        <v>35081</v>
      </c>
      <c r="N8" s="315"/>
      <c r="O8" s="315"/>
      <c r="P8" s="315"/>
      <c r="Q8" s="315"/>
      <c r="R8" s="315"/>
      <c r="S8" s="315"/>
      <c r="T8" s="315"/>
    </row>
    <row r="9" spans="2:26" ht="21" customHeight="1">
      <c r="B9" s="696"/>
      <c r="C9" s="639"/>
      <c r="D9" s="639"/>
      <c r="E9" s="639"/>
      <c r="F9" s="639"/>
      <c r="G9" s="639"/>
      <c r="H9" s="639"/>
      <c r="I9" s="395"/>
      <c r="J9" s="395"/>
      <c r="K9" s="649"/>
      <c r="L9" s="601"/>
      <c r="N9" s="315"/>
      <c r="O9" s="315"/>
      <c r="P9" s="315"/>
      <c r="Q9" s="315"/>
      <c r="R9" s="315"/>
      <c r="S9" s="315"/>
      <c r="T9" s="315"/>
      <c r="V9" s="460"/>
    </row>
    <row r="10" spans="2:26" ht="21" customHeight="1">
      <c r="B10" s="391" t="s">
        <v>3221</v>
      </c>
      <c r="K10" s="680">
        <f>IF(+'44-Utility1'!J22&lt;0,-'44-Utility1'!J22,0)</f>
        <v>0</v>
      </c>
      <c r="L10" s="1188" t="s">
        <v>662</v>
      </c>
      <c r="M10" s="1190">
        <f>+L9+L8+L7+L6+L5-K11-K10-K9</f>
        <v>220325</v>
      </c>
      <c r="N10" s="701" t="s">
        <v>3434</v>
      </c>
      <c r="O10" s="315"/>
      <c r="P10" s="315"/>
      <c r="Q10" s="315"/>
      <c r="R10" s="315"/>
      <c r="S10" s="315"/>
      <c r="T10" s="315"/>
      <c r="V10" s="813"/>
    </row>
    <row r="11" spans="2:26" ht="21" customHeight="1">
      <c r="B11" s="693"/>
      <c r="C11" s="1181"/>
      <c r="D11" s="639"/>
      <c r="E11" s="639"/>
      <c r="F11" s="639"/>
      <c r="G11" s="639"/>
      <c r="H11" s="639"/>
      <c r="I11" s="395"/>
      <c r="J11" s="395"/>
      <c r="K11" s="593"/>
      <c r="L11" s="1188" t="s">
        <v>662</v>
      </c>
      <c r="N11" s="315"/>
      <c r="O11" s="315"/>
      <c r="P11" s="315"/>
      <c r="Q11" s="315"/>
      <c r="R11" s="315"/>
      <c r="S11" s="315"/>
      <c r="T11" s="315"/>
      <c r="U11"/>
      <c r="V11" s="279"/>
      <c r="W11"/>
      <c r="X11"/>
      <c r="Y11"/>
      <c r="Z11"/>
    </row>
    <row r="12" spans="2:26" ht="21" customHeight="1">
      <c r="B12" s="687" t="s">
        <v>221</v>
      </c>
      <c r="C12" s="1154"/>
      <c r="D12" s="681"/>
      <c r="E12" s="681"/>
      <c r="F12" s="681"/>
      <c r="G12" s="681"/>
      <c r="H12" s="681"/>
      <c r="I12" s="681"/>
      <c r="J12" s="395"/>
      <c r="K12" s="1186" t="s">
        <v>662</v>
      </c>
      <c r="L12" s="1187">
        <f>IF(M10&gt;0,0,M10*-1)</f>
        <v>0</v>
      </c>
      <c r="N12" s="315"/>
      <c r="O12" s="315"/>
      <c r="P12" s="315"/>
      <c r="Q12" s="315"/>
      <c r="R12" s="315"/>
      <c r="S12" s="315"/>
      <c r="T12" s="315"/>
      <c r="U12"/>
      <c r="V12" s="279"/>
      <c r="W12"/>
      <c r="X12"/>
      <c r="Y12"/>
      <c r="Z12"/>
    </row>
    <row r="13" spans="2:26" ht="21" customHeight="1" thickBot="1">
      <c r="B13" s="687" t="s">
        <v>222</v>
      </c>
      <c r="C13" s="1154"/>
      <c r="D13" s="681"/>
      <c r="E13" s="681"/>
      <c r="F13" s="681"/>
      <c r="G13" s="681"/>
      <c r="H13" s="681"/>
      <c r="I13" s="681"/>
      <c r="J13" s="395"/>
      <c r="K13" s="680">
        <f>IF(M10&gt;0,M10,0)</f>
        <v>220325</v>
      </c>
      <c r="L13" s="1189" t="s">
        <v>662</v>
      </c>
      <c r="M13" s="392"/>
      <c r="N13" s="315"/>
      <c r="O13" s="315"/>
      <c r="P13" s="315"/>
      <c r="Q13" s="315"/>
      <c r="R13" s="315"/>
      <c r="S13" s="315"/>
      <c r="T13" s="315"/>
      <c r="U13"/>
      <c r="V13" s="814"/>
      <c r="W13"/>
      <c r="X13"/>
      <c r="Y13"/>
      <c r="Z13"/>
    </row>
    <row r="14" spans="2:26" ht="21" customHeight="1" thickBot="1">
      <c r="B14" s="1191" t="s">
        <v>3220</v>
      </c>
      <c r="C14" s="1096"/>
      <c r="D14" s="1096"/>
      <c r="E14" s="1096"/>
      <c r="F14" s="1096"/>
      <c r="G14" s="1096"/>
      <c r="H14" s="1096"/>
      <c r="I14" s="1096"/>
      <c r="K14" s="1113">
        <f>SUM(K5:K13)</f>
        <v>220325</v>
      </c>
      <c r="L14" s="1114">
        <f>SUM(L5:L13)</f>
        <v>220325</v>
      </c>
      <c r="M14" s="1190">
        <f>L14-K14</f>
        <v>0</v>
      </c>
      <c r="N14" s="315"/>
      <c r="O14" s="315"/>
      <c r="P14" s="315"/>
      <c r="Q14" s="315"/>
      <c r="R14" s="315"/>
      <c r="S14" s="315"/>
      <c r="T14" s="315"/>
      <c r="U14"/>
      <c r="V14"/>
      <c r="W14"/>
      <c r="X14"/>
      <c r="Y14"/>
      <c r="Z14"/>
    </row>
    <row r="15" spans="2:26" ht="18.75" customHeight="1" thickTop="1">
      <c r="N15" s="315"/>
      <c r="O15" s="315"/>
      <c r="P15" s="315"/>
      <c r="Q15" s="315"/>
      <c r="R15" s="315"/>
      <c r="S15" s="315"/>
      <c r="T15" s="315"/>
    </row>
    <row r="16" spans="2:26" ht="18.75" customHeight="1">
      <c r="K16" s="392"/>
      <c r="N16" s="315"/>
      <c r="O16" s="315"/>
      <c r="P16" s="315"/>
      <c r="Q16" s="315"/>
      <c r="R16" s="315"/>
      <c r="S16" s="315"/>
      <c r="T16" s="315"/>
    </row>
    <row r="17" spans="2:20" ht="22.8">
      <c r="B17" s="1804" t="str">
        <f>"OPERATING  SURPLUS  - "&amp;UPPER('KEY INPUTS'!D52)&amp;" UTILITY"</f>
        <v>OPERATING  SURPLUS  - WATER/SEWER UTILITY UTILITY</v>
      </c>
      <c r="C17" s="1804"/>
      <c r="D17" s="1804"/>
      <c r="E17" s="1804"/>
      <c r="F17" s="1804"/>
      <c r="G17" s="1804"/>
      <c r="H17" s="1804"/>
      <c r="I17" s="1804"/>
      <c r="J17" s="1804"/>
      <c r="K17" s="1804"/>
      <c r="L17" s="1804"/>
      <c r="N17" s="315"/>
      <c r="O17" s="315"/>
      <c r="P17" s="315"/>
      <c r="Q17" s="315"/>
      <c r="R17" s="315"/>
      <c r="S17" s="315"/>
      <c r="T17" s="315"/>
    </row>
    <row r="18" spans="2:20" ht="6.75" customHeight="1" thickBot="1">
      <c r="N18" s="315"/>
      <c r="O18" s="315"/>
      <c r="P18" s="315"/>
      <c r="Q18" s="315"/>
      <c r="R18" s="315"/>
      <c r="S18" s="315"/>
      <c r="T18" s="315"/>
    </row>
    <row r="19" spans="2:20" ht="25.5" customHeight="1" thickTop="1" thickBot="1">
      <c r="B19" s="468"/>
      <c r="C19" s="468"/>
      <c r="D19" s="468"/>
      <c r="E19" s="468"/>
      <c r="F19" s="468"/>
      <c r="G19" s="468"/>
      <c r="H19" s="468"/>
      <c r="I19" s="468"/>
      <c r="J19" s="468"/>
      <c r="K19" s="1097" t="s">
        <v>101</v>
      </c>
      <c r="L19" s="1098" t="s">
        <v>102</v>
      </c>
      <c r="N19" s="315"/>
      <c r="O19" s="315"/>
      <c r="P19" s="315"/>
      <c r="Q19" s="315"/>
      <c r="R19" s="315"/>
      <c r="S19" s="315"/>
      <c r="T19" s="315"/>
    </row>
    <row r="20" spans="2:20" ht="21" customHeight="1" thickTop="1">
      <c r="B20" s="1193" t="str">
        <f>'KEY INPUTS'!D25</f>
        <v>Balance - January 1, 2020</v>
      </c>
      <c r="C20" s="1152"/>
      <c r="D20" s="1152"/>
      <c r="E20" s="1152"/>
      <c r="F20" s="1152"/>
      <c r="G20" s="1152"/>
      <c r="H20" s="1152"/>
      <c r="I20" s="1152"/>
      <c r="J20" s="1152"/>
      <c r="K20" s="1184" t="s">
        <v>662</v>
      </c>
      <c r="L20" s="630">
        <v>133895.54</v>
      </c>
      <c r="N20" s="315"/>
      <c r="O20" s="315"/>
      <c r="P20" s="315"/>
      <c r="Q20" s="315"/>
      <c r="R20" s="315"/>
      <c r="S20" s="315"/>
      <c r="T20" s="315"/>
    </row>
    <row r="21" spans="2:20" ht="21" customHeight="1">
      <c r="B21" s="1182"/>
      <c r="C21" s="639"/>
      <c r="D21" s="639"/>
      <c r="E21" s="639"/>
      <c r="F21" s="639"/>
      <c r="G21" s="639"/>
      <c r="H21" s="639"/>
      <c r="I21" s="639"/>
      <c r="J21" s="639"/>
      <c r="K21" s="1180"/>
      <c r="L21" s="623"/>
      <c r="N21" s="315"/>
      <c r="O21" s="315"/>
      <c r="P21" s="315"/>
      <c r="Q21" s="315"/>
      <c r="R21" s="315"/>
      <c r="S21" s="315"/>
      <c r="T21" s="315"/>
    </row>
    <row r="22" spans="2:20" ht="21" customHeight="1">
      <c r="B22" s="905" t="str">
        <f>"Excess in Results of "&amp;TEXT('KEY INPUTS'!D34,"0")&amp;" Operations"</f>
        <v>Excess in Results of 2020 Operations</v>
      </c>
      <c r="C22" s="681"/>
      <c r="D22" s="681"/>
      <c r="E22" s="681"/>
      <c r="F22" s="681"/>
      <c r="G22" s="681"/>
      <c r="H22" s="681"/>
      <c r="I22" s="681"/>
      <c r="J22" s="681"/>
      <c r="K22" s="1186" t="s">
        <v>662</v>
      </c>
      <c r="L22" s="1194">
        <f>+K13</f>
        <v>220325</v>
      </c>
    </row>
    <row r="23" spans="2:20" ht="21" customHeight="1">
      <c r="B23" s="905" t="str">
        <f>"Amount Appropriated in the "&amp;TEXT('KEY INPUTS'!D34,"0")&amp;" Budget - Cash"</f>
        <v>Amount Appropriated in the 2020 Budget - Cash</v>
      </c>
      <c r="C23" s="681"/>
      <c r="D23" s="681"/>
      <c r="E23" s="681"/>
      <c r="F23" s="681"/>
      <c r="G23" s="681"/>
      <c r="H23" s="681"/>
      <c r="I23" s="681"/>
      <c r="J23" s="681"/>
      <c r="K23" s="680">
        <f>'44-Utility1'!I7</f>
        <v>30000</v>
      </c>
      <c r="L23" s="1188" t="s">
        <v>662</v>
      </c>
    </row>
    <row r="24" spans="2:20" ht="11.25" customHeight="1">
      <c r="B24" s="1171" t="str">
        <f>"Amount Appropriated in "&amp;TEXT('KEY INPUTS'!D34,"0")&amp;" Budget with Prior Written"</f>
        <v>Amount Appropriated in 2020 Budget with Prior Written</v>
      </c>
      <c r="C24" s="1096"/>
      <c r="D24" s="1096"/>
      <c r="E24" s="1096"/>
      <c r="F24" s="1096"/>
      <c r="G24" s="1096"/>
      <c r="H24" s="1096"/>
      <c r="I24" s="1096"/>
      <c r="J24" s="1096"/>
      <c r="K24" s="1845"/>
      <c r="L24" s="1847" t="s">
        <v>662</v>
      </c>
    </row>
    <row r="25" spans="2:20" ht="12.75" customHeight="1">
      <c r="B25" s="1110" t="s">
        <v>891</v>
      </c>
      <c r="C25" s="1110"/>
      <c r="D25" s="1110"/>
      <c r="E25" s="1110"/>
      <c r="F25" s="1110"/>
      <c r="G25" s="1110"/>
      <c r="H25" s="1110"/>
      <c r="I25" s="1110"/>
      <c r="J25" s="1110"/>
      <c r="K25" s="1846"/>
      <c r="L25" s="1848"/>
    </row>
    <row r="26" spans="2:20" ht="21" customHeight="1">
      <c r="B26" s="1182"/>
      <c r="C26" s="639"/>
      <c r="D26" s="639"/>
      <c r="E26" s="639"/>
      <c r="F26" s="639"/>
      <c r="G26" s="639"/>
      <c r="H26" s="639"/>
      <c r="I26" s="639"/>
      <c r="J26" s="639"/>
      <c r="K26" s="593"/>
      <c r="L26" s="1183"/>
    </row>
    <row r="27" spans="2:20" ht="21" customHeight="1" thickBot="1">
      <c r="B27" s="681" t="str">
        <f>'KEY INPUTS'!D26</f>
        <v>Balance - December 31, 2020</v>
      </c>
      <c r="C27" s="681"/>
      <c r="D27" s="681"/>
      <c r="E27" s="681"/>
      <c r="F27" s="681"/>
      <c r="G27" s="681"/>
      <c r="H27" s="681"/>
      <c r="I27" s="681"/>
      <c r="J27" s="681"/>
      <c r="K27" s="1111">
        <f>+SUM(L20:L26)-SUM(K21:K26)</f>
        <v>324220.54000000004</v>
      </c>
      <c r="L27" s="1189" t="s">
        <v>662</v>
      </c>
      <c r="N27" s="767" t="s">
        <v>3307</v>
      </c>
    </row>
    <row r="28" spans="2:20" ht="21" customHeight="1" thickBot="1">
      <c r="K28" s="1113">
        <f>SUM(K21:K27)</f>
        <v>354220.54000000004</v>
      </c>
      <c r="L28" s="1114">
        <f>SUM(L20:L27)</f>
        <v>354220.54000000004</v>
      </c>
    </row>
    <row r="29" spans="2:20" ht="13.8" thickTop="1">
      <c r="K29" s="1096"/>
      <c r="L29" s="1096"/>
    </row>
    <row r="32" spans="2:20" ht="17.399999999999999">
      <c r="B32" s="1843" t="str">
        <f>"ANALYSIS  OF  BALANCE  DECEMBER 31, "&amp;TEXT('KEY INPUTS'!D34,"0")&amp;""</f>
        <v>ANALYSIS  OF  BALANCE  DECEMBER 31, 2020</v>
      </c>
      <c r="C32" s="1843"/>
      <c r="D32" s="1843"/>
      <c r="E32" s="1843"/>
      <c r="F32" s="1843"/>
      <c r="G32" s="1843"/>
      <c r="H32" s="1843"/>
      <c r="I32" s="1843"/>
      <c r="J32" s="1843"/>
      <c r="K32" s="1843"/>
      <c r="L32" s="1843"/>
    </row>
    <row r="33" spans="2:14" ht="17.399999999999999">
      <c r="B33" s="1844" t="str">
        <f>"(FROM "&amp;UPPER('KEY INPUTS'!D52)&amp;" UTILITY  -  TRIAL  BALANCE)"</f>
        <v>(FROM WATER/SEWER UTILITY UTILITY  -  TRIAL  BALANCE)</v>
      </c>
      <c r="C33" s="1844"/>
      <c r="D33" s="1844"/>
      <c r="E33" s="1844"/>
      <c r="F33" s="1844"/>
      <c r="G33" s="1844"/>
      <c r="H33" s="1844"/>
      <c r="I33" s="1844"/>
      <c r="J33" s="1844"/>
      <c r="K33" s="1844"/>
      <c r="L33" s="1844"/>
    </row>
    <row r="34" spans="2:14" ht="13.8" thickBot="1"/>
    <row r="35" spans="2:14" ht="21" customHeight="1" thickTop="1">
      <c r="B35" s="1152" t="s">
        <v>202</v>
      </c>
      <c r="C35" s="1152"/>
      <c r="D35" s="1152"/>
      <c r="E35" s="1152"/>
      <c r="F35" s="1152"/>
      <c r="G35" s="1152"/>
      <c r="H35" s="1152"/>
      <c r="I35" s="1152"/>
      <c r="J35" s="1152"/>
      <c r="K35" s="1196"/>
      <c r="L35" s="1195">
        <f>+'41-Utility1 '!G13</f>
        <v>459826.72</v>
      </c>
    </row>
    <row r="36" spans="2:14" ht="21" customHeight="1">
      <c r="B36" s="681" t="s">
        <v>335</v>
      </c>
      <c r="C36" s="681"/>
      <c r="D36" s="681"/>
      <c r="E36" s="681"/>
      <c r="F36" s="681"/>
      <c r="G36" s="681"/>
      <c r="H36" s="681"/>
      <c r="I36" s="681"/>
      <c r="J36" s="681"/>
      <c r="K36" s="1197"/>
      <c r="L36" s="623">
        <v>0</v>
      </c>
    </row>
    <row r="37" spans="2:14" ht="21" customHeight="1" thickBot="1">
      <c r="B37" s="681" t="s">
        <v>698</v>
      </c>
      <c r="C37" s="681"/>
      <c r="D37" s="681"/>
      <c r="E37" s="681"/>
      <c r="F37" s="681"/>
      <c r="G37" s="681"/>
      <c r="H37" s="681"/>
      <c r="I37" s="681"/>
      <c r="J37" s="681"/>
      <c r="K37" s="1197"/>
      <c r="L37" s="625">
        <v>0</v>
      </c>
    </row>
    <row r="38" spans="2:14" ht="21" customHeight="1" thickTop="1">
      <c r="B38" s="681"/>
      <c r="C38" s="681"/>
      <c r="D38" s="681" t="s">
        <v>337</v>
      </c>
      <c r="E38" s="681"/>
      <c r="F38" s="681"/>
      <c r="G38" s="681"/>
      <c r="H38" s="681"/>
      <c r="I38" s="681"/>
      <c r="J38" s="681"/>
      <c r="K38" s="1197"/>
      <c r="L38" s="1198">
        <f>SUM(L35:L37)</f>
        <v>459826.72</v>
      </c>
    </row>
    <row r="39" spans="2:14" ht="21" customHeight="1" thickBot="1">
      <c r="B39" s="681" t="s">
        <v>386</v>
      </c>
      <c r="C39" s="681"/>
      <c r="D39" s="681"/>
      <c r="E39" s="681"/>
      <c r="F39" s="681"/>
      <c r="G39" s="681"/>
      <c r="H39" s="681"/>
      <c r="I39" s="681"/>
      <c r="J39" s="681"/>
      <c r="K39" s="1197"/>
      <c r="L39" s="1199">
        <f>+'41-Utility1 '!H39</f>
        <v>135606.17999999996</v>
      </c>
    </row>
    <row r="40" spans="2:14" ht="21" customHeight="1" thickTop="1">
      <c r="B40" s="681"/>
      <c r="C40" s="681"/>
      <c r="D40" s="681" t="s">
        <v>216</v>
      </c>
      <c r="E40" s="681"/>
      <c r="F40" s="681"/>
      <c r="G40" s="681"/>
      <c r="H40" s="681"/>
      <c r="I40" s="681"/>
      <c r="J40" s="681"/>
      <c r="K40" s="1197"/>
      <c r="L40" s="1198">
        <f>+L38-L39</f>
        <v>324220.54000000004</v>
      </c>
    </row>
    <row r="41" spans="2:14" ht="21" customHeight="1">
      <c r="B41" s="681" t="s">
        <v>393</v>
      </c>
      <c r="C41" s="681"/>
      <c r="D41" s="681"/>
      <c r="E41" s="681"/>
      <c r="F41" s="681"/>
      <c r="G41" s="681"/>
      <c r="H41" s="681"/>
      <c r="I41" s="681"/>
      <c r="J41" s="681"/>
      <c r="K41" s="682"/>
      <c r="L41" s="1102"/>
    </row>
    <row r="42" spans="2:14" ht="22.5" customHeight="1">
      <c r="B42" s="681"/>
      <c r="C42" s="1842" t="s">
        <v>389</v>
      </c>
      <c r="D42" s="1842"/>
      <c r="E42" s="1842"/>
      <c r="F42" s="1842"/>
      <c r="G42" s="1842"/>
      <c r="H42" s="1205"/>
      <c r="I42" s="681"/>
      <c r="J42" s="681"/>
      <c r="K42" s="593"/>
      <c r="L42" s="1102"/>
    </row>
    <row r="43" spans="2:14" ht="21" customHeight="1">
      <c r="B43" s="681"/>
      <c r="C43" s="681" t="s">
        <v>217</v>
      </c>
      <c r="D43" s="681"/>
      <c r="E43" s="681"/>
      <c r="F43" s="681"/>
      <c r="G43" s="681"/>
      <c r="H43" s="681"/>
      <c r="I43" s="681"/>
      <c r="J43" s="681"/>
      <c r="K43" s="593"/>
      <c r="L43" s="1102"/>
      <c r="M43" s="392"/>
      <c r="N43" s="392"/>
    </row>
    <row r="44" spans="2:14" ht="21" customHeight="1" thickBot="1">
      <c r="B44" s="681"/>
      <c r="C44" s="681"/>
      <c r="D44" s="681" t="s">
        <v>391</v>
      </c>
      <c r="E44" s="681"/>
      <c r="F44" s="681"/>
      <c r="G44" s="681"/>
      <c r="H44" s="681"/>
      <c r="I44" s="681"/>
      <c r="J44" s="681"/>
      <c r="K44" s="1201"/>
      <c r="L44" s="1112">
        <f>SUM(K42:K43)</f>
        <v>0</v>
      </c>
    </row>
    <row r="45" spans="2:14" ht="21" customHeight="1" thickBot="1">
      <c r="B45" s="1202" t="str">
        <f>"# MAY NOT BE ANTICIPATED AS NON-CASH SURPLUS IN "&amp;TEXT('KEY INPUTS'!D34,"0")&amp;" BUDGET."</f>
        <v># MAY NOT BE ANTICIPATED AS NON-CASH SURPLUS IN 2020 BUDGET.</v>
      </c>
      <c r="C45" s="1096"/>
      <c r="D45" s="1096"/>
      <c r="E45" s="1096"/>
      <c r="F45" s="1096"/>
      <c r="G45" s="1096"/>
      <c r="H45" s="1096"/>
      <c r="I45" s="1096"/>
      <c r="J45" s="1096"/>
      <c r="K45" s="1203"/>
      <c r="L45" s="1200">
        <f>+L40+L44</f>
        <v>324220.54000000004</v>
      </c>
      <c r="M45" s="392"/>
      <c r="N45" s="767" t="s">
        <v>3307</v>
      </c>
    </row>
    <row r="46" spans="2:14" ht="13.8" thickTop="1">
      <c r="B46" s="1204" t="s">
        <v>223</v>
      </c>
      <c r="C46" s="1204"/>
      <c r="D46" s="1096"/>
      <c r="E46" s="1096"/>
      <c r="F46" s="1096"/>
      <c r="G46" s="1096"/>
      <c r="H46" s="1096"/>
      <c r="I46" s="1096"/>
      <c r="J46" s="1096"/>
      <c r="K46" s="1096"/>
    </row>
    <row r="47" spans="2:14">
      <c r="B47" s="1204"/>
      <c r="C47" s="1204" t="s">
        <v>3219</v>
      </c>
      <c r="D47" s="1096"/>
      <c r="E47" s="1096"/>
      <c r="F47" s="1096"/>
      <c r="G47" s="1096"/>
      <c r="H47" s="1096"/>
      <c r="I47" s="1096"/>
      <c r="J47" s="1096"/>
      <c r="K47" s="1096"/>
    </row>
    <row r="52" spans="2:12" ht="13.8">
      <c r="B52" s="1799" t="s">
        <v>3218</v>
      </c>
      <c r="C52" s="1799"/>
      <c r="D52" s="1799"/>
      <c r="E52" s="1799"/>
      <c r="F52" s="1799"/>
      <c r="G52" s="1799"/>
      <c r="H52" s="1799"/>
      <c r="I52" s="1799"/>
      <c r="J52" s="1799"/>
      <c r="K52" s="1799"/>
      <c r="L52" s="1799"/>
    </row>
  </sheetData>
  <sheetProtection algorithmName="SHA-512" hashValue="INcg3EXjmYDcyO9t8HNu4S/8ry+vIPGlNOWRiKkCri2V0D9cB+wLJV9orJ6eIJyghFxhKnAZvxjl5T0rnNu6Ew==" saltValue="BkYXNyrVFm4J2UvNkO1Ypw==" spinCount="100000" sheet="1" objects="1" scenarios="1"/>
  <mergeCells count="8">
    <mergeCell ref="B2:L2"/>
    <mergeCell ref="C42:G42"/>
    <mergeCell ref="B52:L52"/>
    <mergeCell ref="B17:L17"/>
    <mergeCell ref="B32:L32"/>
    <mergeCell ref="B33:L33"/>
    <mergeCell ref="K24:K25"/>
    <mergeCell ref="L24:L25"/>
  </mergeCells>
  <pageMargins left="0.25" right="0.25" top="0.5" bottom="0.5" header="0.25" footer="0.25"/>
  <pageSetup paperSize="5" orientation="portrait" r:id="rId1"/>
  <headerFooter alignWithMargins="0"/>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3">
    <tabColor theme="6" tint="0.39997558519241921"/>
  </sheetPr>
  <dimension ref="B3:T69"/>
  <sheetViews>
    <sheetView topLeftCell="A22" zoomScaleNormal="100" zoomScaleSheetLayoutView="80" workbookViewId="0">
      <selection activeCell="J50" sqref="J50"/>
    </sheetView>
  </sheetViews>
  <sheetFormatPr defaultColWidth="9.109375" defaultRowHeight="13.2"/>
  <cols>
    <col min="1" max="4" width="4.6640625" style="324" customWidth="1"/>
    <col min="5" max="8" width="9.109375" style="324"/>
    <col min="9" max="9" width="1.6640625" style="324" customWidth="1"/>
    <col min="10" max="10" width="16.6640625" style="324" customWidth="1"/>
    <col min="11" max="11" width="1.6640625" style="324" customWidth="1"/>
    <col min="12" max="12" width="16.6640625" style="324" customWidth="1"/>
    <col min="13" max="16384" width="9.109375" style="324"/>
  </cols>
  <sheetData>
    <row r="3" spans="2:20" ht="17.399999999999999">
      <c r="B3" s="1849" t="str">
        <f>"SCHEDULE  OF "&amp;UPPER('KEY INPUTS'!D52&amp;"  UTILITY  ACCOUNTS  RECEIVABLE")</f>
        <v>SCHEDULE  OF WATER/SEWER UTILITY  UTILITY  ACCOUNTS  RECEIVABLE</v>
      </c>
      <c r="C3" s="1849"/>
      <c r="D3" s="1849"/>
      <c r="E3" s="1849"/>
      <c r="F3" s="1849"/>
      <c r="G3" s="1849"/>
      <c r="H3" s="1849"/>
      <c r="I3" s="1849"/>
      <c r="J3" s="1849"/>
      <c r="K3" s="1849"/>
      <c r="L3" s="1849"/>
    </row>
    <row r="6" spans="2:20">
      <c r="B6" s="473" t="str">
        <f>"Balance December 31, "&amp;'KEY INPUTS'!D35</f>
        <v>Balance December 31, 2019</v>
      </c>
      <c r="J6" s="280"/>
      <c r="K6" s="324" t="s">
        <v>397</v>
      </c>
      <c r="L6" s="573">
        <v>1833.5</v>
      </c>
      <c r="N6" s="315"/>
      <c r="O6" s="315"/>
      <c r="P6" s="315"/>
      <c r="Q6" s="315"/>
      <c r="R6" s="315"/>
      <c r="S6" s="315"/>
      <c r="T6" s="315"/>
    </row>
    <row r="7" spans="2:20">
      <c r="J7" s="280"/>
      <c r="K7" s="280"/>
      <c r="L7" s="280"/>
      <c r="N7" s="315"/>
      <c r="O7" s="315"/>
      <c r="P7" s="315"/>
      <c r="Q7" s="315"/>
      <c r="R7" s="315"/>
      <c r="S7" s="315"/>
      <c r="T7" s="315"/>
    </row>
    <row r="8" spans="2:20">
      <c r="J8" s="280"/>
      <c r="K8" s="280"/>
      <c r="L8" s="280"/>
      <c r="N8" s="370"/>
      <c r="O8" s="315"/>
      <c r="P8" s="315"/>
      <c r="Q8" s="315"/>
      <c r="R8" s="315"/>
      <c r="S8" s="315"/>
      <c r="T8" s="315"/>
    </row>
    <row r="9" spans="2:20">
      <c r="J9" s="280"/>
      <c r="K9" s="280"/>
      <c r="L9" s="280"/>
      <c r="N9" s="315"/>
      <c r="O9" s="315"/>
      <c r="P9" s="315"/>
      <c r="Q9" s="315"/>
      <c r="R9" s="315"/>
      <c r="S9" s="315"/>
      <c r="T9" s="315"/>
    </row>
    <row r="10" spans="2:20">
      <c r="B10" s="324" t="s">
        <v>224</v>
      </c>
      <c r="J10" s="280"/>
      <c r="K10" s="280"/>
      <c r="L10" s="280"/>
      <c r="N10" s="315"/>
      <c r="O10" s="315"/>
      <c r="P10" s="315"/>
      <c r="Q10" s="315"/>
      <c r="R10" s="315"/>
      <c r="S10" s="315"/>
      <c r="T10" s="315"/>
    </row>
    <row r="11" spans="2:20">
      <c r="D11" s="1174" t="s">
        <v>3547</v>
      </c>
      <c r="E11" s="1174"/>
      <c r="F11" s="1174"/>
      <c r="G11" s="1096"/>
      <c r="J11" s="280"/>
      <c r="K11" s="324" t="s">
        <v>397</v>
      </c>
      <c r="L11" s="573">
        <v>849048.8</v>
      </c>
      <c r="N11" s="315"/>
      <c r="O11" s="315"/>
      <c r="P11" s="315"/>
      <c r="Q11" s="315"/>
      <c r="R11" s="315"/>
      <c r="S11" s="315"/>
      <c r="T11" s="315"/>
    </row>
    <row r="12" spans="2:20">
      <c r="J12" s="280"/>
      <c r="K12" s="280"/>
      <c r="L12" s="280"/>
      <c r="N12" s="315"/>
      <c r="O12" s="315"/>
      <c r="P12" s="315"/>
      <c r="Q12" s="315"/>
      <c r="R12" s="315"/>
      <c r="S12" s="315"/>
      <c r="T12" s="315"/>
    </row>
    <row r="13" spans="2:20">
      <c r="J13" s="280"/>
      <c r="K13" s="280"/>
      <c r="L13" s="280"/>
      <c r="N13" s="315"/>
      <c r="O13" s="315"/>
      <c r="P13" s="315"/>
      <c r="Q13" s="315"/>
      <c r="R13" s="315"/>
      <c r="S13" s="315"/>
      <c r="T13" s="315"/>
    </row>
    <row r="14" spans="2:20">
      <c r="J14" s="280"/>
      <c r="K14" s="280"/>
      <c r="L14" s="280"/>
      <c r="N14" s="315"/>
      <c r="O14" s="315"/>
      <c r="P14" s="315"/>
      <c r="Q14" s="315"/>
      <c r="R14" s="315"/>
      <c r="S14" s="315"/>
      <c r="T14" s="315"/>
    </row>
    <row r="15" spans="2:20">
      <c r="B15" s="324" t="s">
        <v>225</v>
      </c>
      <c r="J15" s="280"/>
      <c r="K15" s="280"/>
      <c r="L15" s="280"/>
      <c r="N15" s="315"/>
      <c r="O15" s="315"/>
      <c r="P15" s="315"/>
      <c r="Q15" s="315"/>
      <c r="R15" s="315"/>
      <c r="S15" s="315"/>
      <c r="T15" s="315"/>
    </row>
    <row r="16" spans="2:20" ht="21" customHeight="1">
      <c r="D16" s="324" t="s">
        <v>226</v>
      </c>
      <c r="I16" s="324" t="s">
        <v>397</v>
      </c>
      <c r="J16" s="573">
        <v>832073.09</v>
      </c>
      <c r="K16" s="280"/>
      <c r="L16" s="280"/>
      <c r="N16" s="315"/>
      <c r="O16" s="315"/>
      <c r="P16" s="315"/>
      <c r="Q16" s="315"/>
      <c r="R16" s="315"/>
      <c r="S16" s="315"/>
      <c r="T16" s="315"/>
    </row>
    <row r="17" spans="2:20" ht="21" customHeight="1">
      <c r="D17" s="324" t="s">
        <v>227</v>
      </c>
      <c r="I17" s="324" t="s">
        <v>397</v>
      </c>
      <c r="J17" s="573">
        <v>1321.8</v>
      </c>
      <c r="K17" s="280"/>
      <c r="L17" s="280"/>
      <c r="N17" s="315"/>
      <c r="O17" s="315"/>
      <c r="P17" s="315"/>
      <c r="Q17" s="315"/>
      <c r="R17" s="315"/>
      <c r="S17" s="315"/>
      <c r="T17" s="315"/>
    </row>
    <row r="18" spans="2:20" ht="21" customHeight="1">
      <c r="D18" s="1096" t="s">
        <v>3551</v>
      </c>
      <c r="E18" s="1096"/>
      <c r="F18" s="1174"/>
      <c r="G18" s="1174"/>
      <c r="I18" s="324" t="s">
        <v>397</v>
      </c>
      <c r="J18" s="573"/>
      <c r="K18" s="280"/>
      <c r="L18" s="280"/>
      <c r="N18" s="315"/>
      <c r="O18" s="315"/>
      <c r="P18" s="315"/>
      <c r="Q18" s="315"/>
      <c r="R18" s="315"/>
      <c r="S18" s="315"/>
      <c r="T18" s="315"/>
    </row>
    <row r="19" spans="2:20" ht="21" customHeight="1">
      <c r="D19" s="324" t="s">
        <v>228</v>
      </c>
      <c r="I19" s="324" t="s">
        <v>397</v>
      </c>
      <c r="J19" s="573"/>
      <c r="K19" s="280"/>
      <c r="L19" s="280"/>
      <c r="N19" s="315"/>
      <c r="O19" s="315"/>
      <c r="P19" s="315"/>
      <c r="Q19" s="315"/>
      <c r="R19" s="315"/>
      <c r="S19" s="315"/>
      <c r="T19" s="315"/>
    </row>
    <row r="20" spans="2:20">
      <c r="J20" s="280"/>
      <c r="K20" s="280"/>
      <c r="L20" s="280"/>
      <c r="N20" s="315"/>
      <c r="O20" s="315"/>
      <c r="P20" s="315"/>
      <c r="Q20" s="315"/>
      <c r="R20" s="315"/>
      <c r="S20" s="315"/>
      <c r="T20" s="315"/>
    </row>
    <row r="21" spans="2:20">
      <c r="J21" s="280"/>
      <c r="K21" s="324" t="s">
        <v>397</v>
      </c>
      <c r="L21" s="67">
        <f>SUM(J16:J19)</f>
        <v>833394.89</v>
      </c>
      <c r="N21" s="315"/>
      <c r="O21" s="315"/>
      <c r="P21" s="315"/>
      <c r="Q21" s="315"/>
      <c r="R21" s="315"/>
      <c r="S21" s="315"/>
      <c r="T21" s="315"/>
    </row>
    <row r="22" spans="2:20">
      <c r="J22" s="280"/>
      <c r="K22" s="280"/>
      <c r="L22" s="280"/>
      <c r="N22" s="315"/>
      <c r="O22" s="315"/>
      <c r="P22" s="315"/>
      <c r="Q22" s="315"/>
      <c r="R22" s="315"/>
      <c r="S22" s="315"/>
      <c r="T22" s="315"/>
    </row>
    <row r="23" spans="2:20">
      <c r="J23" s="280"/>
      <c r="K23" s="280"/>
      <c r="L23" s="280"/>
    </row>
    <row r="24" spans="2:20" ht="13.8" thickBot="1">
      <c r="B24" s="471" t="str">
        <f>"Balance December 31, "&amp;'KEY INPUTS'!D34</f>
        <v>Balance December 31, 2020</v>
      </c>
      <c r="J24" s="280"/>
      <c r="K24" s="324" t="s">
        <v>397</v>
      </c>
      <c r="L24" s="84">
        <f>+L6+L11-L21</f>
        <v>17487.410000000033</v>
      </c>
    </row>
    <row r="25" spans="2:20" ht="13.8" thickTop="1"/>
    <row r="28" spans="2:20">
      <c r="B28" s="472"/>
      <c r="C28" s="472"/>
      <c r="D28" s="472"/>
      <c r="E28" s="472"/>
      <c r="F28" s="472"/>
      <c r="G28" s="472"/>
      <c r="H28" s="472"/>
      <c r="I28" s="472"/>
      <c r="J28" s="472"/>
      <c r="K28" s="472"/>
      <c r="L28" s="472"/>
    </row>
    <row r="29" spans="2:20" ht="4.5" customHeight="1">
      <c r="B29" s="472"/>
      <c r="C29" s="472"/>
      <c r="D29" s="472"/>
      <c r="E29" s="472"/>
      <c r="F29" s="472"/>
      <c r="G29" s="472"/>
      <c r="H29" s="472"/>
      <c r="I29" s="472"/>
      <c r="J29" s="472"/>
      <c r="K29" s="472"/>
      <c r="L29" s="472"/>
    </row>
    <row r="33" spans="2:12" ht="17.399999999999999">
      <c r="B33" s="1843" t="str">
        <f>"SCHEDULE  OF "&amp;UPPER('KEY INPUTS'!D52)&amp;" UTILITY  LIENS"</f>
        <v>SCHEDULE  OF WATER/SEWER UTILITY UTILITY  LIENS</v>
      </c>
      <c r="C33" s="1843"/>
      <c r="D33" s="1843"/>
      <c r="E33" s="1843"/>
      <c r="F33" s="1843"/>
      <c r="G33" s="1843"/>
      <c r="H33" s="1843"/>
      <c r="I33" s="1843"/>
      <c r="J33" s="1843"/>
      <c r="K33" s="1843"/>
      <c r="L33" s="1843"/>
    </row>
    <row r="36" spans="2:12">
      <c r="B36" s="471" t="str">
        <f>"Balance December 31, "&amp;'KEY INPUTS'!D35</f>
        <v>Balance December 31, 2019</v>
      </c>
      <c r="I36" s="280"/>
      <c r="J36" s="280"/>
      <c r="K36" s="280" t="s">
        <v>397</v>
      </c>
      <c r="L36" s="573">
        <v>0</v>
      </c>
    </row>
    <row r="37" spans="2:12">
      <c r="I37" s="280"/>
      <c r="J37" s="280"/>
      <c r="K37" s="280"/>
      <c r="L37" s="280"/>
    </row>
    <row r="38" spans="2:12">
      <c r="I38" s="280"/>
      <c r="J38" s="280"/>
      <c r="K38" s="280"/>
      <c r="L38" s="280"/>
    </row>
    <row r="39" spans="2:12">
      <c r="I39" s="280"/>
      <c r="J39" s="280"/>
      <c r="K39" s="280"/>
      <c r="L39" s="280"/>
    </row>
    <row r="40" spans="2:12">
      <c r="B40" s="324" t="s">
        <v>224</v>
      </c>
      <c r="I40" s="280"/>
      <c r="J40" s="280"/>
      <c r="K40" s="280"/>
      <c r="L40" s="280"/>
    </row>
    <row r="41" spans="2:12" ht="21" customHeight="1">
      <c r="D41" s="324" t="s">
        <v>229</v>
      </c>
      <c r="I41" s="324" t="s">
        <v>397</v>
      </c>
      <c r="J41" s="573">
        <v>0</v>
      </c>
      <c r="K41" s="280"/>
      <c r="L41" s="280"/>
    </row>
    <row r="42" spans="2:12" ht="21" customHeight="1">
      <c r="D42" s="324" t="s">
        <v>230</v>
      </c>
      <c r="I42" s="324" t="s">
        <v>397</v>
      </c>
      <c r="J42" s="573">
        <v>0</v>
      </c>
      <c r="K42" s="280"/>
      <c r="L42" s="280"/>
    </row>
    <row r="43" spans="2:12" ht="21" customHeight="1">
      <c r="D43" s="324" t="s">
        <v>228</v>
      </c>
      <c r="I43" s="324" t="s">
        <v>397</v>
      </c>
      <c r="J43" s="573">
        <v>0</v>
      </c>
      <c r="K43" s="123"/>
      <c r="L43" s="123"/>
    </row>
    <row r="44" spans="2:12">
      <c r="I44" s="280"/>
      <c r="J44" s="280"/>
      <c r="K44" s="280"/>
      <c r="L44" s="280"/>
    </row>
    <row r="45" spans="2:12">
      <c r="I45" s="280"/>
      <c r="J45" s="280"/>
      <c r="K45" s="324" t="s">
        <v>397</v>
      </c>
      <c r="L45" s="67">
        <f>SUM(J41:J43)</f>
        <v>0</v>
      </c>
    </row>
    <row r="46" spans="2:12">
      <c r="I46" s="280"/>
      <c r="J46" s="280"/>
      <c r="K46" s="280"/>
      <c r="L46" s="280"/>
    </row>
    <row r="47" spans="2:12">
      <c r="B47" s="324" t="s">
        <v>225</v>
      </c>
      <c r="I47" s="280"/>
      <c r="J47" s="280"/>
      <c r="K47" s="280"/>
      <c r="L47" s="280"/>
    </row>
    <row r="48" spans="2:12" ht="21" customHeight="1">
      <c r="D48" s="324" t="s">
        <v>226</v>
      </c>
      <c r="I48" s="324" t="s">
        <v>397</v>
      </c>
      <c r="J48" s="573">
        <v>0</v>
      </c>
      <c r="K48" s="280"/>
      <c r="L48" s="280"/>
    </row>
    <row r="49" spans="2:12" ht="21" customHeight="1">
      <c r="D49" s="324" t="s">
        <v>228</v>
      </c>
      <c r="I49" s="324" t="s">
        <v>397</v>
      </c>
      <c r="J49" s="573">
        <v>0</v>
      </c>
      <c r="K49" s="280"/>
      <c r="L49" s="280"/>
    </row>
    <row r="50" spans="2:12">
      <c r="I50" s="280"/>
      <c r="J50" s="280"/>
      <c r="K50" s="280"/>
      <c r="L50" s="280"/>
    </row>
    <row r="51" spans="2:12">
      <c r="I51" s="280"/>
      <c r="J51" s="280"/>
      <c r="K51" s="324" t="s">
        <v>397</v>
      </c>
      <c r="L51" s="67">
        <f>+J49+J48</f>
        <v>0</v>
      </c>
    </row>
    <row r="52" spans="2:12">
      <c r="I52" s="280"/>
      <c r="J52" s="280"/>
      <c r="K52" s="280"/>
      <c r="L52" s="280"/>
    </row>
    <row r="53" spans="2:12">
      <c r="I53" s="280"/>
      <c r="J53" s="280"/>
      <c r="K53" s="280"/>
      <c r="L53" s="280"/>
    </row>
    <row r="54" spans="2:12" ht="13.8" thickBot="1">
      <c r="B54" s="471" t="str">
        <f>"Balance December 31, "&amp;'KEY INPUTS'!D34</f>
        <v>Balance December 31, 2020</v>
      </c>
      <c r="I54" s="280"/>
      <c r="J54" s="280"/>
      <c r="K54" s="324" t="s">
        <v>397</v>
      </c>
      <c r="L54" s="84">
        <f>+L36+L45-L51</f>
        <v>0</v>
      </c>
    </row>
    <row r="55" spans="2:12" ht="13.8" thickTop="1">
      <c r="I55" s="280"/>
      <c r="J55" s="280"/>
      <c r="K55" s="280"/>
      <c r="L55" s="280"/>
    </row>
    <row r="69" spans="2:12" ht="13.8">
      <c r="B69" s="1850" t="s">
        <v>3222</v>
      </c>
      <c r="C69" s="1850"/>
      <c r="D69" s="1850"/>
      <c r="E69" s="1850"/>
      <c r="F69" s="1850"/>
      <c r="G69" s="1850"/>
      <c r="H69" s="1850"/>
      <c r="I69" s="1850"/>
      <c r="J69" s="1850"/>
      <c r="K69" s="1850"/>
      <c r="L69" s="1850"/>
    </row>
  </sheetData>
  <sheetProtection algorithmName="SHA-512" hashValue="IALbzXdq1fX+cU9IBxHVeCnQFJjnrHTsMWqlceqIKQ2VtdO9bLNGF9v+QS52B74gLTIZvCJ+0q5Mur7IVExUww==" saltValue="EPAZgkFLzcYLQiiMTSFa1Q=="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4">
    <tabColor theme="6" tint="0.39997558519241921"/>
  </sheetPr>
  <dimension ref="B3:W69"/>
  <sheetViews>
    <sheetView topLeftCell="A16" zoomScaleNormal="100" zoomScaleSheetLayoutView="80" workbookViewId="0">
      <selection activeCell="D47" sqref="D47"/>
    </sheetView>
  </sheetViews>
  <sheetFormatPr defaultColWidth="9.109375" defaultRowHeight="13.2"/>
  <cols>
    <col min="1" max="4" width="4.6640625" style="324" customWidth="1"/>
    <col min="5" max="6" width="9.109375" style="324"/>
    <col min="7" max="7" width="1.6640625" style="324" customWidth="1"/>
    <col min="8" max="8" width="14.6640625" style="324" customWidth="1"/>
    <col min="9" max="9" width="1.6640625" style="324" customWidth="1"/>
    <col min="10" max="10" width="14.6640625" style="324" customWidth="1"/>
    <col min="11" max="11" width="1.6640625" style="324" customWidth="1"/>
    <col min="12" max="12" width="14.6640625" style="324" customWidth="1"/>
    <col min="13" max="13" width="1.6640625" style="324" customWidth="1"/>
    <col min="14" max="14" width="14.6640625" style="324" customWidth="1"/>
    <col min="15" max="16384" width="9.109375" style="324"/>
  </cols>
  <sheetData>
    <row r="3" spans="2:23" ht="20.399999999999999">
      <c r="B3" s="1854" t="s">
        <v>918</v>
      </c>
      <c r="C3" s="1854"/>
      <c r="D3" s="1854"/>
      <c r="E3" s="1854"/>
      <c r="F3" s="1854"/>
      <c r="G3" s="1854"/>
      <c r="H3" s="1854"/>
      <c r="I3" s="1854"/>
      <c r="J3" s="1854"/>
      <c r="K3" s="1854"/>
      <c r="L3" s="1854"/>
      <c r="M3" s="1854"/>
      <c r="N3" s="1854"/>
    </row>
    <row r="4" spans="2:23" ht="15.6">
      <c r="B4" s="1856" t="s">
        <v>448</v>
      </c>
      <c r="C4" s="1856"/>
      <c r="D4" s="1856"/>
      <c r="E4" s="1856"/>
      <c r="F4" s="1856"/>
      <c r="G4" s="1856"/>
      <c r="H4" s="1856"/>
      <c r="I4" s="1856"/>
      <c r="J4" s="1856"/>
      <c r="K4" s="1856"/>
      <c r="L4" s="1856"/>
      <c r="M4" s="1856"/>
      <c r="N4" s="1856"/>
    </row>
    <row r="5" spans="2:23" ht="20.399999999999999">
      <c r="B5" s="1826" t="str">
        <f>UPPER('KEY INPUTS'!D52)&amp;" UTILITY  FUND"</f>
        <v>WATER/SEWER UTILITY UTILITY  FUND</v>
      </c>
      <c r="C5" s="1826"/>
      <c r="D5" s="1826"/>
      <c r="E5" s="1826"/>
      <c r="F5" s="1826"/>
      <c r="G5" s="1826"/>
      <c r="H5" s="1826"/>
      <c r="I5" s="1826"/>
      <c r="J5" s="1826"/>
      <c r="K5" s="1826"/>
      <c r="L5" s="1826"/>
      <c r="M5" s="1826"/>
      <c r="N5" s="1826"/>
    </row>
    <row r="6" spans="2:23">
      <c r="B6" s="1857" t="s">
        <v>231</v>
      </c>
      <c r="C6" s="1857"/>
      <c r="D6" s="1857"/>
      <c r="E6" s="1857"/>
      <c r="F6" s="1857"/>
      <c r="G6" s="1857"/>
      <c r="H6" s="1857"/>
      <c r="I6" s="1857"/>
      <c r="J6" s="1857"/>
      <c r="K6" s="1857"/>
      <c r="L6" s="1857"/>
      <c r="M6" s="1857"/>
      <c r="N6" s="1857"/>
    </row>
    <row r="8" spans="2:23">
      <c r="H8" s="401" t="s">
        <v>441</v>
      </c>
    </row>
    <row r="9" spans="2:23">
      <c r="C9" s="1853" t="s">
        <v>461</v>
      </c>
      <c r="D9" s="1853"/>
      <c r="E9" s="1853"/>
      <c r="H9" s="480" t="str">
        <f>'KEY INPUTS'!D45</f>
        <v>Dec. 31, 2019</v>
      </c>
      <c r="J9" s="401" t="s">
        <v>462</v>
      </c>
      <c r="L9" s="401" t="s">
        <v>441</v>
      </c>
      <c r="N9" s="401" t="s">
        <v>559</v>
      </c>
    </row>
    <row r="10" spans="2:23">
      <c r="H10" s="401" t="s">
        <v>460</v>
      </c>
      <c r="J10" s="401">
        <f>'KEY INPUTS'!D34</f>
        <v>2020</v>
      </c>
      <c r="L10" s="401" t="s">
        <v>463</v>
      </c>
      <c r="N10" s="401" t="s">
        <v>464</v>
      </c>
    </row>
    <row r="11" spans="2:23">
      <c r="H11" s="475" t="s">
        <v>459</v>
      </c>
      <c r="J11" s="475" t="s">
        <v>564</v>
      </c>
      <c r="L11" s="475">
        <f>'KEY INPUTS'!D34</f>
        <v>2020</v>
      </c>
      <c r="N11" s="479" t="str">
        <f>'KEY INPUTS'!D46</f>
        <v>Dec. 31, 2020</v>
      </c>
      <c r="Q11" s="315"/>
      <c r="R11" s="315"/>
      <c r="S11" s="315"/>
      <c r="T11" s="315"/>
      <c r="U11" s="315"/>
      <c r="V11" s="315"/>
      <c r="W11" s="315"/>
    </row>
    <row r="12" spans="2:23">
      <c r="B12" s="474" t="s">
        <v>308</v>
      </c>
      <c r="C12" s="324" t="s">
        <v>919</v>
      </c>
      <c r="Q12" s="315"/>
      <c r="R12" s="315"/>
      <c r="S12" s="315"/>
      <c r="T12" s="315"/>
      <c r="U12" s="315"/>
      <c r="V12" s="315"/>
      <c r="W12" s="315"/>
    </row>
    <row r="13" spans="2:23">
      <c r="B13" s="474"/>
      <c r="D13" s="324" t="s">
        <v>920</v>
      </c>
      <c r="G13" s="324" t="s">
        <v>397</v>
      </c>
      <c r="H13" s="573">
        <v>0</v>
      </c>
      <c r="I13" s="324" t="s">
        <v>397</v>
      </c>
      <c r="J13" s="573">
        <v>0</v>
      </c>
      <c r="K13" s="324" t="s">
        <v>397</v>
      </c>
      <c r="L13" s="573">
        <v>0</v>
      </c>
      <c r="M13" s="324" t="s">
        <v>397</v>
      </c>
      <c r="N13" s="661">
        <f>+H13-J13+L13</f>
        <v>0</v>
      </c>
      <c r="Q13" s="370"/>
      <c r="R13" s="315"/>
      <c r="S13" s="315"/>
      <c r="T13" s="315"/>
      <c r="U13" s="315"/>
      <c r="V13" s="315"/>
      <c r="W13" s="315"/>
    </row>
    <row r="14" spans="2:23">
      <c r="B14" s="474"/>
      <c r="H14" s="280"/>
      <c r="J14" s="280"/>
      <c r="L14" s="280"/>
      <c r="Q14" s="315"/>
      <c r="R14" s="315"/>
      <c r="S14" s="315"/>
      <c r="T14" s="315"/>
      <c r="U14" s="315"/>
      <c r="V14" s="315"/>
      <c r="W14" s="315"/>
    </row>
    <row r="15" spans="2:23" ht="21" customHeight="1">
      <c r="B15" s="474" t="s">
        <v>309</v>
      </c>
      <c r="C15" s="660" t="s">
        <v>3190</v>
      </c>
      <c r="D15" s="659"/>
      <c r="E15" s="659"/>
      <c r="F15" s="659"/>
      <c r="G15" s="324" t="s">
        <v>397</v>
      </c>
      <c r="H15" s="573"/>
      <c r="I15" s="324" t="s">
        <v>397</v>
      </c>
      <c r="J15" s="573"/>
      <c r="K15" s="324" t="s">
        <v>397</v>
      </c>
      <c r="L15" s="573"/>
      <c r="M15" s="324" t="s">
        <v>397</v>
      </c>
      <c r="N15" s="1206">
        <f>+H15-J15+L15</f>
        <v>0</v>
      </c>
      <c r="Q15" s="315"/>
      <c r="R15" s="315"/>
      <c r="S15" s="315"/>
      <c r="T15" s="315"/>
      <c r="U15" s="315"/>
      <c r="V15" s="315"/>
      <c r="W15" s="315"/>
    </row>
    <row r="16" spans="2:23" ht="21" customHeight="1">
      <c r="B16" s="474" t="s">
        <v>310</v>
      </c>
      <c r="C16" s="659"/>
      <c r="D16" s="659"/>
      <c r="E16" s="659"/>
      <c r="F16" s="659"/>
      <c r="G16" s="324" t="s">
        <v>397</v>
      </c>
      <c r="H16" s="573"/>
      <c r="I16" s="324" t="s">
        <v>397</v>
      </c>
      <c r="J16" s="573"/>
      <c r="K16" s="324" t="s">
        <v>397</v>
      </c>
      <c r="L16" s="573"/>
      <c r="M16" s="324" t="s">
        <v>397</v>
      </c>
      <c r="N16" s="1206">
        <f>+H16-J16+L16</f>
        <v>0</v>
      </c>
      <c r="Q16" s="315"/>
      <c r="R16" s="315"/>
      <c r="S16" s="315"/>
      <c r="T16" s="315"/>
      <c r="U16" s="315"/>
      <c r="V16" s="315"/>
      <c r="W16" s="315"/>
    </row>
    <row r="17" spans="2:23" ht="21" customHeight="1">
      <c r="B17" s="474" t="s">
        <v>311</v>
      </c>
      <c r="C17" s="659"/>
      <c r="D17" s="659"/>
      <c r="E17" s="659"/>
      <c r="F17" s="659"/>
      <c r="G17" s="324" t="s">
        <v>397</v>
      </c>
      <c r="H17" s="573"/>
      <c r="I17" s="324" t="s">
        <v>397</v>
      </c>
      <c r="J17" s="573"/>
      <c r="K17" s="324" t="s">
        <v>397</v>
      </c>
      <c r="L17" s="573"/>
      <c r="M17" s="324" t="s">
        <v>397</v>
      </c>
      <c r="N17" s="1206">
        <f t="shared" ref="N17:N23" si="0">+H17-J17+L17</f>
        <v>0</v>
      </c>
      <c r="Q17" s="315"/>
      <c r="R17" s="315"/>
      <c r="S17" s="315"/>
      <c r="T17" s="315"/>
      <c r="U17" s="315"/>
      <c r="V17" s="315"/>
      <c r="W17" s="315"/>
    </row>
    <row r="18" spans="2:23" ht="21" customHeight="1">
      <c r="B18" s="474" t="s">
        <v>312</v>
      </c>
      <c r="C18" s="659"/>
      <c r="D18" s="659"/>
      <c r="E18" s="659"/>
      <c r="F18" s="659"/>
      <c r="G18" s="324" t="s">
        <v>397</v>
      </c>
      <c r="H18" s="573"/>
      <c r="I18" s="324" t="s">
        <v>397</v>
      </c>
      <c r="J18" s="573"/>
      <c r="K18" s="324" t="s">
        <v>397</v>
      </c>
      <c r="L18" s="573"/>
      <c r="M18" s="324" t="s">
        <v>397</v>
      </c>
      <c r="N18" s="1206">
        <f t="shared" si="0"/>
        <v>0</v>
      </c>
      <c r="Q18" s="315"/>
      <c r="R18" s="315"/>
      <c r="S18" s="315"/>
      <c r="T18" s="315"/>
      <c r="U18" s="315"/>
      <c r="V18" s="315"/>
      <c r="W18" s="315"/>
    </row>
    <row r="19" spans="2:23" ht="21" customHeight="1">
      <c r="B19" s="474"/>
      <c r="C19" s="1208" t="s">
        <v>3268</v>
      </c>
      <c r="D19" s="1208"/>
      <c r="E19" s="1208"/>
      <c r="F19" s="1208"/>
      <c r="G19" s="731" t="s">
        <v>397</v>
      </c>
      <c r="H19" s="573">
        <v>0</v>
      </c>
      <c r="I19" s="731" t="s">
        <v>397</v>
      </c>
      <c r="J19" s="573">
        <v>0</v>
      </c>
      <c r="K19" s="731" t="s">
        <v>397</v>
      </c>
      <c r="L19" s="573">
        <v>0</v>
      </c>
      <c r="M19" s="324" t="s">
        <v>397</v>
      </c>
      <c r="N19" s="1206">
        <f t="shared" si="0"/>
        <v>0</v>
      </c>
      <c r="Q19" s="315"/>
      <c r="R19" s="315"/>
      <c r="S19" s="315"/>
      <c r="T19" s="315"/>
      <c r="U19" s="315"/>
      <c r="V19" s="315"/>
      <c r="W19" s="315"/>
    </row>
    <row r="20" spans="2:23" ht="21" customHeight="1">
      <c r="B20" s="474"/>
      <c r="C20" s="1209" t="s">
        <v>3269</v>
      </c>
      <c r="D20" s="1110"/>
      <c r="E20" s="1208"/>
      <c r="F20" s="1208"/>
      <c r="G20" s="731" t="s">
        <v>397</v>
      </c>
      <c r="H20" s="1207">
        <f>H13+H15+H16+H17+H18+H19</f>
        <v>0</v>
      </c>
      <c r="I20" s="731" t="s">
        <v>397</v>
      </c>
      <c r="J20" s="1207">
        <f>J13+J15+J16+J17+J18+J19</f>
        <v>0</v>
      </c>
      <c r="K20" s="731" t="s">
        <v>397</v>
      </c>
      <c r="L20" s="1207">
        <f>L13+L15+L16+L17+L18+L19</f>
        <v>0</v>
      </c>
      <c r="M20" s="324" t="s">
        <v>397</v>
      </c>
      <c r="N20" s="1207">
        <f>N13+N15+N16+N17+N18+N19</f>
        <v>0</v>
      </c>
      <c r="Q20" s="315"/>
      <c r="R20" s="315"/>
      <c r="S20" s="315"/>
      <c r="T20" s="315"/>
      <c r="U20" s="315"/>
      <c r="V20" s="315"/>
      <c r="W20" s="315"/>
    </row>
    <row r="21" spans="2:23" ht="21" customHeight="1">
      <c r="B21" s="474" t="s">
        <v>313</v>
      </c>
      <c r="C21" s="659"/>
      <c r="D21" s="659"/>
      <c r="E21" s="659"/>
      <c r="F21" s="659"/>
      <c r="G21" s="324" t="s">
        <v>397</v>
      </c>
      <c r="H21" s="573"/>
      <c r="I21" s="324" t="s">
        <v>397</v>
      </c>
      <c r="J21" s="573"/>
      <c r="K21" s="324" t="s">
        <v>397</v>
      </c>
      <c r="L21" s="573"/>
      <c r="M21" s="324" t="s">
        <v>397</v>
      </c>
      <c r="N21" s="1206">
        <f t="shared" si="0"/>
        <v>0</v>
      </c>
      <c r="Q21" s="315"/>
      <c r="R21" s="315"/>
      <c r="S21" s="315"/>
      <c r="T21" s="315"/>
      <c r="U21" s="315"/>
      <c r="V21" s="315"/>
      <c r="W21" s="315"/>
    </row>
    <row r="22" spans="2:23" ht="21" customHeight="1">
      <c r="B22" s="474" t="s">
        <v>314</v>
      </c>
      <c r="C22" s="659"/>
      <c r="D22" s="659"/>
      <c r="E22" s="659"/>
      <c r="F22" s="659"/>
      <c r="G22" s="324" t="s">
        <v>397</v>
      </c>
      <c r="H22" s="573"/>
      <c r="I22" s="324" t="s">
        <v>397</v>
      </c>
      <c r="J22" s="573"/>
      <c r="K22" s="324" t="s">
        <v>397</v>
      </c>
      <c r="L22" s="573"/>
      <c r="M22" s="324" t="s">
        <v>397</v>
      </c>
      <c r="N22" s="1206">
        <f t="shared" si="0"/>
        <v>0</v>
      </c>
      <c r="Q22" s="315"/>
      <c r="R22" s="315"/>
      <c r="S22" s="315"/>
      <c r="T22" s="315"/>
      <c r="U22" s="315"/>
      <c r="V22" s="315"/>
      <c r="W22" s="315"/>
    </row>
    <row r="23" spans="2:23" ht="21" customHeight="1">
      <c r="B23" s="474"/>
      <c r="C23" s="1330" t="s">
        <v>3548</v>
      </c>
      <c r="D23" s="1208"/>
      <c r="E23" s="1208"/>
      <c r="F23" s="1208"/>
      <c r="G23" s="731" t="s">
        <v>397</v>
      </c>
      <c r="H23" s="1207">
        <f>H21+H22</f>
        <v>0</v>
      </c>
      <c r="I23" s="731" t="s">
        <v>397</v>
      </c>
      <c r="J23" s="1207">
        <f>J21+J22</f>
        <v>0</v>
      </c>
      <c r="K23" s="731" t="s">
        <v>397</v>
      </c>
      <c r="L23" s="1207">
        <f>L21+L22</f>
        <v>0</v>
      </c>
      <c r="M23" s="324" t="s">
        <v>397</v>
      </c>
      <c r="N23" s="1206">
        <f t="shared" si="0"/>
        <v>0</v>
      </c>
      <c r="Q23" s="315"/>
      <c r="R23" s="315"/>
      <c r="S23" s="315"/>
      <c r="T23" s="315"/>
      <c r="U23" s="315"/>
      <c r="V23" s="315"/>
      <c r="W23" s="315"/>
    </row>
    <row r="24" spans="2:23">
      <c r="B24" s="474"/>
      <c r="Q24" s="315"/>
      <c r="R24" s="315"/>
      <c r="S24" s="315"/>
      <c r="T24" s="315"/>
      <c r="U24" s="315"/>
      <c r="V24" s="315"/>
      <c r="W24" s="315"/>
    </row>
    <row r="25" spans="2:23">
      <c r="B25" s="474"/>
      <c r="C25" s="324" t="s">
        <v>922</v>
      </c>
      <c r="Q25" s="315"/>
      <c r="R25" s="315"/>
      <c r="S25" s="315"/>
      <c r="T25" s="315"/>
      <c r="U25" s="315"/>
      <c r="V25" s="315"/>
      <c r="W25" s="315"/>
    </row>
    <row r="26" spans="2:23">
      <c r="B26" s="474"/>
      <c r="Q26" s="315"/>
      <c r="R26" s="315"/>
      <c r="S26" s="315"/>
      <c r="T26" s="315"/>
      <c r="U26" s="315"/>
      <c r="V26" s="315"/>
      <c r="W26" s="315"/>
    </row>
    <row r="27" spans="2:23">
      <c r="B27" s="474"/>
      <c r="Q27" s="315"/>
      <c r="R27" s="315"/>
      <c r="S27" s="315"/>
      <c r="T27" s="315"/>
      <c r="U27" s="315"/>
      <c r="V27" s="315"/>
      <c r="W27" s="315"/>
    </row>
    <row r="28" spans="2:23" ht="15.6">
      <c r="B28" s="1852" t="s">
        <v>438</v>
      </c>
      <c r="C28" s="1852"/>
      <c r="D28" s="1852"/>
      <c r="E28" s="1852"/>
      <c r="F28" s="1852"/>
      <c r="G28" s="1852"/>
      <c r="H28" s="1852"/>
      <c r="I28" s="1852"/>
      <c r="J28" s="1852"/>
      <c r="K28" s="1852"/>
      <c r="L28" s="1852"/>
      <c r="M28" s="1852"/>
      <c r="N28" s="1852"/>
    </row>
    <row r="29" spans="2:23" ht="15.6">
      <c r="B29" s="1852" t="s">
        <v>439</v>
      </c>
      <c r="C29" s="1852"/>
      <c r="D29" s="1852"/>
      <c r="E29" s="1852"/>
      <c r="F29" s="1852"/>
      <c r="G29" s="1852"/>
      <c r="H29" s="1852"/>
      <c r="I29" s="1852"/>
      <c r="J29" s="1852"/>
      <c r="K29" s="1852"/>
      <c r="L29" s="1852"/>
      <c r="M29" s="1852"/>
      <c r="N29" s="1852"/>
    </row>
    <row r="30" spans="2:23" ht="6.75" customHeight="1">
      <c r="B30" s="478"/>
      <c r="C30" s="478"/>
      <c r="D30" s="478"/>
      <c r="E30" s="478"/>
      <c r="F30" s="478"/>
      <c r="G30" s="478"/>
      <c r="H30" s="478"/>
      <c r="I30" s="478"/>
      <c r="J30" s="478"/>
      <c r="K30" s="478"/>
      <c r="L30" s="478"/>
      <c r="M30" s="478"/>
      <c r="N30" s="478"/>
    </row>
    <row r="31" spans="2:23" ht="18" customHeight="1">
      <c r="B31" s="474"/>
      <c r="D31" s="1855" t="s">
        <v>18</v>
      </c>
      <c r="E31" s="1855"/>
      <c r="F31" s="477"/>
      <c r="G31" s="1855" t="s">
        <v>440</v>
      </c>
      <c r="H31" s="1855"/>
      <c r="I31" s="1855"/>
      <c r="J31" s="1855"/>
      <c r="K31" s="1855"/>
      <c r="L31" s="1855"/>
      <c r="M31" s="477"/>
      <c r="N31" s="476" t="s">
        <v>441</v>
      </c>
    </row>
    <row r="32" spans="2:23" ht="21" customHeight="1">
      <c r="B32" s="474"/>
      <c r="C32" s="474" t="s">
        <v>308</v>
      </c>
      <c r="D32" s="659"/>
      <c r="E32" s="659"/>
      <c r="G32" s="659" t="s">
        <v>3673</v>
      </c>
      <c r="H32" s="659"/>
      <c r="I32" s="659"/>
      <c r="J32" s="659"/>
      <c r="K32" s="659"/>
      <c r="L32" s="659"/>
      <c r="M32" s="324" t="s">
        <v>397</v>
      </c>
      <c r="N32" s="369"/>
    </row>
    <row r="33" spans="2:14" ht="21" customHeight="1">
      <c r="B33" s="474"/>
      <c r="C33" s="474" t="s">
        <v>309</v>
      </c>
      <c r="D33" s="659"/>
      <c r="E33" s="659"/>
      <c r="G33" s="659"/>
      <c r="H33" s="659"/>
      <c r="I33" s="659"/>
      <c r="J33" s="659"/>
      <c r="K33" s="659"/>
      <c r="L33" s="659"/>
      <c r="M33" s="324" t="s">
        <v>397</v>
      </c>
      <c r="N33" s="369"/>
    </row>
    <row r="34" spans="2:14" ht="21" customHeight="1">
      <c r="B34" s="474"/>
      <c r="C34" s="474" t="s">
        <v>310</v>
      </c>
      <c r="D34" s="659"/>
      <c r="E34" s="659"/>
      <c r="G34" s="659"/>
      <c r="H34" s="659"/>
      <c r="I34" s="659"/>
      <c r="J34" s="659"/>
      <c r="K34" s="659"/>
      <c r="L34" s="659"/>
      <c r="M34" s="324" t="s">
        <v>397</v>
      </c>
      <c r="N34" s="369"/>
    </row>
    <row r="35" spans="2:14" ht="21" customHeight="1">
      <c r="B35" s="474"/>
      <c r="C35" s="474" t="s">
        <v>311</v>
      </c>
      <c r="D35" s="659"/>
      <c r="E35" s="659"/>
      <c r="G35" s="659"/>
      <c r="H35" s="659"/>
      <c r="I35" s="659"/>
      <c r="J35" s="659"/>
      <c r="K35" s="659"/>
      <c r="L35" s="659"/>
      <c r="M35" s="324" t="s">
        <v>397</v>
      </c>
      <c r="N35" s="369"/>
    </row>
    <row r="36" spans="2:14" ht="21" customHeight="1">
      <c r="B36" s="474"/>
      <c r="C36" s="474" t="s">
        <v>312</v>
      </c>
      <c r="D36" s="659"/>
      <c r="E36" s="659"/>
      <c r="G36" s="659"/>
      <c r="H36" s="659"/>
      <c r="I36" s="659"/>
      <c r="J36" s="659"/>
      <c r="K36" s="659"/>
      <c r="L36" s="659"/>
      <c r="M36" s="324" t="s">
        <v>397</v>
      </c>
      <c r="N36" s="369"/>
    </row>
    <row r="37" spans="2:14">
      <c r="B37" s="474"/>
    </row>
    <row r="38" spans="2:14">
      <c r="B38" s="474"/>
    </row>
    <row r="39" spans="2:14">
      <c r="B39" s="474"/>
    </row>
    <row r="40" spans="2:14" ht="15.6">
      <c r="B40" s="1852" t="s">
        <v>264</v>
      </c>
      <c r="C40" s="1852"/>
      <c r="D40" s="1852"/>
      <c r="E40" s="1852"/>
      <c r="F40" s="1852"/>
      <c r="G40" s="1852"/>
      <c r="H40" s="1852"/>
      <c r="I40" s="1852"/>
      <c r="J40" s="1852"/>
      <c r="K40" s="1852"/>
      <c r="L40" s="1852"/>
      <c r="M40" s="1852"/>
      <c r="N40" s="1852"/>
    </row>
    <row r="41" spans="2:14">
      <c r="B41" s="474"/>
    </row>
    <row r="42" spans="2:14">
      <c r="B42" s="474"/>
      <c r="N42" s="401" t="s">
        <v>446</v>
      </c>
    </row>
    <row r="43" spans="2:14">
      <c r="B43" s="474"/>
      <c r="N43" s="401" t="s">
        <v>447</v>
      </c>
    </row>
    <row r="44" spans="2:14">
      <c r="B44" s="474"/>
      <c r="D44" s="1853" t="s">
        <v>443</v>
      </c>
      <c r="E44" s="1853"/>
      <c r="H44" s="1853" t="s">
        <v>444</v>
      </c>
      <c r="I44" s="1853"/>
      <c r="J44" s="475" t="s">
        <v>445</v>
      </c>
      <c r="L44" s="475" t="s">
        <v>441</v>
      </c>
      <c r="N44" s="475" t="str">
        <f>"Year "&amp;TEXT('KEY INPUTS'!D33,"0")&amp;""</f>
        <v>Year 2021</v>
      </c>
    </row>
    <row r="45" spans="2:14">
      <c r="B45" s="474"/>
      <c r="D45" s="658"/>
      <c r="E45" s="658"/>
      <c r="F45" s="658"/>
      <c r="G45" s="658"/>
      <c r="H45" s="658"/>
      <c r="I45" s="658"/>
      <c r="J45" s="658"/>
    </row>
    <row r="46" spans="2:14" ht="21" customHeight="1">
      <c r="B46" s="474"/>
      <c r="C46" s="474" t="s">
        <v>308</v>
      </c>
      <c r="D46" s="659" t="s">
        <v>3673</v>
      </c>
      <c r="E46" s="659"/>
      <c r="F46" s="659"/>
      <c r="G46" s="659"/>
      <c r="H46" s="659"/>
      <c r="I46" s="659"/>
      <c r="J46" s="659"/>
      <c r="K46" s="324" t="s">
        <v>397</v>
      </c>
      <c r="L46" s="369"/>
      <c r="M46" s="658"/>
      <c r="N46" s="369"/>
    </row>
    <row r="47" spans="2:14" ht="21" customHeight="1">
      <c r="B47" s="474"/>
      <c r="C47" s="474" t="s">
        <v>309</v>
      </c>
      <c r="D47" s="659"/>
      <c r="E47" s="659"/>
      <c r="F47" s="659"/>
      <c r="G47" s="659"/>
      <c r="H47" s="659"/>
      <c r="I47" s="659"/>
      <c r="J47" s="659"/>
      <c r="K47" s="324" t="s">
        <v>397</v>
      </c>
      <c r="L47" s="369"/>
      <c r="M47" s="658"/>
      <c r="N47" s="369"/>
    </row>
    <row r="48" spans="2:14" ht="21" customHeight="1">
      <c r="B48" s="474"/>
      <c r="C48" s="474" t="s">
        <v>310</v>
      </c>
      <c r="D48" s="659"/>
      <c r="E48" s="659"/>
      <c r="F48" s="659"/>
      <c r="G48" s="659"/>
      <c r="H48" s="659"/>
      <c r="I48" s="659"/>
      <c r="J48" s="659"/>
      <c r="K48" s="324" t="s">
        <v>397</v>
      </c>
      <c r="L48" s="369"/>
      <c r="M48" s="658"/>
      <c r="N48" s="369"/>
    </row>
    <row r="49" spans="2:14" ht="21" customHeight="1">
      <c r="B49" s="474"/>
      <c r="C49" s="474" t="s">
        <v>311</v>
      </c>
      <c r="D49" s="659"/>
      <c r="E49" s="659"/>
      <c r="F49" s="659"/>
      <c r="G49" s="659"/>
      <c r="H49" s="659"/>
      <c r="I49" s="659"/>
      <c r="J49" s="659"/>
      <c r="K49" s="324" t="s">
        <v>397</v>
      </c>
      <c r="L49" s="369"/>
      <c r="M49" s="658"/>
      <c r="N49" s="369"/>
    </row>
    <row r="50" spans="2:14">
      <c r="B50" s="474"/>
    </row>
    <row r="51" spans="2:14">
      <c r="B51" s="474"/>
    </row>
    <row r="52" spans="2:14">
      <c r="B52" s="474"/>
    </row>
    <row r="53" spans="2:14">
      <c r="B53" s="474"/>
    </row>
    <row r="54" spans="2:14">
      <c r="B54" s="474"/>
    </row>
    <row r="55" spans="2:14">
      <c r="B55" s="474"/>
    </row>
    <row r="56" spans="2:14">
      <c r="B56" s="474"/>
    </row>
    <row r="57" spans="2:14">
      <c r="B57" s="474"/>
    </row>
    <row r="58" spans="2:14">
      <c r="B58" s="474"/>
    </row>
    <row r="59" spans="2:14">
      <c r="B59" s="474"/>
    </row>
    <row r="60" spans="2:14">
      <c r="B60" s="474"/>
    </row>
    <row r="61" spans="2:14" ht="13.8">
      <c r="B61" s="1851" t="s">
        <v>3223</v>
      </c>
      <c r="C61" s="1851"/>
      <c r="D61" s="1851"/>
      <c r="E61" s="1851"/>
      <c r="F61" s="1851"/>
      <c r="G61" s="1851"/>
      <c r="H61" s="1851"/>
      <c r="I61" s="1851"/>
      <c r="J61" s="1851"/>
      <c r="K61" s="1851"/>
      <c r="L61" s="1851"/>
      <c r="M61" s="1851"/>
      <c r="N61" s="1851"/>
    </row>
    <row r="62" spans="2:14">
      <c r="B62" s="474"/>
    </row>
    <row r="63" spans="2:14">
      <c r="B63" s="474"/>
    </row>
    <row r="64" spans="2:14">
      <c r="B64" s="474"/>
    </row>
    <row r="65" spans="2:2">
      <c r="B65" s="474"/>
    </row>
    <row r="66" spans="2:2">
      <c r="B66" s="474"/>
    </row>
    <row r="67" spans="2:2">
      <c r="B67" s="474"/>
    </row>
    <row r="68" spans="2:2">
      <c r="B68" s="474"/>
    </row>
    <row r="69" spans="2:2">
      <c r="B69" s="474"/>
    </row>
  </sheetData>
  <sheetProtection algorithmName="SHA-512" hashValue="XeN3vflcVMuYxki5ZHwN3XAwxqq0nhV6aZHf5y3Lz017Xm+Cu64ez332JVjOSSLu5gri+CmU0u2sxpUkPjDQYA==" saltValue="2t246F4QofjxJBWp7uJzSQ==" spinCount="100000" sheet="1" objects="1" scenarios="1"/>
  <mergeCells count="13">
    <mergeCell ref="B61:N61"/>
    <mergeCell ref="B40:N40"/>
    <mergeCell ref="D44:E44"/>
    <mergeCell ref="H44:I44"/>
    <mergeCell ref="B3:N3"/>
    <mergeCell ref="B28:N28"/>
    <mergeCell ref="B29:N29"/>
    <mergeCell ref="D31:E31"/>
    <mergeCell ref="G31:L31"/>
    <mergeCell ref="B4:N4"/>
    <mergeCell ref="B5:N5"/>
    <mergeCell ref="B6:N6"/>
    <mergeCell ref="C9:E9"/>
  </mergeCells>
  <pageMargins left="0.25" right="0.25" top="0.5" bottom="0.5" header="0.25" footer="0.25"/>
  <pageSetup paperSize="5" orientation="portrait" r:id="rId1"/>
  <headerFooter alignWithMargins="0"/>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0">
    <tabColor theme="6" tint="0.39997558519241921"/>
  </sheetPr>
  <dimension ref="A1:O36"/>
  <sheetViews>
    <sheetView zoomScaleNormal="100" workbookViewId="0">
      <selection activeCell="E11" sqref="E11"/>
    </sheetView>
  </sheetViews>
  <sheetFormatPr defaultColWidth="9.109375" defaultRowHeight="13.2"/>
  <cols>
    <col min="1" max="1" width="5.6640625" style="315" customWidth="1"/>
    <col min="2" max="4" width="4.88671875" style="315" customWidth="1"/>
    <col min="5" max="5" width="46.6640625" style="315" customWidth="1"/>
    <col min="6" max="6" width="7.6640625" style="315" customWidth="1"/>
    <col min="7" max="8" width="16.6640625" style="315" customWidth="1"/>
    <col min="9" max="12" width="15.6640625" style="315" customWidth="1"/>
    <col min="13" max="13" width="10.44140625" style="315" bestFit="1" customWidth="1"/>
    <col min="14" max="16384" width="9.109375" style="315"/>
  </cols>
  <sheetData>
    <row r="1" spans="1:15">
      <c r="B1" s="844"/>
      <c r="C1" s="844"/>
      <c r="D1" s="844"/>
      <c r="E1" s="844"/>
      <c r="F1" s="844"/>
      <c r="G1" s="844"/>
      <c r="H1" s="844"/>
      <c r="I1" s="844"/>
      <c r="J1" s="844"/>
      <c r="K1" s="844"/>
      <c r="L1" s="844"/>
    </row>
    <row r="2" spans="1:15" ht="17.399999999999999">
      <c r="B2" s="1602" t="s">
        <v>3599</v>
      </c>
      <c r="C2" s="1602"/>
      <c r="D2" s="1602"/>
      <c r="E2" s="1602"/>
      <c r="F2" s="1602"/>
      <c r="G2" s="1602"/>
      <c r="H2" s="1602"/>
      <c r="I2" s="1602"/>
      <c r="J2" s="1602"/>
      <c r="K2" s="1602"/>
      <c r="L2" s="1602"/>
    </row>
    <row r="3" spans="1:15">
      <c r="B3" s="844"/>
      <c r="C3" s="844"/>
      <c r="D3" s="844"/>
      <c r="E3" s="844"/>
      <c r="F3" s="844"/>
      <c r="G3" s="844"/>
      <c r="H3" s="844"/>
      <c r="I3" s="844"/>
      <c r="J3" s="844"/>
      <c r="K3" s="844"/>
      <c r="L3" s="844"/>
    </row>
    <row r="4" spans="1:15">
      <c r="B4" s="844"/>
      <c r="C4" s="844"/>
      <c r="D4" s="844"/>
      <c r="E4" s="844"/>
      <c r="F4" s="844"/>
      <c r="G4" s="844"/>
      <c r="H4" s="844"/>
      <c r="I4" s="844"/>
      <c r="J4" s="844"/>
      <c r="K4" s="844"/>
      <c r="L4" s="844"/>
    </row>
    <row r="5" spans="1:15" ht="13.8" thickBot="1">
      <c r="B5" s="844"/>
      <c r="C5" s="844"/>
      <c r="D5" s="844"/>
      <c r="E5" s="844"/>
      <c r="F5" s="844"/>
      <c r="G5" s="844"/>
      <c r="H5" s="844"/>
      <c r="I5" s="844"/>
      <c r="J5" s="844"/>
      <c r="K5" s="844"/>
      <c r="L5" s="844"/>
    </row>
    <row r="6" spans="1:15" ht="13.8" thickTop="1">
      <c r="B6" s="877"/>
      <c r="C6" s="877"/>
      <c r="D6" s="877"/>
      <c r="E6" s="1058"/>
      <c r="F6" s="877"/>
      <c r="G6" s="878"/>
      <c r="H6" s="1059"/>
      <c r="I6" s="878"/>
      <c r="J6" s="877"/>
      <c r="K6" s="877"/>
      <c r="L6" s="854"/>
    </row>
    <row r="7" spans="1:15" ht="15.6">
      <c r="B7" s="1636" t="s">
        <v>18</v>
      </c>
      <c r="C7" s="1636"/>
      <c r="D7" s="1636"/>
      <c r="E7" s="1681" t="s">
        <v>440</v>
      </c>
      <c r="F7" s="1637"/>
      <c r="G7" s="880" t="s">
        <v>441</v>
      </c>
      <c r="H7" s="1506" t="s">
        <v>469</v>
      </c>
      <c r="I7" s="880" t="s">
        <v>559</v>
      </c>
      <c r="J7" s="1687" t="str">
        <f>"REDUCED  IN  "&amp;TEXT('KEY INPUTS'!D34,"0")</f>
        <v>REDUCED  IN  2020</v>
      </c>
      <c r="K7" s="1688"/>
      <c r="L7" s="855" t="s">
        <v>559</v>
      </c>
    </row>
    <row r="8" spans="1:15">
      <c r="B8" s="844"/>
      <c r="C8" s="844"/>
      <c r="D8" s="844"/>
      <c r="E8" s="1060"/>
      <c r="F8" s="844"/>
      <c r="G8" s="880" t="s">
        <v>468</v>
      </c>
      <c r="H8" s="1506" t="s">
        <v>470</v>
      </c>
      <c r="I8" s="883" t="str">
        <f>'KEY INPUTS'!D45</f>
        <v>Dec. 31, 2019</v>
      </c>
      <c r="J8" s="880" t="str">
        <f>"By "&amp;TEXT('KEY INPUTS'!D34,"0")</f>
        <v>By 2020</v>
      </c>
      <c r="K8" s="880" t="s">
        <v>466</v>
      </c>
      <c r="L8" s="856" t="str">
        <f>'KEY INPUTS'!D46</f>
        <v>Dec. 31, 2020</v>
      </c>
    </row>
    <row r="9" spans="1:15" ht="13.8" thickBot="1">
      <c r="B9" s="886"/>
      <c r="C9" s="886"/>
      <c r="D9" s="886"/>
      <c r="E9" s="889"/>
      <c r="F9" s="886"/>
      <c r="G9" s="888"/>
      <c r="H9" s="1061" t="s">
        <v>471</v>
      </c>
      <c r="I9" s="887"/>
      <c r="J9" s="888" t="s">
        <v>564</v>
      </c>
      <c r="K9" s="888" t="s">
        <v>467</v>
      </c>
      <c r="L9" s="857"/>
    </row>
    <row r="10" spans="1:15" ht="21" customHeight="1" thickTop="1">
      <c r="B10" s="1682"/>
      <c r="C10" s="1682"/>
      <c r="D10" s="1683"/>
      <c r="E10" s="1542" t="s">
        <v>3673</v>
      </c>
      <c r="F10" s="563"/>
      <c r="G10" s="585"/>
      <c r="H10" s="585"/>
      <c r="I10" s="586"/>
      <c r="J10" s="586"/>
      <c r="K10" s="586"/>
      <c r="L10" s="1524">
        <f>+I10-J10-K10</f>
        <v>0</v>
      </c>
    </row>
    <row r="11" spans="1:15" ht="21" customHeight="1">
      <c r="B11" s="1684"/>
      <c r="C11" s="1562"/>
      <c r="D11" s="1685"/>
      <c r="E11" s="587"/>
      <c r="F11" s="565"/>
      <c r="G11" s="574"/>
      <c r="H11" s="574"/>
      <c r="I11" s="367"/>
      <c r="J11" s="367"/>
      <c r="K11" s="367"/>
      <c r="L11" s="1525">
        <f>+I11-J11-K11</f>
        <v>0</v>
      </c>
      <c r="M11" s="318"/>
    </row>
    <row r="12" spans="1:15" ht="21" customHeight="1">
      <c r="B12" s="1684"/>
      <c r="C12" s="1562"/>
      <c r="D12" s="1685"/>
      <c r="E12" s="587"/>
      <c r="F12" s="565"/>
      <c r="G12" s="588"/>
      <c r="H12" s="574"/>
      <c r="I12" s="589"/>
      <c r="J12" s="367"/>
      <c r="K12" s="367"/>
      <c r="L12" s="1525">
        <f t="shared" ref="L12:L23" si="0">+I12-J12-K12</f>
        <v>0</v>
      </c>
      <c r="M12" s="318"/>
    </row>
    <row r="13" spans="1:15" ht="21" customHeight="1">
      <c r="B13" s="1562"/>
      <c r="C13" s="1562"/>
      <c r="D13" s="1685"/>
      <c r="E13" s="587"/>
      <c r="F13" s="565"/>
      <c r="G13" s="574"/>
      <c r="H13" s="574"/>
      <c r="I13" s="367"/>
      <c r="J13" s="367"/>
      <c r="K13" s="367"/>
      <c r="L13" s="1525">
        <f t="shared" si="0"/>
        <v>0</v>
      </c>
    </row>
    <row r="14" spans="1:15" ht="21" customHeight="1">
      <c r="B14" s="1684"/>
      <c r="C14" s="1562"/>
      <c r="D14" s="1685"/>
      <c r="E14" s="587"/>
      <c r="F14" s="565"/>
      <c r="G14" s="574"/>
      <c r="H14" s="574"/>
      <c r="I14" s="367"/>
      <c r="J14" s="367"/>
      <c r="K14" s="367"/>
      <c r="L14" s="1525">
        <f t="shared" si="0"/>
        <v>0</v>
      </c>
      <c r="O14" s="370"/>
    </row>
    <row r="15" spans="1:15" ht="21" customHeight="1">
      <c r="B15" s="1684"/>
      <c r="C15" s="1562"/>
      <c r="D15" s="1685"/>
      <c r="E15" s="587"/>
      <c r="F15" s="565"/>
      <c r="G15" s="588"/>
      <c r="H15" s="574"/>
      <c r="I15" s="589"/>
      <c r="J15" s="367"/>
      <c r="K15" s="367"/>
      <c r="L15" s="1525">
        <f t="shared" si="0"/>
        <v>0</v>
      </c>
    </row>
    <row r="16" spans="1:15" ht="21" customHeight="1">
      <c r="A16" s="1613" t="s">
        <v>3600</v>
      </c>
      <c r="B16" s="1562"/>
      <c r="C16" s="1562"/>
      <c r="D16" s="1685"/>
      <c r="E16" s="587"/>
      <c r="F16" s="565"/>
      <c r="G16" s="574"/>
      <c r="H16" s="574"/>
      <c r="I16" s="367"/>
      <c r="J16" s="367"/>
      <c r="K16" s="367"/>
      <c r="L16" s="1525">
        <f t="shared" si="0"/>
        <v>0</v>
      </c>
    </row>
    <row r="17" spans="1:12" ht="21" customHeight="1">
      <c r="A17" s="1613"/>
      <c r="B17" s="1562"/>
      <c r="C17" s="1562"/>
      <c r="D17" s="1685"/>
      <c r="E17" s="587"/>
      <c r="F17" s="565"/>
      <c r="G17" s="574"/>
      <c r="H17" s="574"/>
      <c r="I17" s="367"/>
      <c r="J17" s="367"/>
      <c r="K17" s="367"/>
      <c r="L17" s="1525">
        <f t="shared" si="0"/>
        <v>0</v>
      </c>
    </row>
    <row r="18" spans="1:12" ht="21" customHeight="1">
      <c r="A18" s="1613"/>
      <c r="B18" s="1562"/>
      <c r="C18" s="1562"/>
      <c r="D18" s="1685"/>
      <c r="E18" s="587"/>
      <c r="F18" s="565"/>
      <c r="G18" s="574"/>
      <c r="H18" s="574"/>
      <c r="I18" s="367"/>
      <c r="J18" s="367"/>
      <c r="K18" s="367"/>
      <c r="L18" s="1525">
        <f t="shared" si="0"/>
        <v>0</v>
      </c>
    </row>
    <row r="19" spans="1:12" ht="21" customHeight="1">
      <c r="A19" s="1505"/>
      <c r="B19" s="1504"/>
      <c r="C19" s="1504"/>
      <c r="D19" s="1507"/>
      <c r="E19" s="587"/>
      <c r="F19" s="565"/>
      <c r="G19" s="574"/>
      <c r="H19" s="574"/>
      <c r="I19" s="367"/>
      <c r="J19" s="367"/>
      <c r="K19" s="367"/>
      <c r="L19" s="1525">
        <f t="shared" si="0"/>
        <v>0</v>
      </c>
    </row>
    <row r="20" spans="1:12" ht="21" customHeight="1">
      <c r="A20" s="1505"/>
      <c r="B20" s="1504"/>
      <c r="C20" s="1504"/>
      <c r="D20" s="1507"/>
      <c r="E20" s="587"/>
      <c r="F20" s="565"/>
      <c r="G20" s="574"/>
      <c r="H20" s="574"/>
      <c r="I20" s="367"/>
      <c r="J20" s="367"/>
      <c r="K20" s="367"/>
      <c r="L20" s="1525">
        <f t="shared" si="0"/>
        <v>0</v>
      </c>
    </row>
    <row r="21" spans="1:12" ht="21" customHeight="1">
      <c r="B21" s="1562"/>
      <c r="C21" s="1562"/>
      <c r="D21" s="1685"/>
      <c r="E21" s="587"/>
      <c r="F21" s="565"/>
      <c r="G21" s="574"/>
      <c r="H21" s="574"/>
      <c r="I21" s="367"/>
      <c r="J21" s="367"/>
      <c r="K21" s="367"/>
      <c r="L21" s="1525">
        <f t="shared" si="0"/>
        <v>0</v>
      </c>
    </row>
    <row r="22" spans="1:12" ht="21" customHeight="1">
      <c r="B22" s="1504"/>
      <c r="C22" s="1504"/>
      <c r="D22" s="1507"/>
      <c r="E22" s="587"/>
      <c r="F22" s="565"/>
      <c r="G22" s="574"/>
      <c r="H22" s="574"/>
      <c r="I22" s="367"/>
      <c r="J22" s="367"/>
      <c r="K22" s="367"/>
      <c r="L22" s="1525">
        <f t="shared" si="0"/>
        <v>0</v>
      </c>
    </row>
    <row r="23" spans="1:12" ht="21" customHeight="1">
      <c r="B23" s="1562"/>
      <c r="C23" s="1562"/>
      <c r="D23" s="1685"/>
      <c r="E23" s="587"/>
      <c r="F23" s="565"/>
      <c r="G23" s="574"/>
      <c r="H23" s="574"/>
      <c r="I23" s="367"/>
      <c r="J23" s="367"/>
      <c r="K23" s="367"/>
      <c r="L23" s="1525">
        <f t="shared" si="0"/>
        <v>0</v>
      </c>
    </row>
    <row r="24" spans="1:12" ht="21" customHeight="1" thickBot="1">
      <c r="B24" s="279"/>
      <c r="C24" s="279"/>
      <c r="D24" s="279"/>
      <c r="E24" s="279"/>
      <c r="F24" s="888" t="s">
        <v>674</v>
      </c>
      <c r="G24" s="1006">
        <f t="shared" ref="G24:L24" si="1">SUM(G10:G23)</f>
        <v>0</v>
      </c>
      <c r="H24" s="1006">
        <f t="shared" si="1"/>
        <v>0</v>
      </c>
      <c r="I24" s="1006">
        <f t="shared" si="1"/>
        <v>0</v>
      </c>
      <c r="J24" s="1006">
        <f t="shared" si="1"/>
        <v>0</v>
      </c>
      <c r="K24" s="1006">
        <f t="shared" si="1"/>
        <v>0</v>
      </c>
      <c r="L24" s="853">
        <f t="shared" si="1"/>
        <v>0</v>
      </c>
    </row>
    <row r="25" spans="1:12" ht="12.75" customHeight="1" thickTop="1">
      <c r="B25" s="279"/>
      <c r="C25" s="279"/>
      <c r="D25" s="279"/>
      <c r="E25" s="279"/>
      <c r="F25" s="1048"/>
      <c r="G25" s="1048"/>
      <c r="H25" s="1048"/>
      <c r="I25" s="1062"/>
      <c r="J25" s="1062"/>
      <c r="K25" s="1048"/>
      <c r="L25" s="1048"/>
    </row>
    <row r="26" spans="1:12">
      <c r="B26" s="1520" t="s">
        <v>3596</v>
      </c>
      <c r="C26" s="1048"/>
      <c r="D26" s="1048"/>
      <c r="E26" s="1048"/>
      <c r="F26" s="1048"/>
      <c r="G26" s="1048"/>
      <c r="H26" s="1048"/>
      <c r="I26" s="1048"/>
      <c r="J26" s="1048"/>
      <c r="K26" s="1048"/>
      <c r="L26" s="1048"/>
    </row>
    <row r="27" spans="1:12" ht="13.5" customHeight="1">
      <c r="B27" s="1048" t="s">
        <v>128</v>
      </c>
      <c r="C27" s="1048"/>
      <c r="D27" s="1048"/>
      <c r="E27" s="1048"/>
      <c r="F27" s="279"/>
      <c r="G27" s="279"/>
      <c r="H27" s="279"/>
      <c r="I27" s="279"/>
      <c r="J27" s="279"/>
      <c r="K27" s="279"/>
      <c r="L27" s="279"/>
    </row>
    <row r="28" spans="1:12" ht="13.5" customHeight="1">
      <c r="B28" s="34"/>
      <c r="J28" s="1570"/>
      <c r="K28" s="1570"/>
    </row>
    <row r="29" spans="1:12">
      <c r="B29" s="844"/>
      <c r="C29" s="844"/>
      <c r="D29" s="844"/>
      <c r="E29" s="844"/>
      <c r="F29" s="844"/>
      <c r="G29" s="844"/>
      <c r="H29" s="844"/>
      <c r="I29" s="844"/>
      <c r="J29" s="1686" t="s">
        <v>129</v>
      </c>
      <c r="K29" s="1686"/>
    </row>
    <row r="30" spans="1:12">
      <c r="B30" s="844"/>
      <c r="C30" s="844"/>
      <c r="D30" s="844"/>
      <c r="E30" s="844"/>
      <c r="F30" s="844"/>
      <c r="G30" s="844"/>
      <c r="H30" s="844"/>
      <c r="I30" s="844"/>
      <c r="J30" s="844"/>
      <c r="K30" s="844"/>
    </row>
    <row r="35" spans="9:12">
      <c r="L35" s="318">
        <f>+I24-J24-L24</f>
        <v>0</v>
      </c>
    </row>
    <row r="36" spans="9:12">
      <c r="I36" s="318"/>
      <c r="J36" s="318"/>
    </row>
  </sheetData>
  <sheetProtection algorithmName="SHA-512" hashValue="8OjE6Au6AhD7HC6bXmuYVE65iMYnPz5cgV1n5bV3Xmmhq1AaQCA+fhIldGrd90CeAFJ6G4fi9Y+AnGBOvNb3ZA==" saltValue="Fx7FsItuO8337d90g+EG3Q==" spinCount="100000" sheet="1" objects="1" scenarios="1"/>
  <mergeCells count="18">
    <mergeCell ref="A16:A18"/>
    <mergeCell ref="B16:D16"/>
    <mergeCell ref="B17:D17"/>
    <mergeCell ref="B18:D18"/>
    <mergeCell ref="B7:D7"/>
    <mergeCell ref="B10:D10"/>
    <mergeCell ref="B11:D11"/>
    <mergeCell ref="B12:D12"/>
    <mergeCell ref="B21:D21"/>
    <mergeCell ref="B23:D23"/>
    <mergeCell ref="J28:K28"/>
    <mergeCell ref="J29:K29"/>
    <mergeCell ref="B2:L2"/>
    <mergeCell ref="B13:D13"/>
    <mergeCell ref="B14:D14"/>
    <mergeCell ref="B15:D15"/>
    <mergeCell ref="E7:F7"/>
    <mergeCell ref="J7:K7"/>
  </mergeCells>
  <pageMargins left="0.25" right="0.25" top="0.5" bottom="0.5" header="0.25" footer="0.25"/>
  <pageSetup paperSize="5" orientation="landscape" r:id="rId1"/>
  <headerFooter alignWithMargins="0"/>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5">
    <tabColor theme="6" tint="0.39997558519241921"/>
  </sheetPr>
  <dimension ref="B2:U50"/>
  <sheetViews>
    <sheetView topLeftCell="A16" zoomScaleNormal="100" zoomScaleSheetLayoutView="80" workbookViewId="0">
      <selection activeCell="L38" sqref="L38"/>
    </sheetView>
  </sheetViews>
  <sheetFormatPr defaultColWidth="8.88671875" defaultRowHeight="13.2"/>
  <cols>
    <col min="1" max="4" width="4.6640625" style="391" customWidth="1"/>
    <col min="5" max="5" width="17.88671875" style="391" customWidth="1"/>
    <col min="6" max="6" width="8.88671875" style="391"/>
    <col min="7" max="7" width="16.6640625" style="391" customWidth="1"/>
    <col min="8" max="8" width="1.6640625" style="391" customWidth="1"/>
    <col min="9" max="9" width="15.6640625" style="391" customWidth="1"/>
    <col min="10" max="10" width="1.6640625" style="391" customWidth="1"/>
    <col min="11" max="11" width="8.6640625" style="391" customWidth="1"/>
    <col min="12" max="12" width="7.6640625" style="391" customWidth="1"/>
    <col min="13" max="15" width="8.88671875" style="391"/>
    <col min="16" max="17" width="10.33203125" style="391" bestFit="1" customWidth="1"/>
    <col min="18" max="16384" width="8.88671875" style="391"/>
  </cols>
  <sheetData>
    <row r="2" spans="2:21" ht="20.399999999999999">
      <c r="B2" s="1826" t="s">
        <v>132</v>
      </c>
      <c r="C2" s="1826"/>
      <c r="D2" s="1826"/>
      <c r="E2" s="1826"/>
      <c r="F2" s="1826"/>
      <c r="G2" s="1826"/>
      <c r="H2" s="1826"/>
      <c r="I2" s="1826"/>
      <c r="J2" s="1826"/>
      <c r="K2" s="1826"/>
      <c r="L2" s="1826"/>
    </row>
    <row r="3" spans="2:21" ht="20.399999999999999">
      <c r="B3" s="1826" t="str">
        <f>"AND  "&amp;TEXT('KEY INPUTS'!D34+1,"0")&amp;"  DEBT  SERVICE  FOR  BONDS"</f>
        <v>AND  2021  DEBT  SERVICE  FOR  BONDS</v>
      </c>
      <c r="C3" s="1826"/>
      <c r="D3" s="1826"/>
      <c r="E3" s="1826"/>
      <c r="F3" s="1826"/>
      <c r="G3" s="1826"/>
      <c r="H3" s="1826"/>
      <c r="I3" s="1826"/>
      <c r="J3" s="1826"/>
      <c r="K3" s="1826"/>
      <c r="L3" s="1826"/>
    </row>
    <row r="4" spans="2:21" ht="15.6">
      <c r="B4" s="1806" t="str">
        <f>UPPER('KEY INPUTS'!D52)&amp;" UTILITY  ASSESSMENT  BONDS"</f>
        <v>WATER/SEWER UTILITY UTILITY  ASSESSMENT  BONDS</v>
      </c>
      <c r="C4" s="1806"/>
      <c r="D4" s="1806"/>
      <c r="E4" s="1806"/>
      <c r="F4" s="1806"/>
      <c r="G4" s="1806"/>
      <c r="H4" s="1806"/>
      <c r="I4" s="1806"/>
      <c r="J4" s="1806"/>
      <c r="K4" s="1806"/>
      <c r="L4" s="1806"/>
    </row>
    <row r="5" spans="2:21" ht="9.75" customHeight="1" thickBot="1">
      <c r="B5" s="496"/>
      <c r="C5" s="496"/>
      <c r="D5" s="496"/>
      <c r="E5" s="496"/>
      <c r="F5" s="496"/>
      <c r="G5" s="496"/>
      <c r="H5" s="496"/>
      <c r="I5" s="496"/>
      <c r="J5" s="496"/>
      <c r="K5" s="496"/>
      <c r="L5" s="496"/>
    </row>
    <row r="6" spans="2:21" ht="27.75" customHeight="1" thickTop="1" thickBot="1">
      <c r="B6" s="468"/>
      <c r="C6" s="468"/>
      <c r="D6" s="468"/>
      <c r="E6" s="468"/>
      <c r="F6" s="468"/>
      <c r="G6" s="396" t="s">
        <v>101</v>
      </c>
      <c r="H6" s="1866" t="s">
        <v>102</v>
      </c>
      <c r="I6" s="1811"/>
      <c r="J6" s="1872" t="str">
        <f>'KEY INPUTS'!D33&amp;" Debt
Service"</f>
        <v>2021 Debt
Service</v>
      </c>
      <c r="K6" s="1873"/>
      <c r="L6" s="1873"/>
      <c r="O6" s="315"/>
      <c r="P6" s="315"/>
      <c r="Q6" s="315"/>
      <c r="R6" s="315"/>
      <c r="S6" s="315"/>
      <c r="T6" s="315"/>
      <c r="U6" s="315"/>
    </row>
    <row r="7" spans="2:21" ht="21" customHeight="1" thickTop="1">
      <c r="B7" s="467" t="str">
        <f>'KEY INPUTS'!D27</f>
        <v>Outstanding - January 1, 2020</v>
      </c>
      <c r="C7" s="450"/>
      <c r="D7" s="450"/>
      <c r="E7" s="450"/>
      <c r="F7" s="450"/>
      <c r="G7" s="1153" t="s">
        <v>662</v>
      </c>
      <c r="H7" s="1724">
        <v>0</v>
      </c>
      <c r="I7" s="1725"/>
      <c r="O7" s="315"/>
      <c r="P7" s="315"/>
      <c r="Q7" s="315"/>
      <c r="R7" s="315"/>
      <c r="S7" s="315"/>
      <c r="T7" s="315"/>
      <c r="U7" s="315"/>
    </row>
    <row r="8" spans="2:21" ht="21" customHeight="1">
      <c r="B8" s="395" t="s">
        <v>97</v>
      </c>
      <c r="C8" s="395"/>
      <c r="D8" s="395"/>
      <c r="E8" s="395"/>
      <c r="F8" s="395"/>
      <c r="G8" s="1156" t="s">
        <v>662</v>
      </c>
      <c r="H8" s="1722">
        <v>0</v>
      </c>
      <c r="I8" s="1723"/>
      <c r="O8" s="370"/>
      <c r="P8" s="315"/>
      <c r="Q8" s="315"/>
      <c r="R8" s="315"/>
      <c r="S8" s="315"/>
      <c r="T8" s="315"/>
      <c r="U8" s="315"/>
    </row>
    <row r="9" spans="2:21" ht="21" customHeight="1">
      <c r="B9" s="395"/>
      <c r="C9" s="395"/>
      <c r="D9" s="395"/>
      <c r="E9" s="395"/>
      <c r="F9" s="395"/>
      <c r="G9" s="1156"/>
      <c r="H9" s="495"/>
      <c r="I9" s="1210"/>
      <c r="O9" s="315"/>
      <c r="P9" s="315"/>
      <c r="Q9" s="315"/>
      <c r="R9" s="315"/>
      <c r="S9" s="315"/>
      <c r="T9" s="315"/>
      <c r="U9" s="315"/>
    </row>
    <row r="10" spans="2:21" ht="21" customHeight="1">
      <c r="B10" s="395" t="s">
        <v>268</v>
      </c>
      <c r="C10" s="395"/>
      <c r="D10" s="395"/>
      <c r="E10" s="395"/>
      <c r="F10" s="395"/>
      <c r="G10" s="593">
        <v>0</v>
      </c>
      <c r="H10" s="1874" t="s">
        <v>662</v>
      </c>
      <c r="I10" s="1875"/>
      <c r="O10" s="315"/>
      <c r="P10" s="315"/>
      <c r="Q10" s="315"/>
      <c r="R10" s="315"/>
      <c r="S10" s="315"/>
      <c r="T10" s="315"/>
      <c r="U10" s="315"/>
    </row>
    <row r="11" spans="2:21" ht="21" customHeight="1" thickBot="1">
      <c r="B11" s="395" t="str">
        <f>'KEY INPUTS'!D28</f>
        <v>Outstanding - December 31, 2020</v>
      </c>
      <c r="C11" s="395"/>
      <c r="D11" s="395"/>
      <c r="E11" s="395"/>
      <c r="F11" s="395"/>
      <c r="G11" s="1111">
        <f>+H7+H8-G10</f>
        <v>0</v>
      </c>
      <c r="H11" s="1870" t="s">
        <v>662</v>
      </c>
      <c r="I11" s="1871"/>
      <c r="O11" s="315"/>
      <c r="P11" s="315"/>
      <c r="Q11" s="315"/>
      <c r="R11" s="315"/>
      <c r="S11" s="315"/>
      <c r="T11" s="315"/>
      <c r="U11" s="315"/>
    </row>
    <row r="12" spans="2:21" ht="21" customHeight="1" thickBot="1">
      <c r="G12" s="1113">
        <f>SUM(G7:G11)</f>
        <v>0</v>
      </c>
      <c r="H12" s="1858">
        <f>SUM(H7:I11)</f>
        <v>0</v>
      </c>
      <c r="I12" s="1859"/>
      <c r="O12" s="315"/>
      <c r="P12" s="315"/>
      <c r="Q12" s="315"/>
      <c r="R12" s="315"/>
      <c r="S12" s="315"/>
      <c r="T12" s="315"/>
      <c r="U12" s="315"/>
    </row>
    <row r="13" spans="2:21" ht="21" customHeight="1" thickTop="1">
      <c r="B13" s="494" t="str">
        <f>TEXT('KEY INPUTS'!D34+1,"0")&amp;" Bond Maturities - Assessment Bonds"</f>
        <v>2021 Bond Maturities - Assessment Bonds</v>
      </c>
      <c r="C13" s="444"/>
      <c r="D13" s="444"/>
      <c r="E13" s="444"/>
      <c r="F13" s="444"/>
      <c r="G13" s="444"/>
      <c r="H13" s="444"/>
      <c r="I13" s="493"/>
      <c r="J13" s="444" t="s">
        <v>397</v>
      </c>
      <c r="K13" s="1748">
        <v>0</v>
      </c>
      <c r="L13" s="1748"/>
      <c r="O13" s="315"/>
      <c r="P13" s="315"/>
      <c r="Q13" s="315"/>
      <c r="R13" s="315"/>
      <c r="S13" s="315"/>
      <c r="T13" s="315"/>
      <c r="U13" s="315"/>
    </row>
    <row r="14" spans="2:21" ht="21" customHeight="1" thickBot="1">
      <c r="B14" s="491" t="str">
        <f>TEXT('KEY INPUTS'!D34+1,"0")&amp;" Interest on Bonds"</f>
        <v>2021 Interest on Bonds</v>
      </c>
      <c r="C14" s="481"/>
      <c r="D14" s="481"/>
      <c r="E14" s="481"/>
      <c r="F14" s="481"/>
      <c r="G14" s="492"/>
      <c r="H14" s="481" t="s">
        <v>397</v>
      </c>
      <c r="I14" s="600">
        <v>0</v>
      </c>
      <c r="O14" s="315"/>
      <c r="P14" s="315"/>
      <c r="Q14" s="315"/>
      <c r="R14" s="315"/>
      <c r="S14" s="315"/>
      <c r="T14" s="315"/>
      <c r="U14" s="315"/>
    </row>
    <row r="15" spans="2:21" ht="16.5" customHeight="1" thickTop="1">
      <c r="B15" s="1867"/>
      <c r="C15" s="1867"/>
      <c r="D15" s="1867"/>
      <c r="E15" s="1867"/>
      <c r="F15" s="1867"/>
      <c r="G15" s="1867"/>
      <c r="H15" s="1867"/>
      <c r="I15" s="1868"/>
      <c r="O15" s="315"/>
      <c r="P15" s="315"/>
      <c r="Q15" s="315"/>
      <c r="R15" s="315"/>
      <c r="S15" s="315"/>
      <c r="T15" s="315"/>
      <c r="U15" s="315"/>
    </row>
    <row r="16" spans="2:21" ht="26.25" customHeight="1" thickBot="1">
      <c r="B16" s="1878" t="str">
        <f>UPPER('KEY INPUTS'!D52) &amp;" UTILITY  CAPITAL  BONDS"</f>
        <v>WATER/SEWER UTILITY UTILITY  CAPITAL  BONDS</v>
      </c>
      <c r="C16" s="1878"/>
      <c r="D16" s="1878"/>
      <c r="E16" s="1878"/>
      <c r="F16" s="1878"/>
      <c r="G16" s="1878"/>
      <c r="H16" s="1878"/>
      <c r="I16" s="1879"/>
      <c r="O16" s="315"/>
      <c r="P16" s="315"/>
      <c r="Q16" s="315"/>
      <c r="R16" s="315"/>
      <c r="S16" s="315"/>
      <c r="T16" s="315"/>
      <c r="U16" s="315"/>
    </row>
    <row r="17" spans="2:21" ht="21" customHeight="1" thickTop="1">
      <c r="B17" s="467" t="str">
        <f>'KEY INPUTS'!D27</f>
        <v>Outstanding - January 1, 2020</v>
      </c>
      <c r="C17" s="450"/>
      <c r="D17" s="450"/>
      <c r="E17" s="450"/>
      <c r="F17" s="450"/>
      <c r="G17" s="1153" t="s">
        <v>662</v>
      </c>
      <c r="H17" s="1724">
        <v>0</v>
      </c>
      <c r="I17" s="1725"/>
      <c r="O17" s="315"/>
      <c r="P17" s="315"/>
      <c r="Q17" s="315"/>
      <c r="R17" s="315"/>
      <c r="S17" s="315"/>
      <c r="T17" s="315"/>
      <c r="U17" s="315"/>
    </row>
    <row r="18" spans="2:21" ht="21" customHeight="1">
      <c r="B18" s="395" t="s">
        <v>97</v>
      </c>
      <c r="C18" s="395"/>
      <c r="D18" s="395"/>
      <c r="E18" s="395"/>
      <c r="F18" s="395"/>
      <c r="G18" s="1156" t="s">
        <v>662</v>
      </c>
      <c r="H18" s="1722">
        <v>5395000</v>
      </c>
      <c r="I18" s="1723"/>
      <c r="O18" s="315"/>
      <c r="P18" s="315"/>
      <c r="Q18" s="315"/>
      <c r="R18" s="315"/>
      <c r="S18" s="315"/>
      <c r="T18" s="315"/>
      <c r="U18" s="315"/>
    </row>
    <row r="19" spans="2:21" ht="21" customHeight="1">
      <c r="B19" s="395" t="s">
        <v>268</v>
      </c>
      <c r="C19" s="395"/>
      <c r="D19" s="395"/>
      <c r="E19" s="395"/>
      <c r="F19" s="395"/>
      <c r="G19" s="593">
        <v>0</v>
      </c>
      <c r="H19" s="1874" t="s">
        <v>662</v>
      </c>
      <c r="I19" s="1875"/>
      <c r="O19" s="315"/>
      <c r="P19" s="315"/>
      <c r="Q19" s="315"/>
      <c r="R19" s="315"/>
      <c r="S19" s="315"/>
      <c r="T19" s="315"/>
      <c r="U19" s="315"/>
    </row>
    <row r="20" spans="2:21" ht="21" customHeight="1">
      <c r="B20" s="395"/>
      <c r="C20" s="395"/>
      <c r="D20" s="395"/>
      <c r="E20" s="395"/>
      <c r="F20" s="395"/>
      <c r="G20" s="680"/>
      <c r="H20" s="1860"/>
      <c r="I20" s="1861"/>
      <c r="O20" s="315"/>
      <c r="P20" s="315"/>
      <c r="Q20" s="315"/>
      <c r="R20" s="315"/>
      <c r="S20" s="315"/>
      <c r="T20" s="315"/>
      <c r="U20" s="315"/>
    </row>
    <row r="21" spans="2:21" ht="21" customHeight="1">
      <c r="B21" s="395"/>
      <c r="C21" s="395"/>
      <c r="D21" s="395"/>
      <c r="E21" s="395"/>
      <c r="F21" s="395"/>
      <c r="G21" s="680"/>
      <c r="H21" s="1860"/>
      <c r="I21" s="1861"/>
      <c r="O21" s="315"/>
      <c r="P21" s="315"/>
      <c r="Q21" s="315"/>
      <c r="R21" s="315"/>
      <c r="S21" s="315"/>
      <c r="T21" s="315"/>
      <c r="U21" s="315"/>
    </row>
    <row r="22" spans="2:21" ht="21" customHeight="1" thickBot="1">
      <c r="B22" s="395" t="str">
        <f>'KEY INPUTS'!D28</f>
        <v>Outstanding - December 31, 2020</v>
      </c>
      <c r="C22" s="395"/>
      <c r="D22" s="395"/>
      <c r="E22" s="395"/>
      <c r="F22" s="395"/>
      <c r="G22" s="1111">
        <f>+H17+H18-G19-G20-G21+H20+H21</f>
        <v>5395000</v>
      </c>
      <c r="H22" s="1870" t="s">
        <v>662</v>
      </c>
      <c r="I22" s="1871"/>
      <c r="O22" s="315"/>
      <c r="P22" s="315"/>
      <c r="Q22" s="315"/>
      <c r="R22" s="315"/>
      <c r="S22" s="315"/>
      <c r="T22" s="315"/>
      <c r="U22" s="315"/>
    </row>
    <row r="23" spans="2:21" ht="21" customHeight="1" thickBot="1">
      <c r="G23" s="1113">
        <f>SUM(G17:G22)</f>
        <v>5395000</v>
      </c>
      <c r="H23" s="1858">
        <f>SUM(H17:I22)</f>
        <v>5395000</v>
      </c>
      <c r="I23" s="1859"/>
    </row>
    <row r="24" spans="2:21" ht="21" customHeight="1" thickTop="1">
      <c r="B24" s="494" t="str">
        <f>TEXT('KEY INPUTS'!D34+1,"0")&amp;" Bond Maturities - Capital Bonds"</f>
        <v>2021 Bond Maturities - Capital Bonds</v>
      </c>
      <c r="C24" s="444"/>
      <c r="D24" s="444"/>
      <c r="E24" s="444"/>
      <c r="F24" s="444"/>
      <c r="G24" s="444"/>
      <c r="H24" s="444"/>
      <c r="I24" s="910"/>
      <c r="J24" s="444" t="s">
        <v>397</v>
      </c>
      <c r="K24" s="1748">
        <v>175000</v>
      </c>
      <c r="L24" s="1748"/>
    </row>
    <row r="25" spans="2:21" ht="21" customHeight="1" thickBot="1">
      <c r="B25" s="491" t="str">
        <f>TEXT('KEY INPUTS'!D34+1,"0")&amp;" Interest on Bonds"</f>
        <v>2021 Interest on Bonds</v>
      </c>
      <c r="C25" s="481"/>
      <c r="D25" s="481"/>
      <c r="E25" s="481"/>
      <c r="F25" s="481"/>
      <c r="G25" s="492"/>
      <c r="H25" s="481" t="s">
        <v>397</v>
      </c>
      <c r="I25" s="600">
        <v>143688.16</v>
      </c>
      <c r="J25" s="482"/>
      <c r="K25" s="481"/>
      <c r="L25" s="491" t="s">
        <v>3190</v>
      </c>
    </row>
    <row r="26" spans="2:21" ht="21" customHeight="1" thickTop="1"/>
    <row r="27" spans="2:21" ht="19.5" customHeight="1" thickBot="1">
      <c r="B27" s="1878" t="str">
        <f>"INTEREST  ON  BONDS  -  "&amp;UPPER('KEY INPUTS'!D52)&amp;"  UTILITY  BUDGET"</f>
        <v>INTEREST  ON  BONDS  -  WATER/SEWER UTILITY  UTILITY  BUDGET</v>
      </c>
      <c r="C27" s="1878"/>
      <c r="D27" s="1878"/>
      <c r="E27" s="1878"/>
      <c r="F27" s="1878"/>
      <c r="G27" s="1878"/>
      <c r="H27" s="1878"/>
      <c r="I27" s="1878"/>
      <c r="J27" s="1878"/>
      <c r="K27" s="1878"/>
      <c r="L27" s="1878"/>
    </row>
    <row r="28" spans="2:21" ht="21" customHeight="1" thickTop="1">
      <c r="B28" s="490" t="str">
        <f>TEXT('KEY INPUTS'!D34+1,"0")&amp;" Interest on Bonds (*Items)"</f>
        <v>2021 Interest on Bonds (*Items)</v>
      </c>
      <c r="C28" s="450"/>
      <c r="D28" s="450"/>
      <c r="E28" s="450"/>
      <c r="F28" s="450"/>
      <c r="G28" s="450"/>
      <c r="H28" s="450" t="s">
        <v>397</v>
      </c>
      <c r="I28" s="1212">
        <f>+I14+I25</f>
        <v>143688.16</v>
      </c>
      <c r="O28" s="457"/>
      <c r="P28" s="457"/>
      <c r="Q28" s="457"/>
      <c r="R28" s="457"/>
    </row>
    <row r="29" spans="2:21" ht="21" customHeight="1">
      <c r="B29" s="399" t="str">
        <f>"Less: Interest Accrued to "&amp;TEXT('KEY INPUTS'!D29,"mm/dd/yyy")&amp;" (Trial Balance)"</f>
        <v>Less: Interest Accrued to 12/31/2020 (Trial Balance)</v>
      </c>
      <c r="C29" s="395"/>
      <c r="D29" s="395"/>
      <c r="E29" s="395"/>
      <c r="F29" s="395"/>
      <c r="G29" s="395"/>
      <c r="H29" s="395" t="s">
        <v>397</v>
      </c>
      <c r="I29" s="663">
        <v>13301.44</v>
      </c>
      <c r="O29" s="457"/>
      <c r="P29" s="457"/>
      <c r="Q29" s="457"/>
      <c r="R29" s="457"/>
    </row>
    <row r="30" spans="2:21" ht="21" customHeight="1">
      <c r="B30" s="395"/>
      <c r="C30" s="395" t="s">
        <v>337</v>
      </c>
      <c r="D30" s="395"/>
      <c r="E30" s="395"/>
      <c r="F30" s="395"/>
      <c r="G30" s="395"/>
      <c r="H30" s="395" t="s">
        <v>397</v>
      </c>
      <c r="I30" s="1213">
        <f>+I28-I29</f>
        <v>130386.72</v>
      </c>
      <c r="O30" s="457"/>
      <c r="P30" s="457"/>
      <c r="Q30" s="457"/>
      <c r="R30" s="457"/>
    </row>
    <row r="31" spans="2:21" ht="21" customHeight="1">
      <c r="B31" s="399" t="str">
        <f>"Add: Interest to be Accrued as of "&amp;TEXT('KEY INPUTS'!D30,"mm/dd/yyyy")&amp;""</f>
        <v>Add: Interest to be Accrued as of 12/31/2021</v>
      </c>
      <c r="C31" s="395"/>
      <c r="D31" s="395"/>
      <c r="E31" s="395"/>
      <c r="F31" s="395"/>
      <c r="G31" s="395"/>
      <c r="H31" s="395" t="s">
        <v>397</v>
      </c>
      <c r="I31" s="663">
        <v>14535.16</v>
      </c>
      <c r="O31" s="457"/>
      <c r="P31" s="457"/>
      <c r="Q31" s="457"/>
      <c r="R31" s="457"/>
    </row>
    <row r="32" spans="2:21" ht="21" customHeight="1">
      <c r="B32" s="399" t="str">
        <f>"Required Appropriation "&amp;TEXT('KEY INPUTS'!D34+1,"0")</f>
        <v>Required Appropriation 2021</v>
      </c>
      <c r="C32" s="395"/>
      <c r="D32" s="395"/>
      <c r="E32" s="395"/>
      <c r="F32" s="395"/>
      <c r="G32" s="395"/>
      <c r="H32" s="395"/>
      <c r="I32" s="911"/>
      <c r="J32" s="484" t="s">
        <v>397</v>
      </c>
      <c r="K32" s="1880">
        <f>+I30+I31</f>
        <v>144921.88</v>
      </c>
      <c r="L32" s="1881"/>
      <c r="O32" s="457"/>
      <c r="P32" s="457"/>
      <c r="Q32" s="457"/>
      <c r="R32" s="457"/>
    </row>
    <row r="33" spans="2:12" ht="13.5" customHeight="1">
      <c r="B33" s="460"/>
      <c r="C33" s="460"/>
      <c r="D33" s="460"/>
      <c r="E33" s="460"/>
      <c r="F33" s="460"/>
      <c r="G33" s="460"/>
      <c r="H33" s="460"/>
      <c r="I33" s="460"/>
      <c r="J33" s="460"/>
      <c r="K33" s="488"/>
      <c r="L33" s="487"/>
    </row>
    <row r="34" spans="2:12" ht="13.5" customHeight="1">
      <c r="B34" s="460"/>
      <c r="C34" s="460"/>
      <c r="D34" s="460"/>
      <c r="E34" s="460"/>
      <c r="F34" s="460"/>
      <c r="G34" s="460"/>
      <c r="H34" s="460"/>
      <c r="I34" s="460"/>
      <c r="J34" s="460"/>
      <c r="K34" s="488"/>
      <c r="L34" s="487"/>
    </row>
    <row r="35" spans="2:12" ht="21" customHeight="1" thickBot="1">
      <c r="B35" s="1869" t="str">
        <f>"LIST  OF  BONDS  ISSUED  DURING  "&amp;TEXT('KEY INPUTS'!D34,"0")&amp;""</f>
        <v>LIST  OF  BONDS  ISSUED  DURING  2020</v>
      </c>
      <c r="C35" s="1869"/>
      <c r="D35" s="1869"/>
      <c r="E35" s="1869"/>
      <c r="F35" s="1869"/>
      <c r="G35" s="1869"/>
      <c r="H35" s="1869"/>
      <c r="I35" s="1869"/>
      <c r="J35" s="1869"/>
      <c r="K35" s="1869"/>
      <c r="L35" s="1869"/>
    </row>
    <row r="36" spans="2:12" ht="27" customHeight="1" thickTop="1" thickBot="1">
      <c r="B36" s="1810" t="s">
        <v>440</v>
      </c>
      <c r="C36" s="1810"/>
      <c r="D36" s="1810"/>
      <c r="E36" s="1810"/>
      <c r="F36" s="1810"/>
      <c r="G36" s="486" t="str">
        <f>TEXT('KEY INPUTS'!D33,"0")&amp;" Maturity"</f>
        <v>2021 Maturity</v>
      </c>
      <c r="H36" s="1866" t="s">
        <v>96</v>
      </c>
      <c r="I36" s="1811"/>
      <c r="J36" s="1864" t="s">
        <v>94</v>
      </c>
      <c r="K36" s="1865"/>
      <c r="L36" s="485" t="s">
        <v>95</v>
      </c>
    </row>
    <row r="37" spans="2:12" ht="21" customHeight="1" thickTop="1">
      <c r="B37" s="664" t="s">
        <v>3712</v>
      </c>
      <c r="C37" s="664"/>
      <c r="D37" s="664"/>
      <c r="E37" s="664"/>
      <c r="F37" s="664"/>
      <c r="G37" s="597">
        <v>175000</v>
      </c>
      <c r="H37" s="1724">
        <v>5395000</v>
      </c>
      <c r="I37" s="1725"/>
      <c r="J37" s="1882">
        <v>44126</v>
      </c>
      <c r="K37" s="1883"/>
      <c r="L37" s="908" t="s">
        <v>3713</v>
      </c>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481"/>
      <c r="C41" s="481"/>
      <c r="D41" s="481"/>
      <c r="E41" s="481"/>
      <c r="F41" s="483"/>
      <c r="G41" s="1113">
        <f>SUM(G37:G40)</f>
        <v>175000</v>
      </c>
      <c r="H41" s="1876">
        <f>SUM(H37:I40)</f>
        <v>5395000</v>
      </c>
      <c r="I41" s="1877"/>
      <c r="J41" s="482"/>
      <c r="K41" s="1214"/>
      <c r="L41" s="1215"/>
    </row>
    <row r="42" spans="2:12" ht="13.8" thickTop="1">
      <c r="G42" s="446"/>
      <c r="H42" s="446"/>
      <c r="I42" s="446"/>
    </row>
    <row r="50" spans="2:12" ht="13.8">
      <c r="B50" s="1799" t="s">
        <v>3224</v>
      </c>
      <c r="C50" s="1799"/>
      <c r="D50" s="1799"/>
      <c r="E50" s="1799"/>
      <c r="F50" s="1799"/>
      <c r="G50" s="1799"/>
      <c r="H50" s="1799"/>
      <c r="I50" s="1799"/>
      <c r="J50" s="1799"/>
      <c r="K50" s="1799"/>
      <c r="L50" s="1799"/>
    </row>
  </sheetData>
  <sheetProtection algorithmName="SHA-512" hashValue="mRPO0EwvPFhUIMP9P540usD+CHXUs6NImBCyUHwDd09Lr4vjPUweu4b3I2k8tTrUo71tOVl+VGkCt8gfFzlAbw==" saltValue="Dnf3HFdSBOHvDI3QCY6zhQ==" spinCount="100000" sheet="1" objects="1" scenarios="1"/>
  <mergeCells count="37">
    <mergeCell ref="H41:I41"/>
    <mergeCell ref="H39:I39"/>
    <mergeCell ref="H40:I40"/>
    <mergeCell ref="B16:I16"/>
    <mergeCell ref="B27:L27"/>
    <mergeCell ref="K32:L32"/>
    <mergeCell ref="J40:K40"/>
    <mergeCell ref="J37:K37"/>
    <mergeCell ref="J38:K38"/>
    <mergeCell ref="H37:I37"/>
    <mergeCell ref="K24:L24"/>
    <mergeCell ref="H10:I10"/>
    <mergeCell ref="H11:I11"/>
    <mergeCell ref="H17:I17"/>
    <mergeCell ref="H19:I19"/>
    <mergeCell ref="H18:I18"/>
    <mergeCell ref="B2:L2"/>
    <mergeCell ref="B3:L3"/>
    <mergeCell ref="B4:L4"/>
    <mergeCell ref="J6:L6"/>
    <mergeCell ref="H6:I6"/>
    <mergeCell ref="B50:L50"/>
    <mergeCell ref="H7:I7"/>
    <mergeCell ref="H8:I8"/>
    <mergeCell ref="H12:I12"/>
    <mergeCell ref="B36:F36"/>
    <mergeCell ref="K13:L13"/>
    <mergeCell ref="H23:I23"/>
    <mergeCell ref="H20:I20"/>
    <mergeCell ref="H21:I21"/>
    <mergeCell ref="J39:K39"/>
    <mergeCell ref="J36:K36"/>
    <mergeCell ref="H36:I36"/>
    <mergeCell ref="B15:I15"/>
    <mergeCell ref="B35:L35"/>
    <mergeCell ref="H38:I38"/>
    <mergeCell ref="H22:I22"/>
  </mergeCells>
  <pageMargins left="0.25" right="0.25" top="0.5" bottom="0.5" header="0.25" footer="0.25"/>
  <pageSetup paperSize="5" orientation="portrait" r:id="rId1"/>
  <headerFooter alignWithMargins="0"/>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6">
    <tabColor theme="6" tint="0.39997558519241921"/>
  </sheetPr>
  <dimension ref="B2:U51"/>
  <sheetViews>
    <sheetView topLeftCell="A16" zoomScaleNormal="100" zoomScaleSheetLayoutView="80" workbookViewId="0">
      <selection activeCell="B38" sqref="B38"/>
    </sheetView>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854" t="s">
        <v>510</v>
      </c>
      <c r="C2" s="1854"/>
      <c r="D2" s="1854"/>
      <c r="E2" s="1854"/>
      <c r="F2" s="1854"/>
      <c r="G2" s="1854"/>
      <c r="H2" s="1854"/>
      <c r="I2" s="1854"/>
      <c r="J2" s="1854"/>
      <c r="K2" s="1854"/>
      <c r="L2" s="1854"/>
    </row>
    <row r="3" spans="2:21" ht="20.399999999999999">
      <c r="B3" s="1893" t="str">
        <f>"AND  "&amp;TEXT('KEY INPUTS'!D34+1,"0")&amp;"  DEBT  SERVICE  FOR  LOANS"</f>
        <v>AND  2021  DEBT  SERVICE  FOR  LOANS</v>
      </c>
      <c r="C3" s="1893"/>
      <c r="D3" s="1893"/>
      <c r="E3" s="1893"/>
      <c r="F3" s="1893"/>
      <c r="G3" s="1893"/>
      <c r="H3" s="1893"/>
      <c r="I3" s="1893"/>
      <c r="J3" s="1893"/>
      <c r="K3" s="1893"/>
      <c r="L3" s="1893"/>
    </row>
    <row r="4" spans="2:21" ht="15.6">
      <c r="B4" s="1894" t="str">
        <f>UPPER('KEY INPUTS'!D$52)&amp;"  UTILITY"&amp;" ________________ LOAN"</f>
        <v>WATER/SEWER UTILITY  UTILITY ________________ LOAN</v>
      </c>
      <c r="C4" s="1894"/>
      <c r="D4" s="1894"/>
      <c r="E4" s="1894"/>
      <c r="F4" s="1894"/>
      <c r="G4" s="1894"/>
      <c r="H4" s="1894"/>
      <c r="I4" s="1894"/>
      <c r="J4" s="1894"/>
      <c r="K4" s="1894"/>
      <c r="L4" s="1894"/>
    </row>
    <row r="5" spans="2:21" ht="9.75" customHeight="1" thickBot="1">
      <c r="B5" s="510"/>
      <c r="C5" s="510"/>
      <c r="D5" s="510"/>
      <c r="E5" s="510"/>
      <c r="F5" s="510"/>
      <c r="G5" s="510"/>
      <c r="H5" s="510"/>
      <c r="I5" s="510"/>
      <c r="J5" s="510"/>
      <c r="K5" s="510"/>
      <c r="L5" s="510"/>
    </row>
    <row r="6" spans="2:21" ht="27.75" customHeight="1" thickTop="1" thickBot="1">
      <c r="B6" s="509"/>
      <c r="C6" s="509"/>
      <c r="D6" s="509"/>
      <c r="E6" s="509"/>
      <c r="F6" s="509"/>
      <c r="G6" s="403" t="s">
        <v>101</v>
      </c>
      <c r="H6" s="1889" t="s">
        <v>102</v>
      </c>
      <c r="I6" s="1890"/>
      <c r="J6" s="1872" t="str">
        <f>'KEY INPUTS'!D33&amp;" Debt
Service"</f>
        <v>2021 Debt
Service</v>
      </c>
      <c r="K6" s="1873"/>
      <c r="L6" s="1873"/>
      <c r="O6" s="315"/>
      <c r="P6" s="315"/>
      <c r="Q6" s="315"/>
      <c r="R6" s="315"/>
      <c r="S6" s="315"/>
      <c r="T6" s="315"/>
      <c r="U6" s="315"/>
    </row>
    <row r="7" spans="2:21" ht="21" customHeight="1" thickTop="1">
      <c r="B7" s="467" t="str">
        <f>'KEY INPUTS'!D27</f>
        <v>Outstanding - January 1, 2020</v>
      </c>
      <c r="C7" s="408"/>
      <c r="D7" s="408"/>
      <c r="E7" s="408"/>
      <c r="F7" s="408"/>
      <c r="G7" s="143" t="s">
        <v>662</v>
      </c>
      <c r="H7" s="1724">
        <v>0</v>
      </c>
      <c r="I7" s="1725"/>
      <c r="O7" s="315"/>
      <c r="P7" s="315"/>
      <c r="Q7" s="315"/>
      <c r="R7" s="315"/>
      <c r="S7" s="315"/>
      <c r="T7" s="315"/>
      <c r="U7" s="315"/>
    </row>
    <row r="8" spans="2:21" ht="21" customHeight="1">
      <c r="B8" s="395" t="s">
        <v>97</v>
      </c>
      <c r="C8" s="327"/>
      <c r="D8" s="327"/>
      <c r="E8" s="327"/>
      <c r="F8" s="327"/>
      <c r="G8" s="144" t="s">
        <v>662</v>
      </c>
      <c r="H8" s="1722">
        <v>0</v>
      </c>
      <c r="I8" s="1723"/>
      <c r="O8" s="370"/>
      <c r="P8" s="315"/>
      <c r="Q8" s="315"/>
      <c r="R8" s="315"/>
      <c r="S8" s="315"/>
      <c r="T8" s="315"/>
      <c r="U8" s="315"/>
    </row>
    <row r="9" spans="2:21" ht="21" customHeight="1">
      <c r="B9" s="639"/>
      <c r="C9" s="639"/>
      <c r="D9" s="639"/>
      <c r="E9" s="639"/>
      <c r="F9" s="639"/>
      <c r="G9" s="674"/>
      <c r="H9" s="1722"/>
      <c r="I9" s="1723"/>
      <c r="O9" s="315"/>
      <c r="P9" s="315"/>
      <c r="Q9" s="315"/>
      <c r="R9" s="315"/>
      <c r="S9" s="315"/>
      <c r="T9" s="315"/>
      <c r="U9" s="315"/>
    </row>
    <row r="10" spans="2:21" ht="21" customHeight="1">
      <c r="B10" s="395" t="s">
        <v>268</v>
      </c>
      <c r="C10" s="327"/>
      <c r="D10" s="327"/>
      <c r="E10" s="327"/>
      <c r="F10" s="327"/>
      <c r="G10" s="593">
        <v>0</v>
      </c>
      <c r="H10" s="1697" t="s">
        <v>662</v>
      </c>
      <c r="I10" s="1698"/>
      <c r="O10" s="315"/>
      <c r="P10" s="315"/>
      <c r="Q10" s="315"/>
      <c r="R10" s="315"/>
      <c r="S10" s="315"/>
      <c r="T10" s="315"/>
      <c r="U10" s="315"/>
    </row>
    <row r="11" spans="2:21" ht="21" customHeight="1" thickBot="1">
      <c r="B11" s="395" t="str">
        <f>'KEY INPUTS'!D28</f>
        <v>Outstanding - December 31, 2020</v>
      </c>
      <c r="C11" s="327"/>
      <c r="D11" s="327"/>
      <c r="E11" s="327"/>
      <c r="F11" s="327"/>
      <c r="G11" s="139">
        <f>+H7+H8-G10+H9-G9</f>
        <v>0</v>
      </c>
      <c r="H11" s="1701" t="s">
        <v>662</v>
      </c>
      <c r="I11" s="1702"/>
      <c r="O11" s="315"/>
      <c r="P11" s="315"/>
      <c r="Q11" s="315"/>
      <c r="R11" s="315"/>
      <c r="S11" s="315"/>
      <c r="T11" s="315"/>
      <c r="U11" s="315"/>
    </row>
    <row r="12" spans="2:21" ht="21" customHeight="1" thickBot="1">
      <c r="B12" s="391"/>
      <c r="G12" s="135">
        <f>SUM(G7:G11)</f>
        <v>0</v>
      </c>
      <c r="H12" s="1753">
        <f>SUM(H7:I11)</f>
        <v>0</v>
      </c>
      <c r="I12" s="1754"/>
      <c r="O12" s="315"/>
      <c r="P12" s="315"/>
      <c r="Q12" s="315"/>
      <c r="R12" s="315"/>
      <c r="S12" s="315"/>
      <c r="T12" s="315"/>
      <c r="U12" s="315"/>
    </row>
    <row r="13" spans="2:21" ht="21" customHeight="1" thickTop="1">
      <c r="B13" s="494" t="str">
        <f>TEXT('KEY INPUTS'!D34+1,"0")&amp;" Loan Maturities"</f>
        <v>2021 Loan Maturities</v>
      </c>
      <c r="C13" s="472"/>
      <c r="D13" s="472"/>
      <c r="E13" s="472"/>
      <c r="F13" s="472"/>
      <c r="G13" s="472"/>
      <c r="H13" s="472"/>
      <c r="I13" s="508"/>
      <c r="J13" s="472" t="s">
        <v>397</v>
      </c>
      <c r="K13" s="1748">
        <v>0</v>
      </c>
      <c r="L13" s="1748"/>
      <c r="O13" s="315"/>
      <c r="P13" s="315"/>
      <c r="Q13" s="315"/>
      <c r="R13" s="315"/>
      <c r="S13" s="315"/>
      <c r="T13" s="315"/>
      <c r="U13" s="315"/>
    </row>
    <row r="14" spans="2:21" ht="21" customHeight="1" thickBot="1">
      <c r="B14" s="491" t="str">
        <f>TEXT('KEY INPUTS'!D34+1,"0")&amp;" Interest on Loans"</f>
        <v>2021 Interest on Loans</v>
      </c>
      <c r="C14" s="406"/>
      <c r="D14" s="406"/>
      <c r="E14" s="406"/>
      <c r="F14" s="406"/>
      <c r="G14" s="507"/>
      <c r="H14" s="406" t="s">
        <v>397</v>
      </c>
      <c r="I14" s="665">
        <v>0</v>
      </c>
      <c r="O14" s="315"/>
      <c r="P14" s="315"/>
      <c r="Q14" s="315"/>
      <c r="R14" s="315"/>
      <c r="S14" s="315"/>
      <c r="T14" s="315"/>
      <c r="U14" s="315"/>
    </row>
    <row r="15" spans="2:21" ht="16.5" customHeight="1" thickTop="1">
      <c r="B15" s="1891"/>
      <c r="C15" s="1891"/>
      <c r="D15" s="1891"/>
      <c r="E15" s="1891"/>
      <c r="F15" s="1891"/>
      <c r="G15" s="1891"/>
      <c r="H15" s="1891"/>
      <c r="I15" s="1892"/>
      <c r="O15" s="315"/>
      <c r="P15" s="315"/>
      <c r="Q15" s="315"/>
      <c r="R15" s="315"/>
      <c r="S15" s="315"/>
      <c r="T15" s="315"/>
      <c r="U15" s="315"/>
    </row>
    <row r="16" spans="2:21" ht="26.25" customHeight="1" thickBot="1">
      <c r="B16" s="1878" t="str">
        <f>UPPER('KEY INPUTS'!D$52)&amp;"  UTILITY"&amp;" ________________ LOAN"</f>
        <v>WATER/SEWER UTILITY  UTILITY ________________ LOAN</v>
      </c>
      <c r="C16" s="1878"/>
      <c r="D16" s="1878"/>
      <c r="E16" s="1878"/>
      <c r="F16" s="1878"/>
      <c r="G16" s="1878"/>
      <c r="H16" s="1878"/>
      <c r="I16" s="1879"/>
      <c r="O16" s="315"/>
      <c r="P16" s="315"/>
      <c r="Q16" s="315"/>
      <c r="R16" s="315"/>
      <c r="S16" s="315"/>
      <c r="T16" s="315"/>
      <c r="U16" s="315"/>
    </row>
    <row r="17" spans="2:21" ht="21" customHeight="1" thickTop="1">
      <c r="B17" s="467" t="str">
        <f>'KEY INPUTS'!D27</f>
        <v>Outstanding - January 1, 2020</v>
      </c>
      <c r="C17" s="408"/>
      <c r="D17" s="408"/>
      <c r="E17" s="408"/>
      <c r="F17" s="408"/>
      <c r="G17" s="143" t="s">
        <v>662</v>
      </c>
      <c r="H17" s="1724">
        <v>0</v>
      </c>
      <c r="I17" s="1725"/>
      <c r="O17" s="315"/>
      <c r="P17" s="315"/>
      <c r="Q17" s="315"/>
      <c r="R17" s="315"/>
      <c r="S17" s="315"/>
      <c r="T17" s="315"/>
      <c r="U17" s="315"/>
    </row>
    <row r="18" spans="2:21" ht="21" customHeight="1">
      <c r="B18" s="395" t="s">
        <v>97</v>
      </c>
      <c r="C18" s="327"/>
      <c r="D18" s="327"/>
      <c r="E18" s="327"/>
      <c r="F18" s="327"/>
      <c r="G18" s="144" t="s">
        <v>662</v>
      </c>
      <c r="H18" s="1722">
        <v>0</v>
      </c>
      <c r="I18" s="1723"/>
      <c r="O18" s="315"/>
      <c r="P18" s="315"/>
      <c r="Q18" s="315"/>
      <c r="R18" s="315"/>
      <c r="S18" s="315"/>
      <c r="T18" s="315"/>
      <c r="U18" s="315"/>
    </row>
    <row r="19" spans="2:21" ht="21" customHeight="1">
      <c r="B19" s="395" t="s">
        <v>268</v>
      </c>
      <c r="C19" s="327"/>
      <c r="D19" s="327"/>
      <c r="E19" s="327"/>
      <c r="F19" s="327"/>
      <c r="G19" s="593">
        <v>0</v>
      </c>
      <c r="H19" s="1697" t="s">
        <v>662</v>
      </c>
      <c r="I19" s="1698"/>
      <c r="O19" s="315"/>
      <c r="P19" s="315"/>
      <c r="Q19" s="315"/>
      <c r="R19" s="315"/>
      <c r="S19" s="315"/>
      <c r="T19" s="315"/>
      <c r="U19" s="315"/>
    </row>
    <row r="20" spans="2:21" ht="21" customHeight="1">
      <c r="B20" s="395"/>
      <c r="C20" s="327"/>
      <c r="D20" s="327"/>
      <c r="E20" s="327"/>
      <c r="F20" s="327"/>
      <c r="G20" s="118"/>
      <c r="H20" s="1885"/>
      <c r="I20" s="1886"/>
      <c r="O20" s="315"/>
      <c r="P20" s="315"/>
      <c r="Q20" s="315"/>
      <c r="R20" s="315"/>
      <c r="S20" s="315"/>
      <c r="T20" s="315"/>
      <c r="U20" s="315"/>
    </row>
    <row r="21" spans="2:21" ht="21" customHeight="1">
      <c r="B21" s="395"/>
      <c r="C21" s="327"/>
      <c r="D21" s="327"/>
      <c r="E21" s="327"/>
      <c r="F21" s="327"/>
      <c r="G21" s="118"/>
      <c r="H21" s="1885"/>
      <c r="I21" s="1886"/>
      <c r="O21" s="315"/>
      <c r="P21" s="315"/>
      <c r="Q21" s="315"/>
      <c r="R21" s="315"/>
      <c r="S21" s="315"/>
      <c r="T21" s="315"/>
      <c r="U21" s="315"/>
    </row>
    <row r="22" spans="2:21" ht="21" customHeight="1" thickBot="1">
      <c r="B22" s="395" t="str">
        <f>'KEY INPUTS'!D28</f>
        <v>Outstanding - December 31, 2020</v>
      </c>
      <c r="C22" s="327"/>
      <c r="D22" s="327"/>
      <c r="E22" s="327"/>
      <c r="F22" s="327"/>
      <c r="G22" s="139">
        <f>+H17+H18-G19-G20-G21+H20+H21</f>
        <v>0</v>
      </c>
      <c r="H22" s="1701" t="s">
        <v>662</v>
      </c>
      <c r="I22" s="1702"/>
      <c r="O22" s="315"/>
      <c r="P22" s="315"/>
      <c r="Q22" s="315"/>
      <c r="R22" s="315"/>
      <c r="S22" s="315"/>
      <c r="T22" s="315"/>
      <c r="U22" s="315"/>
    </row>
    <row r="23" spans="2:21" ht="21" customHeight="1" thickBot="1">
      <c r="B23" s="391"/>
      <c r="G23" s="135">
        <f>SUM(G17:G22)</f>
        <v>0</v>
      </c>
      <c r="H23" s="1753">
        <f>SUM(H17:I22)</f>
        <v>0</v>
      </c>
      <c r="I23" s="1754"/>
    </row>
    <row r="24" spans="2:21" ht="21" customHeight="1" thickTop="1">
      <c r="B24" s="494" t="str">
        <f>TEXT('KEY INPUTS'!D34+1,"0")&amp;" Loan Maturities"</f>
        <v>2021 Loan Maturities</v>
      </c>
      <c r="C24" s="472"/>
      <c r="D24" s="472"/>
      <c r="E24" s="472"/>
      <c r="F24" s="472"/>
      <c r="G24" s="472"/>
      <c r="H24" s="472"/>
      <c r="I24" s="508"/>
      <c r="J24" s="472" t="s">
        <v>397</v>
      </c>
      <c r="K24" s="1748">
        <v>0</v>
      </c>
      <c r="L24" s="1748"/>
    </row>
    <row r="25" spans="2:21" ht="21" customHeight="1" thickBot="1">
      <c r="B25" s="491" t="str">
        <f>TEXT('KEY INPUTS'!D34+1,"0")&amp;" Interest on Loans"</f>
        <v>2021 Interest on Loans</v>
      </c>
      <c r="C25" s="406"/>
      <c r="D25" s="406"/>
      <c r="E25" s="406"/>
      <c r="F25" s="406"/>
      <c r="G25" s="507"/>
      <c r="H25" s="406" t="s">
        <v>397</v>
      </c>
      <c r="I25" s="600">
        <v>0</v>
      </c>
      <c r="J25" s="498"/>
      <c r="K25" s="406"/>
      <c r="L25" s="406"/>
    </row>
    <row r="26" spans="2:21" ht="21" customHeight="1" thickTop="1"/>
    <row r="27" spans="2:21" ht="19.5" customHeight="1" thickBot="1">
      <c r="B27" s="1878" t="str">
        <f>"INTEREST  ON  LOANS  - "&amp;UPPER('KEY INPUTS'!D52)&amp;"  UTILITY  BUDGET"</f>
        <v>INTEREST  ON  LOANS  - WATER/SEWER UTILITY  UTILITY  BUDGET</v>
      </c>
      <c r="C27" s="1878"/>
      <c r="D27" s="1878"/>
      <c r="E27" s="1878"/>
      <c r="F27" s="1878"/>
      <c r="G27" s="1878"/>
      <c r="H27" s="1878"/>
      <c r="I27" s="1878"/>
      <c r="J27" s="1878"/>
      <c r="K27" s="1878"/>
      <c r="L27" s="1878"/>
    </row>
    <row r="28" spans="2:21" ht="21" customHeight="1" thickTop="1">
      <c r="B28" s="490" t="str">
        <f>TEXT('KEY INPUTS'!D34+1,"0")&amp;" Interest on Loans (*Items)"</f>
        <v>2021 Interest on Loans (*Items)</v>
      </c>
      <c r="C28" s="450"/>
      <c r="D28" s="408"/>
      <c r="E28" s="408"/>
      <c r="F28" s="408"/>
      <c r="G28" s="408"/>
      <c r="H28" s="408" t="s">
        <v>397</v>
      </c>
      <c r="I28" s="506">
        <f>+I25+I14</f>
        <v>0</v>
      </c>
    </row>
    <row r="29" spans="2:21" ht="21" customHeight="1">
      <c r="B29" s="399" t="str">
        <f>"Less: Interest Accrued to "&amp;TEXT('KEY INPUTS'!D29,"mm/dd/yyy")&amp;" (Trial Balance)"</f>
        <v>Less: Interest Accrued to 12/31/2020 (Trial Balance)</v>
      </c>
      <c r="C29" s="395"/>
      <c r="D29" s="327"/>
      <c r="E29" s="327"/>
      <c r="F29" s="327"/>
      <c r="G29" s="327"/>
      <c r="H29" s="327" t="s">
        <v>397</v>
      </c>
      <c r="I29" s="592">
        <v>0</v>
      </c>
    </row>
    <row r="30" spans="2:21" ht="21" customHeight="1">
      <c r="B30" s="395"/>
      <c r="C30" s="395" t="s">
        <v>337</v>
      </c>
      <c r="D30" s="327"/>
      <c r="E30" s="327"/>
      <c r="F30" s="327"/>
      <c r="G30" s="327"/>
      <c r="H30" s="327" t="s">
        <v>397</v>
      </c>
      <c r="I30" s="505">
        <f>+I28-I29</f>
        <v>0</v>
      </c>
    </row>
    <row r="31" spans="2:21" ht="21" customHeight="1">
      <c r="B31" s="399" t="str">
        <f>"Add: Interest to be Accrued as of "&amp;TEXT('KEY INPUTS'!D30,"mm/dd/yyyy")&amp;""</f>
        <v>Add: Interest to be Accrued as of 12/31/2021</v>
      </c>
      <c r="C31" s="395"/>
      <c r="D31" s="327"/>
      <c r="E31" s="327"/>
      <c r="F31" s="327"/>
      <c r="G31" s="327"/>
      <c r="H31" s="327" t="s">
        <v>397</v>
      </c>
      <c r="I31" s="592">
        <v>0</v>
      </c>
    </row>
    <row r="32" spans="2:21" ht="21" customHeight="1">
      <c r="B32" s="399" t="str">
        <f>"Required Appropriation "&amp;TEXT('KEY INPUTS'!D34+1,"0")</f>
        <v>Required Appropriation 2021</v>
      </c>
      <c r="C32" s="395"/>
      <c r="D32" s="327"/>
      <c r="E32" s="327"/>
      <c r="F32" s="327"/>
      <c r="G32" s="327"/>
      <c r="H32" s="327"/>
      <c r="I32" s="407"/>
      <c r="J32" s="499" t="s">
        <v>397</v>
      </c>
      <c r="K32" s="1895">
        <f>+I30+I31</f>
        <v>0</v>
      </c>
      <c r="L32" s="1896"/>
    </row>
    <row r="33" spans="2:12" ht="13.5" customHeight="1">
      <c r="B33" s="503"/>
      <c r="C33" s="503"/>
      <c r="D33" s="503"/>
      <c r="E33" s="503"/>
      <c r="F33" s="503"/>
      <c r="G33" s="503"/>
      <c r="H33" s="503"/>
      <c r="I33" s="503"/>
      <c r="J33" s="503"/>
      <c r="K33" s="502"/>
      <c r="L33" s="501"/>
    </row>
    <row r="34" spans="2:12" ht="13.5" customHeight="1">
      <c r="B34" s="503"/>
      <c r="C34" s="503"/>
      <c r="D34" s="503"/>
      <c r="E34" s="503"/>
      <c r="F34" s="503"/>
      <c r="G34" s="503"/>
      <c r="H34" s="503"/>
      <c r="I34" s="503"/>
      <c r="J34" s="503"/>
      <c r="K34" s="502"/>
      <c r="L34" s="501"/>
    </row>
    <row r="35" spans="2:12" ht="21" customHeight="1" thickBot="1">
      <c r="B35" s="1869" t="str">
        <f>"LIST  OF  LOANS  ISSUED  DURING  "&amp;TEXT('KEY INPUTS'!D34,"0")&amp;""</f>
        <v>LIST  OF  LOANS  ISSUED  DURING  2020</v>
      </c>
      <c r="C35" s="1869"/>
      <c r="D35" s="1869"/>
      <c r="E35" s="1869"/>
      <c r="F35" s="1869"/>
      <c r="G35" s="1869"/>
      <c r="H35" s="1869"/>
      <c r="I35" s="1869"/>
      <c r="J35" s="1869"/>
      <c r="K35" s="1869"/>
      <c r="L35" s="1869"/>
    </row>
    <row r="36" spans="2:12" ht="27" customHeight="1" thickTop="1" thickBot="1">
      <c r="B36" s="1884" t="s">
        <v>440</v>
      </c>
      <c r="C36" s="1884"/>
      <c r="D36" s="1884"/>
      <c r="E36" s="1884"/>
      <c r="F36" s="1884"/>
      <c r="G36" s="486" t="str">
        <f>TEXT('KEY INPUTS'!D33,"0")&amp;" Maturity"</f>
        <v>2021 Maturity</v>
      </c>
      <c r="H36" s="1889" t="s">
        <v>96</v>
      </c>
      <c r="I36" s="1890"/>
      <c r="J36" s="1887" t="s">
        <v>94</v>
      </c>
      <c r="K36" s="1888"/>
      <c r="L36" s="500" t="s">
        <v>95</v>
      </c>
    </row>
    <row r="37" spans="2:12" ht="21" customHeight="1" thickTop="1">
      <c r="B37" s="664" t="s">
        <v>3673</v>
      </c>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406"/>
      <c r="C41" s="406"/>
      <c r="D41" s="406"/>
      <c r="E41" s="406"/>
      <c r="F41" s="405"/>
      <c r="G41" s="135">
        <f>SUM(G37:G40)</f>
        <v>0</v>
      </c>
      <c r="H41" s="1750">
        <f>SUM(H37:I40)</f>
        <v>0</v>
      </c>
      <c r="I41" s="1751"/>
      <c r="J41" s="498"/>
      <c r="K41" s="406"/>
      <c r="L41" s="410"/>
    </row>
    <row r="42" spans="2:12" ht="13.8" thickTop="1">
      <c r="G42" s="497"/>
      <c r="H42" s="497"/>
      <c r="I42" s="497"/>
    </row>
    <row r="51" spans="2:12" ht="13.8">
      <c r="B51" s="1850" t="s">
        <v>3225</v>
      </c>
      <c r="C51" s="1850"/>
      <c r="D51" s="1850"/>
      <c r="E51" s="1850"/>
      <c r="F51" s="1850"/>
      <c r="G51" s="1850"/>
      <c r="H51" s="1850"/>
      <c r="I51" s="1850"/>
      <c r="J51" s="1850"/>
      <c r="K51" s="1850"/>
      <c r="L51" s="1850"/>
    </row>
  </sheetData>
  <sheetProtection algorithmName="SHA-512" hashValue="O9+o8Emhi3HkVWph2IZ7SWJxrWqNgWoSQDCRvmXMoMvIwx+QI1wSIDx1nzGqM385OyisBHJsQOfTPBUwe7KKvQ==" saltValue="ob6sbYp5P8H4aYv8c0EfCQ==" spinCount="100000" sheet="1" objects="1" scenarios="1"/>
  <mergeCells count="38">
    <mergeCell ref="H41:I41"/>
    <mergeCell ref="H39:I39"/>
    <mergeCell ref="H40:I40"/>
    <mergeCell ref="B16:I16"/>
    <mergeCell ref="B27:L27"/>
    <mergeCell ref="K32:L32"/>
    <mergeCell ref="J40:K40"/>
    <mergeCell ref="J37:K37"/>
    <mergeCell ref="J38:K38"/>
    <mergeCell ref="H37:I37"/>
    <mergeCell ref="K24:L24"/>
    <mergeCell ref="H22:I22"/>
    <mergeCell ref="B2:L2"/>
    <mergeCell ref="B3:L3"/>
    <mergeCell ref="B4:L4"/>
    <mergeCell ref="J6:L6"/>
    <mergeCell ref="H6:I6"/>
    <mergeCell ref="H10:I10"/>
    <mergeCell ref="H11:I11"/>
    <mergeCell ref="H17:I17"/>
    <mergeCell ref="H19:I19"/>
    <mergeCell ref="H18:I18"/>
    <mergeCell ref="H9:I9"/>
    <mergeCell ref="B51:L51"/>
    <mergeCell ref="H7:I7"/>
    <mergeCell ref="H8:I8"/>
    <mergeCell ref="H12:I12"/>
    <mergeCell ref="B36:F36"/>
    <mergeCell ref="K13:L13"/>
    <mergeCell ref="H23:I23"/>
    <mergeCell ref="H20:I20"/>
    <mergeCell ref="H21:I21"/>
    <mergeCell ref="J39:K39"/>
    <mergeCell ref="J36:K36"/>
    <mergeCell ref="H36:I36"/>
    <mergeCell ref="B15:I15"/>
    <mergeCell ref="B35:L35"/>
    <mergeCell ref="H38:I38"/>
  </mergeCells>
  <pageMargins left="0.25" right="0.25" top="0.5" bottom="0.5" header="0.25" footer="0.25"/>
  <pageSetup paperSize="5" orientation="portrait" r:id="rId1"/>
  <headerFooter alignWithMargins="0"/>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7">
    <tabColor theme="6" tint="0.39997558519241921"/>
  </sheetPr>
  <dimension ref="B2:U51"/>
  <sheetViews>
    <sheetView topLeftCell="A16" zoomScaleNormal="100" zoomScaleSheetLayoutView="80" workbookViewId="0">
      <selection activeCell="B38" sqref="B38"/>
    </sheetView>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854" t="s">
        <v>510</v>
      </c>
      <c r="C2" s="1854"/>
      <c r="D2" s="1854"/>
      <c r="E2" s="1854"/>
      <c r="F2" s="1854"/>
      <c r="G2" s="1854"/>
      <c r="H2" s="1854"/>
      <c r="I2" s="1854"/>
      <c r="J2" s="1854"/>
      <c r="K2" s="1854"/>
      <c r="L2" s="1854"/>
    </row>
    <row r="3" spans="2:21" ht="20.399999999999999">
      <c r="B3" s="1893" t="str">
        <f>"AND  "&amp;TEXT('KEY INPUTS'!D34+1,"0")&amp;"  DEBT  SERVICE  FOR  LOANS"</f>
        <v>AND  2021  DEBT  SERVICE  FOR  LOANS</v>
      </c>
      <c r="C3" s="1893"/>
      <c r="D3" s="1893"/>
      <c r="E3" s="1893"/>
      <c r="F3" s="1893"/>
      <c r="G3" s="1893"/>
      <c r="H3" s="1893"/>
      <c r="I3" s="1893"/>
      <c r="J3" s="1893"/>
      <c r="K3" s="1893"/>
      <c r="L3" s="1893"/>
    </row>
    <row r="4" spans="2:21" ht="15.6">
      <c r="B4" s="1894" t="str">
        <f>UPPER('KEY INPUTS'!D$52)&amp;"  UTILITY"&amp;" ________________ LOAN"</f>
        <v>WATER/SEWER UTILITY  UTILITY ________________ LOAN</v>
      </c>
      <c r="C4" s="1894"/>
      <c r="D4" s="1894"/>
      <c r="E4" s="1894"/>
      <c r="F4" s="1894"/>
      <c r="G4" s="1894"/>
      <c r="H4" s="1894"/>
      <c r="I4" s="1894"/>
      <c r="J4" s="1894"/>
      <c r="K4" s="1894"/>
      <c r="L4" s="1894"/>
    </row>
    <row r="5" spans="2:21" ht="9.75" customHeight="1" thickBot="1">
      <c r="B5" s="798"/>
      <c r="C5" s="798"/>
      <c r="D5" s="798"/>
      <c r="E5" s="798"/>
      <c r="F5" s="798"/>
      <c r="G5" s="798"/>
      <c r="H5" s="798"/>
      <c r="I5" s="798"/>
      <c r="J5" s="798"/>
      <c r="K5" s="798"/>
      <c r="L5" s="798"/>
    </row>
    <row r="6" spans="2:21" ht="27.75" customHeight="1" thickTop="1" thickBot="1">
      <c r="B6" s="509"/>
      <c r="C6" s="509"/>
      <c r="D6" s="509"/>
      <c r="E6" s="509"/>
      <c r="F6" s="509"/>
      <c r="G6" s="403" t="s">
        <v>101</v>
      </c>
      <c r="H6" s="1889" t="s">
        <v>102</v>
      </c>
      <c r="I6" s="1890"/>
      <c r="J6" s="1872" t="str">
        <f>'KEY INPUTS'!D33&amp;" Debt
Service"</f>
        <v>2021 Debt
Service</v>
      </c>
      <c r="K6" s="1873"/>
      <c r="L6" s="1873"/>
      <c r="O6" s="315"/>
      <c r="P6" s="315"/>
      <c r="Q6" s="315"/>
      <c r="R6" s="315"/>
      <c r="S6" s="315"/>
      <c r="T6" s="315"/>
      <c r="U6" s="315"/>
    </row>
    <row r="7" spans="2:21" ht="21" customHeight="1" thickTop="1">
      <c r="B7" s="467" t="str">
        <f>'KEY INPUTS'!D27</f>
        <v>Outstanding - January 1, 2020</v>
      </c>
      <c r="C7" s="408"/>
      <c r="D7" s="408"/>
      <c r="E7" s="408"/>
      <c r="F7" s="408"/>
      <c r="G7" s="143" t="s">
        <v>662</v>
      </c>
      <c r="H7" s="1724">
        <v>0</v>
      </c>
      <c r="I7" s="1725"/>
      <c r="O7" s="315"/>
      <c r="P7" s="315"/>
      <c r="Q7" s="315"/>
      <c r="R7" s="315"/>
      <c r="S7" s="315"/>
      <c r="T7" s="315"/>
      <c r="U7" s="315"/>
    </row>
    <row r="8" spans="2:21" ht="21" customHeight="1">
      <c r="B8" s="395" t="s">
        <v>97</v>
      </c>
      <c r="C8" s="327"/>
      <c r="D8" s="327"/>
      <c r="E8" s="327"/>
      <c r="F8" s="327"/>
      <c r="G8" s="144" t="s">
        <v>662</v>
      </c>
      <c r="H8" s="1722">
        <v>0</v>
      </c>
      <c r="I8" s="1723"/>
      <c r="O8" s="370"/>
      <c r="P8" s="315"/>
      <c r="Q8" s="315"/>
      <c r="R8" s="315"/>
      <c r="S8" s="315"/>
      <c r="T8" s="315"/>
      <c r="U8" s="315"/>
    </row>
    <row r="9" spans="2:21" ht="21" customHeight="1">
      <c r="B9" s="395"/>
      <c r="C9" s="327"/>
      <c r="D9" s="327"/>
      <c r="E9" s="327"/>
      <c r="F9" s="327"/>
      <c r="G9" s="144"/>
      <c r="H9" s="797"/>
      <c r="I9" s="992"/>
      <c r="O9" s="315"/>
      <c r="P9" s="315"/>
      <c r="Q9" s="315"/>
      <c r="R9" s="315"/>
      <c r="S9" s="315"/>
      <c r="T9" s="315"/>
      <c r="U9" s="315"/>
    </row>
    <row r="10" spans="2:21" ht="21" customHeight="1">
      <c r="B10" s="395" t="s">
        <v>268</v>
      </c>
      <c r="C10" s="327"/>
      <c r="D10" s="327"/>
      <c r="E10" s="327"/>
      <c r="F10" s="327"/>
      <c r="G10" s="593">
        <v>0</v>
      </c>
      <c r="H10" s="1697" t="s">
        <v>662</v>
      </c>
      <c r="I10" s="1698"/>
      <c r="O10" s="315"/>
      <c r="P10" s="315"/>
      <c r="Q10" s="315"/>
      <c r="R10" s="315"/>
      <c r="S10" s="315"/>
      <c r="T10" s="315"/>
      <c r="U10" s="315"/>
    </row>
    <row r="11" spans="2:21" ht="21" customHeight="1" thickBot="1">
      <c r="B11" s="395" t="str">
        <f>'KEY INPUTS'!D28</f>
        <v>Outstanding - December 31, 2020</v>
      </c>
      <c r="C11" s="327"/>
      <c r="D11" s="327"/>
      <c r="E11" s="327"/>
      <c r="F11" s="327"/>
      <c r="G11" s="139">
        <f>+H7+H8-G10</f>
        <v>0</v>
      </c>
      <c r="H11" s="1701" t="s">
        <v>662</v>
      </c>
      <c r="I11" s="1702"/>
      <c r="O11" s="315"/>
      <c r="P11" s="315"/>
      <c r="Q11" s="315"/>
      <c r="R11" s="315"/>
      <c r="S11" s="315"/>
      <c r="T11" s="315"/>
      <c r="U11" s="315"/>
    </row>
    <row r="12" spans="2:21" ht="21" customHeight="1" thickBot="1">
      <c r="B12" s="391"/>
      <c r="G12" s="135">
        <f>SUM(G7:G11)</f>
        <v>0</v>
      </c>
      <c r="H12" s="1753">
        <f>SUM(H7:I11)</f>
        <v>0</v>
      </c>
      <c r="I12" s="1754"/>
      <c r="O12" s="315"/>
      <c r="P12" s="315"/>
      <c r="Q12" s="315"/>
      <c r="R12" s="315"/>
      <c r="S12" s="315"/>
      <c r="T12" s="315"/>
      <c r="U12" s="315"/>
    </row>
    <row r="13" spans="2:21" ht="21" customHeight="1" thickTop="1">
      <c r="B13" s="494" t="str">
        <f>TEXT('KEY INPUTS'!D34+1,"0")&amp;" Loan Maturities"</f>
        <v>2021 Loan Maturities</v>
      </c>
      <c r="C13" s="472"/>
      <c r="D13" s="472"/>
      <c r="E13" s="472"/>
      <c r="F13" s="472"/>
      <c r="G13" s="472"/>
      <c r="H13" s="472"/>
      <c r="I13" s="508"/>
      <c r="J13" s="472" t="s">
        <v>397</v>
      </c>
      <c r="K13" s="1748">
        <v>0</v>
      </c>
      <c r="L13" s="1748"/>
      <c r="O13" s="315"/>
      <c r="P13" s="315"/>
      <c r="Q13" s="315"/>
      <c r="R13" s="315"/>
      <c r="S13" s="315"/>
      <c r="T13" s="315"/>
      <c r="U13" s="315"/>
    </row>
    <row r="14" spans="2:21" ht="21" customHeight="1" thickBot="1">
      <c r="B14" s="491" t="str">
        <f>TEXT('KEY INPUTS'!D34+1,"0")&amp;" Interest on Loans"</f>
        <v>2021 Interest on Loans</v>
      </c>
      <c r="C14" s="406"/>
      <c r="D14" s="406"/>
      <c r="E14" s="406"/>
      <c r="F14" s="406"/>
      <c r="G14" s="507"/>
      <c r="H14" s="406" t="s">
        <v>397</v>
      </c>
      <c r="I14" s="665">
        <v>0</v>
      </c>
      <c r="O14" s="315"/>
      <c r="P14" s="315"/>
      <c r="Q14" s="315"/>
      <c r="R14" s="315"/>
      <c r="S14" s="315"/>
      <c r="T14" s="315"/>
      <c r="U14" s="315"/>
    </row>
    <row r="15" spans="2:21" ht="16.5" customHeight="1" thickTop="1">
      <c r="B15" s="1891"/>
      <c r="C15" s="1891"/>
      <c r="D15" s="1891"/>
      <c r="E15" s="1891"/>
      <c r="F15" s="1891"/>
      <c r="G15" s="1891"/>
      <c r="H15" s="1891"/>
      <c r="I15" s="1892"/>
      <c r="O15" s="315"/>
      <c r="P15" s="315"/>
      <c r="Q15" s="315"/>
      <c r="R15" s="315"/>
      <c r="S15" s="315"/>
      <c r="T15" s="315"/>
      <c r="U15" s="315"/>
    </row>
    <row r="16" spans="2:21" ht="26.25" customHeight="1" thickBot="1">
      <c r="B16" s="1878" t="str">
        <f>UPPER('KEY INPUTS'!D$52)&amp;"  UTILITY"&amp;" ________________ LOAN"</f>
        <v>WATER/SEWER UTILITY  UTILITY ________________ LOAN</v>
      </c>
      <c r="C16" s="1878"/>
      <c r="D16" s="1878"/>
      <c r="E16" s="1878"/>
      <c r="F16" s="1878"/>
      <c r="G16" s="1878"/>
      <c r="H16" s="1878"/>
      <c r="I16" s="1879"/>
      <c r="O16" s="315"/>
      <c r="P16" s="315"/>
      <c r="Q16" s="315"/>
      <c r="R16" s="315"/>
      <c r="S16" s="315"/>
      <c r="T16" s="315"/>
      <c r="U16" s="315"/>
    </row>
    <row r="17" spans="2:21" ht="21" customHeight="1" thickTop="1">
      <c r="B17" s="467" t="str">
        <f>'KEY INPUTS'!D27</f>
        <v>Outstanding - January 1, 2020</v>
      </c>
      <c r="C17" s="408"/>
      <c r="D17" s="408"/>
      <c r="E17" s="408"/>
      <c r="F17" s="408"/>
      <c r="G17" s="143" t="s">
        <v>662</v>
      </c>
      <c r="H17" s="1724">
        <v>0</v>
      </c>
      <c r="I17" s="1725"/>
      <c r="O17" s="315"/>
      <c r="P17" s="315"/>
      <c r="Q17" s="315"/>
      <c r="R17" s="315"/>
      <c r="S17" s="315"/>
      <c r="T17" s="315"/>
      <c r="U17" s="315"/>
    </row>
    <row r="18" spans="2:21" ht="21" customHeight="1">
      <c r="B18" s="395" t="s">
        <v>97</v>
      </c>
      <c r="C18" s="327"/>
      <c r="D18" s="327"/>
      <c r="E18" s="327"/>
      <c r="F18" s="327"/>
      <c r="G18" s="144" t="s">
        <v>662</v>
      </c>
      <c r="H18" s="1722">
        <v>0</v>
      </c>
      <c r="I18" s="1723"/>
      <c r="O18" s="315"/>
      <c r="P18" s="315"/>
      <c r="Q18" s="315"/>
      <c r="R18" s="315"/>
      <c r="S18" s="315"/>
      <c r="T18" s="315"/>
      <c r="U18" s="315"/>
    </row>
    <row r="19" spans="2:21" ht="21" customHeight="1">
      <c r="B19" s="395" t="s">
        <v>268</v>
      </c>
      <c r="C19" s="327"/>
      <c r="D19" s="327"/>
      <c r="E19" s="327"/>
      <c r="F19" s="327"/>
      <c r="G19" s="593">
        <v>0</v>
      </c>
      <c r="H19" s="1697" t="s">
        <v>662</v>
      </c>
      <c r="I19" s="1698"/>
      <c r="O19" s="315"/>
      <c r="P19" s="315"/>
      <c r="Q19" s="315"/>
      <c r="R19" s="315"/>
      <c r="S19" s="315"/>
      <c r="T19" s="315"/>
      <c r="U19" s="315"/>
    </row>
    <row r="20" spans="2:21" ht="21" customHeight="1">
      <c r="B20" s="395"/>
      <c r="C20" s="327"/>
      <c r="D20" s="327"/>
      <c r="E20" s="327"/>
      <c r="F20" s="327"/>
      <c r="G20" s="118"/>
      <c r="H20" s="1885"/>
      <c r="I20" s="1886"/>
      <c r="O20" s="315"/>
      <c r="P20" s="315"/>
      <c r="Q20" s="315"/>
      <c r="R20" s="315"/>
      <c r="S20" s="315"/>
      <c r="T20" s="315"/>
      <c r="U20" s="315"/>
    </row>
    <row r="21" spans="2:21" ht="21" customHeight="1">
      <c r="B21" s="395"/>
      <c r="C21" s="327"/>
      <c r="D21" s="327"/>
      <c r="E21" s="327"/>
      <c r="F21" s="327"/>
      <c r="G21" s="118"/>
      <c r="H21" s="1885"/>
      <c r="I21" s="1886"/>
      <c r="O21" s="315"/>
      <c r="P21" s="315"/>
      <c r="Q21" s="315"/>
      <c r="R21" s="315"/>
      <c r="S21" s="315"/>
      <c r="T21" s="315"/>
      <c r="U21" s="315"/>
    </row>
    <row r="22" spans="2:21" ht="21" customHeight="1" thickBot="1">
      <c r="B22" s="395" t="str">
        <f>'KEY INPUTS'!D28</f>
        <v>Outstanding - December 31, 2020</v>
      </c>
      <c r="C22" s="327"/>
      <c r="D22" s="327"/>
      <c r="E22" s="327"/>
      <c r="F22" s="327"/>
      <c r="G22" s="139">
        <f>+H17+H18-G19-G20-G21+H20+H21</f>
        <v>0</v>
      </c>
      <c r="H22" s="1701" t="s">
        <v>662</v>
      </c>
      <c r="I22" s="1702"/>
      <c r="O22" s="315"/>
      <c r="P22" s="315"/>
      <c r="Q22" s="315"/>
      <c r="R22" s="315"/>
      <c r="S22" s="315"/>
      <c r="T22" s="315"/>
      <c r="U22" s="315"/>
    </row>
    <row r="23" spans="2:21" ht="21" customHeight="1" thickBot="1">
      <c r="B23" s="391"/>
      <c r="G23" s="135">
        <f>SUM(G17:G22)</f>
        <v>0</v>
      </c>
      <c r="H23" s="1753">
        <f>SUM(H17:I22)</f>
        <v>0</v>
      </c>
      <c r="I23" s="1754"/>
    </row>
    <row r="24" spans="2:21" ht="21" customHeight="1" thickTop="1">
      <c r="B24" s="494" t="str">
        <f>TEXT('KEY INPUTS'!D34+1,"0")&amp;" Loan Maturities"</f>
        <v>2021 Loan Maturities</v>
      </c>
      <c r="C24" s="472"/>
      <c r="D24" s="472"/>
      <c r="E24" s="472"/>
      <c r="F24" s="472"/>
      <c r="G24" s="472"/>
      <c r="H24" s="472"/>
      <c r="I24" s="508"/>
      <c r="J24" s="472" t="s">
        <v>397</v>
      </c>
      <c r="K24" s="1748">
        <v>0</v>
      </c>
      <c r="L24" s="1748"/>
    </row>
    <row r="25" spans="2:21" ht="21" customHeight="1" thickBot="1">
      <c r="B25" s="491" t="str">
        <f>TEXT('KEY INPUTS'!D34+1,"0")&amp;" Interest on Loans"</f>
        <v>2021 Interest on Loans</v>
      </c>
      <c r="C25" s="406"/>
      <c r="D25" s="406"/>
      <c r="E25" s="406"/>
      <c r="F25" s="406"/>
      <c r="G25" s="507"/>
      <c r="H25" s="406" t="s">
        <v>397</v>
      </c>
      <c r="I25" s="600">
        <v>0</v>
      </c>
      <c r="J25" s="498"/>
      <c r="K25" s="406"/>
      <c r="L25" s="406"/>
    </row>
    <row r="26" spans="2:21" ht="21" customHeight="1" thickTop="1"/>
    <row r="27" spans="2:21" ht="19.5" customHeight="1" thickBot="1">
      <c r="B27" s="1878" t="str">
        <f>"INTEREST  ON  LOANS  - "&amp;UPPER('KEY INPUTS'!D52)&amp;"  UTILITY  BUDGET"</f>
        <v>INTEREST  ON  LOANS  - WATER/SEWER UTILITY  UTILITY  BUDGET</v>
      </c>
      <c r="C27" s="1878"/>
      <c r="D27" s="1878"/>
      <c r="E27" s="1878"/>
      <c r="F27" s="1878"/>
      <c r="G27" s="1878"/>
      <c r="H27" s="1878"/>
      <c r="I27" s="1878"/>
      <c r="J27" s="1878"/>
      <c r="K27" s="1878"/>
      <c r="L27" s="1878"/>
    </row>
    <row r="28" spans="2:21" ht="21" customHeight="1" thickTop="1">
      <c r="B28" s="490" t="str">
        <f>TEXT('KEY INPUTS'!D34+1,"0")&amp;" Interest on Loans (*Items)"</f>
        <v>2021 Interest on Loans (*Items)</v>
      </c>
      <c r="C28" s="450"/>
      <c r="D28" s="408"/>
      <c r="E28" s="408"/>
      <c r="F28" s="408"/>
      <c r="G28" s="408"/>
      <c r="H28" s="408" t="s">
        <v>397</v>
      </c>
      <c r="I28" s="506">
        <f>+I25+I14</f>
        <v>0</v>
      </c>
    </row>
    <row r="29" spans="2:21" ht="21" customHeight="1">
      <c r="B29" s="399" t="str">
        <f>"Less: Interest Accrued to "&amp;TEXT('KEY INPUTS'!D29,"mm/dd/yyy")&amp;" (Trial Balance)"</f>
        <v>Less: Interest Accrued to 12/31/2020 (Trial Balance)</v>
      </c>
      <c r="C29" s="395"/>
      <c r="D29" s="327"/>
      <c r="E29" s="327"/>
      <c r="F29" s="327"/>
      <c r="G29" s="327"/>
      <c r="H29" s="327" t="s">
        <v>397</v>
      </c>
      <c r="I29" s="592">
        <v>0</v>
      </c>
    </row>
    <row r="30" spans="2:21" ht="21" customHeight="1">
      <c r="B30" s="395"/>
      <c r="C30" s="395" t="s">
        <v>337</v>
      </c>
      <c r="D30" s="327"/>
      <c r="E30" s="327"/>
      <c r="F30" s="327"/>
      <c r="G30" s="327"/>
      <c r="H30" s="327" t="s">
        <v>397</v>
      </c>
      <c r="I30" s="505">
        <f>+I28-I29</f>
        <v>0</v>
      </c>
    </row>
    <row r="31" spans="2:21" ht="21" customHeight="1">
      <c r="B31" s="399" t="str">
        <f>"Add: Interest to be Accrued as of "&amp;TEXT('KEY INPUTS'!D30,"mm/dd/yyyy")&amp;""</f>
        <v>Add: Interest to be Accrued as of 12/31/2021</v>
      </c>
      <c r="C31" s="395"/>
      <c r="D31" s="327"/>
      <c r="E31" s="327"/>
      <c r="F31" s="327"/>
      <c r="G31" s="327"/>
      <c r="H31" s="327" t="s">
        <v>397</v>
      </c>
      <c r="I31" s="592">
        <v>0</v>
      </c>
    </row>
    <row r="32" spans="2:21" ht="21" customHeight="1">
      <c r="B32" s="399" t="str">
        <f>"Required Appropriation "&amp;TEXT('KEY INPUTS'!D34+1,"0")</f>
        <v>Required Appropriation 2021</v>
      </c>
      <c r="C32" s="395"/>
      <c r="D32" s="327"/>
      <c r="E32" s="327"/>
      <c r="F32" s="327"/>
      <c r="G32" s="327"/>
      <c r="H32" s="327"/>
      <c r="I32" s="407"/>
      <c r="J32" s="499" t="s">
        <v>397</v>
      </c>
      <c r="K32" s="1895">
        <f>+I30+I31</f>
        <v>0</v>
      </c>
      <c r="L32" s="1896"/>
    </row>
    <row r="33" spans="2:12" ht="13.5" customHeight="1">
      <c r="B33" s="503"/>
      <c r="C33" s="503"/>
      <c r="D33" s="503"/>
      <c r="E33" s="503"/>
      <c r="F33" s="503"/>
      <c r="G33" s="503"/>
      <c r="H33" s="503"/>
      <c r="I33" s="503"/>
      <c r="J33" s="503"/>
      <c r="K33" s="502"/>
      <c r="L33" s="800"/>
    </row>
    <row r="34" spans="2:12" ht="13.5" customHeight="1">
      <c r="B34" s="503"/>
      <c r="C34" s="503"/>
      <c r="D34" s="503"/>
      <c r="E34" s="503"/>
      <c r="F34" s="503"/>
      <c r="G34" s="503"/>
      <c r="H34" s="503"/>
      <c r="I34" s="503"/>
      <c r="J34" s="503"/>
      <c r="K34" s="502"/>
      <c r="L34" s="800"/>
    </row>
    <row r="35" spans="2:12" ht="21" customHeight="1" thickBot="1">
      <c r="B35" s="1869" t="str">
        <f>"LIST  OF  LOANS  ISSUED  DURING  "&amp;TEXT('KEY INPUTS'!D34,"0")&amp;""</f>
        <v>LIST  OF  LOANS  ISSUED  DURING  2020</v>
      </c>
      <c r="C35" s="1869"/>
      <c r="D35" s="1869"/>
      <c r="E35" s="1869"/>
      <c r="F35" s="1869"/>
      <c r="G35" s="1869"/>
      <c r="H35" s="1869"/>
      <c r="I35" s="1869"/>
      <c r="J35" s="1869"/>
      <c r="K35" s="1869"/>
      <c r="L35" s="1869"/>
    </row>
    <row r="36" spans="2:12" ht="27" customHeight="1" thickTop="1" thickBot="1">
      <c r="B36" s="1884" t="s">
        <v>440</v>
      </c>
      <c r="C36" s="1884"/>
      <c r="D36" s="1884"/>
      <c r="E36" s="1884"/>
      <c r="F36" s="1884"/>
      <c r="G36" s="486" t="str">
        <f>TEXT('KEY INPUTS'!D33,"0")&amp;" Maturity"</f>
        <v>2021 Maturity</v>
      </c>
      <c r="H36" s="1889" t="s">
        <v>96</v>
      </c>
      <c r="I36" s="1890"/>
      <c r="J36" s="1887" t="s">
        <v>94</v>
      </c>
      <c r="K36" s="1888"/>
      <c r="L36" s="799" t="s">
        <v>95</v>
      </c>
    </row>
    <row r="37" spans="2:12" ht="21" customHeight="1" thickTop="1">
      <c r="B37" s="664" t="s">
        <v>3673</v>
      </c>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406"/>
      <c r="C41" s="406"/>
      <c r="D41" s="406"/>
      <c r="E41" s="406"/>
      <c r="F41" s="405"/>
      <c r="G41" s="135">
        <f>SUM(G37:G40)</f>
        <v>0</v>
      </c>
      <c r="H41" s="1750">
        <f>SUM(H37:I40)</f>
        <v>0</v>
      </c>
      <c r="I41" s="1751"/>
      <c r="J41" s="498"/>
      <c r="K41" s="406"/>
      <c r="L41" s="410"/>
    </row>
    <row r="42" spans="2:12" ht="13.8" thickTop="1">
      <c r="G42" s="497"/>
      <c r="H42" s="497"/>
      <c r="I42" s="497"/>
    </row>
    <row r="51" spans="2:12" ht="13.8">
      <c r="B51" s="1850" t="s">
        <v>3419</v>
      </c>
      <c r="C51" s="1850"/>
      <c r="D51" s="1850"/>
      <c r="E51" s="1850"/>
      <c r="F51" s="1850"/>
      <c r="G51" s="1850"/>
      <c r="H51" s="1850"/>
      <c r="I51" s="1850"/>
      <c r="J51" s="1850"/>
      <c r="K51" s="1850"/>
      <c r="L51" s="1850"/>
    </row>
  </sheetData>
  <sheetProtection algorithmName="SHA-512" hashValue="5kisYxxM48xRMjbd+YR3f90SMWKW+5hYhvNuLHM/zDPos33nf7zMqrXntive9j/ai6+QSgu3sWMf8WJigc0eaA==" saltValue="I3i7ov9MR6oUOikLfapSW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4">
    <tabColor theme="6" tint="0.39997558519241921"/>
  </sheetPr>
  <dimension ref="A2:V30"/>
  <sheetViews>
    <sheetView zoomScaleNormal="100" zoomScaleSheetLayoutView="80" workbookViewId="0">
      <selection activeCell="C10" sqref="C10"/>
    </sheetView>
  </sheetViews>
  <sheetFormatPr defaultColWidth="8.88671875" defaultRowHeight="13.2"/>
  <cols>
    <col min="1" max="1" width="5.6640625" style="324" customWidth="1"/>
    <col min="2" max="3" width="4.88671875" style="324" customWidth="1"/>
    <col min="4" max="4" width="30.44140625" style="324" customWidth="1"/>
    <col min="5" max="11" width="15.6640625" style="324" customWidth="1"/>
    <col min="12" max="12" width="1.6640625" style="324" customWidth="1"/>
    <col min="13" max="13" width="12.6640625" style="324" customWidth="1"/>
    <col min="14" max="16384" width="8.88671875" style="324"/>
  </cols>
  <sheetData>
    <row r="2" spans="1:22" ht="20.399999999999999">
      <c r="B2" s="1854" t="str">
        <f>"DEBT  SERVICE  FOR  "&amp;UPPER('KEY INPUTS'!D53)&amp;"  UTILITY  NOTES  (OTHER  THAN  UTILITY  ASSESSMENT  NOTES)"</f>
        <v>DEBT  SERVICE  FOR    UTILITY  NOTES  (OTHER  THAN  UTILITY  ASSESSMENT  NOTES)</v>
      </c>
      <c r="C2" s="1854"/>
      <c r="D2" s="1854"/>
      <c r="E2" s="1854"/>
      <c r="F2" s="1854"/>
      <c r="G2" s="1854"/>
      <c r="H2" s="1854"/>
      <c r="I2" s="1854"/>
      <c r="J2" s="1854"/>
      <c r="K2" s="1854"/>
      <c r="L2" s="1854"/>
      <c r="M2" s="1854"/>
    </row>
    <row r="3" spans="1:22" ht="21" thickBot="1">
      <c r="B3" s="1854"/>
      <c r="C3" s="1854"/>
      <c r="D3" s="1854"/>
      <c r="E3" s="1854"/>
      <c r="F3" s="1854"/>
      <c r="G3" s="1854"/>
      <c r="H3" s="1854"/>
      <c r="I3" s="1854"/>
      <c r="J3" s="1854"/>
      <c r="K3" s="1854"/>
      <c r="L3" s="1854"/>
      <c r="M3" s="1854"/>
    </row>
    <row r="4" spans="1:22" ht="13.5" customHeight="1" thickTop="1">
      <c r="B4" s="418"/>
      <c r="C4" s="418"/>
      <c r="D4" s="418"/>
      <c r="E4" s="419"/>
      <c r="F4" s="419"/>
      <c r="G4" s="419"/>
      <c r="H4" s="419"/>
      <c r="I4" s="419"/>
      <c r="J4" s="418"/>
      <c r="K4" s="1473"/>
      <c r="L4" s="418"/>
      <c r="M4" s="1474"/>
    </row>
    <row r="5" spans="1:22" ht="13.5" customHeight="1">
      <c r="E5" s="415" t="s">
        <v>144</v>
      </c>
      <c r="F5" s="414" t="s">
        <v>144</v>
      </c>
      <c r="G5" s="414" t="s">
        <v>441</v>
      </c>
      <c r="H5" s="414" t="s">
        <v>18</v>
      </c>
      <c r="I5" s="414" t="s">
        <v>572</v>
      </c>
      <c r="J5" s="1898">
        <f>'KEY INPUTS'!D33</f>
        <v>2021</v>
      </c>
      <c r="K5" s="1899"/>
      <c r="L5" s="1475"/>
      <c r="M5" s="1476" t="s">
        <v>573</v>
      </c>
    </row>
    <row r="6" spans="1:22" ht="13.5" customHeight="1">
      <c r="C6" s="1902" t="s">
        <v>143</v>
      </c>
      <c r="D6" s="1903"/>
      <c r="E6" s="415" t="s">
        <v>441</v>
      </c>
      <c r="F6" s="414" t="s">
        <v>145</v>
      </c>
      <c r="G6" s="414" t="s">
        <v>569</v>
      </c>
      <c r="H6" s="414" t="s">
        <v>570</v>
      </c>
      <c r="I6" s="414" t="s">
        <v>570</v>
      </c>
      <c r="J6" s="1900"/>
      <c r="K6" s="1901"/>
      <c r="L6" s="1477"/>
      <c r="M6" s="1476" t="s">
        <v>576</v>
      </c>
    </row>
    <row r="7" spans="1:22" ht="13.5" customHeight="1">
      <c r="E7" s="415" t="s">
        <v>97</v>
      </c>
      <c r="F7" s="415" t="s">
        <v>146</v>
      </c>
      <c r="G7" s="415" t="s">
        <v>206</v>
      </c>
      <c r="H7" s="415" t="s">
        <v>571</v>
      </c>
      <c r="I7" s="415" t="s">
        <v>573</v>
      </c>
      <c r="J7" s="415" t="s">
        <v>118</v>
      </c>
      <c r="K7" s="415" t="s">
        <v>574</v>
      </c>
      <c r="L7" s="414"/>
      <c r="M7" s="1476" t="s">
        <v>577</v>
      </c>
    </row>
    <row r="8" spans="1:22" ht="13.5" customHeight="1" thickBot="1">
      <c r="B8" s="413"/>
      <c r="C8" s="413"/>
      <c r="D8" s="413"/>
      <c r="E8" s="411"/>
      <c r="F8" s="411"/>
      <c r="G8" s="787" t="str">
        <f>'KEY INPUTS'!D46</f>
        <v>Dec. 31, 2020</v>
      </c>
      <c r="H8" s="411"/>
      <c r="I8" s="411"/>
      <c r="J8" s="412"/>
      <c r="K8" s="539"/>
      <c r="L8" s="1478"/>
      <c r="M8" s="1479"/>
      <c r="P8" s="315"/>
      <c r="Q8" s="315"/>
      <c r="R8" s="315"/>
      <c r="S8" s="315"/>
      <c r="T8" s="315"/>
      <c r="U8" s="315"/>
      <c r="V8" s="315"/>
    </row>
    <row r="9" spans="1:22" ht="21" customHeight="1" thickTop="1">
      <c r="B9" s="1480" t="s">
        <v>308</v>
      </c>
      <c r="C9" s="664" t="s">
        <v>3673</v>
      </c>
      <c r="D9" s="667"/>
      <c r="E9" s="597"/>
      <c r="F9" s="1481"/>
      <c r="G9" s="597"/>
      <c r="H9" s="1482"/>
      <c r="I9" s="789"/>
      <c r="J9" s="597"/>
      <c r="K9" s="597">
        <f>+I9*G9</f>
        <v>0</v>
      </c>
      <c r="L9" s="1483"/>
      <c r="M9" s="1484"/>
      <c r="P9" s="315"/>
      <c r="Q9" s="315"/>
      <c r="R9" s="315"/>
      <c r="S9" s="315"/>
      <c r="T9" s="315"/>
      <c r="U9" s="315"/>
      <c r="V9" s="315"/>
    </row>
    <row r="10" spans="1:22" ht="21" customHeight="1">
      <c r="B10" s="1485" t="s">
        <v>309</v>
      </c>
      <c r="C10" s="1486"/>
      <c r="D10" s="643"/>
      <c r="E10" s="593"/>
      <c r="F10" s="1487"/>
      <c r="G10" s="593"/>
      <c r="H10" s="1488"/>
      <c r="I10" s="615"/>
      <c r="J10" s="1489"/>
      <c r="K10" s="593">
        <f>+I10*G10</f>
        <v>0</v>
      </c>
      <c r="L10" s="623"/>
      <c r="M10" s="1490"/>
      <c r="N10" s="324" t="s">
        <v>3190</v>
      </c>
      <c r="O10" s="324" t="s">
        <v>3190</v>
      </c>
      <c r="P10" s="370"/>
      <c r="Q10" s="315"/>
      <c r="R10" s="315"/>
      <c r="S10" s="315"/>
      <c r="T10" s="315"/>
      <c r="U10" s="315"/>
      <c r="V10" s="315"/>
    </row>
    <row r="11" spans="1:22" ht="21" customHeight="1">
      <c r="B11" s="1485" t="s">
        <v>310</v>
      </c>
      <c r="C11" s="639"/>
      <c r="D11" s="643"/>
      <c r="E11" s="593"/>
      <c r="F11" s="676"/>
      <c r="G11" s="593"/>
      <c r="H11" s="593"/>
      <c r="I11" s="615"/>
      <c r="J11" s="593"/>
      <c r="K11" s="593"/>
      <c r="L11" s="623"/>
      <c r="M11" s="675"/>
      <c r="P11" s="315"/>
      <c r="Q11" s="315"/>
      <c r="R11" s="315"/>
      <c r="S11" s="315"/>
      <c r="T11" s="315"/>
      <c r="U11" s="315"/>
      <c r="V11" s="315"/>
    </row>
    <row r="12" spans="1:22" ht="21" customHeight="1">
      <c r="B12" s="1485" t="s">
        <v>311</v>
      </c>
      <c r="C12" s="639"/>
      <c r="D12" s="643"/>
      <c r="E12" s="593"/>
      <c r="F12" s="676"/>
      <c r="G12" s="593"/>
      <c r="H12" s="593"/>
      <c r="I12" s="615"/>
      <c r="J12" s="593"/>
      <c r="K12" s="593"/>
      <c r="L12" s="623"/>
      <c r="M12" s="675"/>
      <c r="P12" s="315"/>
      <c r="Q12" s="315"/>
      <c r="R12" s="315"/>
      <c r="S12" s="315"/>
      <c r="T12" s="315"/>
      <c r="U12" s="315"/>
      <c r="V12" s="315"/>
    </row>
    <row r="13" spans="1:22" ht="21" customHeight="1">
      <c r="B13" s="1485" t="s">
        <v>312</v>
      </c>
      <c r="C13" s="639"/>
      <c r="D13" s="643"/>
      <c r="E13" s="593"/>
      <c r="F13" s="676"/>
      <c r="G13" s="593"/>
      <c r="H13" s="593"/>
      <c r="I13" s="615"/>
      <c r="J13" s="593"/>
      <c r="K13" s="593"/>
      <c r="L13" s="623"/>
      <c r="M13" s="675"/>
      <c r="P13" s="315"/>
      <c r="Q13" s="315"/>
      <c r="R13" s="315"/>
      <c r="S13" s="315"/>
      <c r="T13" s="315"/>
      <c r="U13" s="315"/>
      <c r="V13" s="315"/>
    </row>
    <row r="14" spans="1:22" ht="21" customHeight="1">
      <c r="B14" s="1485" t="s">
        <v>313</v>
      </c>
      <c r="C14" s="639"/>
      <c r="D14" s="643"/>
      <c r="E14" s="596"/>
      <c r="F14" s="677"/>
      <c r="G14" s="596"/>
      <c r="H14" s="596"/>
      <c r="I14" s="618"/>
      <c r="J14" s="593"/>
      <c r="K14" s="593"/>
      <c r="L14" s="623"/>
      <c r="M14" s="675"/>
      <c r="P14" s="315"/>
      <c r="Q14" s="315"/>
      <c r="R14" s="315"/>
      <c r="S14" s="315"/>
      <c r="T14" s="315"/>
      <c r="U14" s="315"/>
      <c r="V14" s="315"/>
    </row>
    <row r="15" spans="1:22" ht="21" customHeight="1">
      <c r="A15" s="1830" t="s">
        <v>3226</v>
      </c>
      <c r="B15" s="1485" t="s">
        <v>314</v>
      </c>
      <c r="C15" s="678"/>
      <c r="D15" s="679"/>
      <c r="E15" s="593"/>
      <c r="F15" s="676"/>
      <c r="G15" s="593"/>
      <c r="H15" s="593"/>
      <c r="I15" s="615"/>
      <c r="J15" s="593"/>
      <c r="K15" s="593"/>
      <c r="L15" s="623"/>
      <c r="M15" s="675"/>
      <c r="P15" s="315"/>
      <c r="Q15" s="315"/>
      <c r="R15" s="315"/>
      <c r="S15" s="315"/>
      <c r="T15" s="315"/>
      <c r="U15" s="315"/>
      <c r="V15" s="315"/>
    </row>
    <row r="16" spans="1:22" ht="21" customHeight="1">
      <c r="A16" s="1830"/>
      <c r="B16" s="1485" t="s">
        <v>409</v>
      </c>
      <c r="C16" s="639"/>
      <c r="D16" s="643"/>
      <c r="E16" s="593"/>
      <c r="F16" s="676"/>
      <c r="G16" s="593"/>
      <c r="H16" s="593"/>
      <c r="I16" s="615"/>
      <c r="J16" s="593"/>
      <c r="K16" s="593"/>
      <c r="L16" s="623"/>
      <c r="M16" s="675"/>
      <c r="P16" s="315"/>
      <c r="Q16" s="315"/>
      <c r="R16" s="315"/>
      <c r="S16" s="315"/>
      <c r="T16" s="315"/>
      <c r="U16" s="315"/>
      <c r="V16" s="315"/>
    </row>
    <row r="17" spans="1:22" ht="21" customHeight="1">
      <c r="A17" s="1830"/>
      <c r="B17" s="1485" t="s">
        <v>410</v>
      </c>
      <c r="C17" s="639"/>
      <c r="D17" s="643"/>
      <c r="E17" s="593"/>
      <c r="F17" s="676"/>
      <c r="G17" s="593"/>
      <c r="H17" s="593"/>
      <c r="I17" s="615"/>
      <c r="J17" s="593"/>
      <c r="K17" s="593"/>
      <c r="L17" s="623"/>
      <c r="M17" s="675"/>
      <c r="P17" s="315"/>
      <c r="Q17" s="315"/>
      <c r="R17" s="315"/>
      <c r="S17" s="315"/>
      <c r="T17" s="315"/>
      <c r="U17" s="315"/>
      <c r="V17" s="315"/>
    </row>
    <row r="18" spans="1:22" ht="21" customHeight="1">
      <c r="A18" s="538"/>
      <c r="B18" s="1491" t="s">
        <v>834</v>
      </c>
      <c r="C18" s="327"/>
      <c r="D18" s="407"/>
      <c r="E18" s="118">
        <f>SUM(E9:E17)</f>
        <v>0</v>
      </c>
      <c r="F18" s="1492"/>
      <c r="G18" s="118">
        <f>SUM(G9:G17)</f>
        <v>0</v>
      </c>
      <c r="H18" s="118"/>
      <c r="I18" s="1493"/>
      <c r="J18" s="118">
        <f>SUM(J9:J17)</f>
        <v>0</v>
      </c>
      <c r="K18" s="118">
        <f>SUM(K9:K17)</f>
        <v>0</v>
      </c>
      <c r="L18" s="1494"/>
      <c r="M18" s="1495"/>
      <c r="P18" s="315"/>
      <c r="Q18" s="315"/>
      <c r="R18" s="315"/>
      <c r="S18" s="315"/>
      <c r="T18" s="315"/>
      <c r="U18" s="315"/>
      <c r="V18" s="315"/>
    </row>
    <row r="19" spans="1:22" ht="21" customHeight="1">
      <c r="A19" s="538"/>
      <c r="B19" s="474"/>
      <c r="E19" s="189"/>
      <c r="G19" s="189"/>
      <c r="H19" s="189"/>
      <c r="I19" s="1496"/>
      <c r="J19" s="189"/>
      <c r="K19" s="189"/>
      <c r="L19" s="189"/>
      <c r="P19" s="315"/>
      <c r="Q19" s="315"/>
      <c r="R19" s="315"/>
      <c r="S19" s="315"/>
      <c r="T19" s="315"/>
      <c r="U19" s="315"/>
      <c r="V19" s="315"/>
    </row>
    <row r="20" spans="1:22" ht="21" customHeight="1">
      <c r="A20" s="538"/>
      <c r="B20" s="474"/>
      <c r="E20" s="189"/>
      <c r="G20" s="189"/>
      <c r="H20" s="189"/>
      <c r="I20" s="1496"/>
      <c r="J20" s="189"/>
      <c r="K20" s="189"/>
      <c r="L20" s="189"/>
      <c r="P20" s="315"/>
      <c r="Q20" s="315"/>
      <c r="R20" s="315"/>
      <c r="S20" s="315"/>
      <c r="T20" s="315"/>
      <c r="U20" s="315"/>
      <c r="V20" s="315"/>
    </row>
    <row r="21" spans="1:22" ht="13.5" customHeight="1">
      <c r="B21" s="1497"/>
      <c r="C21" s="404"/>
      <c r="D21" s="795"/>
      <c r="J21" s="791"/>
      <c r="P21" s="315"/>
      <c r="Q21" s="315"/>
      <c r="R21" s="315"/>
      <c r="S21" s="315"/>
      <c r="T21" s="315"/>
      <c r="U21" s="315"/>
      <c r="V21" s="315"/>
    </row>
    <row r="22" spans="1:22">
      <c r="B22" s="1498" t="s">
        <v>44</v>
      </c>
      <c r="C22" s="791"/>
      <c r="D22" s="1499"/>
      <c r="E22" s="791"/>
      <c r="I22" s="1857"/>
      <c r="J22" s="1857"/>
      <c r="K22" s="1857"/>
      <c r="L22" s="1857"/>
      <c r="M22" s="1857"/>
      <c r="P22" s="315"/>
      <c r="Q22" s="315"/>
      <c r="R22" s="315"/>
      <c r="S22" s="315"/>
      <c r="T22" s="315"/>
      <c r="U22" s="315"/>
      <c r="V22" s="315"/>
    </row>
    <row r="23" spans="1:22" ht="15.6" customHeight="1">
      <c r="B23" s="1500" t="s">
        <v>45</v>
      </c>
      <c r="C23" s="1500"/>
      <c r="D23" s="1498" t="s">
        <v>46</v>
      </c>
      <c r="E23" s="791"/>
      <c r="M23" s="280"/>
      <c r="P23" s="315"/>
      <c r="Q23" s="315"/>
      <c r="R23" s="315"/>
      <c r="S23" s="315"/>
      <c r="T23" s="315"/>
      <c r="U23" s="315"/>
      <c r="V23" s="315"/>
    </row>
    <row r="24" spans="1:22" ht="15.6" customHeight="1">
      <c r="B24" s="1498"/>
      <c r="C24" s="1498"/>
      <c r="D24" s="1500" t="s">
        <v>47</v>
      </c>
      <c r="E24" s="791"/>
      <c r="M24" s="1501"/>
      <c r="P24" s="315"/>
      <c r="Q24" s="315"/>
      <c r="R24" s="315"/>
      <c r="S24" s="315"/>
      <c r="T24" s="315"/>
      <c r="U24" s="315"/>
      <c r="V24" s="315"/>
    </row>
    <row r="25" spans="1:22" ht="15.6" customHeight="1">
      <c r="B25" s="1498"/>
      <c r="C25" s="1498"/>
      <c r="D25" s="1498" t="s">
        <v>48</v>
      </c>
      <c r="E25" s="791"/>
      <c r="M25" s="280"/>
    </row>
    <row r="26" spans="1:22" ht="15.6" customHeight="1">
      <c r="B26" s="1498"/>
      <c r="C26" s="1498"/>
      <c r="D26" s="1498" t="str">
        <f>"All notes with an original date of issue of "&amp;'KEY INPUTS'!D33-3&amp;" or prior require one legally payable installment to be budgeted if it"</f>
        <v>All notes with an original date of issue of 2018 or prior require one legally payable installment to be budgeted if it</v>
      </c>
      <c r="E26" s="791"/>
      <c r="M26" s="1501"/>
    </row>
    <row r="27" spans="1:22" ht="15.6" customHeight="1">
      <c r="B27" s="1498"/>
      <c r="C27" s="1498"/>
      <c r="D27" s="1498" t="str">
        <f>"is contemplated that such notes will be renewed in "&amp;TEXT('KEY INPUTS'!D34+1,"0")&amp;" or written intent of permanent financing submitted."</f>
        <v>is contemplated that such notes will be renewed in 2021 or written intent of permanent financing submitted.</v>
      </c>
      <c r="E27" s="791"/>
      <c r="M27" s="280"/>
    </row>
    <row r="28" spans="1:22">
      <c r="B28" s="1498"/>
      <c r="C28" s="1498"/>
      <c r="D28" s="1498" t="s">
        <v>49</v>
      </c>
      <c r="E28" s="791"/>
    </row>
    <row r="29" spans="1:22">
      <c r="B29" s="791"/>
      <c r="C29" s="791"/>
      <c r="D29" s="1500" t="s">
        <v>50</v>
      </c>
      <c r="E29" s="791"/>
    </row>
    <row r="30" spans="1:22">
      <c r="J30" s="791" t="s">
        <v>103</v>
      </c>
    </row>
  </sheetData>
  <sheetProtection algorithmName="SHA-512" hashValue="tPiTQFVsOARf8MKCiaTzxN9aMy4UYRlo5Fj86HQrV+2FjZ8fQNUk2NwQzhja8I1STWij0XKXfPWolAIKVLn+aQ==" saltValue="0XT107iUNb85inuQ8oBC7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8">
    <tabColor theme="6" tint="0.39997558519241921"/>
  </sheetPr>
  <dimension ref="A2:V30"/>
  <sheetViews>
    <sheetView zoomScaleNormal="100" zoomScaleSheetLayoutView="80" workbookViewId="0">
      <selection activeCell="C10" sqref="C10"/>
    </sheetView>
  </sheetViews>
  <sheetFormatPr defaultColWidth="8.88671875" defaultRowHeight="13.2"/>
  <cols>
    <col min="1" max="1" width="5.6640625" style="391" customWidth="1"/>
    <col min="2" max="3" width="4.88671875" style="391" customWidth="1"/>
    <col min="4" max="4" width="30.44140625" style="391" customWidth="1"/>
    <col min="5" max="11" width="15.6640625" style="391" customWidth="1"/>
    <col min="12" max="12" width="1.6640625" style="391" customWidth="1"/>
    <col min="13" max="13" width="12.6640625" style="391" customWidth="1"/>
    <col min="14" max="16384" width="8.88671875" style="391"/>
  </cols>
  <sheetData>
    <row r="2" spans="1:22" ht="20.399999999999999">
      <c r="B2" s="1826" t="str">
        <f>"DEBT  SERVICE  FOR  "&amp;UPPER('KEY INPUTS'!D52)&amp;"  UTILITY  NOTES  (OTHER  THAN  UTILITY  ASSESSMENT  NOTES)"</f>
        <v>DEBT  SERVICE  FOR  WATER/SEWER UTILITY  UTILITY  NOTES  (OTHER  THAN  UTILITY  ASSESSMENT  NOTES)</v>
      </c>
      <c r="C2" s="1826"/>
      <c r="D2" s="1826"/>
      <c r="E2" s="1826"/>
      <c r="F2" s="1826"/>
      <c r="G2" s="1826"/>
      <c r="H2" s="1826"/>
      <c r="I2" s="1826"/>
      <c r="J2" s="1826"/>
      <c r="K2" s="1826"/>
      <c r="L2" s="1826"/>
      <c r="M2" s="1826"/>
    </row>
    <row r="3" spans="1:22" ht="21" thickBot="1">
      <c r="B3" s="1893"/>
      <c r="C3" s="1893"/>
      <c r="D3" s="1893"/>
      <c r="E3" s="1893"/>
      <c r="F3" s="1893"/>
      <c r="G3" s="1893"/>
      <c r="H3" s="1893"/>
      <c r="I3" s="1893"/>
      <c r="J3" s="1893"/>
      <c r="K3" s="1893"/>
      <c r="L3" s="1893"/>
      <c r="M3" s="1893"/>
    </row>
    <row r="4" spans="1:22" ht="13.5" customHeight="1" thickTop="1">
      <c r="B4" s="1219"/>
      <c r="C4" s="1219"/>
      <c r="D4" s="1219"/>
      <c r="E4" s="1220"/>
      <c r="F4" s="1220"/>
      <c r="G4" s="1220"/>
      <c r="H4" s="1220"/>
      <c r="I4" s="1220"/>
      <c r="J4" s="1219"/>
      <c r="K4" s="1221"/>
      <c r="L4" s="1219"/>
      <c r="M4" s="1222"/>
    </row>
    <row r="5" spans="1:22" ht="13.5" customHeight="1">
      <c r="B5" s="1096"/>
      <c r="C5" s="1096"/>
      <c r="D5" s="1096"/>
      <c r="E5" s="1223" t="s">
        <v>144</v>
      </c>
      <c r="F5" s="1224" t="s">
        <v>144</v>
      </c>
      <c r="G5" s="1224" t="s">
        <v>441</v>
      </c>
      <c r="H5" s="1224" t="s">
        <v>18</v>
      </c>
      <c r="I5" s="1224" t="s">
        <v>572</v>
      </c>
      <c r="J5" s="1910">
        <f>'KEY INPUTS'!D33</f>
        <v>2021</v>
      </c>
      <c r="K5" s="1911"/>
      <c r="L5" s="1225"/>
      <c r="M5" s="1226" t="s">
        <v>573</v>
      </c>
    </row>
    <row r="6" spans="1:22" ht="13.5" customHeight="1">
      <c r="B6" s="1096"/>
      <c r="C6" s="1908" t="s">
        <v>143</v>
      </c>
      <c r="D6" s="1909"/>
      <c r="E6" s="1223" t="s">
        <v>441</v>
      </c>
      <c r="F6" s="1224" t="s">
        <v>145</v>
      </c>
      <c r="G6" s="1224" t="s">
        <v>569</v>
      </c>
      <c r="H6" s="1224" t="s">
        <v>570</v>
      </c>
      <c r="I6" s="1224" t="s">
        <v>570</v>
      </c>
      <c r="J6" s="1912"/>
      <c r="K6" s="1913"/>
      <c r="L6" s="1227"/>
      <c r="M6" s="1226" t="s">
        <v>576</v>
      </c>
    </row>
    <row r="7" spans="1:22" ht="13.5" customHeight="1">
      <c r="B7" s="1096"/>
      <c r="C7" s="1096"/>
      <c r="D7" s="1096"/>
      <c r="E7" s="1223" t="s">
        <v>97</v>
      </c>
      <c r="F7" s="1223" t="s">
        <v>146</v>
      </c>
      <c r="G7" s="1223" t="s">
        <v>206</v>
      </c>
      <c r="H7" s="1223" t="s">
        <v>571</v>
      </c>
      <c r="I7" s="1223" t="s">
        <v>573</v>
      </c>
      <c r="J7" s="1223" t="s">
        <v>118</v>
      </c>
      <c r="K7" s="1223" t="s">
        <v>574</v>
      </c>
      <c r="L7" s="1224"/>
      <c r="M7" s="1226" t="s">
        <v>577</v>
      </c>
    </row>
    <row r="8" spans="1:22" ht="13.5" customHeight="1" thickBot="1">
      <c r="B8" s="1151"/>
      <c r="C8" s="1151"/>
      <c r="D8" s="1151"/>
      <c r="E8" s="1228"/>
      <c r="F8" s="1228"/>
      <c r="G8" s="1229" t="str">
        <f>'KEY INPUTS'!D46</f>
        <v>Dec. 31, 2020</v>
      </c>
      <c r="H8" s="1228"/>
      <c r="I8" s="1228"/>
      <c r="J8" s="1230"/>
      <c r="K8" s="1231"/>
      <c r="L8" s="1232"/>
      <c r="M8" s="1233"/>
      <c r="P8" s="315"/>
      <c r="Q8" s="315"/>
      <c r="R8" s="315"/>
      <c r="S8" s="315"/>
      <c r="T8" s="315"/>
      <c r="U8" s="315"/>
      <c r="V8" s="315"/>
    </row>
    <row r="9" spans="1:22" ht="21" customHeight="1" thickTop="1">
      <c r="B9" s="530" t="s">
        <v>308</v>
      </c>
      <c r="C9" s="666" t="s">
        <v>3673</v>
      </c>
      <c r="D9" s="667"/>
      <c r="E9" s="610"/>
      <c r="F9" s="1450"/>
      <c r="G9" s="610"/>
      <c r="H9" s="669"/>
      <c r="I9" s="612"/>
      <c r="J9" s="610"/>
      <c r="K9" s="610"/>
      <c r="L9" s="621"/>
      <c r="M9" s="670"/>
      <c r="P9" s="315"/>
      <c r="Q9" s="315"/>
      <c r="R9" s="315"/>
      <c r="S9" s="315"/>
      <c r="T9" s="315"/>
      <c r="U9" s="315"/>
      <c r="V9" s="315"/>
    </row>
    <row r="10" spans="1:22" ht="21" customHeight="1">
      <c r="B10" s="529" t="s">
        <v>309</v>
      </c>
      <c r="C10" s="671"/>
      <c r="D10" s="643"/>
      <c r="E10" s="593"/>
      <c r="F10" s="1451"/>
      <c r="G10" s="593"/>
      <c r="H10" s="593"/>
      <c r="I10" s="673"/>
      <c r="J10" s="674"/>
      <c r="K10" s="593"/>
      <c r="L10" s="623"/>
      <c r="M10" s="675"/>
      <c r="N10" s="391" t="s">
        <v>3190</v>
      </c>
      <c r="O10" s="391" t="s">
        <v>3190</v>
      </c>
      <c r="P10" s="370"/>
      <c r="Q10" s="315"/>
      <c r="R10" s="315"/>
      <c r="S10" s="315"/>
      <c r="T10" s="315"/>
      <c r="U10" s="315"/>
      <c r="V10" s="315"/>
    </row>
    <row r="11" spans="1:22" ht="21" customHeight="1">
      <c r="B11" s="529" t="s">
        <v>310</v>
      </c>
      <c r="C11" s="639"/>
      <c r="D11" s="643"/>
      <c r="E11" s="593"/>
      <c r="F11" s="1452"/>
      <c r="G11" s="593"/>
      <c r="H11" s="593"/>
      <c r="I11" s="615"/>
      <c r="J11" s="593"/>
      <c r="K11" s="593"/>
      <c r="L11" s="623"/>
      <c r="M11" s="675"/>
      <c r="P11" s="315"/>
      <c r="Q11" s="315"/>
      <c r="R11" s="315"/>
      <c r="S11" s="315"/>
      <c r="T11" s="315"/>
      <c r="U11" s="315"/>
      <c r="V11" s="315"/>
    </row>
    <row r="12" spans="1:22" ht="21" customHeight="1">
      <c r="B12" s="529" t="s">
        <v>311</v>
      </c>
      <c r="C12" s="639"/>
      <c r="D12" s="643"/>
      <c r="E12" s="593"/>
      <c r="F12" s="1452"/>
      <c r="G12" s="593"/>
      <c r="H12" s="593"/>
      <c r="I12" s="615"/>
      <c r="J12" s="593"/>
      <c r="K12" s="593"/>
      <c r="L12" s="623"/>
      <c r="M12" s="675"/>
      <c r="P12" s="315"/>
      <c r="Q12" s="315"/>
      <c r="R12" s="315"/>
      <c r="S12" s="315"/>
      <c r="T12" s="315"/>
      <c r="U12" s="315"/>
      <c r="V12" s="315"/>
    </row>
    <row r="13" spans="1:22" ht="21" customHeight="1">
      <c r="B13" s="529" t="s">
        <v>312</v>
      </c>
      <c r="C13" s="639"/>
      <c r="D13" s="643"/>
      <c r="E13" s="593"/>
      <c r="F13" s="1452"/>
      <c r="G13" s="593"/>
      <c r="H13" s="593"/>
      <c r="I13" s="615"/>
      <c r="J13" s="593"/>
      <c r="K13" s="593"/>
      <c r="L13" s="623"/>
      <c r="M13" s="675"/>
      <c r="P13" s="315"/>
      <c r="Q13" s="315"/>
      <c r="R13" s="315"/>
      <c r="S13" s="315"/>
      <c r="T13" s="315"/>
      <c r="U13" s="315"/>
      <c r="V13" s="315"/>
    </row>
    <row r="14" spans="1:22" ht="21" customHeight="1">
      <c r="B14" s="529" t="s">
        <v>313</v>
      </c>
      <c r="C14" s="639"/>
      <c r="D14" s="643"/>
      <c r="E14" s="596"/>
      <c r="F14" s="1453"/>
      <c r="G14" s="596"/>
      <c r="H14" s="596"/>
      <c r="I14" s="618"/>
      <c r="J14" s="593"/>
      <c r="K14" s="593"/>
      <c r="L14" s="623"/>
      <c r="M14" s="675"/>
      <c r="P14" s="315"/>
      <c r="Q14" s="315"/>
      <c r="R14" s="315"/>
      <c r="S14" s="315"/>
      <c r="T14" s="315"/>
      <c r="U14" s="315"/>
      <c r="V14" s="315"/>
    </row>
    <row r="15" spans="1:22" ht="21" customHeight="1">
      <c r="A15" s="1907" t="s">
        <v>3226</v>
      </c>
      <c r="B15" s="529" t="s">
        <v>314</v>
      </c>
      <c r="C15" s="678"/>
      <c r="D15" s="679"/>
      <c r="E15" s="593"/>
      <c r="F15" s="1452"/>
      <c r="G15" s="593"/>
      <c r="H15" s="593"/>
      <c r="I15" s="615"/>
      <c r="J15" s="593"/>
      <c r="K15" s="593"/>
      <c r="L15" s="623"/>
      <c r="M15" s="675"/>
      <c r="P15" s="315"/>
      <c r="Q15" s="315"/>
      <c r="R15" s="315"/>
      <c r="S15" s="315"/>
      <c r="T15" s="315"/>
      <c r="U15" s="315"/>
      <c r="V15" s="315"/>
    </row>
    <row r="16" spans="1:22" ht="21" customHeight="1">
      <c r="A16" s="1907"/>
      <c r="B16" s="529" t="s">
        <v>409</v>
      </c>
      <c r="C16" s="639"/>
      <c r="D16" s="643"/>
      <c r="E16" s="593"/>
      <c r="F16" s="1452"/>
      <c r="G16" s="593"/>
      <c r="H16" s="593"/>
      <c r="I16" s="615"/>
      <c r="J16" s="593"/>
      <c r="K16" s="593"/>
      <c r="L16" s="623"/>
      <c r="M16" s="675"/>
      <c r="P16" s="315"/>
      <c r="Q16" s="315"/>
      <c r="R16" s="315"/>
      <c r="S16" s="315"/>
      <c r="T16" s="315"/>
      <c r="U16" s="315"/>
      <c r="V16" s="315"/>
    </row>
    <row r="17" spans="1:22" ht="21" customHeight="1">
      <c r="A17" s="1907"/>
      <c r="B17" s="529" t="s">
        <v>410</v>
      </c>
      <c r="C17" s="639"/>
      <c r="D17" s="643"/>
      <c r="E17" s="593"/>
      <c r="F17" s="1452"/>
      <c r="G17" s="593"/>
      <c r="H17" s="593"/>
      <c r="I17" s="615"/>
      <c r="J17" s="593"/>
      <c r="K17" s="593"/>
      <c r="L17" s="623"/>
      <c r="M17" s="675"/>
      <c r="P17" s="315"/>
      <c r="Q17" s="315"/>
      <c r="R17" s="315"/>
      <c r="S17" s="315"/>
      <c r="T17" s="315"/>
      <c r="U17" s="315"/>
      <c r="V17" s="315"/>
    </row>
    <row r="18" spans="1:22" ht="21" customHeight="1">
      <c r="A18" s="528"/>
      <c r="B18" s="687" t="s">
        <v>834</v>
      </c>
      <c r="C18" s="681"/>
      <c r="D18" s="682"/>
      <c r="E18" s="680">
        <f>SUM(E9:E17)+'50-Utility1'!E18</f>
        <v>0</v>
      </c>
      <c r="F18" s="683"/>
      <c r="G18" s="680">
        <f>SUM(G9:G17)+'50-Utility1'!G18</f>
        <v>0</v>
      </c>
      <c r="H18" s="680"/>
      <c r="I18" s="684"/>
      <c r="J18" s="680">
        <f>SUM(J9:J17)+'50-Utility1'!J18</f>
        <v>0</v>
      </c>
      <c r="K18" s="680">
        <f>SUM(K9:K17)+'50-Utility1'!K18</f>
        <v>0</v>
      </c>
      <c r="L18" s="685"/>
      <c r="M18" s="686"/>
      <c r="P18" s="315"/>
      <c r="Q18" s="315"/>
      <c r="R18" s="315"/>
      <c r="S18" s="315"/>
      <c r="T18" s="315"/>
      <c r="U18" s="315"/>
      <c r="V18" s="315"/>
    </row>
    <row r="19" spans="1:22" ht="21" customHeight="1">
      <c r="A19" s="528"/>
      <c r="B19" s="527"/>
      <c r="C19" s="460"/>
      <c r="D19" s="460"/>
      <c r="E19" s="525"/>
      <c r="F19" s="460"/>
      <c r="G19" s="525"/>
      <c r="H19" s="525"/>
      <c r="I19" s="526"/>
      <c r="J19" s="525"/>
      <c r="K19" s="525"/>
      <c r="L19" s="525"/>
      <c r="M19" s="460"/>
      <c r="P19" s="315"/>
      <c r="Q19" s="315"/>
      <c r="R19" s="315"/>
      <c r="S19" s="315"/>
      <c r="T19" s="315"/>
      <c r="U19" s="315"/>
      <c r="V19" s="315"/>
    </row>
    <row r="20" spans="1:22" ht="21" customHeight="1">
      <c r="A20" s="528"/>
      <c r="B20" s="527"/>
      <c r="C20" s="460"/>
      <c r="D20" s="460"/>
      <c r="E20" s="525"/>
      <c r="F20" s="460"/>
      <c r="G20" s="525"/>
      <c r="H20" s="525"/>
      <c r="I20" s="526"/>
      <c r="J20" s="525"/>
      <c r="K20" s="525"/>
      <c r="L20" s="525"/>
      <c r="M20" s="460"/>
      <c r="P20" s="315"/>
      <c r="Q20" s="315"/>
      <c r="R20" s="315"/>
      <c r="S20" s="315"/>
      <c r="T20" s="315"/>
      <c r="U20" s="315"/>
      <c r="V20" s="315"/>
    </row>
    <row r="21" spans="1:22" ht="13.5" customHeight="1" thickBot="1">
      <c r="B21" s="524"/>
      <c r="C21" s="523"/>
      <c r="D21" s="522"/>
      <c r="E21" s="460"/>
      <c r="F21" s="460"/>
      <c r="G21" s="460"/>
      <c r="H21" s="460"/>
      <c r="I21" s="460"/>
      <c r="J21" s="511"/>
      <c r="K21" s="460"/>
      <c r="L21" s="460"/>
      <c r="M21" s="460"/>
      <c r="P21" s="315"/>
      <c r="Q21" s="315"/>
      <c r="R21" s="315"/>
      <c r="S21" s="315"/>
      <c r="T21" s="315"/>
      <c r="U21" s="315"/>
      <c r="V21" s="315"/>
    </row>
    <row r="22" spans="1:22" ht="14.4" thickTop="1" thickBot="1">
      <c r="B22" s="465" t="s">
        <v>44</v>
      </c>
      <c r="C22" s="512"/>
      <c r="D22" s="521"/>
      <c r="E22" s="512"/>
      <c r="I22" s="1904" t="str">
        <f>"INTEREST  ON  NOTES  -  "&amp;UPPER('KEY INPUTS'!D52)&amp;" UTILITY  BUDGET"</f>
        <v>INTEREST  ON  NOTES  -  WATER/SEWER UTILITY UTILITY  BUDGET</v>
      </c>
      <c r="J22" s="1905"/>
      <c r="K22" s="1905"/>
      <c r="L22" s="1905"/>
      <c r="M22" s="1906"/>
      <c r="P22" s="315"/>
      <c r="Q22" s="315"/>
      <c r="R22" s="315"/>
      <c r="S22" s="315"/>
      <c r="T22" s="315"/>
      <c r="U22" s="315"/>
      <c r="V22" s="315"/>
    </row>
    <row r="23" spans="1:22" ht="15.6" customHeight="1">
      <c r="B23" s="513" t="s">
        <v>45</v>
      </c>
      <c r="C23" s="513"/>
      <c r="D23" s="465" t="s">
        <v>46</v>
      </c>
      <c r="E23" s="512"/>
      <c r="I23" s="520" t="str">
        <f>TEXT('KEY INPUTS'!D34+1,"0")&amp;"  Interest on Notes"</f>
        <v>2021  Interest on Notes</v>
      </c>
      <c r="J23" s="461"/>
      <c r="K23" s="461"/>
      <c r="L23" s="519" t="s">
        <v>397</v>
      </c>
      <c r="M23" s="1216">
        <f>K18</f>
        <v>0</v>
      </c>
      <c r="P23" s="315"/>
      <c r="Q23" s="315"/>
      <c r="R23" s="315"/>
      <c r="S23" s="315"/>
      <c r="T23" s="315"/>
      <c r="U23" s="315"/>
      <c r="V23" s="315"/>
    </row>
    <row r="24" spans="1:22" ht="15.6" customHeight="1">
      <c r="B24" s="465"/>
      <c r="C24" s="465"/>
      <c r="D24" s="513" t="s">
        <v>47</v>
      </c>
      <c r="E24" s="512"/>
      <c r="I24" s="518" t="str">
        <f>"Less: Interest Accrued to "&amp;TEXT('KEY INPUTS'!D29,"mm/dd/yyyy")&amp;" (Trial Balance)"</f>
        <v>Less: Interest Accrued to 12/31/2020 (Trial Balance)</v>
      </c>
      <c r="J24" s="395"/>
      <c r="K24" s="395"/>
      <c r="L24" s="517" t="s">
        <v>397</v>
      </c>
      <c r="M24" s="663"/>
      <c r="P24" s="315"/>
      <c r="Q24" s="315"/>
      <c r="R24" s="315"/>
      <c r="S24" s="315"/>
      <c r="T24" s="315"/>
      <c r="U24" s="315"/>
      <c r="V24" s="315"/>
    </row>
    <row r="25" spans="1:22" ht="15.6" customHeight="1">
      <c r="B25" s="465"/>
      <c r="C25" s="465"/>
      <c r="D25" s="465" t="s">
        <v>48</v>
      </c>
      <c r="E25" s="512"/>
      <c r="I25" s="484"/>
      <c r="J25" s="395" t="s">
        <v>337</v>
      </c>
      <c r="K25" s="395"/>
      <c r="L25" s="517" t="s">
        <v>397</v>
      </c>
      <c r="M25" s="1217">
        <f>+M23-M24</f>
        <v>0</v>
      </c>
    </row>
    <row r="26" spans="1:22" ht="15.6" customHeight="1">
      <c r="B26" s="465"/>
      <c r="C26" s="465"/>
      <c r="D26" s="465" t="str">
        <f>"All notes with an original date of issue of "&amp;'KEY INPUTS'!D33-3&amp;" or prior require one legally payable installment to be budgeted if it"</f>
        <v>All notes with an original date of issue of 2018 or prior require one legally payable installment to be budgeted if it</v>
      </c>
      <c r="E26" s="512"/>
      <c r="I26" s="518" t="str">
        <f>"Add: Interest to be Accrued as of "&amp;TEXT('KEY INPUTS'!D30,"mm/dd/yyyy")&amp;""</f>
        <v>Add: Interest to be Accrued as of 12/31/2021</v>
      </c>
      <c r="J26" s="395"/>
      <c r="K26" s="395"/>
      <c r="L26" s="517" t="s">
        <v>397</v>
      </c>
      <c r="M26" s="663"/>
    </row>
    <row r="27" spans="1:22" ht="15.6" customHeight="1" thickBot="1">
      <c r="B27" s="465"/>
      <c r="C27" s="465"/>
      <c r="D27" s="465" t="str">
        <f>"is contemplated that such notes will be renewed in "&amp;TEXT('KEY INPUTS'!D34+1,"0")&amp;" or written intent of permanent financing submitted."</f>
        <v>is contemplated that such notes will be renewed in 2021 or written intent of permanent financing submitted.</v>
      </c>
      <c r="E27" s="512"/>
      <c r="I27" s="516" t="str">
        <f>"Required Appropriation - "&amp;TEXT('KEY INPUTS'!D34+1,"0")&amp;""</f>
        <v>Required Appropriation - 2021</v>
      </c>
      <c r="J27" s="459"/>
      <c r="K27" s="459"/>
      <c r="L27" s="515" t="s">
        <v>397</v>
      </c>
      <c r="M27" s="1218">
        <f>+M25+M26</f>
        <v>0</v>
      </c>
    </row>
    <row r="28" spans="1:22" ht="13.8" thickTop="1">
      <c r="B28" s="465"/>
      <c r="C28" s="465"/>
      <c r="D28" s="465" t="s">
        <v>49</v>
      </c>
      <c r="E28" s="512"/>
    </row>
    <row r="29" spans="1:22">
      <c r="B29" s="512"/>
      <c r="C29" s="512"/>
      <c r="D29" s="513" t="s">
        <v>50</v>
      </c>
      <c r="E29" s="512"/>
    </row>
    <row r="30" spans="1:22">
      <c r="J30" s="511" t="s">
        <v>103</v>
      </c>
    </row>
  </sheetData>
  <sheetProtection algorithmName="SHA-512" hashValue="lvt2+/U64hC0aXCMZJbTbK1TgTJtdQxHHX/3SjYoIiGroJdo7eaNPaL8H9HR6f2Ecv0UpCoT9Ktsbj8zRFngXQ==" saltValue="8EbRX9pHDLYqfvTvB/C1OQ==" spinCount="100000" sheet="1" objects="1" scenarios="1"/>
  <mergeCells count="6">
    <mergeCell ref="I22:M22"/>
    <mergeCell ref="B2:M2"/>
    <mergeCell ref="B3:M3"/>
    <mergeCell ref="A15:A17"/>
    <mergeCell ref="C6:D6"/>
    <mergeCell ref="J5:K6"/>
  </mergeCells>
  <pageMargins left="0.25" right="0.25" top="0.5" bottom="0.5" header="0.25" footer="0.25"/>
  <pageSetup paperSize="5" orientation="landscape" r:id="rId1"/>
  <headerFooter alignWithMargins="0"/>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9">
    <tabColor theme="6" tint="0.39997558519241921"/>
  </sheetPr>
  <dimension ref="A1:T29"/>
  <sheetViews>
    <sheetView zoomScaleNormal="100" zoomScaleSheetLayoutView="80" workbookViewId="0">
      <selection activeCell="B10" sqref="B10:D10"/>
    </sheetView>
  </sheetViews>
  <sheetFormatPr defaultColWidth="9.109375" defaultRowHeight="13.2"/>
  <cols>
    <col min="1" max="1" width="5.6640625" style="324" customWidth="1"/>
    <col min="2" max="3" width="4.88671875" style="324" customWidth="1"/>
    <col min="4" max="4" width="31.5546875" style="324" customWidth="1"/>
    <col min="5" max="12" width="15.6640625" style="324" customWidth="1"/>
    <col min="13" max="16384" width="9.109375" style="324"/>
  </cols>
  <sheetData>
    <row r="1" spans="1:20">
      <c r="B1" s="1128"/>
      <c r="C1" s="1128"/>
      <c r="D1" s="1128"/>
      <c r="E1" s="1128"/>
      <c r="F1" s="1128"/>
      <c r="G1" s="1128"/>
      <c r="H1" s="1128"/>
      <c r="I1" s="1128"/>
      <c r="J1" s="1128"/>
      <c r="K1" s="1128"/>
      <c r="L1" s="1128"/>
    </row>
    <row r="2" spans="1:20" ht="20.399999999999999">
      <c r="B2" s="1826" t="str">
        <f>"DEBT  SERVICE  SCHEDULE  FOR  "&amp;UPPER('KEY INPUTS'!D52) &amp;"  UTILITY  ASSESSMENT  NOTES"</f>
        <v>DEBT  SERVICE  SCHEDULE  FOR  WATER/SEWER UTILITY  UTILITY  ASSESSMENT  NOTES</v>
      </c>
      <c r="C2" s="1826"/>
      <c r="D2" s="1826"/>
      <c r="E2" s="1826"/>
      <c r="F2" s="1826"/>
      <c r="G2" s="1826"/>
      <c r="H2" s="1826"/>
      <c r="I2" s="1826"/>
      <c r="J2" s="1826"/>
      <c r="K2" s="1826"/>
      <c r="L2" s="1826"/>
    </row>
    <row r="3" spans="1:20" ht="21" thickBot="1">
      <c r="B3" s="1916"/>
      <c r="C3" s="1916"/>
      <c r="D3" s="1916"/>
      <c r="E3" s="1916"/>
      <c r="F3" s="1916"/>
      <c r="G3" s="1916"/>
      <c r="H3" s="1916"/>
      <c r="I3" s="1916"/>
      <c r="J3" s="1916"/>
      <c r="K3" s="1916"/>
      <c r="L3" s="1916"/>
    </row>
    <row r="4" spans="1:20" ht="13.5" customHeight="1" thickTop="1">
      <c r="B4" s="1918"/>
      <c r="C4" s="1918"/>
      <c r="D4" s="1919"/>
      <c r="E4" s="1220"/>
      <c r="F4" s="1125"/>
      <c r="G4" s="1125"/>
      <c r="H4" s="1125"/>
      <c r="I4" s="1125"/>
      <c r="J4" s="1124"/>
      <c r="K4" s="1124"/>
      <c r="L4" s="1127"/>
    </row>
    <row r="5" spans="1:20" ht="13.5" customHeight="1">
      <c r="B5" s="1128"/>
      <c r="C5" s="1128"/>
      <c r="D5" s="1128"/>
      <c r="E5" s="1129" t="s">
        <v>144</v>
      </c>
      <c r="F5" s="1133" t="s">
        <v>144</v>
      </c>
      <c r="G5" s="1133" t="s">
        <v>441</v>
      </c>
      <c r="H5" s="1133" t="s">
        <v>18</v>
      </c>
      <c r="I5" s="1133" t="s">
        <v>572</v>
      </c>
      <c r="J5" s="1910">
        <f>'KEY INPUTS'!D33</f>
        <v>2021</v>
      </c>
      <c r="K5" s="1911"/>
      <c r="L5" s="1131" t="s">
        <v>573</v>
      </c>
    </row>
    <row r="6" spans="1:20" ht="13.5" customHeight="1">
      <c r="B6" s="1128"/>
      <c r="C6" s="1825" t="s">
        <v>143</v>
      </c>
      <c r="D6" s="1917"/>
      <c r="E6" s="1129" t="s">
        <v>441</v>
      </c>
      <c r="F6" s="1133" t="s">
        <v>145</v>
      </c>
      <c r="G6" s="1133" t="s">
        <v>569</v>
      </c>
      <c r="H6" s="1133" t="s">
        <v>570</v>
      </c>
      <c r="I6" s="1133" t="s">
        <v>570</v>
      </c>
      <c r="J6" s="1912"/>
      <c r="K6" s="1913"/>
      <c r="L6" s="1131" t="s">
        <v>576</v>
      </c>
    </row>
    <row r="7" spans="1:20" ht="13.5" customHeight="1">
      <c r="B7" s="1128"/>
      <c r="C7" s="1128"/>
      <c r="D7" s="1128"/>
      <c r="E7" s="1129" t="s">
        <v>97</v>
      </c>
      <c r="F7" s="1129" t="s">
        <v>146</v>
      </c>
      <c r="G7" s="1129" t="s">
        <v>206</v>
      </c>
      <c r="H7" s="1129" t="s">
        <v>571</v>
      </c>
      <c r="I7" s="1129" t="s">
        <v>573</v>
      </c>
      <c r="J7" s="1129" t="s">
        <v>118</v>
      </c>
      <c r="K7" s="1129" t="s">
        <v>574</v>
      </c>
      <c r="L7" s="1131" t="s">
        <v>577</v>
      </c>
      <c r="N7" s="315"/>
      <c r="O7" s="315"/>
      <c r="P7" s="315"/>
      <c r="Q7" s="315"/>
      <c r="R7" s="315"/>
      <c r="S7" s="315"/>
      <c r="T7" s="315"/>
    </row>
    <row r="8" spans="1:20" ht="13.5" customHeight="1" thickBot="1">
      <c r="B8" s="1135"/>
      <c r="C8" s="1135"/>
      <c r="D8" s="1135"/>
      <c r="E8" s="1136"/>
      <c r="F8" s="1136"/>
      <c r="G8" s="1229" t="str">
        <f>'KEY INPUTS'!D46</f>
        <v>Dec. 31, 2020</v>
      </c>
      <c r="H8" s="1136"/>
      <c r="I8" s="1136"/>
      <c r="J8" s="1137"/>
      <c r="K8" s="1237" t="s">
        <v>575</v>
      </c>
      <c r="L8" s="1139"/>
      <c r="N8" s="315"/>
      <c r="O8" s="315"/>
      <c r="P8" s="315"/>
      <c r="Q8" s="315"/>
      <c r="R8" s="315"/>
      <c r="S8" s="315"/>
      <c r="T8" s="315"/>
    </row>
    <row r="9" spans="1:20" ht="21" customHeight="1" thickTop="1">
      <c r="B9" s="1920" t="s">
        <v>3673</v>
      </c>
      <c r="C9" s="1920"/>
      <c r="D9" s="1921"/>
      <c r="E9" s="610"/>
      <c r="F9" s="688"/>
      <c r="G9" s="610"/>
      <c r="H9" s="610"/>
      <c r="I9" s="612"/>
      <c r="J9" s="610"/>
      <c r="K9" s="610"/>
      <c r="L9" s="689"/>
      <c r="N9" s="370"/>
      <c r="O9" s="315"/>
      <c r="P9" s="315"/>
      <c r="Q9" s="315"/>
      <c r="R9" s="315"/>
      <c r="S9" s="315"/>
      <c r="T9" s="315"/>
    </row>
    <row r="10" spans="1:20" ht="21" customHeight="1">
      <c r="B10" s="1914"/>
      <c r="C10" s="1914"/>
      <c r="D10" s="1915"/>
      <c r="E10" s="593"/>
      <c r="F10" s="676"/>
      <c r="G10" s="593"/>
      <c r="H10" s="593"/>
      <c r="I10" s="615"/>
      <c r="J10" s="593"/>
      <c r="K10" s="593"/>
      <c r="L10" s="690"/>
      <c r="N10" s="315"/>
      <c r="O10" s="315"/>
      <c r="P10" s="315"/>
      <c r="Q10" s="315"/>
      <c r="R10" s="315"/>
      <c r="S10" s="315"/>
      <c r="T10" s="315"/>
    </row>
    <row r="11" spans="1:20" ht="21" customHeight="1">
      <c r="B11" s="1914"/>
      <c r="C11" s="1914"/>
      <c r="D11" s="1915"/>
      <c r="E11" s="593"/>
      <c r="F11" s="676"/>
      <c r="G11" s="593"/>
      <c r="H11" s="593"/>
      <c r="I11" s="615"/>
      <c r="J11" s="593"/>
      <c r="K11" s="593"/>
      <c r="L11" s="690"/>
      <c r="N11" s="315"/>
      <c r="O11" s="315"/>
      <c r="P11" s="315"/>
      <c r="Q11" s="315"/>
      <c r="R11" s="315"/>
      <c r="S11" s="315"/>
      <c r="T11" s="315"/>
    </row>
    <row r="12" spans="1:20" ht="21" customHeight="1">
      <c r="B12" s="1914"/>
      <c r="C12" s="1914"/>
      <c r="D12" s="1915"/>
      <c r="E12" s="593"/>
      <c r="F12" s="676"/>
      <c r="G12" s="593"/>
      <c r="H12" s="593"/>
      <c r="I12" s="615"/>
      <c r="J12" s="593"/>
      <c r="K12" s="593"/>
      <c r="L12" s="690"/>
      <c r="N12" s="315"/>
      <c r="O12" s="315"/>
      <c r="P12" s="315"/>
      <c r="Q12" s="315"/>
      <c r="R12" s="315"/>
      <c r="S12" s="315"/>
      <c r="T12" s="315"/>
    </row>
    <row r="13" spans="1:20" ht="21" customHeight="1">
      <c r="B13" s="1914"/>
      <c r="C13" s="1914"/>
      <c r="D13" s="1915"/>
      <c r="E13" s="593"/>
      <c r="F13" s="676"/>
      <c r="G13" s="593"/>
      <c r="H13" s="593"/>
      <c r="I13" s="615"/>
      <c r="J13" s="593"/>
      <c r="K13" s="593"/>
      <c r="L13" s="690"/>
      <c r="N13" s="315"/>
      <c r="O13" s="315"/>
      <c r="P13" s="315"/>
      <c r="Q13" s="315"/>
      <c r="R13" s="315"/>
      <c r="S13" s="315"/>
      <c r="T13" s="315"/>
    </row>
    <row r="14" spans="1:20" ht="21" customHeight="1">
      <c r="B14" s="1914"/>
      <c r="C14" s="1914"/>
      <c r="D14" s="1915"/>
      <c r="E14" s="596"/>
      <c r="F14" s="677"/>
      <c r="G14" s="596"/>
      <c r="H14" s="596"/>
      <c r="I14" s="618"/>
      <c r="J14" s="593"/>
      <c r="K14" s="593"/>
      <c r="L14" s="690"/>
      <c r="N14" s="315"/>
      <c r="O14" s="315"/>
      <c r="P14" s="315"/>
      <c r="Q14" s="315"/>
      <c r="R14" s="315"/>
      <c r="S14" s="315"/>
      <c r="T14" s="315"/>
    </row>
    <row r="15" spans="1:20" ht="21" customHeight="1">
      <c r="A15" s="1830" t="s">
        <v>3227</v>
      </c>
      <c r="B15" s="1914"/>
      <c r="C15" s="1914"/>
      <c r="D15" s="1915"/>
      <c r="E15" s="593"/>
      <c r="F15" s="676"/>
      <c r="G15" s="593"/>
      <c r="H15" s="593"/>
      <c r="I15" s="615"/>
      <c r="J15" s="593"/>
      <c r="K15" s="593"/>
      <c r="L15" s="690"/>
      <c r="N15" s="315"/>
      <c r="O15" s="315"/>
      <c r="P15" s="315"/>
      <c r="Q15" s="315"/>
      <c r="R15" s="315"/>
      <c r="S15" s="315"/>
      <c r="T15" s="315"/>
    </row>
    <row r="16" spans="1:20" ht="21" customHeight="1">
      <c r="A16" s="1830"/>
      <c r="B16" s="1914"/>
      <c r="C16" s="1914"/>
      <c r="D16" s="1915"/>
      <c r="E16" s="593"/>
      <c r="F16" s="676"/>
      <c r="G16" s="593"/>
      <c r="H16" s="593"/>
      <c r="I16" s="615"/>
      <c r="J16" s="593"/>
      <c r="K16" s="593"/>
      <c r="L16" s="690"/>
      <c r="N16" s="315"/>
      <c r="O16" s="315"/>
      <c r="P16" s="315"/>
      <c r="Q16" s="315"/>
      <c r="R16" s="315"/>
      <c r="S16" s="315"/>
      <c r="T16" s="315"/>
    </row>
    <row r="17" spans="1:20" ht="21" customHeight="1">
      <c r="A17" s="1830"/>
      <c r="B17" s="1914"/>
      <c r="C17" s="1914"/>
      <c r="D17" s="1915"/>
      <c r="E17" s="593"/>
      <c r="F17" s="676"/>
      <c r="G17" s="593"/>
      <c r="H17" s="593"/>
      <c r="I17" s="615"/>
      <c r="J17" s="593"/>
      <c r="K17" s="593"/>
      <c r="L17" s="690"/>
      <c r="N17" s="315"/>
      <c r="O17" s="315"/>
      <c r="P17" s="315"/>
      <c r="Q17" s="315"/>
      <c r="R17" s="315"/>
      <c r="S17" s="315"/>
      <c r="T17" s="315"/>
    </row>
    <row r="18" spans="1:20" ht="21" customHeight="1">
      <c r="A18" s="538"/>
      <c r="B18" s="1914"/>
      <c r="C18" s="1914"/>
      <c r="D18" s="1915"/>
      <c r="E18" s="593"/>
      <c r="F18" s="676"/>
      <c r="G18" s="593"/>
      <c r="H18" s="593"/>
      <c r="I18" s="615"/>
      <c r="J18" s="593"/>
      <c r="K18" s="593"/>
      <c r="L18" s="690"/>
      <c r="N18" s="315"/>
      <c r="O18" s="315"/>
      <c r="P18" s="315"/>
      <c r="Q18" s="315"/>
      <c r="R18" s="315"/>
      <c r="S18" s="315"/>
      <c r="T18" s="315"/>
    </row>
    <row r="19" spans="1:20" ht="21" customHeight="1">
      <c r="B19" s="1914"/>
      <c r="C19" s="1914"/>
      <c r="D19" s="1915"/>
      <c r="E19" s="593"/>
      <c r="F19" s="676"/>
      <c r="G19" s="593"/>
      <c r="H19" s="593"/>
      <c r="I19" s="615"/>
      <c r="J19" s="593"/>
      <c r="K19" s="593"/>
      <c r="L19" s="690"/>
      <c r="N19" s="315"/>
      <c r="O19" s="315"/>
      <c r="P19" s="315"/>
      <c r="Q19" s="315"/>
      <c r="R19" s="315"/>
      <c r="S19" s="315"/>
      <c r="T19" s="315"/>
    </row>
    <row r="20" spans="1:20" ht="21" customHeight="1">
      <c r="B20" s="1914"/>
      <c r="C20" s="1914"/>
      <c r="D20" s="1915"/>
      <c r="E20" s="593"/>
      <c r="F20" s="676"/>
      <c r="G20" s="593"/>
      <c r="H20" s="593"/>
      <c r="I20" s="615"/>
      <c r="J20" s="593"/>
      <c r="K20" s="593"/>
      <c r="L20" s="690"/>
      <c r="N20" s="315"/>
      <c r="O20" s="315"/>
      <c r="P20" s="315"/>
      <c r="Q20" s="315"/>
      <c r="R20" s="315"/>
      <c r="S20" s="315"/>
      <c r="T20" s="315"/>
    </row>
    <row r="21" spans="1:20" ht="21" customHeight="1">
      <c r="B21" s="1914"/>
      <c r="C21" s="1914"/>
      <c r="D21" s="1915"/>
      <c r="E21" s="593"/>
      <c r="F21" s="676"/>
      <c r="G21" s="593"/>
      <c r="H21" s="593"/>
      <c r="I21" s="615"/>
      <c r="J21" s="593"/>
      <c r="K21" s="593"/>
      <c r="L21" s="690"/>
      <c r="N21" s="315"/>
      <c r="O21" s="315"/>
      <c r="P21" s="315"/>
      <c r="Q21" s="315"/>
      <c r="R21" s="315"/>
      <c r="S21" s="315"/>
      <c r="T21" s="315"/>
    </row>
    <row r="22" spans="1:20" ht="21" customHeight="1">
      <c r="B22" s="1914"/>
      <c r="C22" s="1914"/>
      <c r="D22" s="1915"/>
      <c r="E22" s="593"/>
      <c r="F22" s="676"/>
      <c r="G22" s="593"/>
      <c r="H22" s="593"/>
      <c r="I22" s="615"/>
      <c r="J22" s="593"/>
      <c r="K22" s="593"/>
      <c r="L22" s="690"/>
      <c r="N22" s="315"/>
      <c r="O22" s="315"/>
      <c r="P22" s="315"/>
      <c r="Q22" s="315"/>
      <c r="R22" s="315"/>
      <c r="S22" s="315"/>
      <c r="T22" s="315"/>
    </row>
    <row r="23" spans="1:20" ht="21" customHeight="1" thickBot="1">
      <c r="B23" s="1238"/>
      <c r="C23" s="1214"/>
      <c r="D23" s="1239"/>
      <c r="E23" s="1113">
        <f>SUM(E9:E22)</f>
        <v>0</v>
      </c>
      <c r="F23" s="1228"/>
      <c r="G23" s="1113">
        <f>SUM(G9:G22)</f>
        <v>0</v>
      </c>
      <c r="H23" s="1113"/>
      <c r="I23" s="1113"/>
      <c r="J23" s="1113">
        <f>SUM(J9:J22)</f>
        <v>0</v>
      </c>
      <c r="K23" s="1113">
        <f>SUM(K9:K22)</f>
        <v>0</v>
      </c>
      <c r="L23" s="1240"/>
      <c r="N23" s="315"/>
      <c r="O23" s="315"/>
      <c r="P23" s="315"/>
      <c r="Q23" s="315"/>
      <c r="R23" s="315"/>
      <c r="S23" s="315"/>
      <c r="T23" s="315"/>
    </row>
    <row r="24" spans="1:20" ht="13.5" customHeight="1" thickTop="1">
      <c r="B24" s="1241" t="s">
        <v>44</v>
      </c>
      <c r="C24" s="1242"/>
      <c r="D24" s="1243"/>
      <c r="E24" s="1244"/>
      <c r="F24" s="1244"/>
      <c r="G24" s="1244"/>
      <c r="H24" s="1244"/>
      <c r="I24" s="1244"/>
      <c r="J24" s="1245"/>
      <c r="K24" s="1245"/>
      <c r="L24" s="1244"/>
    </row>
    <row r="25" spans="1:20" ht="13.5" customHeight="1">
      <c r="B25" s="1241" t="s">
        <v>579</v>
      </c>
      <c r="C25" s="1242"/>
      <c r="D25" s="1243"/>
      <c r="E25" s="1244"/>
      <c r="F25" s="1244"/>
      <c r="G25" s="1244"/>
      <c r="H25" s="1244"/>
      <c r="I25" s="1244"/>
      <c r="J25" s="1244"/>
      <c r="K25" s="1244"/>
      <c r="L25" s="1244"/>
    </row>
    <row r="26" spans="1:20" ht="13.5" customHeight="1">
      <c r="B26" s="1241"/>
      <c r="C26" s="1242" t="str">
        <f>"Utility Assessment Notes with an original date of issue of December 31, "&amp;'KEY INPUTS'!D33-3&amp;" or prior must be appropriated in full in the "&amp;TEXT('KEY INPUTS'!D34+1,"0")&amp;" Dedicated Utility Assessment Budget or written intent of"</f>
        <v>Utility Assessment Notes with an original date of issue of December 31, 2018 or prior must be appropriated in full in the 2021 Dedicated Utility Assessment Budget or written intent of</v>
      </c>
      <c r="D26" s="1243"/>
      <c r="E26" s="1244"/>
      <c r="F26" s="1244"/>
      <c r="G26" s="1244"/>
      <c r="H26" s="1244"/>
      <c r="I26" s="1244"/>
      <c r="J26" s="1244"/>
      <c r="K26" s="1244"/>
      <c r="L26" s="1244"/>
    </row>
    <row r="27" spans="1:20" ht="13.5" customHeight="1">
      <c r="B27" s="1241"/>
      <c r="C27" s="1242"/>
      <c r="D27" s="1246" t="s">
        <v>532</v>
      </c>
      <c r="E27" s="1244"/>
      <c r="F27" s="1244"/>
      <c r="G27" s="1244"/>
      <c r="H27" s="1244"/>
      <c r="I27" s="1244"/>
      <c r="J27" s="1244"/>
      <c r="K27" s="1244"/>
      <c r="L27" s="1244"/>
    </row>
    <row r="28" spans="1:20" ht="13.5" customHeight="1">
      <c r="B28" s="1241"/>
      <c r="C28" s="1242" t="s">
        <v>318</v>
      </c>
      <c r="D28" s="1243"/>
      <c r="E28" s="1244"/>
      <c r="F28" s="1244"/>
      <c r="G28" s="1244"/>
      <c r="H28" s="1244"/>
      <c r="I28" s="1244"/>
      <c r="J28" s="1247"/>
      <c r="K28" s="1244"/>
      <c r="L28" s="1244"/>
    </row>
    <row r="29" spans="1:20">
      <c r="B29" s="534"/>
      <c r="C29" s="404"/>
      <c r="D29" s="404"/>
    </row>
  </sheetData>
  <sheetProtection algorithmName="SHA-512" hashValue="xrHLHf3ddphxPmgaPKkm1qazYpfowJzBWwI7VZN1HLAjwqLPrNXXYvhdt1GcgpUPVCRKD13uCxqnPkMKjl/1qw==" saltValue="i2k6hRYN8tzJittPyUCgCg==" spinCount="100000" sheet="1" objects="1" scenarios="1"/>
  <mergeCells count="20">
    <mergeCell ref="B2:L2"/>
    <mergeCell ref="B3:L3"/>
    <mergeCell ref="A15:A17"/>
    <mergeCell ref="C6:D6"/>
    <mergeCell ref="J5:K6"/>
    <mergeCell ref="B4:D4"/>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0">
    <tabColor theme="6" tint="0.39997558519241921"/>
  </sheetPr>
  <dimension ref="A1:R27"/>
  <sheetViews>
    <sheetView zoomScaleNormal="100" zoomScaleSheetLayoutView="80" workbookViewId="0">
      <selection activeCell="B10" sqref="B10:F10"/>
    </sheetView>
  </sheetViews>
  <sheetFormatPr defaultColWidth="9.109375" defaultRowHeight="13.2"/>
  <cols>
    <col min="1" max="1" width="5.6640625" style="324" customWidth="1"/>
    <col min="2" max="3" width="4.88671875" style="324" customWidth="1"/>
    <col min="4" max="4" width="35.88671875" style="324" customWidth="1"/>
    <col min="5" max="6" width="15.6640625" style="324" customWidth="1"/>
    <col min="7" max="9" width="30.6640625" style="324" customWidth="1"/>
    <col min="10" max="16384" width="9.109375" style="324"/>
  </cols>
  <sheetData>
    <row r="1" spans="1:18">
      <c r="B1" s="1128"/>
      <c r="C1" s="1128"/>
      <c r="D1" s="1128"/>
      <c r="E1" s="1128"/>
      <c r="F1" s="1128"/>
      <c r="G1" s="1128"/>
      <c r="H1" s="1128"/>
      <c r="I1" s="1128"/>
    </row>
    <row r="2" spans="1:18" ht="20.399999999999999">
      <c r="B2" s="1826" t="str">
        <f>"SCHEDULE  OF  CAPITAL  LEASE  PROGRAM  OBLIGATIONS "&amp;UPPER('KEY INPUTS'!D52)&amp;"  UTILITY"</f>
        <v>SCHEDULE  OF  CAPITAL  LEASE  PROGRAM  OBLIGATIONS WATER/SEWER UTILITY  UTILITY</v>
      </c>
      <c r="C2" s="1826"/>
      <c r="D2" s="1826"/>
      <c r="E2" s="1826"/>
      <c r="F2" s="1826"/>
      <c r="G2" s="1826"/>
      <c r="H2" s="1826"/>
      <c r="I2" s="1826"/>
    </row>
    <row r="3" spans="1:18" ht="21" thickBot="1">
      <c r="B3" s="1916"/>
      <c r="C3" s="1916"/>
      <c r="D3" s="1916"/>
      <c r="E3" s="1916"/>
      <c r="F3" s="1916"/>
      <c r="G3" s="1916"/>
      <c r="H3" s="1916"/>
      <c r="I3" s="1916"/>
    </row>
    <row r="4" spans="1:18" ht="13.5" customHeight="1" thickTop="1">
      <c r="B4" s="1918"/>
      <c r="C4" s="1918"/>
      <c r="D4" s="1918"/>
      <c r="E4" s="1918"/>
      <c r="F4" s="1919"/>
      <c r="G4" s="1248"/>
      <c r="H4" s="1124"/>
      <c r="I4" s="1249"/>
    </row>
    <row r="5" spans="1:18" ht="13.5" customHeight="1">
      <c r="B5" s="1128"/>
      <c r="C5" s="1128"/>
      <c r="D5" s="1128"/>
      <c r="E5" s="1250"/>
      <c r="F5" s="1250"/>
      <c r="G5" s="1133" t="s">
        <v>441</v>
      </c>
      <c r="H5" s="1910" t="str">
        <f>'KEY INPUTS'!D34+1&amp;" Budget Requirements"</f>
        <v>2021 Budget Requirements</v>
      </c>
      <c r="I5" s="1923"/>
      <c r="J5" s="765"/>
    </row>
    <row r="6" spans="1:18" ht="13.5" customHeight="1">
      <c r="B6" s="1128"/>
      <c r="C6" s="1825" t="s">
        <v>440</v>
      </c>
      <c r="D6" s="1922"/>
      <c r="E6" s="1250"/>
      <c r="F6" s="1250"/>
      <c r="G6" s="1133" t="s">
        <v>457</v>
      </c>
      <c r="H6" s="1924"/>
      <c r="I6" s="1925"/>
      <c r="J6" s="765"/>
    </row>
    <row r="7" spans="1:18" ht="13.5" customHeight="1">
      <c r="B7" s="1128"/>
      <c r="C7" s="1128"/>
      <c r="D7" s="1128"/>
      <c r="E7" s="1250"/>
      <c r="F7" s="1253"/>
      <c r="G7" s="1254" t="str">
        <f>'KEY INPUTS'!D46</f>
        <v>Dec. 31, 2020</v>
      </c>
      <c r="H7" s="1129" t="s">
        <v>3229</v>
      </c>
      <c r="I7" s="1131" t="s">
        <v>458</v>
      </c>
      <c r="L7" s="315"/>
      <c r="M7" s="315"/>
      <c r="N7" s="315"/>
      <c r="O7" s="315"/>
      <c r="P7" s="315"/>
      <c r="Q7" s="315"/>
      <c r="R7" s="315"/>
    </row>
    <row r="8" spans="1:18" ht="13.5" customHeight="1" thickBot="1">
      <c r="B8" s="1135"/>
      <c r="C8" s="1135"/>
      <c r="D8" s="1135"/>
      <c r="E8" s="1135"/>
      <c r="F8" s="1255"/>
      <c r="G8" s="1256"/>
      <c r="H8" s="1137"/>
      <c r="I8" s="1257"/>
      <c r="L8" s="315"/>
      <c r="M8" s="315"/>
      <c r="N8" s="315"/>
      <c r="O8" s="315"/>
      <c r="P8" s="315"/>
      <c r="Q8" s="315"/>
      <c r="R8" s="315"/>
    </row>
    <row r="9" spans="1:18" ht="21" customHeight="1" thickTop="1">
      <c r="B9" s="1926" t="s">
        <v>3673</v>
      </c>
      <c r="C9" s="1926"/>
      <c r="D9" s="1926"/>
      <c r="E9" s="1926"/>
      <c r="F9" s="1927"/>
      <c r="G9" s="621"/>
      <c r="H9" s="610"/>
      <c r="I9" s="622"/>
      <c r="L9" s="370"/>
      <c r="M9" s="315"/>
      <c r="N9" s="315"/>
      <c r="O9" s="315"/>
      <c r="P9" s="315"/>
      <c r="Q9" s="315"/>
      <c r="R9" s="315"/>
    </row>
    <row r="10" spans="1:18" ht="21" customHeight="1">
      <c r="B10" s="1914"/>
      <c r="C10" s="1914"/>
      <c r="D10" s="1914"/>
      <c r="E10" s="1914"/>
      <c r="F10" s="1915"/>
      <c r="G10" s="623"/>
      <c r="H10" s="593"/>
      <c r="I10" s="594"/>
      <c r="L10" s="315"/>
      <c r="M10" s="315"/>
      <c r="N10" s="315"/>
      <c r="O10" s="315"/>
      <c r="P10" s="315"/>
      <c r="Q10" s="315"/>
      <c r="R10" s="315"/>
    </row>
    <row r="11" spans="1:18" ht="21" customHeight="1">
      <c r="B11" s="1914"/>
      <c r="C11" s="1914"/>
      <c r="D11" s="1914"/>
      <c r="E11" s="1914"/>
      <c r="F11" s="1915"/>
      <c r="G11" s="623"/>
      <c r="H11" s="593"/>
      <c r="I11" s="594"/>
      <c r="L11" s="315"/>
      <c r="M11" s="315"/>
      <c r="N11" s="315"/>
      <c r="O11" s="315"/>
      <c r="P11" s="315"/>
      <c r="Q11" s="315"/>
      <c r="R11" s="315"/>
    </row>
    <row r="12" spans="1:18" ht="21" customHeight="1">
      <c r="B12" s="1914"/>
      <c r="C12" s="1914"/>
      <c r="D12" s="1914"/>
      <c r="E12" s="1914"/>
      <c r="F12" s="1915"/>
      <c r="G12" s="623"/>
      <c r="H12" s="593"/>
      <c r="I12" s="594"/>
      <c r="L12" s="315"/>
      <c r="M12" s="315"/>
      <c r="N12" s="315"/>
      <c r="O12" s="315"/>
      <c r="P12" s="315"/>
      <c r="Q12" s="315"/>
      <c r="R12" s="315"/>
    </row>
    <row r="13" spans="1:18" ht="21" customHeight="1">
      <c r="B13" s="1914"/>
      <c r="C13" s="1914"/>
      <c r="D13" s="1914"/>
      <c r="E13" s="1914"/>
      <c r="F13" s="1915"/>
      <c r="G13" s="623"/>
      <c r="H13" s="593"/>
      <c r="I13" s="594"/>
      <c r="L13" s="315"/>
      <c r="M13" s="315"/>
      <c r="N13" s="315"/>
      <c r="O13" s="315"/>
      <c r="P13" s="315"/>
      <c r="Q13" s="315"/>
      <c r="R13" s="315"/>
    </row>
    <row r="14" spans="1:18" ht="21" customHeight="1">
      <c r="B14" s="1914"/>
      <c r="C14" s="1914"/>
      <c r="D14" s="1914"/>
      <c r="E14" s="1914"/>
      <c r="F14" s="1915"/>
      <c r="G14" s="624"/>
      <c r="H14" s="593"/>
      <c r="I14" s="594"/>
      <c r="L14" s="315"/>
      <c r="M14" s="315"/>
      <c r="N14" s="315"/>
      <c r="O14" s="315"/>
      <c r="P14" s="315"/>
      <c r="Q14" s="315"/>
      <c r="R14" s="315"/>
    </row>
    <row r="15" spans="1:18" ht="21" customHeight="1">
      <c r="A15" s="1830" t="s">
        <v>3228</v>
      </c>
      <c r="B15" s="1914"/>
      <c r="C15" s="1914"/>
      <c r="D15" s="1914"/>
      <c r="E15" s="1914"/>
      <c r="F15" s="1915"/>
      <c r="G15" s="623"/>
      <c r="H15" s="593"/>
      <c r="I15" s="594"/>
      <c r="L15" s="315"/>
      <c r="M15" s="315"/>
      <c r="N15" s="315"/>
      <c r="O15" s="315"/>
      <c r="P15" s="315"/>
      <c r="Q15" s="315"/>
      <c r="R15" s="315"/>
    </row>
    <row r="16" spans="1:18" ht="21" customHeight="1">
      <c r="A16" s="1830"/>
      <c r="B16" s="1914"/>
      <c r="C16" s="1914"/>
      <c r="D16" s="1914"/>
      <c r="E16" s="1914"/>
      <c r="F16" s="1915"/>
      <c r="G16" s="623"/>
      <c r="H16" s="593"/>
      <c r="I16" s="594"/>
      <c r="L16" s="315"/>
      <c r="M16" s="315"/>
      <c r="N16" s="315"/>
      <c r="O16" s="315"/>
      <c r="P16" s="315"/>
      <c r="Q16" s="315"/>
      <c r="R16" s="315"/>
    </row>
    <row r="17" spans="1:18" ht="21" customHeight="1">
      <c r="A17" s="1830"/>
      <c r="B17" s="1914"/>
      <c r="C17" s="1914"/>
      <c r="D17" s="1914"/>
      <c r="E17" s="1914"/>
      <c r="F17" s="1915"/>
      <c r="G17" s="623"/>
      <c r="H17" s="593"/>
      <c r="I17" s="594"/>
      <c r="L17" s="315"/>
      <c r="M17" s="315"/>
      <c r="N17" s="315"/>
      <c r="O17" s="315"/>
      <c r="P17" s="315"/>
      <c r="Q17" s="315"/>
      <c r="R17" s="315"/>
    </row>
    <row r="18" spans="1:18" ht="21" customHeight="1">
      <c r="A18" s="538"/>
      <c r="B18" s="1914"/>
      <c r="C18" s="1914"/>
      <c r="D18" s="1914"/>
      <c r="E18" s="1914"/>
      <c r="F18" s="1915"/>
      <c r="G18" s="623"/>
      <c r="H18" s="593"/>
      <c r="I18" s="594"/>
      <c r="L18" s="315"/>
      <c r="M18" s="315"/>
      <c r="N18" s="315"/>
      <c r="O18" s="315"/>
      <c r="P18" s="315"/>
      <c r="Q18" s="315"/>
      <c r="R18" s="315"/>
    </row>
    <row r="19" spans="1:18" ht="21" customHeight="1">
      <c r="B19" s="1914"/>
      <c r="C19" s="1914"/>
      <c r="D19" s="1914"/>
      <c r="E19" s="1914"/>
      <c r="F19" s="1915"/>
      <c r="G19" s="623"/>
      <c r="H19" s="593"/>
      <c r="I19" s="594"/>
      <c r="L19" s="315"/>
      <c r="M19" s="315"/>
      <c r="N19" s="315"/>
      <c r="O19" s="315"/>
      <c r="P19" s="315"/>
      <c r="Q19" s="315"/>
      <c r="R19" s="315"/>
    </row>
    <row r="20" spans="1:18" ht="21" customHeight="1">
      <c r="B20" s="1914"/>
      <c r="C20" s="1914"/>
      <c r="D20" s="1914"/>
      <c r="E20" s="1914"/>
      <c r="F20" s="1915"/>
      <c r="G20" s="623"/>
      <c r="H20" s="593"/>
      <c r="I20" s="594"/>
      <c r="L20" s="315"/>
      <c r="M20" s="315"/>
      <c r="N20" s="315"/>
      <c r="O20" s="315"/>
      <c r="P20" s="315"/>
      <c r="Q20" s="315"/>
      <c r="R20" s="315"/>
    </row>
    <row r="21" spans="1:18" ht="21" customHeight="1">
      <c r="B21" s="1914"/>
      <c r="C21" s="1914"/>
      <c r="D21" s="1914"/>
      <c r="E21" s="1914"/>
      <c r="F21" s="1915"/>
      <c r="G21" s="623"/>
      <c r="H21" s="593"/>
      <c r="I21" s="594"/>
      <c r="L21" s="315"/>
      <c r="M21" s="315"/>
      <c r="N21" s="315"/>
      <c r="O21" s="315"/>
      <c r="P21" s="315"/>
      <c r="Q21" s="315"/>
      <c r="R21" s="315"/>
    </row>
    <row r="22" spans="1:18" ht="21" customHeight="1" thickBot="1">
      <c r="B22" s="1914"/>
      <c r="C22" s="1914"/>
      <c r="D22" s="1914"/>
      <c r="E22" s="1914"/>
      <c r="F22" s="1915"/>
      <c r="G22" s="625"/>
      <c r="H22" s="619"/>
      <c r="I22" s="626"/>
      <c r="L22" s="315"/>
      <c r="M22" s="315"/>
      <c r="N22" s="315"/>
      <c r="O22" s="315"/>
      <c r="P22" s="315"/>
      <c r="Q22" s="315"/>
      <c r="R22" s="315"/>
    </row>
    <row r="23" spans="1:18" ht="21" customHeight="1" thickTop="1" thickBot="1">
      <c r="B23" s="537"/>
      <c r="C23" s="406"/>
      <c r="D23" s="544" t="s">
        <v>142</v>
      </c>
      <c r="E23" s="121"/>
      <c r="F23" s="543"/>
      <c r="G23" s="238">
        <f>SUM(G9:G22)</f>
        <v>0</v>
      </c>
      <c r="H23" s="135">
        <f>SUM(H9:H22)</f>
        <v>0</v>
      </c>
      <c r="I23" s="155">
        <f>SUM(I9:I22)</f>
        <v>0</v>
      </c>
      <c r="L23" s="315"/>
      <c r="M23" s="315"/>
      <c r="N23" s="315"/>
      <c r="O23" s="315"/>
      <c r="P23" s="315"/>
      <c r="Q23" s="315"/>
      <c r="R23" s="315"/>
    </row>
    <row r="24" spans="1:18" ht="13.5" customHeight="1" thickTop="1">
      <c r="B24" s="542"/>
      <c r="C24" s="541"/>
      <c r="D24" s="540"/>
      <c r="E24" s="503"/>
      <c r="F24" s="503"/>
      <c r="G24" s="503"/>
      <c r="H24" s="536"/>
      <c r="I24" s="536"/>
    </row>
    <row r="25" spans="1:18" ht="13.5" customHeight="1">
      <c r="B25" s="542"/>
      <c r="C25" s="541"/>
      <c r="D25" s="540"/>
      <c r="E25" s="503"/>
      <c r="F25" s="503"/>
      <c r="G25" s="503"/>
      <c r="H25" s="503"/>
      <c r="I25" s="503"/>
    </row>
    <row r="26" spans="1:18" ht="13.5" customHeight="1">
      <c r="B26" s="542"/>
      <c r="C26" s="541"/>
      <c r="D26" s="540"/>
      <c r="E26" s="503"/>
      <c r="F26" s="503"/>
      <c r="G26" s="503"/>
      <c r="H26" s="535"/>
      <c r="I26" s="503"/>
    </row>
    <row r="27" spans="1:18">
      <c r="B27" s="534"/>
      <c r="C27" s="404"/>
      <c r="D27" s="404"/>
    </row>
  </sheetData>
  <sheetProtection algorithmName="SHA-512" hashValue="QXUoBJMVZU83wRaa2TwGA0799wpVeLG7S1eujX9SO5lmRkeTF+LTAEQcuu5cYnsp4F5hI+v/6mJo3bugm7Rqbg==" saltValue="Nx5mCql4sYF9PW5Pzvr3JQ==" spinCount="100000" sheet="1" objects="1" scenarios="1"/>
  <mergeCells count="20">
    <mergeCell ref="B2:I2"/>
    <mergeCell ref="B3:I3"/>
    <mergeCell ref="A15:A17"/>
    <mergeCell ref="C6:D6"/>
    <mergeCell ref="H5:I6"/>
    <mergeCell ref="B4:F4"/>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1">
    <tabColor theme="6" tint="0.39997558519241921"/>
  </sheetPr>
  <dimension ref="A1:U42"/>
  <sheetViews>
    <sheetView zoomScaleNormal="100" zoomScaleSheetLayoutView="80" workbookViewId="0">
      <selection activeCell="B13" sqref="B13:B18"/>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c r="B1" s="1128"/>
      <c r="C1" s="1128"/>
      <c r="D1" s="1128"/>
      <c r="E1" s="1128"/>
      <c r="F1" s="1128"/>
      <c r="G1" s="1128"/>
      <c r="H1" s="1128"/>
      <c r="I1" s="1128"/>
      <c r="J1" s="1128"/>
      <c r="K1" s="1128"/>
      <c r="L1" s="1128"/>
    </row>
    <row r="2" spans="2:21" ht="20.399999999999999">
      <c r="B2" s="1826" t="str">
        <f>"SCHEDULE  OF  IMPROVEMENT  AUTHORIZATIONS  "&amp;UPPER('KEY INPUTS'!D52)&amp;"  (UTILITY  CAPITAL  FUND)"</f>
        <v>SCHEDULE  OF  IMPROVEMENT  AUTHORIZATIONS  WATER/SEWER UTILITY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28" t="str">
        <f>'KEY INPUTS'!D25</f>
        <v>Balance - January 1, 2020</v>
      </c>
      <c r="F4" s="1929"/>
      <c r="G4" s="1125"/>
      <c r="H4" s="1125"/>
      <c r="I4" s="1125"/>
      <c r="J4" s="1125"/>
      <c r="K4" s="1934" t="str">
        <f>'KEY INPUTS'!D26</f>
        <v>Balance - December 31, 2020</v>
      </c>
      <c r="L4" s="1935"/>
    </row>
    <row r="5" spans="2:21" ht="13.5" customHeight="1">
      <c r="B5" s="1825" t="s">
        <v>544</v>
      </c>
      <c r="C5" s="1825"/>
      <c r="D5" s="1917"/>
      <c r="E5" s="1930"/>
      <c r="F5" s="1931"/>
      <c r="G5" s="1133"/>
      <c r="H5" s="1133"/>
      <c r="I5" s="1133"/>
      <c r="J5" s="1133"/>
      <c r="K5" s="1936"/>
      <c r="L5" s="1937"/>
    </row>
    <row r="6" spans="2:21" ht="13.5" customHeight="1">
      <c r="B6" s="1825" t="s">
        <v>545</v>
      </c>
      <c r="C6" s="1825"/>
      <c r="D6" s="1917"/>
      <c r="E6" s="1932"/>
      <c r="F6" s="1933"/>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538" t="s">
        <v>3714</v>
      </c>
      <c r="C9" s="664"/>
      <c r="D9" s="667"/>
      <c r="E9" s="610"/>
      <c r="F9" s="610">
        <v>4054.9</v>
      </c>
      <c r="G9" s="610"/>
      <c r="H9" s="610">
        <v>1935</v>
      </c>
      <c r="I9" s="610"/>
      <c r="J9" s="610"/>
      <c r="K9" s="610">
        <v>5989.9</v>
      </c>
      <c r="L9" s="622"/>
      <c r="O9" s="315"/>
      <c r="P9" s="315"/>
      <c r="Q9" s="315"/>
      <c r="R9" s="315"/>
      <c r="S9" s="315"/>
      <c r="T9" s="315"/>
      <c r="U9" s="315"/>
    </row>
    <row r="10" spans="2:21" ht="21" customHeight="1">
      <c r="B10" s="693" t="s">
        <v>3715</v>
      </c>
      <c r="C10" s="694"/>
      <c r="D10" s="643"/>
      <c r="E10" s="593"/>
      <c r="F10" s="593">
        <v>31420</v>
      </c>
      <c r="G10" s="593"/>
      <c r="H10" s="593">
        <v>16810.32</v>
      </c>
      <c r="I10" s="568"/>
      <c r="J10" s="593"/>
      <c r="K10" s="594">
        <v>48230.32</v>
      </c>
      <c r="L10" s="594"/>
      <c r="O10" s="370"/>
      <c r="P10" s="315"/>
      <c r="Q10" s="315"/>
      <c r="R10" s="315"/>
      <c r="S10" s="315"/>
      <c r="T10" s="315"/>
      <c r="U10" s="315"/>
    </row>
    <row r="11" spans="2:21" ht="21" customHeight="1">
      <c r="B11" s="695" t="s">
        <v>3716</v>
      </c>
      <c r="C11" s="694"/>
      <c r="D11" s="643"/>
      <c r="E11" s="593"/>
      <c r="F11" s="593">
        <v>0</v>
      </c>
      <c r="G11" s="593"/>
      <c r="H11" s="593">
        <v>1228.75</v>
      </c>
      <c r="I11" s="593"/>
      <c r="J11" s="593"/>
      <c r="K11" s="594">
        <v>1228.75</v>
      </c>
      <c r="L11" s="594"/>
      <c r="O11" s="315"/>
      <c r="P11" s="315"/>
      <c r="Q11" s="315"/>
      <c r="R11" s="315"/>
      <c r="S11" s="315"/>
      <c r="T11" s="315"/>
      <c r="U11" s="315"/>
    </row>
    <row r="12" spans="2:21" ht="21" customHeight="1">
      <c r="B12" s="695" t="s">
        <v>3717</v>
      </c>
      <c r="C12" s="694"/>
      <c r="D12" s="643"/>
      <c r="E12" s="593"/>
      <c r="F12" s="593">
        <v>1196083.75</v>
      </c>
      <c r="G12" s="593"/>
      <c r="H12" s="593">
        <v>43718.74</v>
      </c>
      <c r="I12" s="367"/>
      <c r="J12" s="593"/>
      <c r="K12" s="594">
        <v>289502.49</v>
      </c>
      <c r="L12" s="594">
        <v>950300</v>
      </c>
      <c r="O12" s="315"/>
      <c r="P12" s="315"/>
      <c r="Q12" s="315"/>
      <c r="R12" s="315"/>
      <c r="S12" s="315"/>
      <c r="T12" s="315"/>
      <c r="U12" s="315"/>
    </row>
    <row r="13" spans="2:21" ht="21" customHeight="1">
      <c r="B13" s="695" t="s">
        <v>3718</v>
      </c>
      <c r="C13" s="694"/>
      <c r="D13" s="643"/>
      <c r="E13" s="593"/>
      <c r="F13" s="593"/>
      <c r="G13" s="593">
        <v>174400</v>
      </c>
      <c r="H13" s="593"/>
      <c r="I13" s="568">
        <v>18260</v>
      </c>
      <c r="J13" s="593"/>
      <c r="K13" s="594">
        <v>156140</v>
      </c>
      <c r="L13" s="691"/>
      <c r="O13" s="315"/>
      <c r="P13" s="315"/>
      <c r="Q13" s="315"/>
      <c r="R13" s="315"/>
      <c r="S13" s="315"/>
      <c r="T13" s="315"/>
      <c r="U13" s="315"/>
    </row>
    <row r="14" spans="2:21" ht="21" customHeight="1">
      <c r="B14" s="693" t="s">
        <v>3719</v>
      </c>
      <c r="C14" s="694"/>
      <c r="D14" s="643"/>
      <c r="E14" s="593"/>
      <c r="F14" s="593"/>
      <c r="G14" s="593">
        <v>153000</v>
      </c>
      <c r="H14" s="593"/>
      <c r="I14" s="593">
        <v>5000</v>
      </c>
      <c r="J14" s="593"/>
      <c r="K14" s="594">
        <v>148000</v>
      </c>
      <c r="L14" s="594"/>
      <c r="O14" s="315"/>
      <c r="P14" s="315"/>
      <c r="Q14" s="315"/>
      <c r="R14" s="315"/>
      <c r="S14" s="315"/>
      <c r="T14" s="315"/>
      <c r="U14" s="315"/>
    </row>
    <row r="15" spans="2:21" ht="21" customHeight="1">
      <c r="B15" s="696" t="s">
        <v>3720</v>
      </c>
      <c r="C15" s="639"/>
      <c r="D15" s="643"/>
      <c r="E15" s="593"/>
      <c r="F15" s="593"/>
      <c r="G15" s="593">
        <v>113000</v>
      </c>
      <c r="H15" s="593"/>
      <c r="I15" s="593">
        <v>0</v>
      </c>
      <c r="J15" s="593"/>
      <c r="K15" s="594">
        <v>113000</v>
      </c>
      <c r="L15" s="594"/>
      <c r="O15" s="315"/>
      <c r="P15" s="315"/>
      <c r="Q15" s="315"/>
      <c r="R15" s="315"/>
      <c r="S15" s="315"/>
      <c r="T15" s="315"/>
      <c r="U15" s="315"/>
    </row>
    <row r="16" spans="2:21" ht="21" customHeight="1">
      <c r="B16" s="696" t="s">
        <v>3721</v>
      </c>
      <c r="C16" s="639"/>
      <c r="D16" s="643"/>
      <c r="E16" s="596"/>
      <c r="F16" s="596"/>
      <c r="G16" s="596">
        <v>75000</v>
      </c>
      <c r="H16" s="596"/>
      <c r="I16" s="596">
        <v>0</v>
      </c>
      <c r="J16" s="596"/>
      <c r="K16" s="594">
        <v>75000</v>
      </c>
      <c r="L16" s="594"/>
      <c r="O16" s="315"/>
      <c r="P16" s="315"/>
      <c r="Q16" s="315"/>
      <c r="R16" s="315"/>
      <c r="S16" s="315"/>
      <c r="T16" s="315"/>
      <c r="U16" s="315"/>
    </row>
    <row r="17" spans="1:21" ht="21" customHeight="1">
      <c r="A17" s="1830" t="s">
        <v>3230</v>
      </c>
      <c r="B17" s="696" t="s">
        <v>3722</v>
      </c>
      <c r="C17" s="639"/>
      <c r="D17" s="643"/>
      <c r="E17" s="593"/>
      <c r="F17" s="593"/>
      <c r="G17" s="593">
        <v>1150000</v>
      </c>
      <c r="H17" s="593"/>
      <c r="I17" s="593">
        <v>11247.5</v>
      </c>
      <c r="J17" s="593"/>
      <c r="K17" s="594">
        <v>1138752.5</v>
      </c>
      <c r="L17" s="594"/>
      <c r="O17" s="315"/>
      <c r="P17" s="315"/>
      <c r="Q17" s="315"/>
      <c r="R17" s="315"/>
      <c r="S17" s="315"/>
      <c r="T17" s="315"/>
      <c r="U17" s="315"/>
    </row>
    <row r="18" spans="1:21" ht="21" customHeight="1">
      <c r="A18" s="1830"/>
      <c r="B18" s="696" t="s">
        <v>3723</v>
      </c>
      <c r="C18" s="639"/>
      <c r="D18" s="643"/>
      <c r="E18" s="593"/>
      <c r="F18" s="593"/>
      <c r="G18" s="593">
        <v>2410000</v>
      </c>
      <c r="H18" s="593"/>
      <c r="I18" s="593">
        <v>19099.009999999998</v>
      </c>
      <c r="J18" s="593"/>
      <c r="K18" s="594">
        <v>2390900.9900000002</v>
      </c>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3323</v>
      </c>
      <c r="E27" s="135">
        <f t="shared" ref="E27:L27" si="0">SUM(E9:E26)</f>
        <v>0</v>
      </c>
      <c r="F27" s="135">
        <f t="shared" si="0"/>
        <v>1231558.6499999999</v>
      </c>
      <c r="G27" s="135">
        <f t="shared" si="0"/>
        <v>4075400</v>
      </c>
      <c r="H27" s="135">
        <f t="shared" si="0"/>
        <v>63692.81</v>
      </c>
      <c r="I27" s="135">
        <f t="shared" si="0"/>
        <v>53606.509999999995</v>
      </c>
      <c r="J27" s="135">
        <f t="shared" si="0"/>
        <v>0</v>
      </c>
      <c r="K27" s="135">
        <f t="shared" si="0"/>
        <v>4366744.95</v>
      </c>
      <c r="L27" s="155">
        <f t="shared" si="0"/>
        <v>950300</v>
      </c>
    </row>
    <row r="28" spans="1:21" ht="13.5" customHeight="1" thickTop="1">
      <c r="B28" s="542"/>
      <c r="C28" s="541" t="s">
        <v>551</v>
      </c>
      <c r="D28" s="540"/>
      <c r="E28" s="503"/>
      <c r="F28" s="503"/>
      <c r="G28" s="503"/>
      <c r="H28" s="503"/>
      <c r="I28" s="503"/>
      <c r="J28" s="503"/>
      <c r="K28" s="536"/>
      <c r="L28" s="536"/>
    </row>
    <row r="42" spans="11:12">
      <c r="K42" s="324" t="s">
        <v>3272</v>
      </c>
      <c r="L42" s="546">
        <f>K27+L27</f>
        <v>5317044.95</v>
      </c>
    </row>
  </sheetData>
  <sheetProtection password="CAF9" sheet="1" objects="1" scenarios="1"/>
  <mergeCells count="9">
    <mergeCell ref="B2:L2"/>
    <mergeCell ref="B3:L3"/>
    <mergeCell ref="A17:A19"/>
    <mergeCell ref="B5:D5"/>
    <mergeCell ref="B6:D6"/>
    <mergeCell ref="B7:D7"/>
    <mergeCell ref="E4:F6"/>
    <mergeCell ref="K4:L6"/>
    <mergeCell ref="B4:D4"/>
  </mergeCells>
  <pageMargins left="0.25" right="0.25" top="0.5" bottom="0.5" header="0.25" footer="0.25"/>
  <pageSetup paperSize="5" orientation="landscape" r:id="rId1"/>
  <headerFooter alignWithMargins="0"/>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2">
    <tabColor theme="6"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c r="B1" s="1128"/>
      <c r="C1" s="1128"/>
      <c r="D1" s="1128"/>
      <c r="E1" s="1128"/>
      <c r="F1" s="1128"/>
      <c r="G1" s="1128"/>
      <c r="H1" s="1128"/>
      <c r="I1" s="1128"/>
      <c r="J1" s="1128"/>
      <c r="K1" s="1128"/>
      <c r="L1" s="1128"/>
    </row>
    <row r="2" spans="2:21" ht="20.399999999999999">
      <c r="B2" s="1826" t="str">
        <f>"SCHEDULE  OF  IMPROVEMENT  AUTHORIZATIONS  " &amp;UPPER('KEY INPUTS'!D52)&amp;"  (UTILITY  CAPITAL  FUND)"</f>
        <v>SCHEDULE  OF  IMPROVEMENT  AUTHORIZATIONS  WATER/SEWER UTILITY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28" t="str">
        <f>'KEY INPUTS'!D25</f>
        <v>Balance - January 1, 2020</v>
      </c>
      <c r="F4" s="1929"/>
      <c r="G4" s="1125"/>
      <c r="H4" s="1125"/>
      <c r="I4" s="1125"/>
      <c r="J4" s="1125"/>
      <c r="K4" s="1934" t="str">
        <f>'KEY INPUTS'!D26</f>
        <v>Balance - December 31, 2020</v>
      </c>
      <c r="L4" s="1935"/>
    </row>
    <row r="5" spans="2:21" ht="13.5" customHeight="1">
      <c r="B5" s="1825" t="s">
        <v>544</v>
      </c>
      <c r="C5" s="1825"/>
      <c r="D5" s="1917"/>
      <c r="E5" s="1930"/>
      <c r="F5" s="1931"/>
      <c r="G5" s="1133"/>
      <c r="H5" s="1133"/>
      <c r="I5" s="1133"/>
      <c r="J5" s="1133"/>
      <c r="K5" s="1936"/>
      <c r="L5" s="1937"/>
    </row>
    <row r="6" spans="2:21" ht="13.5" customHeight="1">
      <c r="B6" s="1825" t="s">
        <v>545</v>
      </c>
      <c r="C6" s="1825"/>
      <c r="D6" s="1917"/>
      <c r="E6" s="1932"/>
      <c r="F6" s="1933"/>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+'52-Utility1'!E27</f>
        <v>0</v>
      </c>
      <c r="F9" s="1259">
        <f>+'52-Utility1'!F27</f>
        <v>1231558.6499999999</v>
      </c>
      <c r="G9" s="1259">
        <f>+'52-Utility1'!G27</f>
        <v>4075400</v>
      </c>
      <c r="H9" s="1259">
        <f>+'52-Utility1'!H27</f>
        <v>63692.81</v>
      </c>
      <c r="I9" s="1259">
        <f>+'52-Utility1'!I27</f>
        <v>53606.509999999995</v>
      </c>
      <c r="J9" s="1259">
        <f>+'52-Utility1'!J27</f>
        <v>0</v>
      </c>
      <c r="K9" s="1259">
        <f>+'52-Utility1'!K27</f>
        <v>4366744.95</v>
      </c>
      <c r="L9" s="1263">
        <f>+'52-Utility1'!L27</f>
        <v>950300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3323</v>
      </c>
      <c r="E27" s="135">
        <f t="shared" ref="E27:L27" si="0">SUM(E9:E26)</f>
        <v>0</v>
      </c>
      <c r="F27" s="135">
        <f t="shared" si="0"/>
        <v>1231558.6499999999</v>
      </c>
      <c r="G27" s="135">
        <f t="shared" si="0"/>
        <v>4075400</v>
      </c>
      <c r="H27" s="135">
        <f t="shared" si="0"/>
        <v>63692.81</v>
      </c>
      <c r="I27" s="135">
        <f t="shared" si="0"/>
        <v>53606.509999999995</v>
      </c>
      <c r="J27" s="135">
        <f t="shared" si="0"/>
        <v>0</v>
      </c>
      <c r="K27" s="135">
        <f t="shared" si="0"/>
        <v>4366744.95</v>
      </c>
      <c r="L27" s="155">
        <f t="shared" si="0"/>
        <v>950300</v>
      </c>
    </row>
    <row r="28" spans="1:21" ht="13.5" customHeight="1" thickTop="1">
      <c r="B28" s="542"/>
      <c r="C28" s="541" t="s">
        <v>551</v>
      </c>
      <c r="D28" s="540"/>
      <c r="E28" s="503"/>
      <c r="F28" s="503"/>
      <c r="G28" s="503"/>
      <c r="H28" s="503"/>
      <c r="I28" s="503"/>
      <c r="J28" s="503"/>
      <c r="K28" s="536"/>
      <c r="L28" s="536"/>
    </row>
    <row r="42" spans="11:12">
      <c r="K42" s="324" t="s">
        <v>3272</v>
      </c>
      <c r="L42" s="546">
        <f>K27+L27</f>
        <v>5317044.95</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3">
    <tabColor theme="6"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 &amp;UPPER('KEY INPUTS'!D52)&amp;"  (UTILITY  CAPITAL  FUND)"</f>
        <v>SCHEDULE  OF  IMPROVEMENT  AUTHORIZATIONS  WATER/SEWER UTILITY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+'52.1-Utility1'!E27</f>
        <v>0</v>
      </c>
      <c r="F9" s="1259">
        <f>+'52.1-Utility1'!F27</f>
        <v>1231558.6499999999</v>
      </c>
      <c r="G9" s="1259">
        <f>+'52.1-Utility1'!G27</f>
        <v>4075400</v>
      </c>
      <c r="H9" s="1259">
        <f>+'52.1-Utility1'!H27</f>
        <v>63692.81</v>
      </c>
      <c r="I9" s="1259">
        <f>+'52.1-Utility1'!I27</f>
        <v>53606.509999999995</v>
      </c>
      <c r="J9" s="1259">
        <f>+'52.1-Utility1'!J27</f>
        <v>0</v>
      </c>
      <c r="K9" s="1259">
        <f>+'52.1-Utility1'!K27</f>
        <v>4366744.95</v>
      </c>
      <c r="L9" s="1263">
        <f>+'52.1-Utility1'!L27</f>
        <v>950300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3421</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3323</v>
      </c>
      <c r="E27" s="135">
        <f t="shared" ref="E27:L27" si="0">SUM(E9:E26)</f>
        <v>0</v>
      </c>
      <c r="F27" s="135">
        <f t="shared" si="0"/>
        <v>1231558.6499999999</v>
      </c>
      <c r="G27" s="135">
        <f t="shared" si="0"/>
        <v>4075400</v>
      </c>
      <c r="H27" s="135">
        <f t="shared" si="0"/>
        <v>63692.81</v>
      </c>
      <c r="I27" s="135">
        <f t="shared" si="0"/>
        <v>53606.509999999995</v>
      </c>
      <c r="J27" s="135">
        <f t="shared" si="0"/>
        <v>0</v>
      </c>
      <c r="K27" s="135">
        <f t="shared" si="0"/>
        <v>4366744.95</v>
      </c>
      <c r="L27" s="155">
        <f t="shared" si="0"/>
        <v>950300</v>
      </c>
    </row>
    <row r="28" spans="1:21" ht="13.5" customHeight="1" thickTop="1">
      <c r="B28" s="542"/>
      <c r="C28" s="541" t="s">
        <v>551</v>
      </c>
      <c r="D28" s="540"/>
      <c r="E28" s="503"/>
      <c r="F28" s="503"/>
      <c r="G28" s="503"/>
      <c r="H28" s="503"/>
      <c r="I28" s="503"/>
      <c r="J28" s="503"/>
      <c r="K28" s="536"/>
      <c r="L28" s="536"/>
    </row>
    <row r="42" spans="11:12">
      <c r="K42" s="324" t="s">
        <v>3272</v>
      </c>
      <c r="L42" s="546">
        <f>K27+L27</f>
        <v>5317044.95</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4">
    <tabColor theme="6"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 &amp;UPPER('KEY INPUTS'!D52)&amp;"  (UTILITY  CAPITAL  FUND)"</f>
        <v>SCHEDULE  OF  IMPROVEMENT  AUTHORIZATIONS  WATER/SEWER UTILITY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+'52.2-Utility1'!E27</f>
        <v>0</v>
      </c>
      <c r="F9" s="1259">
        <f>+'52.2-Utility1'!F27</f>
        <v>1231558.6499999999</v>
      </c>
      <c r="G9" s="1259">
        <f>+'52.2-Utility1'!G27</f>
        <v>4075400</v>
      </c>
      <c r="H9" s="1259">
        <f>+'52.2-Utility1'!H27</f>
        <v>63692.81</v>
      </c>
      <c r="I9" s="1259">
        <f>+'52.2-Utility1'!I27</f>
        <v>53606.509999999995</v>
      </c>
      <c r="J9" s="1259">
        <f>+'52.2-Utility1'!J27</f>
        <v>0</v>
      </c>
      <c r="K9" s="1259">
        <f>+'52.2-Utility1'!K27</f>
        <v>4366744.95</v>
      </c>
      <c r="L9" s="1263">
        <f>+'52.2-Utility1'!L27</f>
        <v>950300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3422</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3323</v>
      </c>
      <c r="E27" s="135">
        <f t="shared" ref="E27:L27" si="0">SUM(E9:E26)</f>
        <v>0</v>
      </c>
      <c r="F27" s="135">
        <f t="shared" si="0"/>
        <v>1231558.6499999999</v>
      </c>
      <c r="G27" s="135">
        <f t="shared" si="0"/>
        <v>4075400</v>
      </c>
      <c r="H27" s="135">
        <f t="shared" si="0"/>
        <v>63692.81</v>
      </c>
      <c r="I27" s="135">
        <f t="shared" si="0"/>
        <v>53606.509999999995</v>
      </c>
      <c r="J27" s="135">
        <f t="shared" si="0"/>
        <v>0</v>
      </c>
      <c r="K27" s="135">
        <f t="shared" si="0"/>
        <v>4366744.95</v>
      </c>
      <c r="L27" s="155">
        <f t="shared" si="0"/>
        <v>950300</v>
      </c>
    </row>
    <row r="28" spans="1:21" ht="13.5" customHeight="1" thickTop="1">
      <c r="B28" s="542"/>
      <c r="C28" s="541" t="s">
        <v>551</v>
      </c>
      <c r="D28" s="540"/>
      <c r="E28" s="503"/>
      <c r="F28" s="503"/>
      <c r="G28" s="503"/>
      <c r="H28" s="503"/>
      <c r="I28" s="503"/>
      <c r="J28" s="503"/>
      <c r="K28" s="536"/>
      <c r="L28" s="536"/>
    </row>
    <row r="42" spans="11:12">
      <c r="K42" s="324" t="s">
        <v>3272</v>
      </c>
      <c r="L42" s="546">
        <f>K27+L27</f>
        <v>5317044.95</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5">
    <tabColor theme="6"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c r="B1" s="1128"/>
      <c r="C1" s="1128"/>
      <c r="D1" s="1128"/>
      <c r="E1" s="1128"/>
      <c r="F1" s="1128"/>
      <c r="G1" s="1128"/>
      <c r="H1" s="1128"/>
      <c r="I1" s="1128"/>
      <c r="J1" s="1128"/>
      <c r="K1" s="1128"/>
      <c r="L1" s="1128"/>
    </row>
    <row r="2" spans="2:21" ht="20.399999999999999">
      <c r="B2" s="1826" t="str">
        <f>"SCHEDULE  OF  IMPROVEMENT  AUTHORIZATIONS  " &amp;UPPER('KEY INPUTS'!D52)&amp;"  (UTILITY  CAPITAL  FUND)"</f>
        <v>SCHEDULE  OF  IMPROVEMENT  AUTHORIZATIONS  WATER/SEWER UTILITY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+'52.3-Utility1'!E27</f>
        <v>0</v>
      </c>
      <c r="F9" s="1259">
        <f>+'52.3-Utility1'!F27</f>
        <v>1231558.6499999999</v>
      </c>
      <c r="G9" s="1259">
        <f>+'52.3-Utility1'!G27</f>
        <v>4075400</v>
      </c>
      <c r="H9" s="1259">
        <f>+'52.3-Utility1'!H27</f>
        <v>63692.81</v>
      </c>
      <c r="I9" s="1259">
        <f>+'52.3-Utility1'!I27</f>
        <v>53606.509999999995</v>
      </c>
      <c r="J9" s="1259">
        <f>+'52.3-Utility1'!J27</f>
        <v>0</v>
      </c>
      <c r="K9" s="1259">
        <f>+'52.3-Utility1'!K27</f>
        <v>4366744.95</v>
      </c>
      <c r="L9" s="1263">
        <f>+'52.3-Utility1'!L27</f>
        <v>950300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3423</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847</v>
      </c>
      <c r="E27" s="135">
        <f t="shared" ref="E27:L27" si="0">SUM(E9:E26)</f>
        <v>0</v>
      </c>
      <c r="F27" s="135">
        <f t="shared" si="0"/>
        <v>1231558.6499999999</v>
      </c>
      <c r="G27" s="135">
        <f t="shared" si="0"/>
        <v>4075400</v>
      </c>
      <c r="H27" s="135">
        <f t="shared" si="0"/>
        <v>63692.81</v>
      </c>
      <c r="I27" s="135">
        <f t="shared" si="0"/>
        <v>53606.509999999995</v>
      </c>
      <c r="J27" s="135">
        <f t="shared" si="0"/>
        <v>0</v>
      </c>
      <c r="K27" s="135">
        <f t="shared" si="0"/>
        <v>4366744.95</v>
      </c>
      <c r="L27" s="155">
        <f t="shared" si="0"/>
        <v>950300</v>
      </c>
    </row>
    <row r="28" spans="1:21" ht="13.5" customHeight="1" thickTop="1">
      <c r="B28" s="542"/>
      <c r="C28" s="541" t="s">
        <v>551</v>
      </c>
      <c r="D28" s="540"/>
      <c r="E28" s="503"/>
      <c r="F28" s="503"/>
      <c r="G28" s="503"/>
      <c r="H28" s="503"/>
      <c r="I28" s="503"/>
      <c r="J28" s="503"/>
      <c r="K28" s="536"/>
      <c r="L28" s="536"/>
    </row>
    <row r="42" spans="11:12">
      <c r="K42" s="324" t="s">
        <v>3272</v>
      </c>
      <c r="L42" s="546">
        <f>K27+L27</f>
        <v>5317044.95</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6">
    <tabColor theme="6" tint="0.39997558519241921"/>
  </sheetPr>
  <dimension ref="B3:S54"/>
  <sheetViews>
    <sheetView topLeftCell="A19" zoomScaleNormal="100" zoomScaleSheetLayoutView="80" workbookViewId="0">
      <selection activeCell="I40" sqref="I40"/>
    </sheetView>
  </sheetViews>
  <sheetFormatPr defaultColWidth="9.109375" defaultRowHeight="13.2"/>
  <cols>
    <col min="1" max="3" width="4.6640625" style="324" customWidth="1"/>
    <col min="4" max="4" width="4.5546875" style="324" customWidth="1"/>
    <col min="5" max="6" width="9.109375" style="324"/>
    <col min="7" max="7" width="14.44140625" style="324" customWidth="1"/>
    <col min="8" max="8" width="15" style="324" customWidth="1"/>
    <col min="9" max="10" width="16.6640625" style="324" customWidth="1"/>
    <col min="11" max="16384" width="9.109375" style="324"/>
  </cols>
  <sheetData>
    <row r="3" spans="2:19" ht="22.8">
      <c r="B3" s="1946" t="str">
        <f>UPPER('KEY INPUTS'!D52)&amp;" UTILITY  CAPITAL  FUND"</f>
        <v>WATER/SEWER UTILITY UTILITY  CAPITAL  FUND</v>
      </c>
      <c r="C3" s="1946"/>
      <c r="D3" s="1946"/>
      <c r="E3" s="1946"/>
      <c r="F3" s="1946"/>
      <c r="G3" s="1946"/>
      <c r="H3" s="1946"/>
      <c r="I3" s="1946"/>
      <c r="J3" s="1946"/>
    </row>
    <row r="4" spans="2:19">
      <c r="B4" s="766"/>
      <c r="C4" s="766"/>
      <c r="D4" s="766"/>
      <c r="E4" s="766"/>
    </row>
    <row r="5" spans="2:19" ht="15.6">
      <c r="B5" s="1947" t="s">
        <v>555</v>
      </c>
      <c r="C5" s="1947"/>
      <c r="D5" s="1947"/>
      <c r="E5" s="1947"/>
      <c r="F5" s="1947"/>
      <c r="G5" s="1947"/>
      <c r="H5" s="1947"/>
      <c r="I5" s="1947"/>
      <c r="J5" s="1947"/>
    </row>
    <row r="6" spans="2:19" ht="13.8" thickBot="1"/>
    <row r="7" spans="2:19" ht="28.5" customHeight="1" thickTop="1" thickBot="1">
      <c r="B7" s="509"/>
      <c r="C7" s="509"/>
      <c r="D7" s="509"/>
      <c r="E7" s="509"/>
      <c r="F7" s="509"/>
      <c r="G7" s="509"/>
      <c r="H7" s="509"/>
      <c r="I7" s="403" t="s">
        <v>101</v>
      </c>
      <c r="J7" s="402" t="s">
        <v>102</v>
      </c>
    </row>
    <row r="8" spans="2:19" ht="21" customHeight="1" thickTop="1">
      <c r="B8" s="408" t="str">
        <f>'KEY INPUTS'!D25</f>
        <v>Balance - January 1, 2020</v>
      </c>
      <c r="C8" s="408"/>
      <c r="D8" s="408"/>
      <c r="E8" s="408"/>
      <c r="F8" s="408"/>
      <c r="G8" s="408"/>
      <c r="H8" s="550"/>
      <c r="I8" s="1070" t="s">
        <v>662</v>
      </c>
      <c r="J8" s="630">
        <v>17504.25</v>
      </c>
    </row>
    <row r="9" spans="2:19" ht="21" customHeight="1">
      <c r="B9" s="504" t="str">
        <f>"Received from "&amp;'KEY INPUTS'!D34&amp;" Budget Appropriation"</f>
        <v>Received from 2020 Budget Appropriation</v>
      </c>
      <c r="C9" s="327"/>
      <c r="D9" s="327"/>
      <c r="E9" s="327"/>
      <c r="F9" s="327"/>
      <c r="G9" s="327"/>
      <c r="H9" s="548"/>
      <c r="I9" s="963" t="s">
        <v>662</v>
      </c>
      <c r="J9" s="601">
        <v>0</v>
      </c>
      <c r="M9" s="315"/>
      <c r="N9" s="315"/>
      <c r="O9" s="315"/>
      <c r="P9" s="315"/>
      <c r="Q9" s="315"/>
      <c r="R9" s="315"/>
      <c r="S9" s="315"/>
    </row>
    <row r="10" spans="2:19" ht="21" customHeight="1">
      <c r="B10" s="639"/>
      <c r="C10" s="639"/>
      <c r="D10" s="639"/>
      <c r="E10" s="639"/>
      <c r="F10" s="639"/>
      <c r="G10" s="639"/>
      <c r="H10" s="639"/>
      <c r="I10" s="963" t="s">
        <v>662</v>
      </c>
      <c r="J10" s="601"/>
      <c r="M10" s="315"/>
      <c r="N10" s="315"/>
      <c r="O10" s="315"/>
      <c r="P10" s="315"/>
      <c r="Q10" s="315"/>
      <c r="R10" s="315"/>
      <c r="S10" s="315"/>
    </row>
    <row r="11" spans="2:19" ht="11.25" customHeight="1">
      <c r="B11" s="553" t="s">
        <v>183</v>
      </c>
      <c r="C11" s="552"/>
      <c r="D11" s="552"/>
      <c r="E11" s="552"/>
      <c r="F11" s="552"/>
      <c r="G11" s="552"/>
      <c r="H11" s="545"/>
      <c r="I11" s="1950" t="s">
        <v>662</v>
      </c>
      <c r="J11" s="1948"/>
      <c r="M11" s="370"/>
      <c r="N11" s="315"/>
      <c r="O11" s="315"/>
      <c r="P11" s="315"/>
      <c r="Q11" s="315"/>
      <c r="R11" s="315"/>
      <c r="S11" s="315"/>
    </row>
    <row r="12" spans="2:19" ht="12.75" customHeight="1">
      <c r="B12" s="472"/>
      <c r="C12" s="549" t="s">
        <v>184</v>
      </c>
      <c r="D12" s="472"/>
      <c r="E12" s="472"/>
      <c r="F12" s="472"/>
      <c r="G12" s="472"/>
      <c r="H12" s="551"/>
      <c r="I12" s="1951"/>
      <c r="J12" s="1949"/>
      <c r="M12" s="315"/>
      <c r="N12" s="315"/>
      <c r="O12" s="315"/>
      <c r="P12" s="315"/>
      <c r="Q12" s="315"/>
      <c r="R12" s="315"/>
      <c r="S12" s="315"/>
    </row>
    <row r="13" spans="2:19" ht="21" customHeight="1">
      <c r="B13" s="659"/>
      <c r="C13" s="1264"/>
      <c r="D13" s="659"/>
      <c r="E13" s="659"/>
      <c r="F13" s="659"/>
      <c r="G13" s="659"/>
      <c r="H13" s="659"/>
      <c r="I13" s="674"/>
      <c r="J13" s="369"/>
      <c r="M13" s="315"/>
      <c r="N13" s="315"/>
      <c r="O13" s="315"/>
      <c r="P13" s="315"/>
      <c r="Q13" s="315"/>
      <c r="R13" s="315"/>
      <c r="S13" s="315"/>
    </row>
    <row r="14" spans="2:19" ht="21" customHeight="1">
      <c r="B14" s="1121" t="s">
        <v>185</v>
      </c>
      <c r="C14" s="1121"/>
      <c r="D14" s="1121"/>
      <c r="E14" s="1121"/>
      <c r="F14" s="1121"/>
      <c r="G14" s="1121"/>
      <c r="H14" s="1121"/>
      <c r="I14" s="963" t="s">
        <v>662</v>
      </c>
      <c r="J14" s="967" t="s">
        <v>662</v>
      </c>
      <c r="M14" s="315"/>
      <c r="N14" s="315"/>
      <c r="O14" s="315"/>
      <c r="P14" s="315"/>
      <c r="Q14" s="315"/>
      <c r="R14" s="315"/>
      <c r="S14" s="315"/>
    </row>
    <row r="15" spans="2:19" ht="21" customHeight="1">
      <c r="B15" s="639"/>
      <c r="C15" s="639"/>
      <c r="D15" s="639"/>
      <c r="E15" s="639"/>
      <c r="F15" s="639"/>
      <c r="G15" s="639"/>
      <c r="H15" s="639"/>
      <c r="I15" s="593"/>
      <c r="J15" s="967" t="s">
        <v>662</v>
      </c>
      <c r="M15" s="315"/>
      <c r="N15" s="315"/>
      <c r="O15" s="315"/>
      <c r="P15" s="315"/>
      <c r="Q15" s="315"/>
      <c r="R15" s="315"/>
      <c r="S15" s="315"/>
    </row>
    <row r="16" spans="2:19" ht="21" customHeight="1">
      <c r="B16" s="639"/>
      <c r="C16" s="639"/>
      <c r="D16" s="639"/>
      <c r="E16" s="639"/>
      <c r="F16" s="639"/>
      <c r="G16" s="639"/>
      <c r="H16" s="639"/>
      <c r="I16" s="593"/>
      <c r="J16" s="967" t="s">
        <v>662</v>
      </c>
      <c r="M16" s="315"/>
      <c r="N16" s="315"/>
      <c r="O16" s="315"/>
      <c r="P16" s="315"/>
      <c r="Q16" s="315"/>
      <c r="R16" s="315"/>
      <c r="S16" s="315"/>
    </row>
    <row r="17" spans="2:19" ht="21" customHeight="1">
      <c r="B17" s="639"/>
      <c r="C17" s="639"/>
      <c r="D17" s="639"/>
      <c r="E17" s="639"/>
      <c r="F17" s="639"/>
      <c r="G17" s="639"/>
      <c r="H17" s="639"/>
      <c r="I17" s="593"/>
      <c r="J17" s="967" t="s">
        <v>662</v>
      </c>
      <c r="M17" s="315"/>
      <c r="N17" s="315"/>
      <c r="O17" s="315"/>
      <c r="P17" s="315"/>
      <c r="Q17" s="315"/>
      <c r="R17" s="315"/>
      <c r="S17" s="315"/>
    </row>
    <row r="18" spans="2:19" ht="21" customHeight="1">
      <c r="B18" s="639"/>
      <c r="C18" s="639"/>
      <c r="D18" s="639"/>
      <c r="E18" s="639"/>
      <c r="F18" s="639"/>
      <c r="G18" s="639"/>
      <c r="H18" s="639"/>
      <c r="I18" s="593"/>
      <c r="J18" s="967" t="s">
        <v>662</v>
      </c>
      <c r="M18" s="315"/>
      <c r="N18" s="315"/>
      <c r="O18" s="315"/>
      <c r="P18" s="315"/>
      <c r="Q18" s="315"/>
      <c r="R18" s="315"/>
      <c r="S18" s="315"/>
    </row>
    <row r="19" spans="2:19" ht="21" customHeight="1">
      <c r="B19" s="639"/>
      <c r="C19" s="639"/>
      <c r="D19" s="639"/>
      <c r="E19" s="639"/>
      <c r="F19" s="639"/>
      <c r="G19" s="639"/>
      <c r="H19" s="639"/>
      <c r="I19" s="593"/>
      <c r="J19" s="967" t="s">
        <v>662</v>
      </c>
      <c r="M19" s="315"/>
      <c r="N19" s="315"/>
      <c r="O19" s="315"/>
      <c r="P19" s="315"/>
      <c r="Q19" s="315"/>
      <c r="R19" s="315"/>
      <c r="S19" s="315"/>
    </row>
    <row r="20" spans="2:19" ht="21" customHeight="1">
      <c r="B20" s="639"/>
      <c r="C20" s="639"/>
      <c r="D20" s="639"/>
      <c r="E20" s="639"/>
      <c r="F20" s="639"/>
      <c r="G20" s="639"/>
      <c r="H20" s="639"/>
      <c r="I20" s="593"/>
      <c r="J20" s="967" t="s">
        <v>662</v>
      </c>
      <c r="M20" s="315"/>
      <c r="N20" s="315"/>
      <c r="O20" s="315"/>
      <c r="P20" s="315"/>
      <c r="Q20" s="315"/>
      <c r="R20" s="315"/>
      <c r="S20" s="315"/>
    </row>
    <row r="21" spans="2:19" ht="21" customHeight="1">
      <c r="B21" s="639"/>
      <c r="C21" s="639"/>
      <c r="D21" s="639"/>
      <c r="E21" s="639"/>
      <c r="F21" s="639"/>
      <c r="G21" s="639"/>
      <c r="H21" s="639"/>
      <c r="I21" s="593"/>
      <c r="J21" s="967" t="s">
        <v>662</v>
      </c>
      <c r="M21" s="315"/>
      <c r="N21" s="315"/>
      <c r="O21" s="315"/>
      <c r="P21" s="315"/>
      <c r="Q21" s="315"/>
      <c r="R21" s="315"/>
      <c r="S21" s="315"/>
    </row>
    <row r="22" spans="2:19" ht="21" customHeight="1">
      <c r="B22" s="327" t="s">
        <v>186</v>
      </c>
      <c r="C22" s="327"/>
      <c r="D22" s="327"/>
      <c r="E22" s="327"/>
      <c r="F22" s="327"/>
      <c r="G22" s="327"/>
      <c r="H22" s="548"/>
      <c r="I22" s="593"/>
      <c r="J22" s="967" t="s">
        <v>662</v>
      </c>
      <c r="M22" s="315"/>
      <c r="N22" s="315"/>
      <c r="O22" s="315"/>
      <c r="P22" s="315"/>
      <c r="Q22" s="315"/>
      <c r="R22" s="315"/>
      <c r="S22" s="315"/>
    </row>
    <row r="23" spans="2:19" ht="21" customHeight="1">
      <c r="B23" s="639"/>
      <c r="C23" s="639"/>
      <c r="D23" s="639"/>
      <c r="E23" s="639"/>
      <c r="F23" s="639"/>
      <c r="G23" s="639"/>
      <c r="H23" s="639"/>
      <c r="I23" s="593"/>
      <c r="J23" s="967" t="s">
        <v>662</v>
      </c>
      <c r="M23" s="315"/>
      <c r="N23" s="315"/>
      <c r="O23" s="315"/>
      <c r="P23" s="315"/>
      <c r="Q23" s="315"/>
      <c r="R23" s="315"/>
      <c r="S23" s="315"/>
    </row>
    <row r="24" spans="2:19" ht="21" customHeight="1" thickBot="1">
      <c r="B24" s="327" t="str">
        <f>'KEY INPUTS'!D26</f>
        <v>Balance - December 31, 2020</v>
      </c>
      <c r="C24" s="327"/>
      <c r="D24" s="327"/>
      <c r="E24" s="327"/>
      <c r="F24" s="327"/>
      <c r="G24" s="327"/>
      <c r="H24" s="548"/>
      <c r="I24" s="1088">
        <f>+SUM(J8:J13)-SUM(I13:I23)</f>
        <v>17504.25</v>
      </c>
      <c r="J24" s="1086" t="s">
        <v>662</v>
      </c>
      <c r="M24" s="315"/>
      <c r="N24" s="315"/>
      <c r="O24" s="315"/>
      <c r="P24" s="315"/>
      <c r="Q24" s="315"/>
      <c r="R24" s="315"/>
      <c r="S24" s="315"/>
    </row>
    <row r="25" spans="2:19" ht="21" customHeight="1" thickTop="1" thickBot="1">
      <c r="I25" s="1046">
        <f>SUM(I8:I24)</f>
        <v>17504.25</v>
      </c>
      <c r="J25" s="1089">
        <f>SUM(J8:J24)</f>
        <v>17504.25</v>
      </c>
      <c r="M25" s="315"/>
      <c r="N25" s="315"/>
      <c r="O25" s="315"/>
      <c r="P25" s="315"/>
      <c r="Q25" s="315"/>
      <c r="R25" s="315"/>
      <c r="S25" s="315"/>
    </row>
    <row r="26" spans="2:19" ht="13.8" thickTop="1"/>
    <row r="30" spans="2:19" ht="22.8">
      <c r="B30" s="1946" t="str">
        <f>UPPER('KEY INPUTS'!D52)&amp;" UTILITY  CAPITAL  FUND"</f>
        <v>WATER/SEWER UTILITY UTILITY  CAPITAL  FUND</v>
      </c>
      <c r="C30" s="1946"/>
      <c r="D30" s="1946"/>
      <c r="E30" s="1946"/>
      <c r="F30" s="1946"/>
      <c r="G30" s="1946"/>
      <c r="H30" s="1946"/>
      <c r="I30" s="1946"/>
      <c r="J30" s="1946"/>
    </row>
    <row r="31" spans="2:19" ht="7.5" customHeight="1"/>
    <row r="32" spans="2:19" ht="15.6">
      <c r="B32" s="1947" t="s">
        <v>188</v>
      </c>
      <c r="C32" s="1947"/>
      <c r="D32" s="1947"/>
      <c r="E32" s="1947"/>
      <c r="F32" s="1947"/>
      <c r="G32" s="1947"/>
      <c r="H32" s="1947"/>
      <c r="I32" s="1947"/>
      <c r="J32" s="1947"/>
    </row>
    <row r="33" spans="2:10" ht="13.8" thickBot="1"/>
    <row r="34" spans="2:10" ht="26.25" customHeight="1" thickTop="1" thickBot="1">
      <c r="B34" s="509"/>
      <c r="C34" s="509"/>
      <c r="D34" s="509"/>
      <c r="E34" s="509"/>
      <c r="F34" s="509"/>
      <c r="G34" s="509"/>
      <c r="H34" s="509"/>
      <c r="I34" s="403" t="s">
        <v>101</v>
      </c>
      <c r="J34" s="402" t="s">
        <v>102</v>
      </c>
    </row>
    <row r="35" spans="2:10" ht="21" customHeight="1" thickTop="1">
      <c r="B35" s="408" t="str">
        <f>'KEY INPUTS'!D25</f>
        <v>Balance - January 1, 2020</v>
      </c>
      <c r="C35" s="408"/>
      <c r="D35" s="408"/>
      <c r="E35" s="408"/>
      <c r="F35" s="408"/>
      <c r="G35" s="408"/>
      <c r="H35" s="550"/>
      <c r="I35" s="1070" t="s">
        <v>662</v>
      </c>
      <c r="J35" s="630">
        <v>0</v>
      </c>
    </row>
    <row r="36" spans="2:10" ht="21" customHeight="1">
      <c r="B36" s="504" t="str">
        <f>"Received from "&amp;TEXT('KEY INPUTS'!D34,"0")&amp;" Budget Appropriation *"</f>
        <v>Received from 2020 Budget Appropriation *</v>
      </c>
      <c r="C36" s="327"/>
      <c r="D36" s="327"/>
      <c r="E36" s="327"/>
      <c r="F36" s="327"/>
      <c r="G36" s="327"/>
      <c r="H36" s="548"/>
      <c r="I36" s="963" t="s">
        <v>662</v>
      </c>
      <c r="J36" s="601"/>
    </row>
    <row r="37" spans="2:10" ht="21" customHeight="1">
      <c r="B37" s="504" t="str">
        <f>"Received from "&amp;TEXT('KEY INPUTS'!D34,"0")&amp;" Emergency Appropriation *"</f>
        <v>Received from 2020 Emergency Appropriation *</v>
      </c>
      <c r="C37" s="327"/>
      <c r="D37" s="327"/>
      <c r="E37" s="327"/>
      <c r="F37" s="327"/>
      <c r="G37" s="327"/>
      <c r="H37" s="548"/>
      <c r="I37" s="963" t="s">
        <v>662</v>
      </c>
      <c r="J37" s="601"/>
    </row>
    <row r="38" spans="2:10" ht="21" customHeight="1">
      <c r="B38" s="659"/>
      <c r="C38" s="1264"/>
      <c r="D38" s="659"/>
      <c r="E38" s="472"/>
      <c r="F38" s="472"/>
      <c r="G38" s="472"/>
      <c r="H38" s="472"/>
      <c r="I38" s="674"/>
      <c r="J38" s="369"/>
    </row>
    <row r="39" spans="2:10" ht="21" customHeight="1">
      <c r="B39" s="327" t="s">
        <v>186</v>
      </c>
      <c r="C39" s="327"/>
      <c r="D39" s="327"/>
      <c r="E39" s="327"/>
      <c r="F39" s="327"/>
      <c r="G39" s="327"/>
      <c r="H39" s="548"/>
      <c r="I39" s="593">
        <v>0</v>
      </c>
      <c r="J39" s="967" t="s">
        <v>662</v>
      </c>
    </row>
    <row r="40" spans="2:10" ht="21" customHeight="1">
      <c r="B40" s="639"/>
      <c r="C40" s="639"/>
      <c r="D40" s="639"/>
      <c r="E40" s="327"/>
      <c r="F40" s="327"/>
      <c r="G40" s="327"/>
      <c r="H40" s="327"/>
      <c r="I40" s="593"/>
      <c r="J40" s="967" t="s">
        <v>662</v>
      </c>
    </row>
    <row r="41" spans="2:10" ht="21" customHeight="1" thickBot="1">
      <c r="B41" s="327" t="str">
        <f>'KEY INPUTS'!D26</f>
        <v>Balance - December 31, 2020</v>
      </c>
      <c r="C41" s="327"/>
      <c r="D41" s="327"/>
      <c r="E41" s="327"/>
      <c r="F41" s="327"/>
      <c r="G41" s="327"/>
      <c r="H41" s="548"/>
      <c r="I41" s="1265">
        <f>SUM(J35:J38)-SUM(I38:I40)</f>
        <v>0</v>
      </c>
      <c r="J41" s="1086" t="s">
        <v>662</v>
      </c>
    </row>
    <row r="42" spans="2:10" ht="21" customHeight="1" thickTop="1" thickBot="1">
      <c r="I42" s="1046">
        <f>SUM(I35:I41)</f>
        <v>0</v>
      </c>
      <c r="J42" s="1089">
        <f>SUM(J35:J41)</f>
        <v>0</v>
      </c>
    </row>
    <row r="43" spans="2:10" ht="21" customHeight="1" thickTop="1">
      <c r="I43" s="120"/>
      <c r="J43" s="120"/>
    </row>
    <row r="44" spans="2:10" ht="21" customHeight="1"/>
    <row r="45" spans="2:10" ht="13.5" customHeight="1">
      <c r="B45" s="547" t="str">
        <f>"*The full amount of the "&amp;TEXT('KEY INPUTS'!D34,"0")&amp;"  budget appropriation should be transferred to this account unless the balance of the"</f>
        <v>*The full amount of the 2020  budget appropriation should be transferred to this account unless the balance of the</v>
      </c>
      <c r="C45" s="547"/>
    </row>
    <row r="46" spans="2:10" ht="13.5" customHeight="1">
      <c r="B46" s="547"/>
      <c r="C46" s="547" t="s">
        <v>187</v>
      </c>
    </row>
    <row r="47" spans="2:10" ht="13.5" customHeight="1">
      <c r="B47" s="547"/>
      <c r="C47" s="547"/>
    </row>
    <row r="48" spans="2:10" ht="13.5" customHeight="1">
      <c r="B48" s="547"/>
      <c r="C48" s="547"/>
    </row>
    <row r="49" spans="2:10" ht="13.5" customHeight="1">
      <c r="B49" s="547"/>
      <c r="C49" s="547"/>
    </row>
    <row r="50" spans="2:10" ht="13.5" customHeight="1">
      <c r="B50" s="547"/>
      <c r="C50" s="547"/>
    </row>
    <row r="51" spans="2:10" ht="13.5" customHeight="1">
      <c r="B51" s="547"/>
      <c r="C51" s="547"/>
    </row>
    <row r="52" spans="2:10" ht="13.5" customHeight="1">
      <c r="B52" s="547"/>
      <c r="C52" s="547"/>
    </row>
    <row r="53" spans="2:10" ht="13.5" customHeight="1">
      <c r="B53" s="547"/>
      <c r="C53" s="547"/>
    </row>
    <row r="54" spans="2:10" ht="13.8">
      <c r="B54" s="1850" t="s">
        <v>3231</v>
      </c>
      <c r="C54" s="1850"/>
      <c r="D54" s="1850"/>
      <c r="E54" s="1850"/>
      <c r="F54" s="1850"/>
      <c r="G54" s="1850"/>
      <c r="H54" s="1850"/>
      <c r="I54" s="1850"/>
      <c r="J54" s="1850"/>
    </row>
  </sheetData>
  <sheetProtection algorithmName="SHA-512" hashValue="KbC72KCo9zvH7W0F5wGg7u+RKIksPXBn4+lob4KZJVwYV3fr+FbQPLQkAMuHs/9Bv5YiCSgelvI6uQ08pRPOPw==" saltValue="l5zV4Ct27emT/9i8EeuGow==" spinCount="100000" sheet="1" objects="1" scenarios="1"/>
  <mergeCells count="7">
    <mergeCell ref="B3:J3"/>
    <mergeCell ref="B5:J5"/>
    <mergeCell ref="B54:J54"/>
    <mergeCell ref="B30:J30"/>
    <mergeCell ref="B32:J32"/>
    <mergeCell ref="J11:J12"/>
    <mergeCell ref="I11:I12"/>
  </mergeCells>
  <pageMargins left="0.25" right="0.25" top="0.5" bottom="0.5" header="0.25" footer="0.25"/>
  <pageSetup paperSize="5" orientation="portrait" r:id="rId1"/>
  <headerFooter alignWithMargins="0"/>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7">
    <tabColor theme="6" tint="0.39997558519241921"/>
  </sheetPr>
  <dimension ref="B1:AC52"/>
  <sheetViews>
    <sheetView topLeftCell="A4" zoomScaleNormal="100" zoomScaleSheetLayoutView="80" workbookViewId="0">
      <selection activeCell="H18" sqref="H18"/>
    </sheetView>
  </sheetViews>
  <sheetFormatPr defaultColWidth="8.88671875" defaultRowHeight="13.2"/>
  <cols>
    <col min="1" max="3" width="4.6640625" style="391" customWidth="1"/>
    <col min="4" max="4" width="4.5546875" style="391" customWidth="1"/>
    <col min="5" max="5" width="8.88671875" style="391"/>
    <col min="6" max="6" width="6.6640625" style="391" customWidth="1"/>
    <col min="7" max="10" width="16.6640625" style="391" customWidth="1"/>
    <col min="11" max="20" width="8.88671875" style="391"/>
    <col min="21" max="23" width="4.6640625" customWidth="1"/>
    <col min="25" max="25" width="6.6640625" customWidth="1"/>
    <col min="26" max="29" width="16.6640625" customWidth="1"/>
    <col min="30" max="16384" width="8.88671875" style="391"/>
  </cols>
  <sheetData>
    <row r="1" spans="2:19">
      <c r="D1" s="463"/>
      <c r="E1" s="463"/>
    </row>
    <row r="2" spans="2:19">
      <c r="D2" s="463"/>
      <c r="E2" s="463"/>
    </row>
    <row r="3" spans="2:19" ht="24.6">
      <c r="B3" s="1952" t="str">
        <f>UPPER('KEY INPUTS'!D52)&amp;"  UTILITY  FUND"</f>
        <v>WATER/SEWER UTILITY  UTILITY  FUND</v>
      </c>
      <c r="C3" s="1952"/>
      <c r="D3" s="1952"/>
      <c r="E3" s="1952"/>
      <c r="F3" s="1952"/>
      <c r="G3" s="1952"/>
      <c r="H3" s="1952"/>
      <c r="I3" s="1952"/>
      <c r="J3" s="1952"/>
    </row>
    <row r="4" spans="2:19">
      <c r="B4" s="766"/>
      <c r="C4" s="766"/>
      <c r="D4" s="766"/>
      <c r="E4" s="766"/>
    </row>
    <row r="5" spans="2:19" ht="17.399999999999999">
      <c r="B5" s="1953" t="str">
        <f>"CAPITAL  IMPROVEMENTS  AUTHORIZED  IN "&amp;TEXT('KEY INPUTS'!D34,"0")&amp;""</f>
        <v>CAPITAL  IMPROVEMENTS  AUTHORIZED  IN 2020</v>
      </c>
      <c r="C5" s="1953"/>
      <c r="D5" s="1953"/>
      <c r="E5" s="1953"/>
      <c r="F5" s="1953"/>
      <c r="G5" s="1953"/>
      <c r="H5" s="1953"/>
      <c r="I5" s="1953"/>
      <c r="J5" s="1953"/>
    </row>
    <row r="6" spans="2:19" ht="17.399999999999999">
      <c r="B6" s="1953" t="s">
        <v>210</v>
      </c>
      <c r="C6" s="1953"/>
      <c r="D6" s="1953"/>
      <c r="E6" s="1953"/>
      <c r="F6" s="1953"/>
      <c r="G6" s="1953"/>
      <c r="H6" s="1953"/>
      <c r="I6" s="1953"/>
      <c r="J6" s="1953"/>
    </row>
    <row r="7" spans="2:19" ht="13.8" thickBot="1"/>
    <row r="8" spans="2:19" ht="13.8" thickTop="1">
      <c r="B8" s="533"/>
      <c r="C8" s="533"/>
      <c r="D8" s="533"/>
      <c r="E8" s="533"/>
      <c r="F8" s="533"/>
      <c r="G8" s="454"/>
      <c r="H8" s="454"/>
      <c r="I8" s="454"/>
      <c r="J8" s="453" t="s">
        <v>251</v>
      </c>
    </row>
    <row r="9" spans="2:19">
      <c r="C9" s="1798" t="s">
        <v>440</v>
      </c>
      <c r="D9" s="1798"/>
      <c r="E9" s="1798"/>
      <c r="G9" s="532" t="s">
        <v>441</v>
      </c>
      <c r="H9" s="532" t="s">
        <v>209</v>
      </c>
      <c r="I9" s="532" t="s">
        <v>213</v>
      </c>
      <c r="J9" s="393" t="s">
        <v>252</v>
      </c>
    </row>
    <row r="10" spans="2:19">
      <c r="G10" s="532" t="s">
        <v>211</v>
      </c>
      <c r="H10" s="532" t="s">
        <v>212</v>
      </c>
      <c r="I10" s="532" t="s">
        <v>214</v>
      </c>
      <c r="J10" s="558" t="str">
        <f>"of " &amp;TEXT('KEY INPUTS'!D34,"0")&amp;" or Prior"</f>
        <v>of 2020 or Prior</v>
      </c>
    </row>
    <row r="11" spans="2:19" ht="13.8" thickBot="1">
      <c r="B11" s="459"/>
      <c r="C11" s="459"/>
      <c r="D11" s="459"/>
      <c r="E11" s="459"/>
      <c r="F11" s="459"/>
      <c r="G11" s="531"/>
      <c r="H11" s="531" t="s">
        <v>468</v>
      </c>
      <c r="I11" s="531" t="s">
        <v>250</v>
      </c>
      <c r="J11" s="557" t="s">
        <v>253</v>
      </c>
      <c r="M11" s="315"/>
      <c r="N11" s="315"/>
      <c r="O11" s="315"/>
      <c r="P11" s="315"/>
      <c r="Q11" s="315"/>
      <c r="R11" s="315"/>
      <c r="S11" s="315"/>
    </row>
    <row r="12" spans="2:19" ht="21" customHeight="1" thickTop="1">
      <c r="B12" s="695" t="s">
        <v>3724</v>
      </c>
      <c r="C12" s="664"/>
      <c r="D12" s="664"/>
      <c r="E12" s="664"/>
      <c r="F12" s="664"/>
      <c r="G12" s="597">
        <v>174000</v>
      </c>
      <c r="H12" s="597">
        <v>174000</v>
      </c>
      <c r="I12" s="597">
        <v>0</v>
      </c>
      <c r="J12" s="630">
        <v>0</v>
      </c>
      <c r="M12" s="315"/>
      <c r="N12" s="315"/>
      <c r="O12" s="315"/>
      <c r="P12" s="315"/>
      <c r="Q12" s="315"/>
      <c r="R12" s="315"/>
      <c r="S12" s="315"/>
    </row>
    <row r="13" spans="2:19" ht="21" customHeight="1">
      <c r="B13" s="693" t="s">
        <v>3725</v>
      </c>
      <c r="C13" s="639"/>
      <c r="D13" s="639"/>
      <c r="E13" s="639"/>
      <c r="F13" s="639"/>
      <c r="G13" s="593">
        <v>153000</v>
      </c>
      <c r="H13" s="593">
        <v>153000</v>
      </c>
      <c r="I13" s="593">
        <v>0</v>
      </c>
      <c r="J13" s="601">
        <v>0</v>
      </c>
      <c r="M13" s="370"/>
      <c r="N13" s="315"/>
      <c r="O13" s="315"/>
      <c r="P13" s="315"/>
      <c r="Q13" s="315"/>
      <c r="R13" s="315"/>
      <c r="S13" s="315"/>
    </row>
    <row r="14" spans="2:19" ht="21" customHeight="1">
      <c r="B14" s="1539" t="s">
        <v>3726</v>
      </c>
      <c r="C14" s="639"/>
      <c r="D14" s="639"/>
      <c r="E14" s="639"/>
      <c r="F14" s="639"/>
      <c r="G14" s="593">
        <v>113000</v>
      </c>
      <c r="H14" s="593">
        <v>113000</v>
      </c>
      <c r="I14" s="593">
        <v>0</v>
      </c>
      <c r="J14" s="601">
        <v>0</v>
      </c>
      <c r="M14" s="315"/>
      <c r="N14" s="315"/>
      <c r="O14" s="315"/>
      <c r="P14" s="315"/>
      <c r="Q14" s="315"/>
      <c r="R14" s="315"/>
      <c r="S14" s="315"/>
    </row>
    <row r="15" spans="2:19" ht="21" customHeight="1">
      <c r="B15" s="1539" t="s">
        <v>3721</v>
      </c>
      <c r="C15" s="639"/>
      <c r="D15" s="639"/>
      <c r="E15" s="639"/>
      <c r="F15" s="639"/>
      <c r="G15" s="593">
        <v>75000</v>
      </c>
      <c r="H15" s="593">
        <v>75000</v>
      </c>
      <c r="I15" s="593">
        <v>0</v>
      </c>
      <c r="J15" s="601">
        <v>0</v>
      </c>
      <c r="M15" s="315"/>
      <c r="N15" s="315"/>
      <c r="O15" s="315"/>
      <c r="P15" s="315"/>
      <c r="Q15" s="315"/>
      <c r="R15" s="315"/>
      <c r="S15" s="315"/>
    </row>
    <row r="16" spans="2:19" ht="21" customHeight="1">
      <c r="B16" s="1539" t="s">
        <v>3722</v>
      </c>
      <c r="C16" s="639"/>
      <c r="D16" s="639"/>
      <c r="E16" s="639"/>
      <c r="F16" s="639"/>
      <c r="G16" s="593">
        <v>1150000</v>
      </c>
      <c r="H16" s="593">
        <v>1150000</v>
      </c>
      <c r="I16" s="593">
        <v>0</v>
      </c>
      <c r="J16" s="601">
        <v>0</v>
      </c>
      <c r="M16" s="315"/>
      <c r="N16" s="315"/>
      <c r="O16" s="315"/>
      <c r="P16" s="315"/>
      <c r="Q16" s="315"/>
      <c r="R16" s="315"/>
      <c r="S16" s="315"/>
    </row>
    <row r="17" spans="2:19" ht="21" customHeight="1">
      <c r="B17" s="1539" t="s">
        <v>3723</v>
      </c>
      <c r="C17" s="639"/>
      <c r="D17" s="639"/>
      <c r="E17" s="639"/>
      <c r="F17" s="639"/>
      <c r="G17" s="593">
        <v>2410000</v>
      </c>
      <c r="H17" s="593">
        <v>2410000</v>
      </c>
      <c r="I17" s="593">
        <v>0</v>
      </c>
      <c r="J17" s="601">
        <v>0</v>
      </c>
      <c r="M17" s="315"/>
      <c r="N17" s="315"/>
      <c r="O17" s="315"/>
      <c r="P17" s="315"/>
      <c r="Q17" s="315"/>
      <c r="R17" s="315"/>
      <c r="S17" s="315"/>
    </row>
    <row r="18" spans="2:19" ht="21" customHeight="1">
      <c r="B18" s="639"/>
      <c r="C18" s="639"/>
      <c r="D18" s="639"/>
      <c r="E18" s="639"/>
      <c r="F18" s="639"/>
      <c r="G18" s="593"/>
      <c r="H18" s="593"/>
      <c r="I18" s="593"/>
      <c r="J18" s="601"/>
      <c r="M18" s="315"/>
      <c r="N18" s="315"/>
      <c r="O18" s="315"/>
      <c r="P18" s="315"/>
      <c r="Q18" s="315"/>
      <c r="R18" s="315"/>
      <c r="S18" s="315"/>
    </row>
    <row r="19" spans="2:19" ht="21" customHeight="1">
      <c r="B19" s="639"/>
      <c r="C19" s="639"/>
      <c r="D19" s="639"/>
      <c r="E19" s="639"/>
      <c r="F19" s="639"/>
      <c r="G19" s="593"/>
      <c r="H19" s="593"/>
      <c r="I19" s="593"/>
      <c r="J19" s="601"/>
      <c r="M19" s="315"/>
      <c r="N19" s="315"/>
      <c r="O19" s="315"/>
      <c r="P19" s="315"/>
      <c r="Q19" s="315"/>
      <c r="R19" s="315"/>
      <c r="S19" s="315"/>
    </row>
    <row r="20" spans="2:19" ht="21" customHeight="1">
      <c r="B20" s="639"/>
      <c r="C20" s="639"/>
      <c r="D20" s="639"/>
      <c r="E20" s="639"/>
      <c r="F20" s="639"/>
      <c r="G20" s="593"/>
      <c r="H20" s="593"/>
      <c r="I20" s="593"/>
      <c r="J20" s="601"/>
      <c r="M20" s="315"/>
      <c r="N20" s="315"/>
      <c r="O20" s="315"/>
      <c r="P20" s="315"/>
      <c r="Q20" s="315"/>
      <c r="R20" s="315"/>
      <c r="S20" s="315"/>
    </row>
    <row r="21" spans="2:19" ht="21" customHeight="1" thickBot="1">
      <c r="B21" s="639"/>
      <c r="C21" s="639"/>
      <c r="D21" s="639"/>
      <c r="E21" s="639"/>
      <c r="F21" s="639"/>
      <c r="G21" s="619"/>
      <c r="H21" s="619"/>
      <c r="I21" s="619"/>
      <c r="J21" s="662"/>
      <c r="M21" s="315"/>
      <c r="N21" s="315"/>
      <c r="O21" s="315"/>
      <c r="P21" s="315"/>
      <c r="Q21" s="315"/>
      <c r="R21" s="315"/>
      <c r="S21" s="315"/>
    </row>
    <row r="22" spans="2:19" ht="21" customHeight="1" thickTop="1" thickBot="1">
      <c r="B22" s="459"/>
      <c r="C22" s="459"/>
      <c r="D22" s="459"/>
      <c r="E22" s="459"/>
      <c r="F22" s="459"/>
      <c r="G22" s="394">
        <f>SUM(G12:G21)</f>
        <v>4075000</v>
      </c>
      <c r="H22" s="394">
        <f>SUM(H12:H21)</f>
        <v>4075000</v>
      </c>
      <c r="I22" s="394">
        <f>SUM(I12:I21)</f>
        <v>0</v>
      </c>
      <c r="J22" s="556">
        <f>SUM(J12:J21)</f>
        <v>0</v>
      </c>
      <c r="M22" s="315"/>
      <c r="N22" s="315"/>
      <c r="O22" s="315"/>
      <c r="P22" s="315"/>
      <c r="Q22" s="315"/>
      <c r="R22" s="315"/>
      <c r="S22" s="315"/>
    </row>
    <row r="23" spans="2:19" ht="13.8" thickTop="1">
      <c r="M23" s="315"/>
      <c r="N23" s="315"/>
      <c r="O23" s="315"/>
      <c r="P23" s="315"/>
      <c r="Q23" s="315"/>
      <c r="R23" s="315"/>
      <c r="S23" s="315"/>
    </row>
    <row r="24" spans="2:19">
      <c r="M24" s="315"/>
      <c r="N24" s="315"/>
      <c r="O24" s="315"/>
      <c r="P24" s="315"/>
      <c r="Q24" s="315"/>
      <c r="R24" s="315"/>
      <c r="S24" s="315"/>
    </row>
    <row r="25" spans="2:19">
      <c r="M25" s="315"/>
      <c r="N25" s="315"/>
      <c r="O25" s="315"/>
      <c r="P25" s="315"/>
      <c r="Q25" s="315"/>
      <c r="R25" s="315"/>
      <c r="S25" s="315"/>
    </row>
    <row r="26" spans="2:19">
      <c r="M26" s="315"/>
      <c r="N26" s="315"/>
      <c r="O26" s="315"/>
      <c r="P26" s="315"/>
      <c r="Q26" s="315"/>
      <c r="R26" s="315"/>
      <c r="S26" s="315"/>
    </row>
    <row r="27" spans="2:19">
      <c r="M27" s="315"/>
      <c r="N27" s="315"/>
      <c r="O27" s="315"/>
      <c r="P27" s="315"/>
      <c r="Q27" s="315"/>
      <c r="R27" s="315"/>
      <c r="S27" s="315"/>
    </row>
    <row r="28" spans="2:19" ht="22.8">
      <c r="B28" s="1804" t="str">
        <f>UPPER('KEY INPUTS'!D52)&amp;" UTILITY  CAPITAL  FUND"</f>
        <v>WATER/SEWER UTILITY UTILITY  CAPITAL  FUND</v>
      </c>
      <c r="C28" s="1804"/>
      <c r="D28" s="1804"/>
      <c r="E28" s="1804"/>
      <c r="F28" s="1804"/>
      <c r="G28" s="1804"/>
      <c r="H28" s="1804"/>
      <c r="I28" s="1804"/>
      <c r="J28" s="1804"/>
    </row>
    <row r="29" spans="2:19" ht="22.8">
      <c r="B29" s="1815" t="s">
        <v>160</v>
      </c>
      <c r="C29" s="1815"/>
      <c r="D29" s="1815"/>
      <c r="E29" s="1815"/>
      <c r="F29" s="1815"/>
      <c r="G29" s="1815"/>
      <c r="H29" s="1815"/>
      <c r="I29" s="1815"/>
      <c r="J29" s="1815"/>
    </row>
    <row r="31" spans="2:19" ht="15.6">
      <c r="B31" s="1807" t="str">
        <f>"YEAR  "&amp;TEXT('KEY INPUTS'!D34,"0")&amp;""</f>
        <v>YEAR  2020</v>
      </c>
      <c r="C31" s="1807"/>
      <c r="D31" s="1807"/>
      <c r="E31" s="1807"/>
      <c r="F31" s="1807"/>
      <c r="G31" s="1807"/>
      <c r="H31" s="1807"/>
      <c r="I31" s="1807"/>
      <c r="J31" s="1807"/>
    </row>
    <row r="32" spans="2:19" ht="13.8" thickBot="1"/>
    <row r="33" spans="2:10" ht="28.5" customHeight="1" thickTop="1" thickBot="1">
      <c r="B33" s="468"/>
      <c r="C33" s="468"/>
      <c r="D33" s="468"/>
      <c r="E33" s="468"/>
      <c r="F33" s="468"/>
      <c r="G33" s="468"/>
      <c r="H33" s="468"/>
      <c r="I33" s="396" t="s">
        <v>101</v>
      </c>
      <c r="J33" s="997" t="s">
        <v>102</v>
      </c>
    </row>
    <row r="34" spans="2:10" ht="21" customHeight="1" thickTop="1">
      <c r="B34" s="698" t="str">
        <f>'KEY INPUTS'!D25</f>
        <v>Balance - January 1, 2020</v>
      </c>
      <c r="C34" s="450"/>
      <c r="D34" s="450"/>
      <c r="E34" s="450"/>
      <c r="F34" s="450"/>
      <c r="G34" s="450"/>
      <c r="H34" s="450"/>
      <c r="I34" s="462" t="s">
        <v>662</v>
      </c>
      <c r="J34" s="629">
        <v>1165.25</v>
      </c>
    </row>
    <row r="35" spans="2:10" ht="21" customHeight="1">
      <c r="B35" s="395" t="s">
        <v>161</v>
      </c>
      <c r="C35" s="395"/>
      <c r="D35" s="395"/>
      <c r="E35" s="395"/>
      <c r="F35" s="395"/>
      <c r="G35" s="395"/>
      <c r="H35" s="395"/>
      <c r="I35" s="303" t="s">
        <v>662</v>
      </c>
      <c r="J35" s="571">
        <v>4219.04</v>
      </c>
    </row>
    <row r="36" spans="2:10" ht="21" customHeight="1">
      <c r="B36" s="395" t="s">
        <v>162</v>
      </c>
      <c r="C36" s="395"/>
      <c r="D36" s="395"/>
      <c r="E36" s="395"/>
      <c r="F36" s="395"/>
      <c r="G36" s="395"/>
      <c r="H36" s="395"/>
      <c r="I36" s="303" t="s">
        <v>662</v>
      </c>
      <c r="J36" s="571"/>
    </row>
    <row r="37" spans="2:10" ht="21" customHeight="1">
      <c r="B37" s="639" t="s">
        <v>3273</v>
      </c>
      <c r="C37" s="639"/>
      <c r="D37" s="639"/>
      <c r="E37" s="639"/>
      <c r="F37" s="639"/>
      <c r="G37" s="639"/>
      <c r="H37" s="395"/>
      <c r="I37" s="367"/>
      <c r="J37" s="571"/>
    </row>
    <row r="38" spans="2:10" ht="21" customHeight="1">
      <c r="B38" s="639"/>
      <c r="C38" s="639"/>
      <c r="D38" s="639"/>
      <c r="E38" s="639"/>
      <c r="F38" s="639"/>
      <c r="G38" s="639"/>
      <c r="H38" s="395"/>
      <c r="I38" s="367"/>
      <c r="J38" s="571"/>
    </row>
    <row r="39" spans="2:10" ht="21" customHeight="1">
      <c r="B39" s="639"/>
      <c r="C39" s="639"/>
      <c r="D39" s="639"/>
      <c r="E39" s="639"/>
      <c r="F39" s="639"/>
      <c r="G39" s="639"/>
      <c r="H39" s="395"/>
      <c r="I39" s="367"/>
      <c r="J39" s="571"/>
    </row>
    <row r="40" spans="2:10" ht="21" customHeight="1">
      <c r="B40" s="395" t="s">
        <v>3233</v>
      </c>
      <c r="C40" s="395"/>
      <c r="D40" s="395"/>
      <c r="E40" s="395"/>
      <c r="F40" s="395"/>
      <c r="G40" s="395"/>
      <c r="H40" s="395"/>
      <c r="I40" s="367"/>
      <c r="J40" s="257" t="s">
        <v>662</v>
      </c>
    </row>
    <row r="41" spans="2:10" ht="21" customHeight="1">
      <c r="B41" s="399" t="str">
        <f>"Appropriation to "&amp;'KEY INPUTS'!D34&amp;" Budget Reserve"</f>
        <v>Appropriation to 2020 Budget Reserve</v>
      </c>
      <c r="C41" s="395"/>
      <c r="D41" s="395"/>
      <c r="E41" s="395"/>
      <c r="F41" s="395"/>
      <c r="G41" s="555"/>
      <c r="H41" s="395"/>
      <c r="I41" s="568">
        <v>1165.25</v>
      </c>
      <c r="J41" s="257" t="s">
        <v>662</v>
      </c>
    </row>
    <row r="42" spans="2:10" ht="21" customHeight="1">
      <c r="B42" s="395" t="str">
        <f>'KEY INPUTS'!D26</f>
        <v>Balance - December 31, 2020</v>
      </c>
      <c r="C42" s="395"/>
      <c r="D42" s="395"/>
      <c r="E42" s="395"/>
      <c r="F42" s="395"/>
      <c r="G42" s="395"/>
      <c r="H42" s="395"/>
      <c r="I42" s="240">
        <f>SUM(J34:J39)-SUM(I37:I41)</f>
        <v>4219.04</v>
      </c>
      <c r="J42" s="257" t="s">
        <v>662</v>
      </c>
    </row>
    <row r="43" spans="2:10" ht="21" customHeight="1" thickBot="1">
      <c r="I43" s="458">
        <f>SUM(I34:I42)</f>
        <v>5384.29</v>
      </c>
      <c r="J43" s="554">
        <f>SUM(J34:J42)</f>
        <v>5384.29</v>
      </c>
    </row>
    <row r="44" spans="2:10" ht="21" customHeight="1" thickTop="1"/>
    <row r="45" spans="2:10" ht="21" customHeight="1"/>
    <row r="46" spans="2:10" ht="21" customHeight="1"/>
    <row r="47" spans="2:10" ht="21" customHeight="1"/>
    <row r="48" spans="2:10" ht="21" customHeight="1"/>
    <row r="49" spans="2:10" ht="21" customHeight="1"/>
    <row r="52" spans="2:10" ht="13.8">
      <c r="B52" s="1799" t="s">
        <v>3232</v>
      </c>
      <c r="C52" s="1799"/>
      <c r="D52" s="1799"/>
      <c r="E52" s="1799"/>
      <c r="F52" s="1799"/>
      <c r="G52" s="1799"/>
      <c r="H52" s="1799"/>
      <c r="I52" s="1799"/>
      <c r="J52" s="1799"/>
    </row>
  </sheetData>
  <sheetProtection password="CAF9" sheet="1" objects="1" scenarios="1"/>
  <mergeCells count="8">
    <mergeCell ref="B3:J3"/>
    <mergeCell ref="B28:J28"/>
    <mergeCell ref="B29:J29"/>
    <mergeCell ref="B31:J31"/>
    <mergeCell ref="B52:J52"/>
    <mergeCell ref="B5:J5"/>
    <mergeCell ref="B6:J6"/>
    <mergeCell ref="C9:E9"/>
  </mergeCells>
  <pageMargins left="0.25" right="0.25" top="0.5" bottom="0.5" header="0.25" footer="0.25"/>
  <pageSetup paperSize="5" orientation="portrait" r:id="rId1"/>
  <headerFooter alignWithMargins="0"/>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8">
    <tabColor theme="3" tint="0.39997558519241921"/>
  </sheetPr>
  <dimension ref="B1:R57"/>
  <sheetViews>
    <sheetView zoomScaleNormal="100" zoomScaleSheetLayoutView="80" workbookViewId="0">
      <selection activeCell="H26" sqref="H26"/>
    </sheetView>
  </sheetViews>
  <sheetFormatPr defaultColWidth="8.88671875" defaultRowHeight="13.2"/>
  <cols>
    <col min="1" max="1" width="4.6640625" style="391" customWidth="1"/>
    <col min="2" max="2" width="4.88671875" style="391" customWidth="1"/>
    <col min="3" max="4" width="4.6640625" style="391" customWidth="1"/>
    <col min="5" max="5" width="30.6640625" style="391" customWidth="1"/>
    <col min="6" max="6" width="15.6640625" style="391" customWidth="1"/>
    <col min="7" max="8" width="16.6640625" style="391" customWidth="1"/>
    <col min="9" max="9" width="3.6640625" style="391" bestFit="1" customWidth="1"/>
    <col min="10" max="10" width="13.5546875" style="391" bestFit="1" customWidth="1"/>
    <col min="11" max="16384" width="8.88671875" style="391"/>
  </cols>
  <sheetData>
    <row r="1" spans="2:18">
      <c r="B1" s="1096"/>
      <c r="C1" s="1096"/>
      <c r="D1" s="1096"/>
      <c r="E1" s="1096"/>
      <c r="F1" s="1096"/>
      <c r="G1" s="1096"/>
      <c r="H1" s="1096"/>
    </row>
    <row r="2" spans="2:18">
      <c r="B2" s="1803" t="s">
        <v>37</v>
      </c>
      <c r="C2" s="1803"/>
      <c r="D2" s="1803"/>
      <c r="E2" s="1803"/>
      <c r="F2" s="1803"/>
      <c r="G2" s="1803"/>
      <c r="H2" s="1803"/>
    </row>
    <row r="3" spans="2:18">
      <c r="B3" s="1803" t="s">
        <v>476</v>
      </c>
      <c r="C3" s="1803"/>
      <c r="D3" s="1803"/>
      <c r="E3" s="1803"/>
      <c r="F3" s="1803"/>
      <c r="G3" s="1803"/>
      <c r="H3" s="1803"/>
    </row>
    <row r="4" spans="2:18">
      <c r="B4" s="1096"/>
      <c r="C4" s="1096"/>
      <c r="D4" s="1096"/>
      <c r="E4" s="1096"/>
      <c r="F4" s="1096"/>
      <c r="G4" s="1096"/>
      <c r="H4" s="1096"/>
    </row>
    <row r="5" spans="2:18" ht="22.8">
      <c r="B5" s="1804" t="s">
        <v>451</v>
      </c>
      <c r="C5" s="1804"/>
      <c r="D5" s="1804"/>
      <c r="E5" s="1804"/>
      <c r="F5" s="1804"/>
      <c r="G5" s="1804"/>
      <c r="H5" s="1804"/>
    </row>
    <row r="6" spans="2:18" ht="22.8">
      <c r="B6" s="1804" t="str">
        <f>"TRIAL  BALANCE - "&amp;UPPER('KEY INPUTS'!D53)&amp;"  UTILITY  FUND"</f>
        <v>TRIAL  BALANCE -   UTILITY  FUND</v>
      </c>
      <c r="C6" s="1804"/>
      <c r="D6" s="1804"/>
      <c r="E6" s="1804"/>
      <c r="F6" s="1804"/>
      <c r="G6" s="1804"/>
      <c r="H6" s="1804"/>
    </row>
    <row r="7" spans="2:18" ht="15.6">
      <c r="B7" s="1805" t="str">
        <f>'KEY INPUTS'!D44</f>
        <v>AS  AT  DECEMBER  31, 2020</v>
      </c>
      <c r="C7" s="1806"/>
      <c r="D7" s="1806"/>
      <c r="E7" s="1806"/>
      <c r="F7" s="1806"/>
      <c r="G7" s="1806"/>
      <c r="H7" s="1806"/>
    </row>
    <row r="8" spans="2:18" ht="15.6">
      <c r="B8" s="1800" t="s">
        <v>477</v>
      </c>
      <c r="C8" s="1800"/>
      <c r="D8" s="1800"/>
      <c r="E8" s="1800"/>
      <c r="F8" s="1800"/>
      <c r="G8" s="1800"/>
      <c r="H8" s="1800"/>
    </row>
    <row r="9" spans="2:18">
      <c r="B9" s="1801" t="s">
        <v>75</v>
      </c>
      <c r="C9" s="1801"/>
      <c r="D9" s="1801"/>
      <c r="E9" s="1801"/>
      <c r="F9" s="1801"/>
      <c r="G9" s="1801"/>
      <c r="H9" s="1801"/>
    </row>
    <row r="10" spans="2:18" ht="15" customHeight="1" thickBot="1">
      <c r="B10" s="1802" t="s">
        <v>76</v>
      </c>
      <c r="C10" s="1802"/>
      <c r="D10" s="1802"/>
      <c r="E10" s="1802"/>
      <c r="F10" s="1802"/>
      <c r="G10" s="1802"/>
      <c r="H10" s="1802"/>
    </row>
    <row r="11" spans="2:18" ht="36" customHeight="1" thickTop="1" thickBot="1">
      <c r="B11" s="1796" t="s">
        <v>100</v>
      </c>
      <c r="C11" s="1796"/>
      <c r="D11" s="1796"/>
      <c r="E11" s="1796"/>
      <c r="F11" s="1797"/>
      <c r="G11" s="1097" t="s">
        <v>101</v>
      </c>
      <c r="H11" s="1098" t="s">
        <v>102</v>
      </c>
      <c r="L11" s="315"/>
      <c r="M11" s="315"/>
      <c r="N11" s="315"/>
      <c r="O11" s="315"/>
      <c r="P11" s="315"/>
      <c r="Q11" s="315"/>
      <c r="R11" s="315"/>
    </row>
    <row r="12" spans="2:18" ht="21" customHeight="1" thickTop="1">
      <c r="B12" s="1096"/>
      <c r="C12" s="1096"/>
      <c r="D12" s="1096"/>
      <c r="E12" s="1096"/>
      <c r="F12" s="1096"/>
      <c r="G12" s="1099"/>
      <c r="H12" s="1100"/>
      <c r="L12" s="315"/>
      <c r="M12" s="315"/>
      <c r="N12" s="315"/>
      <c r="O12" s="315"/>
      <c r="P12" s="315"/>
      <c r="Q12" s="315"/>
      <c r="R12" s="315"/>
    </row>
    <row r="13" spans="2:18" ht="21" customHeight="1">
      <c r="B13" s="681" t="s">
        <v>202</v>
      </c>
      <c r="C13" s="681"/>
      <c r="D13" s="681"/>
      <c r="E13" s="681"/>
      <c r="F13" s="681"/>
      <c r="G13" s="593"/>
      <c r="H13" s="601"/>
      <c r="J13" s="730"/>
      <c r="L13" s="370"/>
      <c r="M13" s="315"/>
      <c r="N13" s="315"/>
      <c r="O13" s="315"/>
      <c r="P13" s="315"/>
      <c r="Q13" s="315"/>
      <c r="R13" s="315"/>
    </row>
    <row r="14" spans="2:18" ht="21" customHeight="1">
      <c r="B14" s="639" t="s">
        <v>335</v>
      </c>
      <c r="C14" s="639"/>
      <c r="D14" s="639"/>
      <c r="E14" s="639"/>
      <c r="F14" s="643"/>
      <c r="G14" s="593"/>
      <c r="H14" s="601"/>
      <c r="J14" s="730"/>
      <c r="L14" s="315"/>
      <c r="M14" s="315"/>
      <c r="N14" s="315"/>
      <c r="O14" s="315"/>
      <c r="P14" s="315"/>
      <c r="Q14" s="315"/>
      <c r="R14" s="315"/>
    </row>
    <row r="15" spans="2:18" ht="21" customHeight="1">
      <c r="B15" s="640"/>
      <c r="C15" s="640"/>
      <c r="D15" s="640"/>
      <c r="E15" s="640"/>
      <c r="F15" s="640"/>
      <c r="G15" s="593"/>
      <c r="H15" s="601"/>
      <c r="L15" s="315"/>
      <c r="M15" s="315"/>
      <c r="N15" s="315"/>
      <c r="O15" s="315"/>
      <c r="P15" s="315"/>
      <c r="Q15" s="315"/>
      <c r="R15" s="315"/>
    </row>
    <row r="16" spans="2:18" ht="21" customHeight="1">
      <c r="B16" s="639" t="s">
        <v>3274</v>
      </c>
      <c r="C16" s="639"/>
      <c r="D16" s="639"/>
      <c r="E16" s="639"/>
      <c r="F16" s="639"/>
      <c r="G16" s="1093"/>
      <c r="H16" s="1093"/>
      <c r="L16" s="315"/>
      <c r="M16" s="315"/>
      <c r="N16" s="315"/>
      <c r="O16" s="315"/>
      <c r="P16" s="315"/>
      <c r="Q16" s="315"/>
      <c r="R16" s="315"/>
    </row>
    <row r="17" spans="2:18" ht="21" customHeight="1">
      <c r="B17" s="639" t="s">
        <v>3274</v>
      </c>
      <c r="C17" s="639"/>
      <c r="D17" s="639"/>
      <c r="E17" s="639"/>
      <c r="F17" s="639"/>
      <c r="G17" s="1093"/>
      <c r="H17" s="1093"/>
      <c r="L17" s="315"/>
      <c r="M17" s="315"/>
      <c r="N17" s="315"/>
      <c r="O17" s="315"/>
      <c r="P17" s="315"/>
      <c r="Q17" s="315"/>
      <c r="R17" s="315"/>
    </row>
    <row r="18" spans="2:18" ht="21" customHeight="1">
      <c r="B18" s="639"/>
      <c r="C18" s="639"/>
      <c r="D18" s="639"/>
      <c r="E18" s="639"/>
      <c r="F18" s="639"/>
      <c r="G18" s="1093"/>
      <c r="H18" s="1093"/>
      <c r="L18" s="315"/>
      <c r="M18" s="315"/>
      <c r="N18" s="315"/>
      <c r="O18" s="315"/>
      <c r="P18" s="315"/>
      <c r="Q18" s="315"/>
      <c r="R18" s="315"/>
    </row>
    <row r="19" spans="2:18" ht="21" customHeight="1">
      <c r="B19" s="1101" t="s">
        <v>3263</v>
      </c>
      <c r="C19" s="1096"/>
      <c r="D19" s="1096"/>
      <c r="E19" s="1096"/>
      <c r="F19" s="1096"/>
      <c r="G19" s="1102"/>
      <c r="H19" s="1103"/>
      <c r="L19" s="315"/>
      <c r="M19" s="315"/>
      <c r="N19" s="315"/>
      <c r="O19" s="315"/>
      <c r="P19" s="315"/>
      <c r="Q19" s="315"/>
      <c r="R19" s="315"/>
    </row>
    <row r="20" spans="2:18" ht="21" customHeight="1">
      <c r="B20" s="681" t="s">
        <v>3264</v>
      </c>
      <c r="C20" s="681"/>
      <c r="D20" s="681"/>
      <c r="E20" s="681"/>
      <c r="F20" s="681"/>
      <c r="G20" s="1104">
        <f>+'47-Utility2'!L24</f>
        <v>0</v>
      </c>
      <c r="H20" s="1105"/>
      <c r="L20" s="315"/>
      <c r="M20" s="315"/>
      <c r="N20" s="315"/>
      <c r="O20" s="315"/>
      <c r="P20" s="315"/>
      <c r="Q20" s="315"/>
      <c r="R20" s="315"/>
    </row>
    <row r="21" spans="2:18" ht="21" customHeight="1">
      <c r="B21" s="681" t="s">
        <v>3265</v>
      </c>
      <c r="C21" s="681"/>
      <c r="D21" s="681"/>
      <c r="E21" s="681"/>
      <c r="F21" s="681"/>
      <c r="G21" s="680">
        <f>+'47-Utility2'!L54</f>
        <v>0</v>
      </c>
      <c r="H21" s="1096"/>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J23" s="730"/>
      <c r="L23" s="315"/>
      <c r="M23" s="315"/>
      <c r="N23" s="315"/>
      <c r="O23" s="315"/>
      <c r="P23" s="315"/>
      <c r="Q23" s="315"/>
      <c r="R23" s="315"/>
    </row>
    <row r="24" spans="2:18" ht="21" customHeight="1">
      <c r="B24" s="639"/>
      <c r="C24" s="639"/>
      <c r="D24" s="639"/>
      <c r="E24" s="639"/>
      <c r="F24" s="639"/>
      <c r="G24" s="593"/>
      <c r="H24" s="601"/>
      <c r="J24" s="730"/>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81" t="s">
        <v>3266</v>
      </c>
      <c r="C26" s="681"/>
      <c r="D26" s="681"/>
      <c r="E26" s="681"/>
      <c r="F26" s="681"/>
      <c r="G26" s="680"/>
      <c r="H26" s="1106"/>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1107" t="s">
        <v>3267</v>
      </c>
      <c r="C30" s="681"/>
      <c r="D30" s="681"/>
      <c r="E30" s="681"/>
      <c r="F30" s="681"/>
      <c r="G30" s="680"/>
      <c r="H30" s="1106"/>
    </row>
    <row r="31" spans="2:18" ht="21" customHeight="1">
      <c r="B31" s="681" t="s">
        <v>3194</v>
      </c>
      <c r="C31" s="681"/>
      <c r="D31" s="681"/>
      <c r="E31" s="681"/>
      <c r="F31" s="681"/>
      <c r="G31" s="593"/>
      <c r="H31" s="1106">
        <f>+'44-Utility2'!I37</f>
        <v>0</v>
      </c>
      <c r="J31" s="730"/>
    </row>
    <row r="32" spans="2:18" ht="21" customHeight="1">
      <c r="B32" s="681" t="s">
        <v>3193</v>
      </c>
      <c r="C32" s="681"/>
      <c r="D32" s="681"/>
      <c r="E32" s="681"/>
      <c r="F32" s="681"/>
      <c r="G32" s="593"/>
      <c r="H32" s="601"/>
    </row>
    <row r="33" spans="2:10" ht="21" customHeight="1">
      <c r="B33" s="681" t="s">
        <v>3192</v>
      </c>
      <c r="C33" s="681"/>
      <c r="D33" s="681"/>
      <c r="E33" s="681"/>
      <c r="F33" s="681"/>
      <c r="G33" s="593"/>
      <c r="H33" s="1108">
        <f>+'49-Utility2'!I29+'49a-Utility2'!I29+'50.1-Utility2'!M24+'49a.1-Utility2 '!I29</f>
        <v>0</v>
      </c>
      <c r="J33" s="730"/>
    </row>
    <row r="34" spans="2:10" ht="21" customHeight="1">
      <c r="B34" s="639" t="s">
        <v>3275</v>
      </c>
      <c r="C34" s="639"/>
      <c r="D34" s="639"/>
      <c r="E34" s="639"/>
      <c r="F34" s="643"/>
      <c r="G34" s="593"/>
      <c r="H34" s="601"/>
    </row>
    <row r="35" spans="2:10" ht="21" customHeight="1">
      <c r="B35" s="640"/>
      <c r="C35" s="640"/>
      <c r="D35" s="640"/>
      <c r="E35" s="640"/>
      <c r="F35" s="640"/>
      <c r="G35" s="1094"/>
      <c r="H35" s="1093"/>
    </row>
    <row r="36" spans="2:10" ht="21" customHeight="1">
      <c r="B36" s="639"/>
      <c r="C36" s="639"/>
      <c r="D36" s="639"/>
      <c r="E36" s="639"/>
      <c r="F36" s="639"/>
      <c r="G36" s="593"/>
      <c r="H36" s="601"/>
    </row>
    <row r="37" spans="2:10" ht="21" customHeight="1">
      <c r="B37" s="639"/>
      <c r="C37" s="640"/>
      <c r="D37" s="639"/>
      <c r="E37" s="639"/>
      <c r="F37" s="663"/>
      <c r="G37" s="1095"/>
      <c r="H37" s="623"/>
    </row>
    <row r="38" spans="2:10" ht="21" customHeight="1" thickBot="1">
      <c r="B38" s="639"/>
      <c r="C38" s="639"/>
      <c r="D38" s="639"/>
      <c r="E38" s="639"/>
      <c r="F38" s="639"/>
      <c r="G38" s="623"/>
      <c r="H38" s="625"/>
    </row>
    <row r="39" spans="2:10" ht="21" customHeight="1" thickTop="1">
      <c r="B39" s="681"/>
      <c r="C39" s="681" t="s">
        <v>3191</v>
      </c>
      <c r="D39" s="681"/>
      <c r="E39" s="681"/>
      <c r="F39" s="1266"/>
      <c r="G39" s="1267"/>
      <c r="H39" s="1198">
        <f>SUM(H28:H38)</f>
        <v>0</v>
      </c>
      <c r="I39" s="391" t="s">
        <v>844</v>
      </c>
    </row>
    <row r="40" spans="2:10" ht="21" customHeight="1">
      <c r="B40" s="1110" t="s">
        <v>3276</v>
      </c>
      <c r="C40" s="1110"/>
      <c r="D40" s="1110"/>
      <c r="E40" s="1110"/>
      <c r="F40" s="1110"/>
      <c r="G40" s="1105"/>
      <c r="H40" s="623"/>
    </row>
    <row r="41" spans="2:10" ht="21" customHeight="1">
      <c r="B41" s="681"/>
      <c r="C41" s="681"/>
      <c r="D41" s="681"/>
      <c r="E41" s="681"/>
      <c r="F41" s="681"/>
      <c r="G41" s="680"/>
      <c r="H41" s="1106"/>
    </row>
    <row r="42" spans="2:10" ht="21" customHeight="1">
      <c r="B42" s="681" t="s">
        <v>652</v>
      </c>
      <c r="C42" s="681"/>
      <c r="D42" s="681"/>
      <c r="E42" s="681"/>
      <c r="F42" s="681"/>
      <c r="G42" s="680"/>
      <c r="H42" s="1106">
        <f>+'46-Utility2 '!K27</f>
        <v>0</v>
      </c>
    </row>
    <row r="43" spans="2:10" ht="21" customHeight="1" thickBot="1">
      <c r="B43" s="681"/>
      <c r="C43" s="681"/>
      <c r="D43" s="681"/>
      <c r="E43" s="681"/>
      <c r="F43" s="681"/>
      <c r="G43" s="1111"/>
      <c r="H43" s="1112"/>
    </row>
    <row r="44" spans="2:10" ht="21" customHeight="1" thickBot="1">
      <c r="B44" s="681" t="s">
        <v>3277</v>
      </c>
      <c r="C44" s="681"/>
      <c r="D44" s="681"/>
      <c r="E44" s="681"/>
      <c r="F44" s="681"/>
      <c r="G44" s="1113">
        <f>SUM(G12:G43)</f>
        <v>0</v>
      </c>
      <c r="H44" s="1114">
        <f>SUM(H39:H43)</f>
        <v>0</v>
      </c>
      <c r="J44" s="392">
        <f>G44-H44</f>
        <v>0</v>
      </c>
    </row>
    <row r="45" spans="2:10" ht="13.8" thickTop="1">
      <c r="B45" s="1908" t="s">
        <v>103</v>
      </c>
      <c r="C45" s="1908"/>
      <c r="D45" s="1908"/>
      <c r="E45" s="1908"/>
      <c r="F45" s="1908"/>
      <c r="G45" s="1908"/>
      <c r="H45" s="1908"/>
    </row>
    <row r="46" spans="2:10">
      <c r="B46" s="772"/>
      <c r="C46" s="772"/>
      <c r="D46" s="772"/>
      <c r="E46" s="772"/>
      <c r="F46" s="772"/>
      <c r="G46" s="772"/>
      <c r="H46" s="772"/>
    </row>
    <row r="47" spans="2:10">
      <c r="B47" s="772"/>
      <c r="C47" s="772"/>
      <c r="D47" s="772"/>
      <c r="E47" s="772"/>
      <c r="F47" s="772"/>
      <c r="G47" s="772"/>
      <c r="H47" s="772"/>
    </row>
    <row r="48" spans="2:10">
      <c r="B48" s="772"/>
      <c r="C48" s="772"/>
      <c r="D48" s="772"/>
      <c r="E48" s="772"/>
      <c r="F48" s="772"/>
      <c r="G48" s="772"/>
      <c r="H48" s="772"/>
    </row>
    <row r="49" spans="2:8">
      <c r="B49" s="772"/>
      <c r="C49" s="772"/>
      <c r="D49" s="772"/>
      <c r="E49" s="772"/>
      <c r="F49" s="772"/>
      <c r="G49" s="772"/>
      <c r="H49" s="772"/>
    </row>
    <row r="50" spans="2:8" ht="13.8">
      <c r="B50" s="1799" t="s">
        <v>3189</v>
      </c>
      <c r="C50" s="1799"/>
      <c r="D50" s="1799"/>
      <c r="E50" s="1799"/>
      <c r="F50" s="1799"/>
      <c r="G50" s="1799"/>
      <c r="H50" s="1799"/>
    </row>
    <row r="54" spans="2:8">
      <c r="H54" s="392"/>
    </row>
    <row r="57" spans="2:8">
      <c r="H57" s="392">
        <f>+H44-G44</f>
        <v>0</v>
      </c>
    </row>
  </sheetData>
  <sheetProtection algorithmName="SHA-512" hashValue="ySsm84ijtG+1FaNjJBmIZKFW5DlOdAmcfCldYWAuPbGlX/995nu5KaAxPs9MfDQceCSRJp7kNjDNVLKTHr/zuQ==" saltValue="Aj+oyGFALYvm3Z44pawCFQ=="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9">
    <tabColor theme="3" tint="0.39997558519241921"/>
  </sheetPr>
  <dimension ref="B1:Q55"/>
  <sheetViews>
    <sheetView zoomScaleNormal="100" zoomScaleSheetLayoutView="80" workbookViewId="0">
      <selection activeCell="B1" sqref="B1"/>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766"/>
      <c r="C1" s="766"/>
      <c r="D1" s="766"/>
      <c r="E1" s="766"/>
      <c r="F1" s="766"/>
      <c r="G1" s="766"/>
      <c r="H1" s="766"/>
    </row>
    <row r="2" spans="2:17">
      <c r="B2" s="1959" t="s">
        <v>37</v>
      </c>
      <c r="C2" s="1959"/>
      <c r="D2" s="1959"/>
      <c r="E2" s="1959"/>
      <c r="F2" s="1959"/>
      <c r="G2" s="1959"/>
      <c r="H2" s="1959"/>
    </row>
    <row r="3" spans="2:17">
      <c r="B3" s="1959" t="s">
        <v>476</v>
      </c>
      <c r="C3" s="1959"/>
      <c r="D3" s="1959"/>
      <c r="E3" s="1959"/>
      <c r="F3" s="1959"/>
      <c r="G3" s="1959"/>
      <c r="H3" s="1959"/>
    </row>
    <row r="4" spans="2:17">
      <c r="B4" s="766"/>
      <c r="C4" s="766"/>
      <c r="D4" s="766"/>
      <c r="E4" s="766"/>
      <c r="F4" s="766"/>
      <c r="G4" s="766"/>
      <c r="H4" s="766"/>
    </row>
    <row r="5" spans="2:17" ht="22.8">
      <c r="B5" s="1946" t="s">
        <v>451</v>
      </c>
      <c r="C5" s="1946"/>
      <c r="D5" s="1946"/>
      <c r="E5" s="1946"/>
      <c r="F5" s="1946"/>
      <c r="G5" s="1946"/>
      <c r="H5" s="1946"/>
    </row>
    <row r="6" spans="2:17" ht="22.8">
      <c r="B6" s="1946" t="str">
        <f>"TRIAL  BALANCE - "&amp;UPPER('KEY INPUTS'!D53)&amp;"  UTILITY  FUND (cont'd)"</f>
        <v>TRIAL  BALANCE -   UTILITY  FUND (cont'd)</v>
      </c>
      <c r="C6" s="1946"/>
      <c r="D6" s="1946"/>
      <c r="E6" s="1946"/>
      <c r="F6" s="1946"/>
      <c r="G6" s="1946"/>
      <c r="H6" s="1946"/>
    </row>
    <row r="7" spans="2:17" ht="15.6">
      <c r="B7" s="1960" t="str">
        <f>'KEY INPUTS'!D44</f>
        <v>AS  AT  DECEMBER  31, 2020</v>
      </c>
      <c r="C7" s="1894"/>
      <c r="D7" s="1894"/>
      <c r="E7" s="1894"/>
      <c r="F7" s="1894"/>
      <c r="G7" s="1894"/>
      <c r="H7" s="1894"/>
    </row>
    <row r="8" spans="2:17" ht="15.6">
      <c r="B8" s="1958" t="s">
        <v>477</v>
      </c>
      <c r="C8" s="1958"/>
      <c r="D8" s="1958"/>
      <c r="E8" s="1958"/>
      <c r="F8" s="1958"/>
      <c r="G8" s="1958"/>
      <c r="H8" s="1958"/>
    </row>
    <row r="9" spans="2:17">
      <c r="B9" s="1954" t="s">
        <v>75</v>
      </c>
      <c r="C9" s="1954"/>
      <c r="D9" s="1954"/>
      <c r="E9" s="1954"/>
      <c r="F9" s="1954"/>
      <c r="G9" s="1954"/>
      <c r="H9" s="1954"/>
    </row>
    <row r="10" spans="2:17" ht="15" customHeight="1" thickBot="1">
      <c r="B10" s="1955" t="s">
        <v>76</v>
      </c>
      <c r="C10" s="1955"/>
      <c r="D10" s="1955"/>
      <c r="E10" s="1955"/>
      <c r="F10" s="1955"/>
      <c r="G10" s="1955"/>
      <c r="H10" s="1955"/>
    </row>
    <row r="11" spans="2:17" ht="36" customHeight="1" thickTop="1" thickBot="1">
      <c r="B11" s="1956" t="s">
        <v>100</v>
      </c>
      <c r="C11" s="1956"/>
      <c r="D11" s="1956"/>
      <c r="E11" s="1956"/>
      <c r="F11" s="1957"/>
      <c r="G11" s="1268" t="s">
        <v>101</v>
      </c>
      <c r="H11" s="1269" t="s">
        <v>102</v>
      </c>
    </row>
    <row r="12" spans="2:17" ht="21" customHeight="1" thickTop="1">
      <c r="B12" s="766"/>
      <c r="C12" s="766"/>
      <c r="D12" s="766"/>
      <c r="E12" s="766"/>
      <c r="F12" s="766"/>
      <c r="G12" s="1270"/>
      <c r="H12" s="1271"/>
    </row>
    <row r="13" spans="2:17" ht="21" customHeight="1">
      <c r="B13" s="1272" t="s">
        <v>677</v>
      </c>
      <c r="C13" s="1273"/>
      <c r="D13" s="1273"/>
      <c r="E13" s="1273"/>
      <c r="F13" s="1273"/>
      <c r="G13" s="1274"/>
      <c r="H13" s="1275"/>
      <c r="K13" s="315"/>
      <c r="L13" s="315"/>
      <c r="M13" s="315"/>
      <c r="N13" s="315"/>
      <c r="O13" s="315"/>
      <c r="P13" s="315"/>
      <c r="Q13" s="315"/>
    </row>
    <row r="14" spans="2:17" ht="21" customHeight="1">
      <c r="B14" s="1273"/>
      <c r="C14" s="1273"/>
      <c r="D14" s="1273"/>
      <c r="E14" s="1273"/>
      <c r="F14" s="1273"/>
      <c r="G14" s="1274"/>
      <c r="H14" s="1275"/>
      <c r="K14" s="315"/>
      <c r="L14" s="315"/>
      <c r="M14" s="315"/>
      <c r="N14" s="315"/>
      <c r="O14" s="315"/>
      <c r="P14" s="315"/>
      <c r="Q14" s="315"/>
    </row>
    <row r="15" spans="2:17" ht="21" customHeight="1">
      <c r="B15" s="391" t="s">
        <v>200</v>
      </c>
      <c r="C15" s="395"/>
      <c r="D15" s="395"/>
      <c r="E15" s="395"/>
      <c r="F15" s="395"/>
      <c r="G15" s="365"/>
      <c r="H15" s="257" t="s">
        <v>662</v>
      </c>
      <c r="K15" s="370"/>
      <c r="L15" s="315"/>
      <c r="M15" s="315"/>
      <c r="N15" s="315"/>
      <c r="O15" s="315"/>
      <c r="P15" s="315"/>
      <c r="Q15" s="315"/>
    </row>
    <row r="16" spans="2:17" ht="21" customHeight="1">
      <c r="B16" s="395" t="s">
        <v>201</v>
      </c>
      <c r="C16" s="395"/>
      <c r="D16" s="395"/>
      <c r="E16" s="395"/>
      <c r="F16" s="395"/>
      <c r="G16" s="303" t="s">
        <v>662</v>
      </c>
      <c r="H16" s="304">
        <f>+G15</f>
        <v>0</v>
      </c>
      <c r="K16" s="315"/>
      <c r="L16" s="315"/>
      <c r="M16" s="315"/>
      <c r="N16" s="315"/>
      <c r="O16" s="315"/>
      <c r="P16" s="315"/>
      <c r="Q16" s="315"/>
    </row>
    <row r="17" spans="2:17" ht="21" customHeight="1">
      <c r="B17" s="395"/>
      <c r="C17" s="395"/>
      <c r="D17" s="395"/>
      <c r="E17" s="395"/>
      <c r="F17" s="395"/>
      <c r="G17" s="330"/>
      <c r="H17" s="304"/>
      <c r="K17" s="315"/>
      <c r="L17" s="315"/>
      <c r="M17" s="315"/>
      <c r="N17" s="315"/>
      <c r="O17" s="315"/>
      <c r="P17" s="315"/>
      <c r="Q17" s="315"/>
    </row>
    <row r="18" spans="2:17" ht="21" customHeight="1">
      <c r="B18" s="395"/>
      <c r="C18" s="395" t="s">
        <v>375</v>
      </c>
      <c r="D18" s="395"/>
      <c r="E18" s="395"/>
      <c r="F18" s="395"/>
      <c r="G18" s="365"/>
      <c r="H18" s="561"/>
      <c r="K18" s="315"/>
      <c r="L18" s="315"/>
      <c r="M18" s="315"/>
      <c r="N18" s="315"/>
      <c r="O18" s="315"/>
      <c r="P18" s="315"/>
      <c r="Q18" s="315"/>
    </row>
    <row r="19" spans="2:17" ht="21" customHeight="1">
      <c r="B19" s="395"/>
      <c r="C19" s="638"/>
      <c r="D19" s="639"/>
      <c r="E19" s="639"/>
      <c r="F19" s="639"/>
      <c r="G19" s="365"/>
      <c r="H19" s="561"/>
      <c r="K19" s="315"/>
      <c r="L19" s="315"/>
      <c r="M19" s="315"/>
      <c r="N19" s="315"/>
      <c r="O19" s="315"/>
      <c r="P19" s="315"/>
      <c r="Q19" s="315"/>
    </row>
    <row r="20" spans="2:17" ht="21" customHeight="1">
      <c r="B20" s="395"/>
      <c r="C20" s="395" t="s">
        <v>942</v>
      </c>
      <c r="D20" s="395"/>
      <c r="E20" s="395"/>
      <c r="F20" s="395"/>
      <c r="G20" s="365"/>
      <c r="H20" s="561"/>
      <c r="K20" s="315"/>
      <c r="L20" s="315"/>
      <c r="M20" s="315"/>
      <c r="N20" s="315"/>
      <c r="O20" s="315"/>
      <c r="P20" s="315"/>
      <c r="Q20" s="315"/>
    </row>
    <row r="21" spans="2:17" ht="21" customHeight="1">
      <c r="B21" s="395"/>
      <c r="C21" s="395" t="s">
        <v>678</v>
      </c>
      <c r="D21" s="395"/>
      <c r="E21" s="395"/>
      <c r="F21" s="395"/>
      <c r="G21" s="330"/>
      <c r="H21" s="343"/>
      <c r="K21" s="315"/>
      <c r="L21" s="315"/>
      <c r="M21" s="315"/>
      <c r="N21" s="315"/>
      <c r="O21" s="315"/>
      <c r="P21" s="315"/>
      <c r="Q21" s="315"/>
    </row>
    <row r="22" spans="2:17" ht="21" customHeight="1">
      <c r="B22" s="395"/>
      <c r="C22" s="395"/>
      <c r="D22" s="395" t="s">
        <v>92</v>
      </c>
      <c r="E22" s="395"/>
      <c r="F22" s="395"/>
      <c r="G22" s="365"/>
      <c r="H22" s="561"/>
      <c r="K22" s="315"/>
      <c r="L22" s="315"/>
      <c r="M22" s="315"/>
      <c r="N22" s="315"/>
      <c r="O22" s="315"/>
      <c r="P22" s="315"/>
      <c r="Q22" s="315"/>
    </row>
    <row r="23" spans="2:17" ht="21" customHeight="1">
      <c r="B23" s="395"/>
      <c r="C23" s="395"/>
      <c r="D23" s="395" t="s">
        <v>706</v>
      </c>
      <c r="E23" s="395"/>
      <c r="F23" s="395"/>
      <c r="G23" s="365"/>
      <c r="H23" s="561"/>
      <c r="K23" s="315"/>
      <c r="L23" s="315"/>
      <c r="M23" s="315"/>
      <c r="N23" s="315"/>
      <c r="O23" s="315"/>
      <c r="P23" s="315"/>
      <c r="Q23" s="315"/>
    </row>
    <row r="24" spans="2:17" ht="21" customHeight="1">
      <c r="B24" s="395"/>
      <c r="C24" s="639"/>
      <c r="D24" s="639" t="s">
        <v>3190</v>
      </c>
      <c r="E24" s="639"/>
      <c r="F24" s="639"/>
      <c r="G24" s="365"/>
      <c r="H24" s="581"/>
      <c r="K24" s="315"/>
      <c r="L24" s="315"/>
      <c r="M24" s="315"/>
      <c r="N24" s="315"/>
      <c r="O24" s="315"/>
      <c r="P24" s="315"/>
      <c r="Q24" s="315"/>
    </row>
    <row r="25" spans="2:17" ht="21" customHeight="1">
      <c r="B25" s="395"/>
      <c r="C25" s="639"/>
      <c r="D25" s="639" t="s">
        <v>3190</v>
      </c>
      <c r="E25" s="639"/>
      <c r="F25" s="639"/>
      <c r="G25" s="365"/>
      <c r="H25" s="581" t="s">
        <v>3190</v>
      </c>
    </row>
    <row r="26" spans="2:17" ht="21" customHeight="1">
      <c r="B26" s="395"/>
      <c r="C26" s="640"/>
      <c r="D26" s="639"/>
      <c r="E26" s="639"/>
      <c r="F26" s="639"/>
      <c r="G26" s="365"/>
      <c r="H26" s="642"/>
    </row>
    <row r="27" spans="2:17" ht="21" customHeight="1">
      <c r="B27" s="395"/>
      <c r="C27" s="639" t="s">
        <v>3190</v>
      </c>
      <c r="D27" s="639"/>
      <c r="E27" s="639"/>
      <c r="F27" s="639"/>
      <c r="G27" s="365"/>
      <c r="H27" s="581" t="s">
        <v>3190</v>
      </c>
    </row>
    <row r="28" spans="2:17" ht="21" customHeight="1">
      <c r="B28" s="395"/>
      <c r="C28" s="639"/>
      <c r="D28" s="639"/>
      <c r="E28" s="639"/>
      <c r="F28" s="639"/>
      <c r="G28" s="365"/>
      <c r="H28" s="581"/>
    </row>
    <row r="29" spans="2:17" ht="21" customHeight="1">
      <c r="B29" s="395"/>
      <c r="C29" s="639"/>
      <c r="D29" s="639" t="s">
        <v>3190</v>
      </c>
      <c r="E29" s="639"/>
      <c r="F29" s="639"/>
      <c r="G29" s="365"/>
      <c r="H29" s="581"/>
      <c r="K29" s="315"/>
      <c r="L29" s="315"/>
      <c r="M29" s="315"/>
      <c r="N29" s="315"/>
      <c r="O29" s="315"/>
      <c r="P29" s="315"/>
      <c r="Q29" s="315"/>
    </row>
    <row r="30" spans="2:17" ht="21" customHeight="1">
      <c r="B30" s="395"/>
      <c r="C30" s="639"/>
      <c r="D30" s="639" t="s">
        <v>3190</v>
      </c>
      <c r="E30" s="639"/>
      <c r="F30" s="639"/>
      <c r="G30" s="365"/>
      <c r="H30" s="581"/>
      <c r="K30" s="315"/>
      <c r="L30" s="315"/>
      <c r="M30" s="315"/>
      <c r="N30" s="315"/>
      <c r="O30" s="315"/>
      <c r="P30" s="315"/>
      <c r="Q30" s="315"/>
    </row>
    <row r="31" spans="2:17" ht="21" customHeight="1">
      <c r="B31" s="395"/>
      <c r="C31" s="639"/>
      <c r="D31" s="639" t="s">
        <v>3190</v>
      </c>
      <c r="E31" s="639"/>
      <c r="F31" s="639"/>
      <c r="G31" s="365"/>
      <c r="H31" s="581" t="s">
        <v>3190</v>
      </c>
    </row>
    <row r="32" spans="2:17" ht="21" customHeight="1">
      <c r="B32" s="395"/>
      <c r="C32" s="640"/>
      <c r="D32" s="639"/>
      <c r="E32" s="639"/>
      <c r="F32" s="639"/>
      <c r="G32" s="365"/>
      <c r="H32" s="642"/>
    </row>
    <row r="33" spans="2:17" ht="21" customHeight="1">
      <c r="B33" s="395"/>
      <c r="C33" s="639" t="s">
        <v>3190</v>
      </c>
      <c r="D33" s="639"/>
      <c r="E33" s="639"/>
      <c r="F33" s="639"/>
      <c r="G33" s="365"/>
      <c r="H33" s="581" t="s">
        <v>3190</v>
      </c>
    </row>
    <row r="34" spans="2:17" ht="21" customHeight="1">
      <c r="B34" s="395"/>
      <c r="C34" s="639"/>
      <c r="D34" s="639"/>
      <c r="E34" s="639"/>
      <c r="F34" s="639"/>
      <c r="G34" s="365"/>
      <c r="H34" s="581"/>
    </row>
    <row r="35" spans="2:17" ht="21" customHeight="1">
      <c r="B35" s="395"/>
      <c r="C35" s="639"/>
      <c r="D35" s="639" t="s">
        <v>3190</v>
      </c>
      <c r="E35" s="639"/>
      <c r="F35" s="639"/>
      <c r="G35" s="365"/>
      <c r="H35" s="581"/>
      <c r="K35" s="315"/>
      <c r="L35" s="315"/>
      <c r="M35" s="315"/>
      <c r="N35" s="315"/>
      <c r="O35" s="315"/>
      <c r="P35" s="315"/>
      <c r="Q35" s="315"/>
    </row>
    <row r="36" spans="2:17" ht="21" customHeight="1">
      <c r="B36" s="395"/>
      <c r="C36" s="639"/>
      <c r="D36" s="639" t="s">
        <v>3190</v>
      </c>
      <c r="E36" s="639"/>
      <c r="F36" s="639"/>
      <c r="G36" s="365"/>
      <c r="H36" s="581" t="s">
        <v>3190</v>
      </c>
    </row>
    <row r="37" spans="2:17" ht="21" customHeight="1">
      <c r="B37" s="395"/>
      <c r="C37" s="640"/>
      <c r="D37" s="639"/>
      <c r="E37" s="639"/>
      <c r="F37" s="639"/>
      <c r="G37" s="365"/>
      <c r="H37" s="642"/>
    </row>
    <row r="38" spans="2:17" ht="21" customHeight="1">
      <c r="B38" s="395"/>
      <c r="C38" s="639" t="s">
        <v>3190</v>
      </c>
      <c r="D38" s="639"/>
      <c r="E38" s="639"/>
      <c r="F38" s="639"/>
      <c r="G38" s="365"/>
      <c r="H38" s="581" t="s">
        <v>3190</v>
      </c>
    </row>
    <row r="39" spans="2:17" ht="21" customHeight="1">
      <c r="B39" s="395"/>
      <c r="C39" s="639"/>
      <c r="D39" s="639"/>
      <c r="E39" s="639"/>
      <c r="F39" s="639"/>
      <c r="G39" s="365"/>
      <c r="H39" s="581"/>
    </row>
    <row r="40" spans="2:17" ht="21" customHeight="1">
      <c r="B40" s="395"/>
      <c r="C40" s="639"/>
      <c r="D40" s="639"/>
      <c r="E40" s="639"/>
      <c r="F40" s="639"/>
      <c r="G40" s="365"/>
      <c r="H40" s="581"/>
    </row>
    <row r="41" spans="2:17" ht="21" customHeight="1">
      <c r="B41" s="395"/>
      <c r="C41" s="639" t="s">
        <v>3190</v>
      </c>
      <c r="D41" s="639"/>
      <c r="E41" s="639"/>
      <c r="F41" s="639"/>
      <c r="G41" s="365"/>
      <c r="H41" s="581" t="s">
        <v>3190</v>
      </c>
    </row>
    <row r="42" spans="2:17" ht="21" customHeight="1">
      <c r="B42" s="395"/>
      <c r="C42" s="639" t="s">
        <v>3190</v>
      </c>
      <c r="D42" s="639"/>
      <c r="E42" s="639"/>
      <c r="F42" s="639"/>
      <c r="G42" s="365"/>
      <c r="H42" s="581" t="s">
        <v>3190</v>
      </c>
    </row>
    <row r="43" spans="2:17" ht="21" customHeight="1" thickBot="1">
      <c r="B43" s="395"/>
      <c r="C43" s="395"/>
      <c r="D43" s="395"/>
      <c r="E43" s="395"/>
      <c r="F43" s="395"/>
      <c r="G43" s="307"/>
      <c r="H43" s="398"/>
      <c r="I43" s="392"/>
      <c r="M43" s="392"/>
    </row>
    <row r="44" spans="2:17" ht="21" customHeight="1" thickBot="1">
      <c r="B44" s="395"/>
      <c r="C44" s="395" t="s">
        <v>3323</v>
      </c>
      <c r="D44" s="395"/>
      <c r="E44" s="395"/>
      <c r="F44" s="395"/>
      <c r="G44" s="336">
        <f>SUM(G15:G42)</f>
        <v>0</v>
      </c>
      <c r="H44" s="397">
        <f>SUM(H15:H43)</f>
        <v>0</v>
      </c>
      <c r="I44" s="392"/>
      <c r="K44" s="392"/>
    </row>
    <row r="45" spans="2:17" ht="13.8" thickTop="1">
      <c r="B45" s="1812" t="s">
        <v>103</v>
      </c>
      <c r="C45" s="1812"/>
      <c r="D45" s="1812"/>
      <c r="E45" s="1812"/>
      <c r="F45" s="1812"/>
      <c r="G45" s="1813"/>
      <c r="H45" s="1813"/>
    </row>
    <row r="46" spans="2:17">
      <c r="B46" s="909"/>
      <c r="C46" s="909"/>
      <c r="D46" s="909"/>
      <c r="E46" s="909"/>
      <c r="F46" s="909"/>
      <c r="G46" s="909"/>
      <c r="H46" s="909"/>
    </row>
    <row r="47" spans="2:17">
      <c r="B47" s="909"/>
      <c r="C47" s="909"/>
      <c r="D47" s="909"/>
      <c r="E47" s="909"/>
      <c r="F47" s="909"/>
      <c r="G47" s="909"/>
      <c r="H47" s="909"/>
    </row>
    <row r="48" spans="2:17">
      <c r="B48" s="909"/>
      <c r="C48" s="909"/>
      <c r="D48" s="909"/>
      <c r="E48" s="909"/>
      <c r="F48" s="909"/>
      <c r="G48" s="909"/>
      <c r="H48" s="909"/>
    </row>
    <row r="49" spans="2:8">
      <c r="B49" s="909"/>
      <c r="C49" s="909"/>
      <c r="D49" s="909"/>
      <c r="E49" s="909"/>
      <c r="F49" s="909"/>
      <c r="G49" s="909"/>
      <c r="H49" s="909"/>
    </row>
    <row r="50" spans="2:8" ht="13.8">
      <c r="B50" s="1799" t="s">
        <v>3195</v>
      </c>
      <c r="C50" s="1799"/>
      <c r="D50" s="1799"/>
      <c r="E50" s="1799"/>
      <c r="F50" s="1799"/>
      <c r="G50" s="1799"/>
      <c r="H50" s="1799"/>
    </row>
    <row r="55" spans="2:8">
      <c r="H55" s="392"/>
    </row>
  </sheetData>
  <sheetProtection algorithmName="SHA-512" hashValue="foxIsMtMB4tGrI4f0NI84qTeM5U+2/qLGS3hQuX6Xs1YP6PkDrlhoNzLrbI/pZXa1sOHDDIfNamgcUq+GW14RA==" saltValue="2MzaHLg0Cz9QmAlhfSWurw=="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0">
    <tabColor theme="3" tint="0.39997558519241921"/>
  </sheetPr>
  <dimension ref="B1:Q55"/>
  <sheetViews>
    <sheetView topLeftCell="A4" zoomScaleNormal="100" zoomScaleSheetLayoutView="80" workbookViewId="0">
      <selection activeCell="H18" sqref="H18"/>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INPUTS'!D53)&amp;"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681"/>
      <c r="C12" s="681" t="s">
        <v>3324</v>
      </c>
      <c r="D12" s="681"/>
      <c r="E12" s="681"/>
      <c r="F12" s="681"/>
      <c r="G12" s="897">
        <f>'41a-Utility2'!G44</f>
        <v>0</v>
      </c>
      <c r="H12" s="904">
        <f>'41a-Utility2'!H44</f>
        <v>0</v>
      </c>
    </row>
    <row r="13" spans="2:17" ht="21" customHeight="1">
      <c r="C13" s="640"/>
      <c r="D13" s="640"/>
      <c r="E13" s="640"/>
      <c r="F13" s="640"/>
      <c r="G13" s="593"/>
      <c r="H13" s="642"/>
    </row>
    <row r="14" spans="2:17" ht="21" customHeight="1">
      <c r="B14" s="400"/>
      <c r="C14" s="639"/>
      <c r="D14" s="639"/>
      <c r="E14" s="639"/>
      <c r="F14" s="639"/>
      <c r="G14" s="593"/>
      <c r="H14" s="601"/>
      <c r="K14" s="315"/>
      <c r="L14" s="315"/>
      <c r="M14" s="315"/>
      <c r="N14" s="315"/>
      <c r="O14" s="315"/>
      <c r="P14" s="315"/>
      <c r="Q14" s="315"/>
    </row>
    <row r="15" spans="2:17" ht="21" customHeight="1">
      <c r="B15" s="395"/>
      <c r="C15" s="639"/>
      <c r="D15" s="639"/>
      <c r="E15" s="639"/>
      <c r="F15" s="639"/>
      <c r="G15" s="593"/>
      <c r="H15" s="601"/>
      <c r="K15" s="315"/>
      <c r="L15" s="315"/>
      <c r="M15" s="315"/>
      <c r="N15" s="315"/>
      <c r="O15" s="315"/>
      <c r="P15" s="315"/>
      <c r="Q15" s="315"/>
    </row>
    <row r="16" spans="2:17" ht="21" customHeight="1">
      <c r="B16" s="395"/>
      <c r="C16" s="639"/>
      <c r="D16" s="639"/>
      <c r="E16" s="639"/>
      <c r="F16" s="639"/>
      <c r="G16" s="365"/>
      <c r="H16" s="581"/>
      <c r="K16" s="315"/>
      <c r="L16" s="315"/>
      <c r="M16" s="315"/>
      <c r="N16" s="315"/>
      <c r="O16" s="315"/>
      <c r="P16" s="315"/>
      <c r="Q16" s="315"/>
    </row>
    <row r="17" spans="2:17" ht="21" customHeight="1">
      <c r="B17" s="681"/>
      <c r="C17" s="681" t="s">
        <v>3198</v>
      </c>
      <c r="D17" s="681"/>
      <c r="E17" s="681"/>
      <c r="F17" s="681"/>
      <c r="G17" s="897"/>
      <c r="H17" s="904">
        <f>+'49-Utility2'!G22</f>
        <v>0</v>
      </c>
      <c r="K17" s="315"/>
      <c r="L17" s="315"/>
      <c r="M17" s="315"/>
      <c r="N17" s="315"/>
      <c r="O17" s="315"/>
      <c r="P17" s="315"/>
      <c r="Q17" s="315"/>
    </row>
    <row r="18" spans="2:17" ht="21" customHeight="1">
      <c r="B18" s="681"/>
      <c r="C18" s="681" t="s">
        <v>3447</v>
      </c>
      <c r="D18" s="681"/>
      <c r="E18" s="681"/>
      <c r="F18" s="681"/>
      <c r="G18" s="897"/>
      <c r="H18" s="904">
        <f>'49a-Utility2'!G11+'49a-Utility2'!G22+'49a.1-Utility2 '!G11+'49a.1-Utility2 '!G22</f>
        <v>0</v>
      </c>
    </row>
    <row r="19" spans="2:17" ht="21" customHeight="1">
      <c r="B19" s="681"/>
      <c r="C19" s="681" t="s">
        <v>3457</v>
      </c>
      <c r="D19" s="681"/>
      <c r="E19" s="681"/>
      <c r="F19" s="681"/>
      <c r="G19" s="897"/>
      <c r="H19" s="904">
        <f>+'51a-Utility2'!G23</f>
        <v>0</v>
      </c>
      <c r="K19" s="315"/>
      <c r="L19" s="315"/>
      <c r="M19" s="315"/>
      <c r="N19" s="315"/>
      <c r="O19" s="315"/>
      <c r="P19" s="315"/>
      <c r="Q19" s="315"/>
    </row>
    <row r="20" spans="2:17" ht="21" customHeight="1">
      <c r="B20" s="681"/>
      <c r="C20" s="905" t="s">
        <v>3197</v>
      </c>
      <c r="D20" s="681"/>
      <c r="E20" s="681"/>
      <c r="F20" s="681"/>
      <c r="G20" s="897"/>
      <c r="H20" s="904">
        <f>+'50.1-Utility2'!G18</f>
        <v>0</v>
      </c>
      <c r="K20" s="315"/>
      <c r="L20" s="315"/>
      <c r="M20" s="315"/>
      <c r="N20" s="315"/>
      <c r="O20" s="315"/>
      <c r="P20" s="315"/>
      <c r="Q20" s="315"/>
    </row>
    <row r="21" spans="2:17" ht="21" customHeight="1">
      <c r="B21" s="681"/>
      <c r="C21" s="681" t="s">
        <v>851</v>
      </c>
      <c r="D21" s="681"/>
      <c r="E21" s="681"/>
      <c r="F21" s="681"/>
      <c r="G21" s="897"/>
      <c r="H21" s="904" t="s">
        <v>3190</v>
      </c>
      <c r="K21" s="315"/>
      <c r="L21" s="315"/>
      <c r="M21" s="315"/>
      <c r="N21" s="315"/>
      <c r="O21" s="315"/>
      <c r="P21" s="315"/>
      <c r="Q21" s="315"/>
    </row>
    <row r="22" spans="2:17" ht="21" customHeight="1">
      <c r="B22" s="681"/>
      <c r="C22" s="681"/>
      <c r="D22" s="681" t="s">
        <v>848</v>
      </c>
      <c r="E22" s="681"/>
      <c r="F22" s="681"/>
      <c r="G22" s="897"/>
      <c r="H22" s="904">
        <f>+'52-Totals-Utility2'!K27</f>
        <v>0</v>
      </c>
      <c r="J22" s="392"/>
      <c r="K22" s="315"/>
      <c r="L22" s="315"/>
      <c r="M22" s="315"/>
      <c r="N22" s="315"/>
      <c r="O22" s="315"/>
      <c r="P22" s="315"/>
      <c r="Q22" s="315"/>
    </row>
    <row r="23" spans="2:17" ht="21" customHeight="1">
      <c r="B23" s="681"/>
      <c r="C23" s="681"/>
      <c r="D23" s="681" t="s">
        <v>849</v>
      </c>
      <c r="E23" s="681"/>
      <c r="F23" s="681"/>
      <c r="G23" s="897"/>
      <c r="H23" s="904">
        <f>+'52-Totals-Utility2'!L27</f>
        <v>0</v>
      </c>
      <c r="J23" s="392"/>
      <c r="K23" s="315"/>
      <c r="L23" s="315"/>
      <c r="M23" s="315"/>
      <c r="N23" s="315"/>
      <c r="O23" s="315"/>
      <c r="P23" s="315"/>
      <c r="Q23" s="315"/>
    </row>
    <row r="24" spans="2:17" ht="21" customHeight="1">
      <c r="B24" s="395"/>
      <c r="C24" s="639" t="s">
        <v>3196</v>
      </c>
      <c r="D24" s="639"/>
      <c r="E24" s="639"/>
      <c r="F24" s="639"/>
      <c r="G24" s="365"/>
      <c r="H24" s="561"/>
    </row>
    <row r="25" spans="2:17" ht="21" customHeight="1">
      <c r="B25" s="395"/>
      <c r="C25" s="639" t="s">
        <v>709</v>
      </c>
      <c r="D25" s="639"/>
      <c r="E25" s="639"/>
      <c r="F25" s="639"/>
      <c r="G25" s="365"/>
      <c r="H25" s="561"/>
    </row>
    <row r="26" spans="2:17" ht="21" customHeight="1">
      <c r="B26" s="395"/>
      <c r="C26" s="639" t="str">
        <f>"DUE TO "&amp;UPPER('KEY INPUTS'!D52)&amp;" OPERATING"</f>
        <v>DUE TO WATER/SEWER UTILITY OPERATING</v>
      </c>
      <c r="D26" s="639"/>
      <c r="E26" s="639"/>
      <c r="F26" s="639"/>
      <c r="G26" s="365"/>
      <c r="H26" s="561"/>
    </row>
    <row r="27" spans="2:17" ht="21" customHeight="1">
      <c r="B27" s="395"/>
      <c r="C27" s="639" t="s">
        <v>708</v>
      </c>
      <c r="D27" s="639"/>
      <c r="E27" s="639"/>
      <c r="F27" s="639"/>
      <c r="G27" s="365"/>
      <c r="H27" s="561"/>
    </row>
    <row r="28" spans="2:17" ht="21" customHeight="1">
      <c r="B28" s="395"/>
      <c r="C28" s="639" t="s">
        <v>707</v>
      </c>
      <c r="D28" s="639"/>
      <c r="E28" s="639"/>
      <c r="F28" s="639"/>
      <c r="G28" s="365"/>
      <c r="H28" s="561"/>
    </row>
    <row r="29" spans="2:17" ht="21" customHeight="1">
      <c r="B29" s="395"/>
      <c r="C29" s="639" t="s">
        <v>303</v>
      </c>
      <c r="D29" s="639"/>
      <c r="E29" s="639"/>
      <c r="F29" s="639"/>
      <c r="G29" s="365"/>
      <c r="H29" s="561"/>
    </row>
    <row r="30" spans="2:17" ht="21" customHeight="1">
      <c r="B30" s="395"/>
      <c r="C30" s="639"/>
      <c r="D30" s="639"/>
      <c r="E30" s="639"/>
      <c r="F30" s="639"/>
      <c r="G30" s="365"/>
      <c r="H30" s="581" t="s">
        <v>3190</v>
      </c>
    </row>
    <row r="31" spans="2:17" ht="21" customHeight="1">
      <c r="B31" s="395"/>
      <c r="C31" s="639"/>
      <c r="D31" s="639"/>
      <c r="E31" s="639"/>
      <c r="F31" s="639"/>
      <c r="G31" s="365"/>
      <c r="H31" s="581" t="s">
        <v>3190</v>
      </c>
    </row>
    <row r="32" spans="2:17" ht="21" customHeight="1">
      <c r="B32" s="395"/>
      <c r="C32" s="639"/>
      <c r="D32" s="639"/>
      <c r="E32" s="639"/>
      <c r="F32" s="639"/>
      <c r="G32" s="365"/>
      <c r="H32" s="642"/>
    </row>
    <row r="33" spans="2:13" ht="21" customHeight="1">
      <c r="B33" s="395"/>
      <c r="C33" s="639"/>
      <c r="D33" s="639"/>
      <c r="E33" s="639"/>
      <c r="F33" s="639"/>
      <c r="G33" s="365"/>
      <c r="H33" s="581" t="s">
        <v>3190</v>
      </c>
    </row>
    <row r="34" spans="2:13" ht="21" customHeight="1">
      <c r="B34" s="395"/>
      <c r="C34" s="639"/>
      <c r="D34" s="639"/>
      <c r="E34" s="639"/>
      <c r="F34" s="639"/>
      <c r="G34" s="365"/>
      <c r="H34" s="581"/>
    </row>
    <row r="35" spans="2:13" ht="21" customHeight="1">
      <c r="B35" s="395"/>
      <c r="C35" s="639"/>
      <c r="D35" s="639"/>
      <c r="E35" s="639"/>
      <c r="F35" s="639"/>
      <c r="G35" s="365"/>
      <c r="H35" s="581"/>
    </row>
    <row r="36" spans="2:13" ht="21" customHeight="1">
      <c r="B36" s="395"/>
      <c r="C36" s="639"/>
      <c r="D36" s="639"/>
      <c r="E36" s="639"/>
      <c r="F36" s="639"/>
      <c r="G36" s="365"/>
      <c r="H36" s="581" t="s">
        <v>3190</v>
      </c>
    </row>
    <row r="37" spans="2:13" ht="21" customHeight="1">
      <c r="B37" s="395"/>
      <c r="C37" s="639"/>
      <c r="D37" s="639"/>
      <c r="E37" s="639"/>
      <c r="F37" s="639"/>
      <c r="G37" s="365"/>
      <c r="H37" s="642"/>
    </row>
    <row r="38" spans="2:13" ht="21" customHeight="1">
      <c r="B38" s="395"/>
      <c r="C38" s="639"/>
      <c r="D38" s="639"/>
      <c r="E38" s="639"/>
      <c r="F38" s="639"/>
      <c r="G38" s="365"/>
      <c r="H38" s="581" t="s">
        <v>3190</v>
      </c>
    </row>
    <row r="39" spans="2:13" ht="21" customHeight="1">
      <c r="B39" s="395"/>
      <c r="C39" s="639"/>
      <c r="D39" s="639"/>
      <c r="E39" s="639"/>
      <c r="F39" s="639"/>
      <c r="G39" s="365"/>
      <c r="H39" s="581"/>
    </row>
    <row r="40" spans="2:13" ht="21" customHeight="1">
      <c r="B40" s="681"/>
      <c r="C40" s="681" t="s">
        <v>3260</v>
      </c>
      <c r="D40" s="681"/>
      <c r="E40" s="681"/>
      <c r="F40" s="681"/>
      <c r="G40" s="897"/>
      <c r="H40" s="904">
        <f>+'53-Utility2'!I41</f>
        <v>0</v>
      </c>
    </row>
    <row r="41" spans="2:13" ht="21" customHeight="1">
      <c r="B41" s="681"/>
      <c r="C41" s="681" t="s">
        <v>852</v>
      </c>
      <c r="D41" s="681"/>
      <c r="E41" s="681"/>
      <c r="F41" s="681"/>
      <c r="G41" s="897"/>
      <c r="H41" s="904">
        <f>+'53-Utility2'!I24</f>
        <v>0</v>
      </c>
    </row>
    <row r="42" spans="2:13" ht="21" customHeight="1">
      <c r="B42" s="681"/>
      <c r="C42" s="681" t="s">
        <v>676</v>
      </c>
      <c r="D42" s="681"/>
      <c r="E42" s="681"/>
      <c r="F42" s="681"/>
      <c r="G42" s="897"/>
      <c r="H42" s="904">
        <f>+'54-Utility2'!I42</f>
        <v>0</v>
      </c>
    </row>
    <row r="43" spans="2:13" ht="21" customHeight="1" thickBot="1">
      <c r="B43" s="681"/>
      <c r="C43" s="681"/>
      <c r="D43" s="681"/>
      <c r="E43" s="681"/>
      <c r="F43" s="681"/>
      <c r="G43" s="1276"/>
      <c r="H43" s="1277"/>
      <c r="I43" s="392"/>
      <c r="M43" s="392"/>
    </row>
    <row r="44" spans="2:13" ht="21" customHeight="1" thickBot="1">
      <c r="B44" s="681"/>
      <c r="C44" s="681" t="s">
        <v>847</v>
      </c>
      <c r="D44" s="681"/>
      <c r="E44" s="681"/>
      <c r="F44" s="681"/>
      <c r="G44" s="1278">
        <f>SUM(G12:G42)</f>
        <v>0</v>
      </c>
      <c r="H44" s="1279">
        <f>SUM(H12:H43)</f>
        <v>0</v>
      </c>
      <c r="I44" s="392"/>
      <c r="K44" s="392"/>
    </row>
    <row r="45" spans="2:13" ht="13.8" thickTop="1">
      <c r="B45" s="1961" t="s">
        <v>103</v>
      </c>
      <c r="C45" s="1961"/>
      <c r="D45" s="1961"/>
      <c r="E45" s="1961"/>
      <c r="F45" s="1961"/>
      <c r="G45" s="1962"/>
      <c r="H45" s="1962"/>
    </row>
    <row r="46" spans="2:13">
      <c r="B46" s="909"/>
      <c r="C46" s="909"/>
      <c r="D46" s="909"/>
      <c r="E46" s="909"/>
      <c r="F46" s="909"/>
      <c r="G46" s="909"/>
      <c r="H46" s="909"/>
    </row>
    <row r="47" spans="2:13">
      <c r="B47" s="909"/>
      <c r="C47" s="909"/>
      <c r="D47" s="909"/>
      <c r="E47" s="909"/>
      <c r="F47" s="909"/>
      <c r="G47" s="909"/>
      <c r="H47" s="909"/>
    </row>
    <row r="48" spans="2:13">
      <c r="B48" s="909"/>
      <c r="C48" s="909"/>
      <c r="D48" s="909"/>
      <c r="E48" s="909"/>
      <c r="F48" s="909"/>
      <c r="G48" s="909"/>
      <c r="H48" s="909"/>
    </row>
    <row r="49" spans="2:8">
      <c r="B49" s="909"/>
      <c r="C49" s="909"/>
      <c r="D49" s="909"/>
      <c r="E49" s="909"/>
      <c r="F49" s="909"/>
      <c r="G49" s="909"/>
      <c r="H49" s="909"/>
    </row>
    <row r="50" spans="2:8" ht="13.8">
      <c r="B50" s="1799" t="s">
        <v>3459</v>
      </c>
      <c r="C50" s="1799"/>
      <c r="D50" s="1799"/>
      <c r="E50" s="1799"/>
      <c r="F50" s="1799"/>
      <c r="G50" s="1799"/>
      <c r="H50" s="1799"/>
    </row>
    <row r="55" spans="2:8">
      <c r="H55" s="392"/>
    </row>
  </sheetData>
  <sheetProtection password="CAF9"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1">
    <tabColor theme="3" tint="0.39997558519241921"/>
  </sheetPr>
  <dimension ref="B1:R49"/>
  <sheetViews>
    <sheetView topLeftCell="A19" zoomScaleNormal="100" zoomScaleSheetLayoutView="80" workbookViewId="0">
      <selection activeCell="G38" sqref="G38"/>
    </sheetView>
  </sheetViews>
  <sheetFormatPr defaultColWidth="9.109375" defaultRowHeight="13.2"/>
  <cols>
    <col min="1" max="1" width="4.6640625" style="324" customWidth="1"/>
    <col min="2" max="2" width="4.88671875" style="324" customWidth="1"/>
    <col min="3" max="4" width="4.6640625" style="324" customWidth="1"/>
    <col min="5" max="5" width="30.6640625" style="324" customWidth="1"/>
    <col min="6" max="6" width="15.6640625" style="324" customWidth="1"/>
    <col min="7" max="8" width="16.6640625" style="324" customWidth="1"/>
    <col min="9" max="16384" width="9.109375" style="324"/>
  </cols>
  <sheetData>
    <row r="1" spans="2:18">
      <c r="B1" s="1128"/>
      <c r="C1" s="1128"/>
      <c r="D1" s="1128"/>
      <c r="E1" s="1128"/>
      <c r="F1" s="1128"/>
      <c r="G1" s="1128"/>
      <c r="H1" s="1128"/>
    </row>
    <row r="2" spans="2:18">
      <c r="B2" s="1128"/>
      <c r="C2" s="1128"/>
      <c r="D2" s="1128"/>
      <c r="E2" s="1128"/>
      <c r="F2" s="1128"/>
      <c r="G2" s="1128"/>
      <c r="H2" s="1128"/>
    </row>
    <row r="3" spans="2:18" ht="22.8">
      <c r="B3" s="1820" t="s">
        <v>873</v>
      </c>
      <c r="C3" s="1820"/>
      <c r="D3" s="1820"/>
      <c r="E3" s="1820"/>
      <c r="F3" s="1820"/>
      <c r="G3" s="1820"/>
      <c r="H3" s="1820"/>
    </row>
    <row r="4" spans="2:18" ht="22.8">
      <c r="B4" s="1820" t="s">
        <v>874</v>
      </c>
      <c r="C4" s="1820"/>
      <c r="D4" s="1820"/>
      <c r="E4" s="1820"/>
      <c r="F4" s="1820"/>
      <c r="G4" s="1820"/>
      <c r="H4" s="1820"/>
    </row>
    <row r="5" spans="2:18" ht="15.6">
      <c r="B5" s="1821"/>
      <c r="C5" s="1821"/>
      <c r="D5" s="1821"/>
      <c r="E5" s="1821"/>
      <c r="F5" s="1821"/>
      <c r="G5" s="1821"/>
      <c r="H5" s="1821"/>
    </row>
    <row r="6" spans="2:18" ht="13.8">
      <c r="B6" s="1819" t="s">
        <v>875</v>
      </c>
      <c r="C6" s="1819"/>
      <c r="D6" s="1819"/>
      <c r="E6" s="1819"/>
      <c r="F6" s="1819"/>
      <c r="G6" s="1819"/>
      <c r="H6" s="1819"/>
    </row>
    <row r="7" spans="2:18" ht="13.8">
      <c r="B7" s="1819" t="s">
        <v>879</v>
      </c>
      <c r="C7" s="1819"/>
      <c r="D7" s="1819"/>
      <c r="E7" s="1819"/>
      <c r="F7" s="1819"/>
      <c r="G7" s="1819"/>
      <c r="H7" s="1819"/>
    </row>
    <row r="8" spans="2:18" ht="13.8">
      <c r="B8" s="1115"/>
      <c r="C8" s="1115"/>
      <c r="D8" s="1115"/>
      <c r="E8" s="1115"/>
      <c r="F8" s="1115"/>
      <c r="G8" s="1115"/>
      <c r="H8" s="1115"/>
    </row>
    <row r="9" spans="2:18" ht="15" customHeight="1" thickBot="1">
      <c r="B9" s="1822" t="str">
        <f>'KEY INPUTS'!D44</f>
        <v>AS  AT  DECEMBER  31, 2020</v>
      </c>
      <c r="C9" s="1821"/>
      <c r="D9" s="1821"/>
      <c r="E9" s="1821"/>
      <c r="F9" s="1821"/>
      <c r="G9" s="1821"/>
      <c r="H9" s="1821"/>
    </row>
    <row r="10" spans="2:18" ht="36" customHeight="1" thickTop="1" thickBot="1">
      <c r="B10" s="1823" t="s">
        <v>100</v>
      </c>
      <c r="C10" s="1823"/>
      <c r="D10" s="1823"/>
      <c r="E10" s="1823"/>
      <c r="F10" s="1824"/>
      <c r="G10" s="1116" t="s">
        <v>101</v>
      </c>
      <c r="H10" s="1117" t="s">
        <v>102</v>
      </c>
    </row>
    <row r="11" spans="2:18" ht="21" customHeight="1" thickTop="1">
      <c r="B11" s="1118" t="s">
        <v>375</v>
      </c>
      <c r="C11" s="1118"/>
      <c r="D11" s="1118"/>
      <c r="E11" s="1118"/>
      <c r="F11" s="1118"/>
      <c r="G11" s="641"/>
      <c r="H11" s="642"/>
      <c r="L11" s="315"/>
      <c r="M11" s="315"/>
      <c r="N11" s="315"/>
      <c r="O11" s="315"/>
      <c r="P11" s="315"/>
      <c r="Q11" s="315"/>
      <c r="R11" s="315"/>
    </row>
    <row r="12" spans="2:18" ht="21" customHeight="1">
      <c r="B12" s="639"/>
      <c r="C12" s="639"/>
      <c r="D12" s="639"/>
      <c r="E12" s="639"/>
      <c r="F12" s="639"/>
      <c r="G12" s="593"/>
      <c r="H12" s="601"/>
      <c r="L12" s="315"/>
      <c r="M12" s="315"/>
      <c r="N12" s="315"/>
      <c r="O12" s="315"/>
      <c r="P12" s="315"/>
      <c r="Q12" s="315"/>
      <c r="R12" s="315"/>
    </row>
    <row r="13" spans="2:18" ht="21" customHeight="1">
      <c r="B13" s="639"/>
      <c r="C13" s="639"/>
      <c r="D13" s="639"/>
      <c r="E13" s="639"/>
      <c r="F13" s="639"/>
      <c r="G13" s="593"/>
      <c r="H13" s="601"/>
      <c r="L13" s="370"/>
      <c r="M13" s="315"/>
      <c r="N13" s="315"/>
      <c r="O13" s="315"/>
      <c r="P13" s="315"/>
      <c r="Q13" s="315"/>
      <c r="R13" s="315"/>
    </row>
    <row r="14" spans="2:18" ht="21" customHeight="1">
      <c r="B14" s="639"/>
      <c r="C14" s="639"/>
      <c r="D14" s="639"/>
      <c r="E14" s="639"/>
      <c r="F14" s="639"/>
      <c r="G14" s="593"/>
      <c r="H14" s="601"/>
      <c r="L14" s="315"/>
      <c r="M14" s="315"/>
      <c r="N14" s="315"/>
      <c r="O14" s="315"/>
      <c r="P14" s="315"/>
      <c r="Q14" s="315"/>
      <c r="R14" s="315"/>
    </row>
    <row r="15" spans="2:18" ht="21" customHeight="1">
      <c r="B15" s="639"/>
      <c r="C15" s="639"/>
      <c r="D15" s="639"/>
      <c r="E15" s="639"/>
      <c r="F15" s="639"/>
      <c r="G15" s="593"/>
      <c r="H15" s="601"/>
      <c r="L15" s="315"/>
      <c r="M15" s="315"/>
      <c r="N15" s="315"/>
      <c r="O15" s="315"/>
      <c r="P15" s="315"/>
      <c r="Q15" s="315"/>
      <c r="R15" s="315"/>
    </row>
    <row r="16" spans="2:18" ht="21" customHeight="1">
      <c r="B16" s="639"/>
      <c r="C16" s="639"/>
      <c r="D16" s="639"/>
      <c r="E16" s="639"/>
      <c r="F16" s="639"/>
      <c r="G16" s="593"/>
      <c r="H16" s="601"/>
      <c r="L16" s="315"/>
      <c r="M16" s="315"/>
      <c r="N16" s="315"/>
      <c r="O16" s="315"/>
      <c r="P16" s="315"/>
      <c r="Q16" s="315"/>
      <c r="R16" s="315"/>
    </row>
    <row r="17" spans="2:18" ht="21" customHeight="1">
      <c r="B17" s="639"/>
      <c r="C17" s="639"/>
      <c r="D17" s="639"/>
      <c r="E17" s="639"/>
      <c r="F17" s="639"/>
      <c r="G17" s="593"/>
      <c r="H17" s="601"/>
      <c r="L17" s="315"/>
      <c r="M17" s="315"/>
      <c r="N17" s="315"/>
      <c r="O17" s="315"/>
      <c r="P17" s="315"/>
      <c r="Q17" s="315"/>
      <c r="R17" s="315"/>
    </row>
    <row r="18" spans="2:18" ht="21" customHeight="1">
      <c r="B18" s="639"/>
      <c r="C18" s="639"/>
      <c r="D18" s="639"/>
      <c r="E18" s="639"/>
      <c r="F18" s="639"/>
      <c r="G18" s="593"/>
      <c r="H18" s="601"/>
      <c r="L18" s="315"/>
      <c r="M18" s="315"/>
      <c r="N18" s="315"/>
      <c r="O18" s="315"/>
      <c r="P18" s="315"/>
      <c r="Q18" s="315"/>
      <c r="R18" s="315"/>
    </row>
    <row r="19" spans="2:18" ht="21" customHeight="1">
      <c r="B19" s="639"/>
      <c r="C19" s="639"/>
      <c r="D19" s="639"/>
      <c r="E19" s="639"/>
      <c r="F19" s="639"/>
      <c r="G19" s="593"/>
      <c r="H19" s="601"/>
      <c r="L19" s="315"/>
      <c r="M19" s="315"/>
      <c r="N19" s="315"/>
      <c r="O19" s="315"/>
      <c r="P19" s="315"/>
      <c r="Q19" s="315"/>
      <c r="R19" s="315"/>
    </row>
    <row r="20" spans="2:18" ht="21" customHeight="1">
      <c r="B20" s="639"/>
      <c r="C20" s="639"/>
      <c r="D20" s="639"/>
      <c r="E20" s="639"/>
      <c r="F20" s="639"/>
      <c r="G20" s="593"/>
      <c r="H20" s="601"/>
      <c r="L20" s="315"/>
      <c r="M20" s="315"/>
      <c r="N20" s="315"/>
      <c r="O20" s="315"/>
      <c r="P20" s="315"/>
      <c r="Q20" s="315"/>
      <c r="R20" s="315"/>
    </row>
    <row r="21" spans="2:18" ht="21" customHeight="1">
      <c r="B21" s="639"/>
      <c r="C21" s="639"/>
      <c r="D21" s="639"/>
      <c r="E21" s="639"/>
      <c r="F21" s="639"/>
      <c r="G21" s="593"/>
      <c r="H21" s="601"/>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L23" s="315"/>
      <c r="M23" s="315"/>
      <c r="N23" s="315"/>
      <c r="O23" s="315"/>
      <c r="P23" s="315"/>
      <c r="Q23" s="315"/>
      <c r="R23" s="315"/>
    </row>
    <row r="24" spans="2:18" ht="21" customHeight="1">
      <c r="B24" s="639"/>
      <c r="C24" s="639"/>
      <c r="D24" s="639"/>
      <c r="E24" s="639"/>
      <c r="F24" s="639"/>
      <c r="G24" s="593"/>
      <c r="H24" s="601"/>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39"/>
      <c r="C26" s="639"/>
      <c r="D26" s="639"/>
      <c r="E26" s="639"/>
      <c r="F26" s="639"/>
      <c r="G26" s="593"/>
      <c r="H26" s="601"/>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639"/>
      <c r="C30" s="639"/>
      <c r="D30" s="639"/>
      <c r="E30" s="639"/>
      <c r="F30" s="639"/>
      <c r="G30" s="593"/>
      <c r="H30" s="601"/>
    </row>
    <row r="31" spans="2:18" ht="21" customHeight="1">
      <c r="B31" s="639"/>
      <c r="C31" s="639"/>
      <c r="D31" s="639"/>
      <c r="E31" s="639"/>
      <c r="F31" s="639"/>
      <c r="G31" s="593"/>
      <c r="H31" s="601"/>
    </row>
    <row r="32" spans="2:18" ht="21" customHeight="1">
      <c r="B32" s="639"/>
      <c r="C32" s="639"/>
      <c r="D32" s="639"/>
      <c r="E32" s="639"/>
      <c r="F32" s="639"/>
      <c r="G32" s="593"/>
      <c r="H32" s="601"/>
    </row>
    <row r="33" spans="2:8" ht="21" customHeight="1">
      <c r="B33" s="639"/>
      <c r="C33" s="639"/>
      <c r="D33" s="639"/>
      <c r="E33" s="639"/>
      <c r="F33" s="639"/>
      <c r="G33" s="593"/>
      <c r="H33" s="601"/>
    </row>
    <row r="34" spans="2:8" ht="21" customHeight="1">
      <c r="B34" s="639"/>
      <c r="C34" s="639"/>
      <c r="D34" s="639"/>
      <c r="E34" s="639"/>
      <c r="F34" s="639"/>
      <c r="G34" s="593"/>
      <c r="H34" s="601"/>
    </row>
    <row r="35" spans="2:8" ht="21" customHeight="1">
      <c r="B35" s="639"/>
      <c r="C35" s="639"/>
      <c r="D35" s="639"/>
      <c r="E35" s="639"/>
      <c r="F35" s="639"/>
      <c r="G35" s="593"/>
      <c r="H35" s="601"/>
    </row>
    <row r="36" spans="2:8" ht="21" customHeight="1">
      <c r="B36" s="639"/>
      <c r="C36" s="639"/>
      <c r="D36" s="639"/>
      <c r="E36" s="639"/>
      <c r="F36" s="639"/>
      <c r="G36" s="593"/>
      <c r="H36" s="601"/>
    </row>
    <row r="37" spans="2:8" ht="21" customHeight="1">
      <c r="B37" s="639"/>
      <c r="C37" s="639"/>
      <c r="D37" s="639"/>
      <c r="E37" s="639"/>
      <c r="F37" s="639"/>
      <c r="G37" s="593"/>
      <c r="H37" s="601"/>
    </row>
    <row r="38" spans="2:8" ht="21" customHeight="1">
      <c r="B38" s="1119" t="s">
        <v>3261</v>
      </c>
      <c r="C38" s="1119"/>
      <c r="D38" s="1119"/>
      <c r="E38" s="1119"/>
      <c r="F38" s="1119"/>
      <c r="G38" s="593"/>
      <c r="H38" s="1108">
        <f>+'51-Utility2'!G23</f>
        <v>0</v>
      </c>
    </row>
    <row r="39" spans="2:8" ht="21" customHeight="1">
      <c r="B39" s="1119" t="s">
        <v>3262</v>
      </c>
      <c r="C39" s="1119"/>
      <c r="D39" s="1119"/>
      <c r="E39" s="1119"/>
      <c r="F39" s="1119"/>
      <c r="G39" s="593"/>
      <c r="H39" s="1108">
        <f>+'49-Utility2'!G11</f>
        <v>0</v>
      </c>
    </row>
    <row r="40" spans="2:8" ht="21" customHeight="1">
      <c r="B40" s="1119" t="s">
        <v>846</v>
      </c>
      <c r="C40" s="1119"/>
      <c r="D40" s="1119"/>
      <c r="E40" s="1119"/>
      <c r="F40" s="1119"/>
      <c r="G40" s="593"/>
      <c r="H40" s="1108">
        <f>'43-Utility2'!L20</f>
        <v>0</v>
      </c>
    </row>
    <row r="41" spans="2:8" ht="21" customHeight="1">
      <c r="B41" s="639"/>
      <c r="C41" s="639"/>
      <c r="D41" s="639"/>
      <c r="E41" s="639"/>
      <c r="F41" s="639"/>
      <c r="G41" s="593"/>
      <c r="H41" s="601"/>
    </row>
    <row r="42" spans="2:8" ht="21" customHeight="1">
      <c r="B42" s="639"/>
      <c r="C42" s="639"/>
      <c r="D42" s="639"/>
      <c r="E42" s="639"/>
      <c r="F42" s="639"/>
      <c r="G42" s="593"/>
      <c r="H42" s="601"/>
    </row>
    <row r="43" spans="2:8" ht="21" customHeight="1">
      <c r="B43" s="1121"/>
      <c r="C43" s="1121"/>
      <c r="D43" s="1121"/>
      <c r="E43" s="1121"/>
      <c r="F43" s="1121"/>
      <c r="G43" s="1087">
        <f>SUM(G11:G42)</f>
        <v>0</v>
      </c>
      <c r="H43" s="1122">
        <f>SUM(H11:H42)</f>
        <v>0</v>
      </c>
    </row>
    <row r="44" spans="2:8">
      <c r="B44" s="1825" t="s">
        <v>103</v>
      </c>
      <c r="C44" s="1825"/>
      <c r="D44" s="1825"/>
      <c r="E44" s="1825"/>
      <c r="F44" s="1825"/>
      <c r="G44" s="1825"/>
      <c r="H44" s="1825"/>
    </row>
    <row r="45" spans="2:8">
      <c r="B45" s="1123"/>
      <c r="C45" s="1123"/>
      <c r="D45" s="1123"/>
      <c r="E45" s="1123"/>
      <c r="F45" s="1123"/>
      <c r="G45" s="1123"/>
      <c r="H45" s="1123"/>
    </row>
    <row r="46" spans="2:8">
      <c r="B46" s="1123"/>
      <c r="C46" s="1123"/>
      <c r="D46" s="1123"/>
      <c r="E46" s="1123"/>
      <c r="F46" s="1123"/>
      <c r="G46" s="1123"/>
      <c r="H46" s="1123"/>
    </row>
    <row r="47" spans="2:8">
      <c r="B47" s="1123"/>
      <c r="C47" s="1123"/>
      <c r="D47" s="1123"/>
      <c r="E47" s="1123"/>
      <c r="F47" s="1123"/>
      <c r="G47" s="1123"/>
      <c r="H47" s="1123"/>
    </row>
    <row r="48" spans="2:8">
      <c r="B48" s="1123"/>
      <c r="C48" s="1123"/>
      <c r="D48" s="1123"/>
      <c r="E48" s="1123"/>
      <c r="F48" s="1123"/>
      <c r="G48" s="1123"/>
      <c r="H48" s="1123"/>
    </row>
    <row r="49" spans="2:8" ht="13.8">
      <c r="B49" s="1850" t="s">
        <v>3199</v>
      </c>
      <c r="C49" s="1850"/>
      <c r="D49" s="1850"/>
      <c r="E49" s="1850"/>
      <c r="F49" s="1850"/>
      <c r="G49" s="1850"/>
      <c r="H49" s="1850"/>
    </row>
  </sheetData>
  <sheetProtection algorithmName="SHA-512" hashValue="JzexE75+wWb7GPuQjSWnxWqQSwwhbH3bvR2BU95EtpQYu+YcBVzYweZbS8SFGzBvUphO77Za8Ue8ZrAM0/WVIw==" saltValue="A+heVVxmm9qSbSpuPf9N2w==" spinCount="100000" sheet="1" objects="1" scenarios="1"/>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2">
    <tabColor theme="3" tint="0.39997558519241921"/>
  </sheetPr>
  <dimension ref="A2:V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0.6640625" style="324" customWidth="1"/>
    <col min="5" max="12" width="15.6640625" style="324" customWidth="1"/>
    <col min="13" max="16384" width="9.109375" style="324"/>
  </cols>
  <sheetData>
    <row r="2" spans="1:22" ht="20.399999999999999">
      <c r="B2" s="1826" t="str">
        <f>"ANALYSIS  OF "&amp;UPPER('KEY INPUTS'!D53)&amp;" UTILITY  ASSESSMENT  TRUST  CASH  AND  INVESTMENTS"</f>
        <v>ANALYSIS  OF  UTILITY  ASSESSMENT  TRUST  CASH  AND  INVESTMENTS</v>
      </c>
      <c r="C2" s="1826"/>
      <c r="D2" s="1826"/>
      <c r="E2" s="1826"/>
      <c r="F2" s="1826"/>
      <c r="G2" s="1826"/>
      <c r="H2" s="1826"/>
      <c r="I2" s="1826"/>
      <c r="J2" s="1826"/>
      <c r="K2" s="1826"/>
      <c r="L2" s="1826"/>
    </row>
    <row r="3" spans="1:22" ht="21" thickBot="1">
      <c r="B3" s="1826" t="s">
        <v>880</v>
      </c>
      <c r="C3" s="1826"/>
      <c r="D3" s="1826"/>
      <c r="E3" s="1826"/>
      <c r="F3" s="1826"/>
      <c r="G3" s="1826"/>
      <c r="H3" s="1826"/>
      <c r="I3" s="1826"/>
      <c r="J3" s="1826"/>
      <c r="K3" s="1826"/>
      <c r="L3" s="1826"/>
    </row>
    <row r="4" spans="1:22" ht="13.8" thickTop="1">
      <c r="B4" s="1124"/>
      <c r="C4" s="1124"/>
      <c r="D4" s="1124"/>
      <c r="E4" s="1125" t="s">
        <v>558</v>
      </c>
      <c r="F4" s="1124"/>
      <c r="G4" s="1124"/>
      <c r="H4" s="1124"/>
      <c r="I4" s="1124"/>
      <c r="J4" s="1126"/>
      <c r="K4" s="1124"/>
      <c r="L4" s="1127"/>
    </row>
    <row r="5" spans="1:22" ht="15.6">
      <c r="B5" s="1128"/>
      <c r="C5" s="1128" t="s">
        <v>566</v>
      </c>
      <c r="D5" s="1128"/>
      <c r="E5" s="1129" t="s">
        <v>559</v>
      </c>
      <c r="F5" s="1827" t="s">
        <v>560</v>
      </c>
      <c r="G5" s="1828"/>
      <c r="H5" s="1828"/>
      <c r="I5" s="1829"/>
      <c r="J5" s="1130"/>
      <c r="K5" s="1128"/>
      <c r="L5" s="1131" t="s">
        <v>559</v>
      </c>
    </row>
    <row r="6" spans="1:22">
      <c r="B6" s="1128"/>
      <c r="C6" s="1128" t="s">
        <v>567</v>
      </c>
      <c r="D6" s="1128"/>
      <c r="E6" s="1132" t="str">
        <f>'KEY INPUTS'!D45</f>
        <v>Dec. 31, 2019</v>
      </c>
      <c r="F6" s="1129" t="s">
        <v>561</v>
      </c>
      <c r="G6" s="1129" t="s">
        <v>262</v>
      </c>
      <c r="H6" s="1130"/>
      <c r="I6" s="1130"/>
      <c r="J6" s="1130"/>
      <c r="K6" s="1133" t="s">
        <v>565</v>
      </c>
      <c r="L6" s="1134" t="str">
        <f>'KEY INPUTS'!D46</f>
        <v>Dec. 31, 2020</v>
      </c>
    </row>
    <row r="7" spans="1:22" ht="13.8" thickBot="1">
      <c r="B7" s="1135"/>
      <c r="C7" s="1135"/>
      <c r="D7" s="1135"/>
      <c r="E7" s="1136"/>
      <c r="F7" s="1137" t="s">
        <v>562</v>
      </c>
      <c r="G7" s="1137" t="s">
        <v>564</v>
      </c>
      <c r="H7" s="1136"/>
      <c r="I7" s="1136"/>
      <c r="J7" s="1136"/>
      <c r="K7" s="1138"/>
      <c r="L7" s="1139"/>
    </row>
    <row r="8" spans="1:22" ht="21" customHeight="1" thickTop="1">
      <c r="B8" s="1140" t="s">
        <v>656</v>
      </c>
      <c r="C8" s="1140"/>
      <c r="D8" s="1141"/>
      <c r="E8" s="1070" t="s">
        <v>662</v>
      </c>
      <c r="F8" s="1070" t="s">
        <v>662</v>
      </c>
      <c r="G8" s="1070" t="s">
        <v>662</v>
      </c>
      <c r="H8" s="1070" t="s">
        <v>662</v>
      </c>
      <c r="I8" s="1070" t="s">
        <v>662</v>
      </c>
      <c r="J8" s="1070" t="s">
        <v>662</v>
      </c>
      <c r="K8" s="1070" t="s">
        <v>662</v>
      </c>
      <c r="L8" s="858" t="s">
        <v>662</v>
      </c>
      <c r="P8" s="315"/>
      <c r="Q8" s="315"/>
      <c r="R8" s="315"/>
      <c r="S8" s="315"/>
      <c r="T8" s="315"/>
      <c r="U8" s="315"/>
      <c r="V8" s="315"/>
    </row>
    <row r="9" spans="1:22" ht="21" customHeight="1">
      <c r="B9" s="639"/>
      <c r="C9" s="639"/>
      <c r="D9" s="643"/>
      <c r="E9" s="593"/>
      <c r="F9" s="593"/>
      <c r="G9" s="593"/>
      <c r="H9" s="593"/>
      <c r="I9" s="593"/>
      <c r="J9" s="593"/>
      <c r="K9" s="593"/>
      <c r="L9" s="1063">
        <f>+E9+F9+G9+H9+I9+J9-K9</f>
        <v>0</v>
      </c>
      <c r="P9" s="315"/>
      <c r="Q9" s="315"/>
      <c r="R9" s="315"/>
      <c r="S9" s="315"/>
      <c r="T9" s="315"/>
      <c r="U9" s="315"/>
      <c r="V9" s="315"/>
    </row>
    <row r="10" spans="1:22" ht="21" customHeight="1">
      <c r="B10" s="639"/>
      <c r="C10" s="639"/>
      <c r="D10" s="643"/>
      <c r="E10" s="593"/>
      <c r="F10" s="593"/>
      <c r="G10" s="593"/>
      <c r="H10" s="593"/>
      <c r="I10" s="593"/>
      <c r="J10" s="593"/>
      <c r="K10" s="593"/>
      <c r="L10" s="1063">
        <f t="shared" ref="L10:L25" si="0">+E10+F10+G10+H10+I10+J10-K10</f>
        <v>0</v>
      </c>
      <c r="P10" s="370"/>
      <c r="Q10" s="315"/>
      <c r="R10" s="315"/>
      <c r="S10" s="315"/>
      <c r="T10" s="315"/>
      <c r="U10" s="315"/>
      <c r="V10" s="315"/>
    </row>
    <row r="11" spans="1:22" ht="21" customHeight="1">
      <c r="B11" s="639"/>
      <c r="C11" s="639"/>
      <c r="D11" s="643"/>
      <c r="E11" s="593"/>
      <c r="F11" s="593"/>
      <c r="G11" s="593"/>
      <c r="H11" s="593"/>
      <c r="I11" s="593"/>
      <c r="J11" s="593"/>
      <c r="K11" s="593"/>
      <c r="L11" s="1063">
        <f t="shared" si="0"/>
        <v>0</v>
      </c>
      <c r="P11" s="315"/>
      <c r="Q11" s="315"/>
      <c r="R11" s="315"/>
      <c r="S11" s="315"/>
      <c r="T11" s="315"/>
      <c r="U11" s="315"/>
      <c r="V11" s="315"/>
    </row>
    <row r="12" spans="1:22" ht="21" customHeight="1">
      <c r="B12" s="639"/>
      <c r="C12" s="639"/>
      <c r="D12" s="643"/>
      <c r="E12" s="593"/>
      <c r="F12" s="593"/>
      <c r="G12" s="593"/>
      <c r="H12" s="593"/>
      <c r="I12" s="593"/>
      <c r="J12" s="593"/>
      <c r="K12" s="593"/>
      <c r="L12" s="1063">
        <f t="shared" si="0"/>
        <v>0</v>
      </c>
      <c r="P12" s="315"/>
      <c r="Q12" s="315"/>
      <c r="R12" s="315"/>
      <c r="S12" s="315"/>
      <c r="T12" s="315"/>
      <c r="U12" s="315"/>
      <c r="V12" s="315"/>
    </row>
    <row r="13" spans="1:22" ht="21" customHeight="1">
      <c r="B13" s="639"/>
      <c r="C13" s="639"/>
      <c r="D13" s="643"/>
      <c r="E13" s="596"/>
      <c r="F13" s="593"/>
      <c r="G13" s="593"/>
      <c r="H13" s="593"/>
      <c r="I13" s="593"/>
      <c r="J13" s="593"/>
      <c r="K13" s="593"/>
      <c r="L13" s="1063">
        <f t="shared" si="0"/>
        <v>0</v>
      </c>
      <c r="P13" s="315"/>
      <c r="Q13" s="315"/>
      <c r="R13" s="315"/>
      <c r="S13" s="315"/>
      <c r="T13" s="315"/>
      <c r="U13" s="315"/>
      <c r="V13" s="315"/>
    </row>
    <row r="14" spans="1:22" ht="21" customHeight="1">
      <c r="B14" s="1121" t="s">
        <v>657</v>
      </c>
      <c r="C14" s="1121"/>
      <c r="D14" s="1147"/>
      <c r="E14" s="963" t="s">
        <v>662</v>
      </c>
      <c r="F14" s="963" t="s">
        <v>662</v>
      </c>
      <c r="G14" s="963" t="s">
        <v>662</v>
      </c>
      <c r="H14" s="963" t="s">
        <v>662</v>
      </c>
      <c r="I14" s="963" t="s">
        <v>662</v>
      </c>
      <c r="J14" s="963" t="s">
        <v>662</v>
      </c>
      <c r="K14" s="963" t="s">
        <v>662</v>
      </c>
      <c r="L14" s="860" t="s">
        <v>662</v>
      </c>
      <c r="P14" s="315"/>
      <c r="Q14" s="315"/>
      <c r="R14" s="315"/>
      <c r="S14" s="315"/>
      <c r="T14" s="315"/>
      <c r="U14" s="315"/>
      <c r="V14" s="315"/>
    </row>
    <row r="15" spans="1:22" ht="21" customHeight="1">
      <c r="A15" s="1830" t="s">
        <v>3200</v>
      </c>
      <c r="B15" s="639"/>
      <c r="C15" s="639"/>
      <c r="D15" s="643"/>
      <c r="E15" s="593"/>
      <c r="F15" s="593"/>
      <c r="G15" s="593"/>
      <c r="H15" s="593"/>
      <c r="I15" s="593"/>
      <c r="J15" s="593"/>
      <c r="K15" s="593"/>
      <c r="L15" s="1063">
        <f t="shared" si="0"/>
        <v>0</v>
      </c>
      <c r="P15" s="315"/>
      <c r="Q15" s="315"/>
      <c r="R15" s="315"/>
      <c r="S15" s="315"/>
      <c r="T15" s="315"/>
      <c r="U15" s="315"/>
      <c r="V15" s="315"/>
    </row>
    <row r="16" spans="1:22" ht="21" customHeight="1">
      <c r="A16" s="1830"/>
      <c r="B16" s="639"/>
      <c r="C16" s="639"/>
      <c r="D16" s="643"/>
      <c r="E16" s="593"/>
      <c r="F16" s="593"/>
      <c r="G16" s="593"/>
      <c r="H16" s="593"/>
      <c r="I16" s="593"/>
      <c r="J16" s="593"/>
      <c r="K16" s="593"/>
      <c r="L16" s="1063">
        <f t="shared" si="0"/>
        <v>0</v>
      </c>
      <c r="P16" s="315"/>
      <c r="Q16" s="315"/>
      <c r="R16" s="315"/>
      <c r="S16" s="315"/>
      <c r="T16" s="315"/>
      <c r="U16" s="315"/>
      <c r="V16" s="315"/>
    </row>
    <row r="17" spans="1:22" ht="21" customHeight="1">
      <c r="A17" s="1830"/>
      <c r="B17" s="639"/>
      <c r="C17" s="639"/>
      <c r="D17" s="643"/>
      <c r="E17" s="593"/>
      <c r="F17" s="593"/>
      <c r="G17" s="593"/>
      <c r="H17" s="593"/>
      <c r="I17" s="593"/>
      <c r="J17" s="593"/>
      <c r="K17" s="593"/>
      <c r="L17" s="1063">
        <f t="shared" si="0"/>
        <v>0</v>
      </c>
      <c r="P17" s="315"/>
      <c r="Q17" s="315"/>
      <c r="R17" s="315"/>
      <c r="S17" s="315"/>
      <c r="T17" s="315"/>
      <c r="U17" s="315"/>
      <c r="V17" s="315"/>
    </row>
    <row r="18" spans="1:22" ht="21" customHeight="1">
      <c r="B18" s="639"/>
      <c r="C18" s="639"/>
      <c r="D18" s="643"/>
      <c r="E18" s="593"/>
      <c r="F18" s="593"/>
      <c r="G18" s="593"/>
      <c r="H18" s="593"/>
      <c r="I18" s="593"/>
      <c r="J18" s="593"/>
      <c r="K18" s="593"/>
      <c r="L18" s="1063">
        <f t="shared" si="0"/>
        <v>0</v>
      </c>
      <c r="P18" s="315"/>
      <c r="Q18" s="315"/>
      <c r="R18" s="315"/>
      <c r="S18" s="315"/>
      <c r="T18" s="315"/>
      <c r="U18" s="315"/>
      <c r="V18" s="315"/>
    </row>
    <row r="19" spans="1:22" ht="21" customHeight="1">
      <c r="B19" s="1121" t="s">
        <v>658</v>
      </c>
      <c r="C19" s="1121"/>
      <c r="D19" s="1147"/>
      <c r="E19" s="593"/>
      <c r="F19" s="593"/>
      <c r="G19" s="593"/>
      <c r="H19" s="593"/>
      <c r="I19" s="593"/>
      <c r="J19" s="593"/>
      <c r="K19" s="593"/>
      <c r="L19" s="1063">
        <f t="shared" si="0"/>
        <v>0</v>
      </c>
      <c r="P19" s="315"/>
      <c r="Q19" s="315"/>
      <c r="R19" s="315"/>
      <c r="S19" s="315"/>
      <c r="T19" s="315"/>
      <c r="U19" s="315"/>
      <c r="V19" s="315"/>
    </row>
    <row r="20" spans="1:22" ht="21" customHeight="1">
      <c r="B20" s="1121" t="s">
        <v>659</v>
      </c>
      <c r="C20" s="1121"/>
      <c r="D20" s="1147"/>
      <c r="E20" s="593"/>
      <c r="F20" s="593"/>
      <c r="G20" s="593"/>
      <c r="H20" s="593"/>
      <c r="I20" s="593"/>
      <c r="J20" s="593"/>
      <c r="K20" s="593"/>
      <c r="L20" s="1063">
        <f t="shared" si="0"/>
        <v>0</v>
      </c>
      <c r="P20" s="315"/>
      <c r="Q20" s="315"/>
      <c r="R20" s="315"/>
      <c r="S20" s="315"/>
      <c r="T20" s="315"/>
      <c r="U20" s="315"/>
      <c r="V20" s="315"/>
    </row>
    <row r="21" spans="1:22" ht="21" customHeight="1">
      <c r="B21" s="1121" t="s">
        <v>263</v>
      </c>
      <c r="C21" s="1121"/>
      <c r="D21" s="1147"/>
      <c r="E21" s="963" t="s">
        <v>662</v>
      </c>
      <c r="F21" s="963" t="s">
        <v>662</v>
      </c>
      <c r="G21" s="963" t="s">
        <v>662</v>
      </c>
      <c r="H21" s="963" t="s">
        <v>662</v>
      </c>
      <c r="I21" s="963" t="s">
        <v>662</v>
      </c>
      <c r="J21" s="963" t="s">
        <v>662</v>
      </c>
      <c r="K21" s="963" t="s">
        <v>662</v>
      </c>
      <c r="L21" s="860" t="s">
        <v>662</v>
      </c>
      <c r="P21" s="315"/>
      <c r="Q21" s="315"/>
      <c r="R21" s="315"/>
      <c r="S21" s="315"/>
      <c r="T21" s="315"/>
      <c r="U21" s="315"/>
      <c r="V21" s="315"/>
    </row>
    <row r="22" spans="1:22" ht="21" customHeight="1">
      <c r="B22" s="639"/>
      <c r="C22" s="639"/>
      <c r="D22" s="643"/>
      <c r="E22" s="593"/>
      <c r="F22" s="593"/>
      <c r="G22" s="593"/>
      <c r="H22" s="593"/>
      <c r="I22" s="593"/>
      <c r="J22" s="593"/>
      <c r="K22" s="593"/>
      <c r="L22" s="1063">
        <f t="shared" si="0"/>
        <v>0</v>
      </c>
      <c r="P22" s="315"/>
      <c r="Q22" s="315"/>
      <c r="R22" s="315"/>
      <c r="S22" s="315"/>
      <c r="T22" s="315"/>
      <c r="U22" s="315"/>
      <c r="V22" s="315"/>
    </row>
    <row r="23" spans="1:22" ht="21" customHeight="1">
      <c r="B23" s="639"/>
      <c r="C23" s="639"/>
      <c r="D23" s="643"/>
      <c r="E23" s="593"/>
      <c r="F23" s="593"/>
      <c r="G23" s="593"/>
      <c r="H23" s="593"/>
      <c r="I23" s="593"/>
      <c r="J23" s="593"/>
      <c r="K23" s="593"/>
      <c r="L23" s="1063">
        <f t="shared" si="0"/>
        <v>0</v>
      </c>
      <c r="P23" s="315"/>
      <c r="Q23" s="315"/>
      <c r="R23" s="315"/>
      <c r="S23" s="315"/>
      <c r="T23" s="315"/>
      <c r="U23" s="315"/>
      <c r="V23" s="315"/>
    </row>
    <row r="24" spans="1:22" ht="21" customHeight="1">
      <c r="B24" s="639"/>
      <c r="C24" s="639"/>
      <c r="D24" s="643"/>
      <c r="E24" s="593"/>
      <c r="F24" s="593"/>
      <c r="G24" s="593"/>
      <c r="H24" s="593"/>
      <c r="I24" s="593"/>
      <c r="J24" s="593"/>
      <c r="K24" s="593"/>
      <c r="L24" s="1063">
        <f t="shared" si="0"/>
        <v>0</v>
      </c>
      <c r="P24" s="315"/>
      <c r="Q24" s="315"/>
      <c r="R24" s="315"/>
      <c r="S24" s="315"/>
      <c r="T24" s="315"/>
      <c r="U24" s="315"/>
      <c r="V24" s="315"/>
    </row>
    <row r="25" spans="1:22" ht="21" customHeight="1" thickBot="1">
      <c r="B25" s="639"/>
      <c r="C25" s="639"/>
      <c r="D25" s="643"/>
      <c r="E25" s="619"/>
      <c r="F25" s="619"/>
      <c r="G25" s="619"/>
      <c r="H25" s="619"/>
      <c r="I25" s="619"/>
      <c r="J25" s="619"/>
      <c r="K25" s="619"/>
      <c r="L25" s="1142">
        <f t="shared" si="0"/>
        <v>0</v>
      </c>
    </row>
    <row r="26" spans="1:22" ht="21" customHeight="1" thickTop="1" thickBot="1">
      <c r="B26" s="1144"/>
      <c r="C26" s="1144"/>
      <c r="D26" s="1145"/>
      <c r="E26" s="1065">
        <f t="shared" ref="E26:K26" si="1">SUM(E9:E25)</f>
        <v>0</v>
      </c>
      <c r="F26" s="1065">
        <f t="shared" si="1"/>
        <v>0</v>
      </c>
      <c r="G26" s="1065">
        <f t="shared" si="1"/>
        <v>0</v>
      </c>
      <c r="H26" s="1065">
        <f t="shared" si="1"/>
        <v>0</v>
      </c>
      <c r="I26" s="1065">
        <f t="shared" si="1"/>
        <v>0</v>
      </c>
      <c r="J26" s="1065">
        <f t="shared" si="1"/>
        <v>0</v>
      </c>
      <c r="K26" s="1065">
        <f t="shared" si="1"/>
        <v>0</v>
      </c>
      <c r="L26" s="1143">
        <f>SUM(L9:L25)</f>
        <v>0</v>
      </c>
    </row>
    <row r="27" spans="1:22" ht="13.8" thickTop="1">
      <c r="B27" s="1146" t="s">
        <v>661</v>
      </c>
      <c r="C27" s="1128"/>
      <c r="D27" s="1128"/>
      <c r="E27" s="1128"/>
      <c r="F27" s="1128"/>
      <c r="G27" s="1128"/>
      <c r="H27" s="1128"/>
      <c r="I27" s="1128"/>
      <c r="J27" s="1128"/>
      <c r="K27" s="1128"/>
      <c r="L27" s="1128"/>
    </row>
  </sheetData>
  <sheetProtection password="CAF9"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3">
    <tabColor theme="3" tint="0.39997558519241921"/>
  </sheetPr>
  <dimension ref="B1:T55"/>
  <sheetViews>
    <sheetView zoomScaleNormal="100" zoomScaleSheetLayoutView="80" workbookViewId="0">
      <selection activeCell="H20" sqref="H20"/>
    </sheetView>
  </sheetViews>
  <sheetFormatPr defaultColWidth="8.88671875" defaultRowHeight="13.2"/>
  <cols>
    <col min="1" max="1" width="4.6640625" style="391" customWidth="1"/>
    <col min="2" max="3" width="3.6640625" style="391" customWidth="1"/>
    <col min="4" max="4" width="4.6640625" style="391" customWidth="1"/>
    <col min="5" max="5" width="8.88671875" style="391"/>
    <col min="6" max="6" width="16.6640625" style="391" customWidth="1"/>
    <col min="7" max="7" width="8.6640625" style="391" customWidth="1"/>
    <col min="8" max="10" width="16.6640625" style="391" customWidth="1"/>
    <col min="11" max="11" width="8.88671875" style="391"/>
    <col min="12" max="12" width="11.33203125" style="391" bestFit="1" customWidth="1"/>
    <col min="13" max="16384" width="8.88671875" style="391"/>
  </cols>
  <sheetData>
    <row r="1" spans="2:20">
      <c r="B1" s="1096"/>
      <c r="C1" s="1096"/>
      <c r="D1" s="1096"/>
      <c r="E1" s="1096"/>
      <c r="F1" s="1096"/>
      <c r="G1" s="1096"/>
      <c r="H1" s="1096"/>
      <c r="I1" s="1096"/>
      <c r="J1" s="1096"/>
    </row>
    <row r="2" spans="2:20" ht="22.8">
      <c r="B2" s="1804" t="str">
        <f>"SCHEDULE  OF "&amp;UPPER('KEY INPUTS'!D53)&amp;" UTILITY  BUDGET  -  "&amp;TEXT('KEY INPUTS'!D34,"0")&amp;""</f>
        <v>SCHEDULE  OF  UTILITY  BUDGET  -  2020</v>
      </c>
      <c r="C2" s="1804"/>
      <c r="D2" s="1804"/>
      <c r="E2" s="1804"/>
      <c r="F2" s="1804"/>
      <c r="G2" s="1804"/>
      <c r="H2" s="1804"/>
      <c r="I2" s="1804"/>
      <c r="J2" s="1804"/>
    </row>
    <row r="3" spans="2:20" ht="12" customHeight="1">
      <c r="B3" s="1283"/>
      <c r="C3" s="1283"/>
      <c r="D3" s="1283"/>
      <c r="E3" s="1283"/>
      <c r="F3" s="1283"/>
      <c r="G3" s="1283"/>
      <c r="H3" s="1283"/>
      <c r="I3" s="1283"/>
      <c r="J3" s="1283"/>
    </row>
    <row r="4" spans="2:20" ht="17.25" customHeight="1" thickBot="1">
      <c r="B4" s="1963" t="s">
        <v>881</v>
      </c>
      <c r="C4" s="1963"/>
      <c r="D4" s="1963"/>
      <c r="E4" s="1963"/>
      <c r="F4" s="1963"/>
      <c r="G4" s="1963"/>
      <c r="H4" s="1963"/>
      <c r="I4" s="1963"/>
      <c r="J4" s="1963"/>
    </row>
    <row r="5" spans="2:20" ht="13.8" thickTop="1">
      <c r="B5" s="1964" t="s">
        <v>172</v>
      </c>
      <c r="C5" s="1964"/>
      <c r="D5" s="1964"/>
      <c r="E5" s="1964"/>
      <c r="F5" s="1964"/>
      <c r="G5" s="1929"/>
      <c r="H5" s="1220" t="s">
        <v>564</v>
      </c>
      <c r="I5" s="1220" t="s">
        <v>672</v>
      </c>
      <c r="J5" s="1284" t="s">
        <v>340</v>
      </c>
    </row>
    <row r="6" spans="2:20" ht="13.8" thickBot="1">
      <c r="B6" s="1965"/>
      <c r="C6" s="1965"/>
      <c r="D6" s="1965"/>
      <c r="E6" s="1965"/>
      <c r="F6" s="1965"/>
      <c r="G6" s="1966"/>
      <c r="H6" s="1285"/>
      <c r="I6" s="1285" t="s">
        <v>339</v>
      </c>
      <c r="J6" s="1286" t="s">
        <v>341</v>
      </c>
    </row>
    <row r="7" spans="2:20" ht="21" customHeight="1" thickTop="1">
      <c r="B7" s="1152" t="s">
        <v>3213</v>
      </c>
      <c r="C7" s="1152"/>
      <c r="D7" s="1152"/>
      <c r="E7" s="1152"/>
      <c r="F7" s="1152"/>
      <c r="G7" s="1287"/>
      <c r="H7" s="597"/>
      <c r="I7" s="1291">
        <f>H7</f>
        <v>0</v>
      </c>
      <c r="J7" s="1185">
        <f>+I7-H7</f>
        <v>0</v>
      </c>
    </row>
    <row r="8" spans="2:20" ht="10.5" customHeight="1">
      <c r="B8" s="1191" t="s">
        <v>3212</v>
      </c>
      <c r="C8" s="1096"/>
      <c r="D8" s="1096"/>
      <c r="E8" s="1096"/>
      <c r="F8" s="1096"/>
      <c r="G8" s="1288"/>
      <c r="H8" s="1290"/>
      <c r="I8" s="1290"/>
      <c r="J8" s="1100"/>
    </row>
    <row r="9" spans="2:20">
      <c r="B9" s="1110" t="s">
        <v>175</v>
      </c>
      <c r="C9" s="1110"/>
      <c r="D9" s="1110"/>
      <c r="E9" s="1110"/>
      <c r="F9" s="1110"/>
      <c r="G9" s="1289"/>
      <c r="H9" s="644"/>
      <c r="I9" s="644"/>
      <c r="J9" s="849">
        <f t="shared" ref="J9:J15" si="0">+I9-H9</f>
        <v>0</v>
      </c>
    </row>
    <row r="10" spans="2:20" ht="21" customHeight="1">
      <c r="B10" s="639"/>
      <c r="C10" s="639"/>
      <c r="D10" s="639"/>
      <c r="E10" s="639"/>
      <c r="F10" s="639"/>
      <c r="G10" s="1148"/>
      <c r="H10" s="771"/>
      <c r="I10" s="771"/>
      <c r="J10" s="1292">
        <f t="shared" si="0"/>
        <v>0</v>
      </c>
      <c r="N10" s="315"/>
      <c r="O10" s="315"/>
      <c r="P10" s="315"/>
      <c r="Q10" s="315"/>
      <c r="R10" s="315"/>
      <c r="S10" s="315"/>
      <c r="T10" s="315"/>
    </row>
    <row r="11" spans="2:20" ht="21" customHeight="1">
      <c r="B11" s="639"/>
      <c r="C11" s="639"/>
      <c r="D11" s="639"/>
      <c r="E11" s="639"/>
      <c r="F11" s="639"/>
      <c r="G11" s="1148"/>
      <c r="H11" s="771"/>
      <c r="I11" s="771"/>
      <c r="J11" s="1106">
        <f t="shared" si="0"/>
        <v>0</v>
      </c>
      <c r="N11" s="315"/>
      <c r="O11" s="315"/>
      <c r="P11" s="315"/>
      <c r="Q11" s="315"/>
      <c r="R11" s="315"/>
      <c r="S11" s="315"/>
      <c r="T11" s="315"/>
    </row>
    <row r="12" spans="2:20" ht="21" customHeight="1">
      <c r="B12" s="639"/>
      <c r="C12" s="639"/>
      <c r="D12" s="639"/>
      <c r="E12" s="639"/>
      <c r="F12" s="639"/>
      <c r="G12" s="1148"/>
      <c r="H12" s="771"/>
      <c r="I12" s="771"/>
      <c r="J12" s="1106">
        <f t="shared" si="0"/>
        <v>0</v>
      </c>
      <c r="N12" s="370"/>
      <c r="O12" s="315"/>
      <c r="P12" s="315"/>
      <c r="Q12" s="315"/>
      <c r="R12" s="315"/>
      <c r="S12" s="315"/>
      <c r="T12" s="315"/>
    </row>
    <row r="13" spans="2:20" ht="21" customHeight="1">
      <c r="B13" s="639"/>
      <c r="C13" s="639"/>
      <c r="D13" s="639"/>
      <c r="E13" s="639"/>
      <c r="F13" s="639"/>
      <c r="G13" s="1148"/>
      <c r="H13" s="771"/>
      <c r="I13" s="771"/>
      <c r="J13" s="1106">
        <f t="shared" si="0"/>
        <v>0</v>
      </c>
      <c r="N13" s="315"/>
      <c r="O13" s="315"/>
      <c r="P13" s="315"/>
      <c r="Q13" s="315"/>
      <c r="R13" s="315"/>
      <c r="S13" s="315"/>
      <c r="T13" s="315"/>
    </row>
    <row r="14" spans="2:20" ht="21" customHeight="1">
      <c r="B14" s="639"/>
      <c r="C14" s="639"/>
      <c r="D14" s="639"/>
      <c r="E14" s="639"/>
      <c r="F14" s="639"/>
      <c r="G14" s="1148"/>
      <c r="H14" s="771"/>
      <c r="I14" s="771"/>
      <c r="J14" s="1106">
        <f t="shared" si="0"/>
        <v>0</v>
      </c>
      <c r="N14" s="315"/>
      <c r="O14" s="315"/>
      <c r="P14" s="315"/>
      <c r="Q14" s="315"/>
      <c r="R14" s="315"/>
      <c r="S14" s="315"/>
      <c r="T14" s="315"/>
    </row>
    <row r="15" spans="2:20" ht="21" customHeight="1">
      <c r="B15" s="681" t="s">
        <v>3211</v>
      </c>
      <c r="C15" s="681"/>
      <c r="D15" s="681"/>
      <c r="E15" s="681"/>
      <c r="F15" s="681"/>
      <c r="G15" s="1289"/>
      <c r="H15" s="771"/>
      <c r="I15" s="771"/>
      <c r="J15" s="1106">
        <f t="shared" si="0"/>
        <v>0</v>
      </c>
      <c r="N15" s="315"/>
      <c r="O15" s="315"/>
      <c r="P15" s="315"/>
      <c r="Q15" s="315"/>
      <c r="R15" s="315"/>
      <c r="S15" s="315"/>
      <c r="T15" s="315"/>
    </row>
    <row r="16" spans="2:20" ht="21" customHeight="1">
      <c r="B16" s="681" t="s">
        <v>3210</v>
      </c>
      <c r="C16" s="681"/>
      <c r="D16" s="681"/>
      <c r="E16" s="681"/>
      <c r="F16" s="681"/>
      <c r="G16" s="1289"/>
      <c r="H16" s="771"/>
      <c r="I16" s="771"/>
      <c r="J16" s="1106"/>
      <c r="N16" s="315"/>
      <c r="O16" s="315"/>
      <c r="P16" s="315"/>
      <c r="Q16" s="315"/>
      <c r="R16" s="315"/>
      <c r="S16" s="315"/>
      <c r="T16" s="315"/>
    </row>
    <row r="17" spans="2:20" ht="21" customHeight="1">
      <c r="B17" s="681" t="s">
        <v>338</v>
      </c>
      <c r="C17" s="681"/>
      <c r="D17" s="681"/>
      <c r="E17" s="681"/>
      <c r="F17" s="681"/>
      <c r="G17" s="1289"/>
      <c r="H17" s="1156" t="s">
        <v>662</v>
      </c>
      <c r="I17" s="1156" t="s">
        <v>662</v>
      </c>
      <c r="J17" s="1282" t="s">
        <v>662</v>
      </c>
      <c r="N17" s="315"/>
      <c r="O17" s="315"/>
      <c r="P17" s="315"/>
      <c r="Q17" s="315"/>
      <c r="R17" s="315"/>
      <c r="S17" s="315"/>
      <c r="T17" s="315"/>
    </row>
    <row r="18" spans="2:20" ht="21" customHeight="1">
      <c r="B18" s="639"/>
      <c r="C18" s="639"/>
      <c r="D18" s="639"/>
      <c r="E18" s="639"/>
      <c r="F18" s="639"/>
      <c r="G18" s="639"/>
      <c r="H18" s="593"/>
      <c r="I18" s="593"/>
      <c r="J18" s="1106">
        <f>I18-H18</f>
        <v>0</v>
      </c>
      <c r="N18" s="315"/>
      <c r="O18" s="315"/>
      <c r="P18" s="315"/>
      <c r="Q18" s="315"/>
      <c r="R18" s="315"/>
      <c r="S18" s="315"/>
      <c r="T18" s="315"/>
    </row>
    <row r="19" spans="2:20" ht="21" customHeight="1" thickBot="1">
      <c r="B19" s="639"/>
      <c r="C19" s="639"/>
      <c r="D19" s="639"/>
      <c r="E19" s="639"/>
      <c r="F19" s="639"/>
      <c r="G19" s="639"/>
      <c r="H19" s="619"/>
      <c r="I19" s="619"/>
      <c r="J19" s="1523">
        <f>I19-H19</f>
        <v>0</v>
      </c>
      <c r="N19" s="315"/>
      <c r="O19" s="315"/>
      <c r="P19" s="315"/>
      <c r="Q19" s="315"/>
      <c r="R19" s="315"/>
      <c r="S19" s="315"/>
      <c r="T19" s="315"/>
    </row>
    <row r="20" spans="2:20" ht="21" customHeight="1" thickTop="1">
      <c r="B20" s="681"/>
      <c r="C20" s="681"/>
      <c r="D20" s="681" t="s">
        <v>337</v>
      </c>
      <c r="E20" s="681"/>
      <c r="F20" s="681"/>
      <c r="G20" s="1294"/>
      <c r="H20" s="1297">
        <f>SUM(H7:H19)</f>
        <v>0</v>
      </c>
      <c r="I20" s="1297">
        <f>SUM(I7:I19)</f>
        <v>0</v>
      </c>
      <c r="J20" s="849">
        <f>SUM(J7:J19)</f>
        <v>0</v>
      </c>
      <c r="N20" s="315"/>
      <c r="O20" s="315"/>
      <c r="P20" s="315"/>
      <c r="Q20" s="315"/>
      <c r="R20" s="315"/>
      <c r="S20" s="315"/>
      <c r="T20" s="315"/>
    </row>
    <row r="21" spans="2:20" ht="21" customHeight="1" thickBot="1">
      <c r="B21" s="681" t="s">
        <v>3209</v>
      </c>
      <c r="C21" s="1295"/>
      <c r="D21" s="1295"/>
      <c r="E21" s="681"/>
      <c r="F21" s="681"/>
      <c r="G21" s="1289"/>
      <c r="H21" s="645"/>
      <c r="I21" s="645"/>
      <c r="J21" s="1100">
        <f>I21-H21</f>
        <v>0</v>
      </c>
      <c r="N21" s="315"/>
      <c r="O21" s="315"/>
      <c r="P21" s="315"/>
      <c r="Q21" s="315"/>
      <c r="R21" s="315"/>
      <c r="S21" s="315"/>
      <c r="T21" s="315"/>
    </row>
    <row r="22" spans="2:20" ht="21" customHeight="1" thickTop="1" thickBot="1">
      <c r="B22" s="1096"/>
      <c r="C22" s="1096"/>
      <c r="D22" s="1096"/>
      <c r="E22" s="1096"/>
      <c r="F22" s="1096"/>
      <c r="G22" s="1296"/>
      <c r="H22" s="1298">
        <f>+H20+H21</f>
        <v>0</v>
      </c>
      <c r="I22" s="1298">
        <f>+I20+I21</f>
        <v>0</v>
      </c>
      <c r="J22" s="1293">
        <f>+J20+J21</f>
        <v>0</v>
      </c>
      <c r="L22" s="392" t="s">
        <v>3190</v>
      </c>
      <c r="N22" s="315"/>
      <c r="O22" s="315"/>
      <c r="P22" s="315"/>
      <c r="Q22" s="315"/>
      <c r="R22" s="315"/>
      <c r="S22" s="315"/>
      <c r="T22" s="315"/>
    </row>
    <row r="23" spans="2:20" ht="13.8" thickTop="1">
      <c r="B23" s="420" t="s">
        <v>3208</v>
      </c>
      <c r="N23" s="315"/>
      <c r="O23" s="315"/>
      <c r="P23" s="315"/>
      <c r="Q23" s="315"/>
      <c r="R23" s="315"/>
      <c r="S23" s="315"/>
      <c r="T23" s="315"/>
    </row>
    <row r="24" spans="2:20">
      <c r="B24" s="420" t="s">
        <v>3207</v>
      </c>
      <c r="N24" s="315"/>
      <c r="O24" s="315"/>
      <c r="P24" s="315"/>
      <c r="Q24" s="315"/>
      <c r="R24" s="315"/>
      <c r="S24" s="315"/>
      <c r="T24" s="315"/>
    </row>
    <row r="25" spans="2:20">
      <c r="N25" s="315"/>
      <c r="O25" s="315"/>
      <c r="P25" s="315"/>
      <c r="Q25" s="315"/>
      <c r="R25" s="315"/>
      <c r="S25" s="315"/>
      <c r="T25" s="315"/>
    </row>
    <row r="26" spans="2:20">
      <c r="N26" s="315"/>
      <c r="O26" s="315"/>
      <c r="P26" s="315"/>
      <c r="Q26" s="315"/>
      <c r="R26" s="315"/>
      <c r="S26" s="315"/>
      <c r="T26" s="315"/>
    </row>
    <row r="27" spans="2:20" ht="17.25" customHeight="1" thickBot="1">
      <c r="B27" s="1963" t="s">
        <v>342</v>
      </c>
      <c r="C27" s="1963"/>
      <c r="D27" s="1963"/>
      <c r="E27" s="1963"/>
      <c r="F27" s="1963"/>
      <c r="G27" s="1963"/>
      <c r="H27" s="1963"/>
      <c r="I27" s="1963"/>
      <c r="J27" s="1963"/>
    </row>
    <row r="28" spans="2:20" ht="21" customHeight="1" thickTop="1">
      <c r="B28" s="1299" t="s">
        <v>343</v>
      </c>
      <c r="C28" s="1300"/>
      <c r="D28" s="1300"/>
      <c r="E28" s="1300"/>
      <c r="F28" s="1300"/>
      <c r="G28" s="1300"/>
      <c r="H28" s="1300"/>
      <c r="I28" s="1301"/>
      <c r="J28" s="1302" t="s">
        <v>662</v>
      </c>
    </row>
    <row r="29" spans="2:20" ht="21" customHeight="1">
      <c r="B29" s="1303"/>
      <c r="C29" s="1304" t="s">
        <v>181</v>
      </c>
      <c r="D29" s="1304"/>
      <c r="E29" s="1304"/>
      <c r="F29" s="1304"/>
      <c r="G29" s="1304"/>
      <c r="H29" s="1304"/>
      <c r="I29" s="1305"/>
      <c r="J29" s="646"/>
    </row>
    <row r="30" spans="2:20" ht="21" customHeight="1">
      <c r="B30" s="1303"/>
      <c r="C30" s="1304" t="s">
        <v>344</v>
      </c>
      <c r="D30" s="1304"/>
      <c r="E30" s="1304"/>
      <c r="F30" s="1304"/>
      <c r="G30" s="1304"/>
      <c r="H30" s="1304"/>
      <c r="I30" s="1305"/>
      <c r="J30" s="646"/>
    </row>
    <row r="31" spans="2:20" ht="21" customHeight="1" thickBot="1">
      <c r="B31" s="1303"/>
      <c r="C31" s="1304" t="s">
        <v>345</v>
      </c>
      <c r="D31" s="1304"/>
      <c r="E31" s="1304"/>
      <c r="F31" s="1304"/>
      <c r="G31" s="1304"/>
      <c r="H31" s="1304"/>
      <c r="I31" s="1305"/>
      <c r="J31" s="648"/>
    </row>
    <row r="32" spans="2:20" ht="21" customHeight="1" thickTop="1">
      <c r="B32" s="1303" t="s">
        <v>346</v>
      </c>
      <c r="C32" s="1304"/>
      <c r="D32" s="1304"/>
      <c r="E32" s="1304"/>
      <c r="F32" s="1304"/>
      <c r="G32" s="1304"/>
      <c r="H32" s="1304"/>
      <c r="I32" s="1306"/>
      <c r="J32" s="1307">
        <f>SUM(J29:J31)</f>
        <v>0</v>
      </c>
    </row>
    <row r="33" spans="2:13" ht="21" customHeight="1" thickBot="1">
      <c r="B33" s="1303" t="s">
        <v>347</v>
      </c>
      <c r="C33" s="1304"/>
      <c r="D33" s="1304"/>
      <c r="E33" s="1304"/>
      <c r="F33" s="1304"/>
      <c r="G33" s="1304"/>
      <c r="H33" s="1304"/>
      <c r="I33" s="1306"/>
      <c r="J33" s="647"/>
    </row>
    <row r="34" spans="2:13" ht="21" customHeight="1" thickTop="1">
      <c r="B34" s="1303" t="s">
        <v>766</v>
      </c>
      <c r="C34" s="1304"/>
      <c r="D34" s="1304"/>
      <c r="E34" s="1304"/>
      <c r="F34" s="1304"/>
      <c r="G34" s="1304"/>
      <c r="H34" s="1304"/>
      <c r="I34" s="1306"/>
      <c r="J34" s="1307">
        <f>+J32+J33</f>
        <v>0</v>
      </c>
    </row>
    <row r="35" spans="2:13" ht="21" customHeight="1">
      <c r="B35" s="1303" t="s">
        <v>348</v>
      </c>
      <c r="C35" s="1304"/>
      <c r="D35" s="1304"/>
      <c r="E35" s="1304"/>
      <c r="F35" s="1304"/>
      <c r="G35" s="1304"/>
      <c r="H35" s="1304"/>
      <c r="I35" s="1306"/>
      <c r="J35" s="1308"/>
    </row>
    <row r="36" spans="2:13" ht="21" customHeight="1">
      <c r="B36" s="1310"/>
      <c r="C36" s="1310" t="s">
        <v>628</v>
      </c>
      <c r="D36" s="1310"/>
      <c r="E36" s="1310"/>
      <c r="F36" s="1310"/>
      <c r="G36" s="1310"/>
      <c r="H36" s="1310"/>
      <c r="I36" s="649"/>
      <c r="J36" s="1309"/>
    </row>
    <row r="37" spans="2:13" ht="21" customHeight="1">
      <c r="B37" s="1310"/>
      <c r="C37" s="1310" t="s">
        <v>770</v>
      </c>
      <c r="D37" s="1310"/>
      <c r="E37" s="1310"/>
      <c r="F37" s="1310"/>
      <c r="G37" s="1310"/>
      <c r="H37" s="1310"/>
      <c r="I37" s="649"/>
      <c r="J37" s="1309"/>
    </row>
    <row r="38" spans="2:13" ht="21" customHeight="1" thickBot="1">
      <c r="B38" s="1310" t="s">
        <v>349</v>
      </c>
      <c r="C38" s="1310"/>
      <c r="D38" s="1310"/>
      <c r="E38" s="1310"/>
      <c r="F38" s="1310"/>
      <c r="G38" s="1310"/>
      <c r="H38" s="1310"/>
      <c r="I38" s="650"/>
      <c r="J38" s="646"/>
      <c r="M38" s="392"/>
    </row>
    <row r="39" spans="2:13" ht="21" customHeight="1" thickTop="1" thickBot="1">
      <c r="B39" s="1310" t="s">
        <v>771</v>
      </c>
      <c r="C39" s="1310"/>
      <c r="D39" s="1310"/>
      <c r="E39" s="1310"/>
      <c r="F39" s="1310"/>
      <c r="G39" s="1310"/>
      <c r="H39" s="1310"/>
      <c r="I39" s="1311"/>
      <c r="J39" s="1313">
        <f>SUM(I36:I38)</f>
        <v>0</v>
      </c>
    </row>
    <row r="40" spans="2:13" ht="21" customHeight="1" thickTop="1" thickBot="1">
      <c r="B40" s="1310" t="s">
        <v>350</v>
      </c>
      <c r="C40" s="1310"/>
      <c r="D40" s="1310"/>
      <c r="E40" s="1310"/>
      <c r="F40" s="1310"/>
      <c r="G40" s="1310"/>
      <c r="H40" s="1310"/>
      <c r="I40" s="1312"/>
      <c r="J40" s="1314">
        <f>+J34-J39</f>
        <v>0</v>
      </c>
      <c r="K40" s="392"/>
    </row>
    <row r="41" spans="2:13" ht="13.8" thickTop="1"/>
    <row r="42" spans="2:13">
      <c r="B42" s="420" t="s">
        <v>3206</v>
      </c>
      <c r="C42" s="420"/>
      <c r="D42" s="420"/>
      <c r="E42" s="420"/>
      <c r="F42" s="420"/>
    </row>
    <row r="43" spans="2:13">
      <c r="B43" s="420"/>
      <c r="C43" s="420" t="s">
        <v>3205</v>
      </c>
      <c r="D43" s="420"/>
      <c r="E43" s="420"/>
      <c r="F43" s="420"/>
    </row>
    <row r="44" spans="2:13">
      <c r="B44" s="420"/>
      <c r="C44" s="420"/>
      <c r="D44" s="420" t="s">
        <v>3204</v>
      </c>
      <c r="E44" s="420"/>
      <c r="F44" s="420"/>
      <c r="M44" s="392"/>
    </row>
    <row r="45" spans="2:13">
      <c r="B45" s="420"/>
      <c r="C45" s="420" t="s">
        <v>43</v>
      </c>
      <c r="D45" s="420"/>
      <c r="E45" s="420"/>
      <c r="F45" s="420"/>
    </row>
    <row r="46" spans="2:13">
      <c r="B46" s="420"/>
      <c r="C46" s="420" t="s">
        <v>3203</v>
      </c>
      <c r="D46" s="420"/>
      <c r="E46" s="420"/>
      <c r="F46" s="420"/>
    </row>
    <row r="47" spans="2:13">
      <c r="B47" s="420"/>
      <c r="C47" s="420"/>
      <c r="D47" s="420" t="s">
        <v>3202</v>
      </c>
      <c r="E47" s="420"/>
      <c r="F47" s="420"/>
    </row>
    <row r="48" spans="2:13">
      <c r="B48" s="420"/>
      <c r="C48" s="420"/>
      <c r="D48" s="420"/>
      <c r="E48" s="420"/>
      <c r="F48" s="420"/>
    </row>
    <row r="55" spans="2:10" ht="13.8">
      <c r="B55" s="1799" t="s">
        <v>3201</v>
      </c>
      <c r="C55" s="1799"/>
      <c r="D55" s="1799"/>
      <c r="E55" s="1799"/>
      <c r="F55" s="1799"/>
      <c r="G55" s="1799"/>
      <c r="H55" s="1799"/>
      <c r="I55" s="1799"/>
      <c r="J55" s="1799"/>
    </row>
  </sheetData>
  <sheetProtection algorithmName="SHA-512" hashValue="6RwGnSXYPyhlMOyjAo3uORY+ld6pVvqQCxpEhrW0qBNdJF3hxpHAwiKfTYGM90L+NBCy14R+8JO76p3+rZ5xjw==" saltValue="ZLtpaPwdEbOxTBDwOoo31g=="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4">
    <tabColor theme="3" tint="0.39997558519241921"/>
  </sheetPr>
  <dimension ref="B1:T57"/>
  <sheetViews>
    <sheetView topLeftCell="A43" zoomScaleNormal="100" zoomScaleSheetLayoutView="80" workbookViewId="0">
      <selection activeCell="B45" sqref="B45"/>
    </sheetView>
  </sheetViews>
  <sheetFormatPr defaultColWidth="8.88671875" defaultRowHeight="13.2"/>
  <cols>
    <col min="1" max="1" width="4.6640625" style="391" customWidth="1"/>
    <col min="2" max="2" width="6.109375" style="391" customWidth="1"/>
    <col min="3" max="3" width="3.33203125" style="391" customWidth="1"/>
    <col min="4" max="4" width="2.6640625" style="391" customWidth="1"/>
    <col min="5" max="5" width="8.88671875" style="391"/>
    <col min="6" max="6" width="5.88671875" style="391" customWidth="1"/>
    <col min="7" max="7" width="8.88671875" style="391"/>
    <col min="8" max="8" width="16" style="391" customWidth="1"/>
    <col min="9" max="9" width="8.88671875" style="391"/>
    <col min="10" max="11" width="16.6640625" style="391" customWidth="1"/>
    <col min="12" max="12" width="8.88671875" style="391"/>
    <col min="13" max="13" width="11.33203125" style="391" customWidth="1"/>
    <col min="14" max="16384" width="8.88671875" style="391"/>
  </cols>
  <sheetData>
    <row r="1" spans="2:20">
      <c r="B1" s="1096"/>
      <c r="C1" s="1096"/>
      <c r="D1" s="1096"/>
      <c r="E1" s="1096"/>
      <c r="F1" s="1096"/>
      <c r="G1" s="1096"/>
      <c r="H1" s="1096"/>
      <c r="I1" s="1096"/>
      <c r="J1" s="1096"/>
      <c r="K1" s="1096"/>
    </row>
    <row r="2" spans="2:20">
      <c r="B2" s="1096"/>
      <c r="C2" s="1096"/>
      <c r="D2" s="1096"/>
      <c r="E2" s="1096"/>
      <c r="F2" s="1096"/>
      <c r="G2" s="1096"/>
      <c r="H2" s="1096"/>
      <c r="I2" s="1096"/>
      <c r="J2" s="1096"/>
      <c r="K2" s="1096"/>
    </row>
    <row r="3" spans="2:20" ht="22.8">
      <c r="B3" s="1804" t="str">
        <f>"STATEMENT  OF  "&amp;TEXT('KEY INPUTS'!D34,"0")&amp;"  OPERATION"</f>
        <v>STATEMENT  OF  2020  OPERATION</v>
      </c>
      <c r="C3" s="1804"/>
      <c r="D3" s="1804"/>
      <c r="E3" s="1804"/>
      <c r="F3" s="1804"/>
      <c r="G3" s="1804"/>
      <c r="H3" s="1804"/>
      <c r="I3" s="1804"/>
      <c r="J3" s="1804"/>
      <c r="K3" s="1804"/>
    </row>
    <row r="4" spans="2:20">
      <c r="B4" s="1096"/>
      <c r="C4" s="1096"/>
      <c r="D4" s="1096"/>
      <c r="E4" s="1096"/>
      <c r="F4" s="1096"/>
      <c r="G4" s="1096"/>
      <c r="H4" s="1096"/>
      <c r="I4" s="1096"/>
      <c r="J4" s="1096"/>
      <c r="K4" s="1096"/>
    </row>
    <row r="5" spans="2:20" ht="20.399999999999999">
      <c r="B5" s="1826" t="str">
        <f>UPPER('KEY INPUTS'!D53)&amp;" UTILITY"</f>
        <v xml:space="preserve"> UTILITY</v>
      </c>
      <c r="C5" s="1826"/>
      <c r="D5" s="1826"/>
      <c r="E5" s="1826"/>
      <c r="F5" s="1826"/>
      <c r="G5" s="1826"/>
      <c r="H5" s="1826"/>
      <c r="I5" s="1826"/>
      <c r="J5" s="1826"/>
      <c r="K5" s="1826"/>
    </row>
    <row r="6" spans="2:20">
      <c r="B6" s="1096"/>
      <c r="C6" s="1096"/>
      <c r="D6" s="1096"/>
      <c r="E6" s="1096"/>
      <c r="F6" s="1096"/>
      <c r="G6" s="1096"/>
      <c r="H6" s="1096"/>
      <c r="I6" s="1096"/>
      <c r="J6" s="1096"/>
      <c r="K6" s="1096"/>
    </row>
    <row r="7" spans="2:20">
      <c r="B7" s="1096"/>
      <c r="C7" s="1096"/>
      <c r="D7" s="1096"/>
      <c r="E7" s="1096"/>
      <c r="F7" s="1096"/>
      <c r="G7" s="1096"/>
      <c r="H7" s="1096"/>
      <c r="I7" s="1096"/>
      <c r="J7" s="1096"/>
      <c r="K7" s="1096"/>
    </row>
    <row r="8" spans="2:20">
      <c r="B8" s="1096" t="s">
        <v>332</v>
      </c>
      <c r="C8" s="1171" t="str">
        <f>"Section 1 of this sheet is required to be filled out ONLY IF the "&amp;TEXT('KEY INPUTS'!D34,"0")&amp;" "&amp;PROPER('KEY INPUTS'!D53)&amp;" Utility Budget contained"</f>
        <v>Section 1 of this sheet is required to be filled out ONLY IF the 2020  Utility Budget contained</v>
      </c>
      <c r="D8" s="1096"/>
      <c r="E8" s="1096"/>
      <c r="F8" s="1096"/>
      <c r="G8" s="1096"/>
      <c r="H8" s="1096"/>
      <c r="I8" s="1096"/>
      <c r="J8" s="1096"/>
      <c r="K8" s="1096"/>
    </row>
    <row r="9" spans="2:20">
      <c r="B9" s="1096"/>
      <c r="C9" s="1096" t="s">
        <v>351</v>
      </c>
      <c r="D9" s="1096"/>
      <c r="E9" s="1096"/>
      <c r="F9" s="1096"/>
      <c r="G9" s="1096"/>
      <c r="H9" s="1096"/>
      <c r="I9" s="1096"/>
      <c r="J9" s="1096"/>
      <c r="K9" s="1096"/>
    </row>
    <row r="10" spans="2:20">
      <c r="B10" s="1096"/>
      <c r="C10" s="1096" t="s">
        <v>352</v>
      </c>
      <c r="D10" s="1096"/>
      <c r="E10" s="1096"/>
      <c r="F10" s="1096"/>
      <c r="G10" s="1096"/>
      <c r="H10" s="1096"/>
      <c r="I10" s="1096"/>
      <c r="J10" s="1096"/>
      <c r="K10" s="1096"/>
    </row>
    <row r="11" spans="2:20">
      <c r="B11" s="1096"/>
      <c r="C11" s="1149" t="s">
        <v>3217</v>
      </c>
      <c r="D11" s="1096"/>
      <c r="E11" s="1096"/>
      <c r="F11" s="1096"/>
      <c r="G11" s="1096"/>
      <c r="H11" s="1096"/>
      <c r="I11" s="1096"/>
      <c r="J11" s="1096"/>
      <c r="K11" s="1096"/>
    </row>
    <row r="12" spans="2:20">
      <c r="B12" s="1096"/>
      <c r="C12" s="1096"/>
      <c r="D12" s="1096"/>
      <c r="E12" s="1096"/>
      <c r="F12" s="1096"/>
      <c r="G12" s="1096"/>
      <c r="H12" s="1096"/>
      <c r="I12" s="1096"/>
      <c r="J12" s="1096"/>
      <c r="K12" s="1096"/>
    </row>
    <row r="13" spans="2:20" ht="17.399999999999999">
      <c r="B13" s="1150" t="s">
        <v>353</v>
      </c>
      <c r="C13" s="1096"/>
      <c r="D13" s="1096"/>
      <c r="E13" s="1096"/>
      <c r="F13" s="1096"/>
      <c r="G13" s="1096"/>
      <c r="H13" s="1096"/>
      <c r="I13" s="1096"/>
      <c r="J13" s="1096"/>
      <c r="K13" s="1096"/>
    </row>
    <row r="14" spans="2:20" ht="13.8" thickBot="1">
      <c r="B14" s="1151"/>
      <c r="C14" s="1151"/>
      <c r="D14" s="1151"/>
      <c r="E14" s="1151"/>
      <c r="F14" s="1151"/>
      <c r="G14" s="1151"/>
      <c r="H14" s="1151"/>
      <c r="I14" s="1151"/>
      <c r="J14" s="1151"/>
      <c r="K14" s="1151"/>
    </row>
    <row r="15" spans="2:20" ht="21" customHeight="1" thickTop="1">
      <c r="B15" s="1152" t="s">
        <v>354</v>
      </c>
      <c r="C15" s="1152"/>
      <c r="D15" s="1152"/>
      <c r="E15" s="1152"/>
      <c r="F15" s="1152"/>
      <c r="G15" s="1152"/>
      <c r="H15" s="1152"/>
      <c r="I15" s="1152"/>
      <c r="J15" s="1153" t="s">
        <v>662</v>
      </c>
      <c r="K15" s="832"/>
      <c r="N15" s="315"/>
      <c r="O15" s="315"/>
      <c r="P15" s="315"/>
      <c r="Q15" s="315"/>
      <c r="R15" s="315"/>
      <c r="S15" s="315"/>
      <c r="T15" s="315"/>
    </row>
    <row r="16" spans="2:20" ht="21" customHeight="1">
      <c r="B16" s="681"/>
      <c r="C16" s="681" t="s">
        <v>355</v>
      </c>
      <c r="D16" s="681"/>
      <c r="E16" s="681"/>
      <c r="F16" s="681"/>
      <c r="G16" s="681"/>
      <c r="H16" s="681"/>
      <c r="I16" s="681"/>
      <c r="J16" s="833">
        <f>+'44-Utility2'!I20</f>
        <v>0</v>
      </c>
      <c r="K16" s="832"/>
      <c r="N16" s="315"/>
      <c r="O16" s="315"/>
      <c r="P16" s="315"/>
      <c r="Q16" s="315"/>
      <c r="R16" s="315"/>
      <c r="S16" s="315"/>
      <c r="T16" s="315"/>
    </row>
    <row r="17" spans="2:20" ht="21" customHeight="1">
      <c r="B17" s="681"/>
      <c r="C17" s="681" t="s">
        <v>356</v>
      </c>
      <c r="D17" s="681"/>
      <c r="E17" s="681"/>
      <c r="F17" s="681"/>
      <c r="G17" s="681"/>
      <c r="H17" s="681"/>
      <c r="I17" s="681"/>
      <c r="J17" s="568"/>
      <c r="K17" s="832"/>
      <c r="N17" s="370"/>
      <c r="O17" s="315"/>
      <c r="P17" s="315"/>
      <c r="Q17" s="315"/>
      <c r="R17" s="315"/>
      <c r="S17" s="315"/>
      <c r="T17" s="315"/>
    </row>
    <row r="18" spans="2:20" ht="21" customHeight="1">
      <c r="B18" s="681"/>
      <c r="C18" s="905" t="str">
        <f>TEXT('KEY INPUTS'!D35,"0")&amp;" Appropriation Reserves Canceled in "&amp;TEXT('KEY INPUTS'!D34,0)</f>
        <v>2019 Appropriation Reserves Canceled in 2020</v>
      </c>
      <c r="D18" s="1154"/>
      <c r="E18" s="1154"/>
      <c r="F18" s="1154"/>
      <c r="G18" s="1154"/>
      <c r="H18" s="681"/>
      <c r="I18" s="681"/>
      <c r="J18" s="367"/>
      <c r="K18" s="832"/>
      <c r="N18" s="315"/>
      <c r="O18" s="315"/>
      <c r="P18" s="315"/>
      <c r="Q18" s="315"/>
      <c r="R18" s="315"/>
      <c r="S18" s="315"/>
      <c r="T18" s="315"/>
    </row>
    <row r="19" spans="2:20" ht="21" customHeight="1">
      <c r="B19" s="681"/>
      <c r="C19" s="639"/>
      <c r="D19" s="639"/>
      <c r="E19" s="639"/>
      <c r="F19" s="639"/>
      <c r="G19" s="639"/>
      <c r="H19" s="639"/>
      <c r="I19" s="639"/>
      <c r="J19" s="367"/>
      <c r="K19" s="832"/>
      <c r="N19" s="315"/>
      <c r="O19" s="315"/>
      <c r="P19" s="315"/>
      <c r="Q19" s="315"/>
      <c r="R19" s="315"/>
      <c r="S19" s="315"/>
      <c r="T19" s="315"/>
    </row>
    <row r="20" spans="2:20" ht="21" customHeight="1">
      <c r="B20" s="681"/>
      <c r="C20" s="639"/>
      <c r="D20" s="639"/>
      <c r="E20" s="639"/>
      <c r="F20" s="639"/>
      <c r="G20" s="639"/>
      <c r="H20" s="639"/>
      <c r="I20" s="639"/>
      <c r="J20" s="367"/>
      <c r="K20" s="832"/>
      <c r="N20" s="315"/>
      <c r="O20" s="315"/>
      <c r="P20" s="315"/>
      <c r="Q20" s="315"/>
      <c r="R20" s="315"/>
      <c r="S20" s="315"/>
      <c r="T20" s="315"/>
    </row>
    <row r="21" spans="2:20" ht="21" customHeight="1">
      <c r="B21" s="681"/>
      <c r="C21" s="681" t="s">
        <v>357</v>
      </c>
      <c r="D21" s="681"/>
      <c r="E21" s="681"/>
      <c r="F21" s="681"/>
      <c r="G21" s="681"/>
      <c r="H21" s="681"/>
      <c r="I21" s="681"/>
      <c r="J21" s="568"/>
      <c r="K21" s="842">
        <f>SUM(J16:J20)</f>
        <v>0</v>
      </c>
      <c r="N21" s="315"/>
      <c r="O21" s="315"/>
      <c r="P21" s="315"/>
      <c r="Q21" s="315"/>
      <c r="R21" s="315"/>
      <c r="S21" s="315"/>
      <c r="T21" s="315"/>
    </row>
    <row r="22" spans="2:20" ht="21" customHeight="1">
      <c r="B22" s="681" t="s">
        <v>358</v>
      </c>
      <c r="C22" s="681"/>
      <c r="D22" s="681"/>
      <c r="E22" s="681"/>
      <c r="F22" s="681"/>
      <c r="G22" s="681"/>
      <c r="H22" s="681"/>
      <c r="I22" s="681"/>
      <c r="J22" s="1156" t="s">
        <v>662</v>
      </c>
      <c r="K22" s="832"/>
      <c r="N22" s="315"/>
      <c r="O22" s="315"/>
      <c r="P22" s="315"/>
      <c r="Q22" s="315"/>
      <c r="R22" s="315"/>
      <c r="S22" s="315"/>
      <c r="T22" s="315"/>
    </row>
    <row r="23" spans="2:20" ht="21" customHeight="1">
      <c r="B23" s="681"/>
      <c r="C23" s="681" t="s">
        <v>359</v>
      </c>
      <c r="D23" s="681"/>
      <c r="E23" s="681"/>
      <c r="F23" s="681"/>
      <c r="G23" s="681"/>
      <c r="H23" s="681"/>
      <c r="I23" s="681"/>
      <c r="J23" s="1156" t="s">
        <v>662</v>
      </c>
      <c r="K23" s="832"/>
      <c r="N23" s="315"/>
      <c r="O23" s="315"/>
      <c r="P23" s="315"/>
      <c r="Q23" s="315"/>
      <c r="R23" s="315"/>
      <c r="S23" s="315"/>
      <c r="T23" s="315"/>
    </row>
    <row r="24" spans="2:20" ht="21" customHeight="1">
      <c r="B24" s="681"/>
      <c r="C24" s="681"/>
      <c r="D24" s="681" t="s">
        <v>628</v>
      </c>
      <c r="E24" s="681"/>
      <c r="F24" s="681"/>
      <c r="G24" s="681"/>
      <c r="H24" s="681"/>
      <c r="I24" s="681"/>
      <c r="J24" s="833">
        <f>+'44-Utility2'!I36</f>
        <v>0</v>
      </c>
      <c r="K24" s="832"/>
      <c r="N24" s="315"/>
      <c r="O24" s="315"/>
      <c r="P24" s="315"/>
      <c r="Q24" s="315"/>
      <c r="R24" s="315"/>
      <c r="S24" s="315"/>
      <c r="T24" s="315"/>
    </row>
    <row r="25" spans="2:20" ht="21" customHeight="1">
      <c r="B25" s="681"/>
      <c r="C25" s="681"/>
      <c r="D25" s="681" t="s">
        <v>770</v>
      </c>
      <c r="E25" s="681"/>
      <c r="F25" s="681"/>
      <c r="G25" s="681"/>
      <c r="H25" s="681"/>
      <c r="I25" s="681"/>
      <c r="J25" s="833">
        <f>+'44-Utility2'!I37</f>
        <v>0</v>
      </c>
      <c r="K25" s="832"/>
      <c r="N25" s="315"/>
      <c r="O25" s="315"/>
      <c r="P25" s="315"/>
      <c r="Q25" s="315"/>
      <c r="R25" s="315"/>
      <c r="S25" s="315"/>
      <c r="T25" s="315"/>
    </row>
    <row r="26" spans="2:20" ht="21" customHeight="1">
      <c r="B26" s="681"/>
      <c r="C26" s="681" t="s">
        <v>360</v>
      </c>
      <c r="D26" s="681"/>
      <c r="E26" s="681"/>
      <c r="F26" s="681"/>
      <c r="G26" s="681"/>
      <c r="H26" s="681"/>
      <c r="I26" s="681"/>
      <c r="J26" s="568"/>
      <c r="K26" s="832"/>
      <c r="N26" s="315"/>
      <c r="O26" s="315"/>
      <c r="P26" s="315"/>
      <c r="Q26" s="315"/>
      <c r="R26" s="315"/>
      <c r="S26" s="315"/>
      <c r="T26" s="315"/>
    </row>
    <row r="27" spans="2:20" ht="21" customHeight="1">
      <c r="B27" s="681"/>
      <c r="C27" s="681" t="s">
        <v>361</v>
      </c>
      <c r="D27" s="681"/>
      <c r="E27" s="681"/>
      <c r="F27" s="681"/>
      <c r="G27" s="681"/>
      <c r="H27" s="681"/>
      <c r="I27" s="681"/>
      <c r="J27" s="568"/>
      <c r="K27" s="832"/>
      <c r="N27" s="315"/>
      <c r="O27" s="315"/>
      <c r="P27" s="315"/>
      <c r="Q27" s="315"/>
      <c r="R27" s="315"/>
      <c r="S27" s="315"/>
      <c r="T27" s="315"/>
    </row>
    <row r="28" spans="2:20" ht="21" customHeight="1" thickBot="1">
      <c r="B28" s="681"/>
      <c r="C28" s="639"/>
      <c r="D28" s="639"/>
      <c r="E28" s="639"/>
      <c r="F28" s="639"/>
      <c r="G28" s="639"/>
      <c r="H28" s="639"/>
      <c r="I28" s="639"/>
      <c r="J28" s="1007"/>
      <c r="K28" s="832"/>
      <c r="N28" s="315"/>
      <c r="O28" s="315"/>
      <c r="P28" s="315"/>
      <c r="Q28" s="315"/>
      <c r="R28" s="315"/>
      <c r="S28" s="315"/>
      <c r="T28" s="315"/>
    </row>
    <row r="29" spans="2:20" ht="21" customHeight="1">
      <c r="B29" s="681"/>
      <c r="C29" s="681"/>
      <c r="D29" s="681"/>
      <c r="E29" s="681"/>
      <c r="F29" s="681" t="s">
        <v>771</v>
      </c>
      <c r="G29" s="681"/>
      <c r="H29" s="681"/>
      <c r="I29" s="681"/>
      <c r="J29" s="839">
        <f>SUM(J24:J28)</f>
        <v>0</v>
      </c>
      <c r="K29" s="832"/>
      <c r="N29" s="315"/>
      <c r="O29" s="315"/>
      <c r="P29" s="315"/>
      <c r="Q29" s="315"/>
      <c r="R29" s="315"/>
      <c r="S29" s="315"/>
      <c r="T29" s="315"/>
    </row>
    <row r="30" spans="2:20" ht="11.25" customHeight="1">
      <c r="B30" s="1096"/>
      <c r="C30" s="1096"/>
      <c r="D30" s="1096"/>
      <c r="E30" s="1096"/>
      <c r="F30" s="1096" t="s">
        <v>799</v>
      </c>
      <c r="G30" s="1096" t="s">
        <v>800</v>
      </c>
      <c r="H30" s="1096"/>
      <c r="I30" s="1096"/>
      <c r="J30" s="1159"/>
      <c r="K30" s="832"/>
      <c r="N30" s="315"/>
      <c r="O30" s="315"/>
      <c r="P30" s="315"/>
      <c r="Q30" s="315"/>
      <c r="R30" s="315"/>
      <c r="S30" s="315"/>
      <c r="T30" s="315"/>
    </row>
    <row r="31" spans="2:20" ht="13.5" customHeight="1">
      <c r="B31" s="1110"/>
      <c r="C31" s="1110"/>
      <c r="D31" s="1110"/>
      <c r="E31" s="1110"/>
      <c r="F31" s="1110"/>
      <c r="G31" s="1110" t="s">
        <v>801</v>
      </c>
      <c r="H31" s="1110"/>
      <c r="I31" s="1160"/>
      <c r="J31" s="1471"/>
      <c r="K31" s="1157"/>
      <c r="N31" s="315"/>
      <c r="O31" s="315"/>
      <c r="P31" s="315"/>
      <c r="Q31" s="315"/>
      <c r="R31" s="315"/>
      <c r="S31" s="315"/>
      <c r="T31" s="315"/>
    </row>
    <row r="32" spans="2:20" ht="21" customHeight="1" thickBot="1">
      <c r="B32" s="1162"/>
      <c r="C32" s="1162"/>
      <c r="D32" s="1162" t="s">
        <v>802</v>
      </c>
      <c r="E32" s="1162"/>
      <c r="F32" s="1162"/>
      <c r="G32" s="1162"/>
      <c r="H32" s="1162"/>
      <c r="I32" s="1162"/>
      <c r="J32" s="1163"/>
      <c r="K32" s="1158">
        <f>+J29-J31</f>
        <v>0</v>
      </c>
    </row>
    <row r="33" spans="2:15" ht="21" customHeight="1" thickTop="1" thickBot="1">
      <c r="B33" s="1164" t="s">
        <v>803</v>
      </c>
      <c r="C33" s="1164"/>
      <c r="D33" s="1164"/>
      <c r="E33" s="1164"/>
      <c r="F33" s="1164"/>
      <c r="G33" s="1164"/>
      <c r="H33" s="1164"/>
      <c r="I33" s="1164"/>
      <c r="J33" s="1165"/>
      <c r="K33" s="1166">
        <f>IF(M33&gt;0,M33,0)</f>
        <v>0</v>
      </c>
      <c r="M33" s="392">
        <f>+K21-K32</f>
        <v>0</v>
      </c>
      <c r="N33" s="701" t="s">
        <v>3270</v>
      </c>
    </row>
    <row r="34" spans="2:15" ht="21" customHeight="1">
      <c r="B34" s="681" t="s">
        <v>804</v>
      </c>
      <c r="C34" s="681"/>
      <c r="D34" s="681"/>
      <c r="E34" s="681"/>
      <c r="F34" s="681"/>
      <c r="G34" s="681"/>
      <c r="H34" s="681"/>
      <c r="I34" s="681"/>
      <c r="J34" s="568"/>
      <c r="K34" s="832"/>
    </row>
    <row r="35" spans="2:15" ht="11.25" customHeight="1">
      <c r="B35" s="1838" t="s">
        <v>805</v>
      </c>
      <c r="C35" s="1838"/>
      <c r="D35" s="1838"/>
      <c r="E35" s="1171" t="str">
        <f>"Balance of Results of "&amp;TEXT('KEY INPUTS'!D34,"0")&amp;" Operation"</f>
        <v>Balance of Results of 2020 Operation</v>
      </c>
      <c r="F35" s="1096"/>
      <c r="G35" s="1096"/>
      <c r="H35" s="1096"/>
      <c r="I35" s="1096"/>
      <c r="J35" s="1159"/>
      <c r="K35" s="832"/>
    </row>
    <row r="36" spans="2:15" ht="12.75" customHeight="1" thickBot="1">
      <c r="B36" s="1839"/>
      <c r="C36" s="1839"/>
      <c r="D36" s="1839"/>
      <c r="E36" s="1110" t="s">
        <v>3549</v>
      </c>
      <c r="F36" s="1110"/>
      <c r="G36" s="1110"/>
      <c r="H36" s="1110"/>
      <c r="I36" s="1110"/>
      <c r="J36" s="1161">
        <f>+K33-J34</f>
        <v>0</v>
      </c>
      <c r="K36" s="832"/>
    </row>
    <row r="37" spans="2:15" ht="21" customHeight="1" thickBot="1">
      <c r="B37" s="1172"/>
      <c r="C37" s="1172"/>
      <c r="D37" s="1172"/>
      <c r="E37" s="1172"/>
      <c r="F37" s="1172"/>
      <c r="G37" s="1172"/>
      <c r="H37" s="1172"/>
      <c r="I37" s="1172"/>
      <c r="J37" s="1175"/>
      <c r="K37" s="1167"/>
    </row>
    <row r="38" spans="2:15" ht="21" customHeight="1" thickBot="1">
      <c r="B38" s="1173" t="s">
        <v>806</v>
      </c>
      <c r="C38" s="1173"/>
      <c r="D38" s="1173"/>
      <c r="E38" s="1173"/>
      <c r="F38" s="1173"/>
      <c r="G38" s="1173"/>
      <c r="H38" s="1173"/>
      <c r="I38" s="1173"/>
      <c r="J38" s="1176"/>
      <c r="K38" s="1168">
        <f>IF(+M33&gt;0,0,+M33*-1)</f>
        <v>0</v>
      </c>
    </row>
    <row r="39" spans="2:15" ht="21" customHeight="1">
      <c r="B39" s="681" t="s">
        <v>807</v>
      </c>
      <c r="C39" s="681"/>
      <c r="D39" s="681"/>
      <c r="E39" s="681"/>
      <c r="F39" s="681"/>
      <c r="G39" s="681"/>
      <c r="H39" s="681"/>
      <c r="I39" s="681"/>
      <c r="J39" s="1176">
        <f>+'44-Utility2'!I21</f>
        <v>0</v>
      </c>
      <c r="K39" s="832"/>
    </row>
    <row r="40" spans="2:15">
      <c r="B40" s="1840" t="s">
        <v>805</v>
      </c>
      <c r="C40" s="1840"/>
      <c r="D40" s="1840"/>
      <c r="E40" s="1171" t="str">
        <f>"Balance of Results of "&amp;TEXT('KEY INPUTS'!D34,"0")&amp;" Operation"</f>
        <v>Balance of Results of 2020 Operation</v>
      </c>
      <c r="F40" s="1174"/>
      <c r="G40" s="1174"/>
      <c r="H40" s="1174"/>
      <c r="I40" s="1174"/>
      <c r="J40" s="1159"/>
      <c r="K40" s="1169"/>
    </row>
    <row r="41" spans="2:15" ht="13.8" thickBot="1">
      <c r="B41" s="1841"/>
      <c r="C41" s="1841"/>
      <c r="D41" s="1841"/>
      <c r="E41" s="1151" t="s">
        <v>3216</v>
      </c>
      <c r="F41" s="1151"/>
      <c r="G41" s="1151"/>
      <c r="H41" s="1151"/>
      <c r="I41" s="1151"/>
      <c r="J41" s="1177">
        <f>+K38-J39</f>
        <v>0</v>
      </c>
      <c r="K41" s="1170"/>
      <c r="L41" s="730"/>
      <c r="O41" s="392"/>
    </row>
    <row r="42" spans="2:15" ht="13.8" thickTop="1">
      <c r="J42" s="457"/>
      <c r="K42" s="457"/>
    </row>
    <row r="43" spans="2:15" ht="17.399999999999999">
      <c r="B43" s="1150" t="s">
        <v>808</v>
      </c>
      <c r="C43" s="1096"/>
      <c r="D43" s="1096"/>
      <c r="E43" s="1096"/>
      <c r="F43" s="1096"/>
      <c r="G43" s="1096"/>
      <c r="H43" s="1096"/>
      <c r="I43" s="1096"/>
      <c r="J43" s="832"/>
      <c r="K43" s="832"/>
    </row>
    <row r="44" spans="2:15">
      <c r="B44" s="1171" t="str">
        <f>"The following Item of '"&amp;TEXT('KEY INPUTS'!D35,"0")&amp;" Appropriation Reserves Canceled in "&amp;TEXT('KEY INPUTS'!D34,"0")&amp;"' is Due to the Current Fund TO THE"</f>
        <v>The following Item of '2019 Appropriation Reserves Canceled in 2020' is Due to the Current Fund TO THE</v>
      </c>
      <c r="C44" s="1096"/>
      <c r="D44" s="1096"/>
      <c r="E44" s="1096"/>
      <c r="F44" s="1096"/>
      <c r="G44" s="1096"/>
      <c r="H44" s="1096"/>
      <c r="I44" s="1096"/>
      <c r="J44" s="832"/>
      <c r="K44" s="832"/>
    </row>
    <row r="45" spans="2:15">
      <c r="B45" s="1171" t="str">
        <f>"EXTENT OF the amount received and Due from the General Budget of "&amp;TEXT('KEY INPUTS'!D35,"0")&amp;" for an Anticipated Deficit in the"</f>
        <v>EXTENT OF the amount received and Due from the General Budget of 2019 for an Anticipated Deficit in the</v>
      </c>
      <c r="C45" s="1096"/>
      <c r="D45" s="1096"/>
      <c r="E45" s="1096"/>
      <c r="F45" s="1096"/>
      <c r="G45" s="1096"/>
      <c r="H45" s="1096"/>
      <c r="I45" s="1096"/>
      <c r="J45" s="832"/>
      <c r="K45" s="832"/>
    </row>
    <row r="46" spans="2:15">
      <c r="B46" s="1171" t="str">
        <f>PROPER('KEY INPUTS'!D53)&amp;" Utility for "&amp;TEXT('KEY INPUTS'!D35,"0")&amp;""</f>
        <v xml:space="preserve"> Utility for 2019</v>
      </c>
      <c r="C46" s="1096"/>
      <c r="D46" s="1096"/>
      <c r="E46" s="1096"/>
      <c r="F46" s="1096"/>
      <c r="G46" s="1096"/>
      <c r="H46" s="1096"/>
      <c r="I46" s="1096"/>
      <c r="J46" s="832"/>
      <c r="K46" s="832"/>
      <c r="O46" s="315"/>
    </row>
    <row r="47" spans="2:15">
      <c r="B47" s="1096"/>
      <c r="C47" s="1096"/>
      <c r="D47" s="1096"/>
      <c r="E47" s="1096"/>
      <c r="F47" s="1096"/>
      <c r="G47" s="1096"/>
      <c r="H47" s="1096"/>
      <c r="I47" s="1096"/>
      <c r="J47" s="832"/>
      <c r="K47" s="832"/>
      <c r="O47" s="315"/>
    </row>
    <row r="48" spans="2:15" ht="21" customHeight="1">
      <c r="B48" s="905" t="str">
        <f>TEXT('KEY INPUTS'!D35,"0")&amp;" Appropriation Reserves Canceled in "&amp;TEXT('KEY INPUTS'!D34,0)</f>
        <v>2019 Appropriation Reserves Canceled in 2020</v>
      </c>
      <c r="C48" s="681"/>
      <c r="D48" s="681"/>
      <c r="E48" s="681"/>
      <c r="F48" s="681"/>
      <c r="G48" s="681"/>
      <c r="H48" s="681"/>
      <c r="I48" s="681"/>
      <c r="J48" s="367"/>
      <c r="K48" s="832"/>
      <c r="O48" s="315"/>
    </row>
    <row r="49" spans="2:15" ht="24" customHeight="1">
      <c r="B49" s="681"/>
      <c r="C49" s="1178" t="s">
        <v>799</v>
      </c>
      <c r="D49" s="681"/>
      <c r="E49" s="1836" t="str">
        <f>"Anticipated Deficit in "&amp;TEXT('KEY INPUTS'!D35,"0")&amp;" Budget - Amount Received and Due from Current Fund - If none, enter 'None '"""</f>
        <v>Anticipated Deficit in 2019 Budget - Amount Received and Due from Current Fund - If none, enter 'None '"</v>
      </c>
      <c r="F49" s="1836"/>
      <c r="G49" s="1836"/>
      <c r="H49" s="1836"/>
      <c r="I49" s="1837"/>
      <c r="J49" s="568"/>
      <c r="K49" s="832"/>
      <c r="O49" s="315"/>
    </row>
    <row r="50" spans="2:15" ht="21" customHeight="1">
      <c r="B50" s="681" t="s">
        <v>809</v>
      </c>
      <c r="C50" s="681"/>
      <c r="D50" s="681"/>
      <c r="E50" s="681"/>
      <c r="F50" s="681"/>
      <c r="G50" s="681"/>
      <c r="H50" s="681"/>
      <c r="I50" s="681"/>
      <c r="J50" s="654"/>
      <c r="K50" s="842">
        <f>+MAX(0,J48-J49)</f>
        <v>0</v>
      </c>
    </row>
    <row r="52" spans="2:15">
      <c r="B52" s="456" t="s">
        <v>3215</v>
      </c>
    </row>
    <row r="53" spans="2:15">
      <c r="B53" s="456"/>
    </row>
    <row r="54" spans="2:15">
      <c r="B54" s="456"/>
    </row>
    <row r="55" spans="2:15">
      <c r="B55" s="456"/>
    </row>
    <row r="56" spans="2:15">
      <c r="B56" s="456"/>
    </row>
    <row r="57" spans="2:15" ht="13.8">
      <c r="B57" s="1799" t="s">
        <v>3214</v>
      </c>
      <c r="C57" s="1799"/>
      <c r="D57" s="1799"/>
      <c r="E57" s="1799"/>
      <c r="F57" s="1799"/>
      <c r="G57" s="1799"/>
      <c r="H57" s="1799"/>
      <c r="I57" s="1799"/>
      <c r="J57" s="1799"/>
      <c r="K57" s="1799"/>
    </row>
  </sheetData>
  <sheetProtection algorithmName="SHA-512" hashValue="JWXFBitQ9KCzKtrgac0A4U8En1HP7eSXGbvgTTJIdzvq0iBP31ev8qln89QR2r/BLlsDtSgYVt4DXeKTqftOfQ==" saltValue="I1B2ttpB5FhQRPnXN3Lozw=="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5">
    <tabColor theme="3" tint="0.39997558519241921"/>
  </sheetPr>
  <dimension ref="B1:Z52"/>
  <sheetViews>
    <sheetView zoomScaleNormal="100" zoomScaleSheetLayoutView="80" workbookViewId="0">
      <selection activeCell="P14" sqref="P14"/>
    </sheetView>
  </sheetViews>
  <sheetFormatPr defaultColWidth="8.88671875" defaultRowHeight="13.2"/>
  <cols>
    <col min="1" max="5" width="4.6640625" style="391" customWidth="1"/>
    <col min="6" max="8" width="8.88671875" style="391"/>
    <col min="9" max="9" width="6.33203125" style="391" customWidth="1"/>
    <col min="10" max="10" width="8.88671875" style="391"/>
    <col min="11" max="12" width="16.6640625" style="391" customWidth="1"/>
    <col min="13" max="13" width="13.5546875" style="391" bestFit="1" customWidth="1"/>
    <col min="14" max="14" width="11.88671875" style="391" bestFit="1" customWidth="1"/>
    <col min="15" max="16384" width="8.88671875" style="391"/>
  </cols>
  <sheetData>
    <row r="1" spans="2:26">
      <c r="B1" s="1096"/>
      <c r="C1" s="1096"/>
      <c r="D1" s="1096"/>
      <c r="E1" s="1096"/>
      <c r="F1" s="1096"/>
      <c r="G1" s="1096"/>
      <c r="H1" s="1096"/>
      <c r="I1" s="1096"/>
      <c r="J1" s="1096"/>
      <c r="K1" s="1096"/>
      <c r="L1" s="1096"/>
    </row>
    <row r="2" spans="2:26" ht="20.399999999999999">
      <c r="B2" s="1826" t="str">
        <f>"RESULTS  OF  "&amp;TEXT('KEY INPUTS'!D34,"0")&amp;"  OPERATIONS  - "&amp;UPPER('KEY INPUTS'!D53)&amp;" UTILITY"</f>
        <v>RESULTS  OF  2020  OPERATIONS  -  UTILITY</v>
      </c>
      <c r="C2" s="1826"/>
      <c r="D2" s="1826"/>
      <c r="E2" s="1826"/>
      <c r="F2" s="1826"/>
      <c r="G2" s="1826"/>
      <c r="H2" s="1826"/>
      <c r="I2" s="1826"/>
      <c r="J2" s="1826"/>
      <c r="K2" s="1826"/>
      <c r="L2" s="1826"/>
    </row>
    <row r="3" spans="2:26" ht="13.8" thickBot="1">
      <c r="B3" s="1096"/>
      <c r="C3" s="1096"/>
      <c r="D3" s="1096"/>
      <c r="E3" s="1096"/>
      <c r="F3" s="1096"/>
      <c r="G3" s="1096"/>
      <c r="H3" s="1096"/>
      <c r="I3" s="1096"/>
      <c r="J3" s="1096"/>
      <c r="K3" s="1096"/>
      <c r="L3" s="1096"/>
    </row>
    <row r="4" spans="2:26" ht="21" customHeight="1" thickTop="1" thickBot="1">
      <c r="B4" s="1315"/>
      <c r="C4" s="1315"/>
      <c r="D4" s="1315"/>
      <c r="E4" s="1315"/>
      <c r="F4" s="1315"/>
      <c r="G4" s="1315"/>
      <c r="H4" s="1315"/>
      <c r="I4" s="1315"/>
      <c r="J4" s="1315"/>
      <c r="K4" s="1097" t="s">
        <v>101</v>
      </c>
      <c r="L4" s="1098" t="s">
        <v>102</v>
      </c>
    </row>
    <row r="5" spans="2:26" ht="21" customHeight="1" thickTop="1">
      <c r="B5" s="1192" t="s">
        <v>218</v>
      </c>
      <c r="C5" s="1152"/>
      <c r="D5" s="1152"/>
      <c r="E5" s="1152"/>
      <c r="F5" s="1152"/>
      <c r="G5" s="1152"/>
      <c r="H5" s="1152"/>
      <c r="I5" s="1152"/>
      <c r="J5" s="1152"/>
      <c r="K5" s="1184" t="s">
        <v>662</v>
      </c>
      <c r="L5" s="1185">
        <f>IF(+'44-Utility2'!J22&gt;0,+'44-Utility2'!J22,0)</f>
        <v>0</v>
      </c>
      <c r="N5" s="315"/>
      <c r="O5" s="315"/>
      <c r="P5" s="315"/>
      <c r="Q5" s="315"/>
      <c r="R5" s="315"/>
      <c r="S5" s="315"/>
      <c r="T5" s="315"/>
    </row>
    <row r="6" spans="2:26" ht="21" customHeight="1">
      <c r="B6" s="687" t="s">
        <v>219</v>
      </c>
      <c r="C6" s="681"/>
      <c r="D6" s="681"/>
      <c r="E6" s="681"/>
      <c r="F6" s="681"/>
      <c r="G6" s="681"/>
      <c r="H6" s="681"/>
      <c r="I6" s="681"/>
      <c r="J6" s="681"/>
      <c r="K6" s="1186" t="s">
        <v>662</v>
      </c>
      <c r="L6" s="1106">
        <f>+'44-Utility2'!J40</f>
        <v>0</v>
      </c>
      <c r="M6" s="730"/>
      <c r="N6" s="315"/>
      <c r="O6" s="315"/>
      <c r="P6" s="315"/>
      <c r="Q6" s="315"/>
      <c r="R6" s="315"/>
      <c r="S6" s="315"/>
      <c r="T6" s="315"/>
    </row>
    <row r="7" spans="2:26" ht="21" customHeight="1">
      <c r="B7" s="687" t="s">
        <v>220</v>
      </c>
      <c r="C7" s="681"/>
      <c r="D7" s="681"/>
      <c r="E7" s="681"/>
      <c r="F7" s="681"/>
      <c r="G7" s="681"/>
      <c r="H7" s="681"/>
      <c r="I7" s="681"/>
      <c r="J7" s="681"/>
      <c r="K7" s="1186" t="s">
        <v>662</v>
      </c>
      <c r="L7" s="1106">
        <f>'45-Utility2'!J17</f>
        <v>0</v>
      </c>
      <c r="N7" s="370"/>
      <c r="O7" s="315"/>
      <c r="P7" s="315"/>
      <c r="Q7" s="315"/>
      <c r="R7" s="315"/>
      <c r="S7" s="315"/>
      <c r="T7" s="315"/>
    </row>
    <row r="8" spans="2:26" ht="21" customHeight="1">
      <c r="B8" s="1096" t="str">
        <f>"Unexpended Balances of "&amp;TEXT('KEY INPUTS'!D35,"0")&amp;" Appropriations*"</f>
        <v>Unexpended Balances of 2019 Appropriations*</v>
      </c>
      <c r="C8" s="681"/>
      <c r="D8" s="681"/>
      <c r="E8" s="681"/>
      <c r="F8" s="681"/>
      <c r="G8" s="681"/>
      <c r="H8" s="681"/>
      <c r="I8" s="681"/>
      <c r="J8" s="681"/>
      <c r="K8" s="1186" t="s">
        <v>662</v>
      </c>
      <c r="L8" s="1106">
        <f>+'45-Utility2'!K50</f>
        <v>0</v>
      </c>
      <c r="N8" s="315"/>
      <c r="O8" s="315"/>
      <c r="P8" s="315"/>
      <c r="Q8" s="315"/>
      <c r="R8" s="315"/>
      <c r="S8" s="315"/>
      <c r="T8" s="315"/>
    </row>
    <row r="9" spans="2:26" ht="21" customHeight="1">
      <c r="B9" s="696"/>
      <c r="C9" s="639"/>
      <c r="D9" s="639"/>
      <c r="E9" s="639"/>
      <c r="F9" s="639"/>
      <c r="G9" s="639"/>
      <c r="H9" s="639"/>
      <c r="I9" s="681"/>
      <c r="J9" s="681"/>
      <c r="K9" s="649"/>
      <c r="L9" s="601"/>
      <c r="N9" s="315"/>
      <c r="O9" s="315"/>
      <c r="P9" s="315"/>
      <c r="Q9" s="315"/>
      <c r="R9" s="315"/>
      <c r="S9" s="315"/>
      <c r="T9" s="315"/>
    </row>
    <row r="10" spans="2:26" ht="21" customHeight="1">
      <c r="B10" s="1096" t="s">
        <v>3221</v>
      </c>
      <c r="C10" s="1096"/>
      <c r="D10" s="1096"/>
      <c r="E10" s="1096"/>
      <c r="F10" s="1096"/>
      <c r="G10" s="1096"/>
      <c r="H10" s="1096"/>
      <c r="I10" s="1096"/>
      <c r="J10" s="1096"/>
      <c r="K10" s="680">
        <f>IF(+'44-Utility2'!J22&lt;0,-'44-Utility2'!J22,0)</f>
        <v>0</v>
      </c>
      <c r="L10" s="1188" t="s">
        <v>662</v>
      </c>
      <c r="M10" s="392">
        <f>+L9+L8+L7+L6+L5-K11-K10-K9</f>
        <v>0</v>
      </c>
      <c r="N10" s="701" t="s">
        <v>3434</v>
      </c>
      <c r="O10" s="315"/>
      <c r="P10" s="315"/>
      <c r="Q10" s="315"/>
      <c r="R10" s="315"/>
      <c r="S10" s="315"/>
      <c r="T10" s="315"/>
      <c r="V10" s="470">
        <f>-'44-Utility2'!U22</f>
        <v>0</v>
      </c>
    </row>
    <row r="11" spans="2:26" ht="21" customHeight="1">
      <c r="B11" s="693"/>
      <c r="C11" s="1181"/>
      <c r="D11" s="639"/>
      <c r="E11" s="639"/>
      <c r="F11" s="639"/>
      <c r="G11" s="639"/>
      <c r="H11" s="639"/>
      <c r="I11" s="681"/>
      <c r="J11" s="681"/>
      <c r="K11" s="593"/>
      <c r="L11" s="1188" t="s">
        <v>662</v>
      </c>
      <c r="N11" s="315"/>
      <c r="O11" s="315"/>
      <c r="P11" s="315"/>
      <c r="Q11" s="315"/>
      <c r="R11" s="315"/>
      <c r="S11" s="315"/>
      <c r="T11" s="315"/>
      <c r="U11" s="315"/>
      <c r="V11" s="315"/>
      <c r="W11" s="315"/>
      <c r="X11" s="315"/>
      <c r="Y11" s="315"/>
      <c r="Z11" s="315"/>
    </row>
    <row r="12" spans="2:26" ht="21" customHeight="1">
      <c r="B12" s="687" t="s">
        <v>221</v>
      </c>
      <c r="C12" s="1154"/>
      <c r="D12" s="681"/>
      <c r="E12" s="681"/>
      <c r="F12" s="681"/>
      <c r="G12" s="681"/>
      <c r="H12" s="681"/>
      <c r="I12" s="681"/>
      <c r="J12" s="681"/>
      <c r="K12" s="1186" t="s">
        <v>662</v>
      </c>
      <c r="L12" s="1187">
        <f>IF(M10&gt;0,0,M10*-1)</f>
        <v>0</v>
      </c>
      <c r="N12" s="315"/>
      <c r="O12" s="315"/>
      <c r="P12" s="315"/>
      <c r="Q12" s="315"/>
      <c r="R12" s="315"/>
      <c r="S12" s="315"/>
      <c r="T12" s="315"/>
      <c r="U12" s="315"/>
      <c r="V12" s="315"/>
      <c r="W12" s="315"/>
      <c r="X12" s="315"/>
      <c r="Y12" s="315"/>
      <c r="Z12" s="315"/>
    </row>
    <row r="13" spans="2:26" ht="21" customHeight="1" thickBot="1">
      <c r="B13" s="687" t="s">
        <v>222</v>
      </c>
      <c r="C13" s="1154"/>
      <c r="D13" s="681"/>
      <c r="E13" s="681"/>
      <c r="F13" s="681"/>
      <c r="G13" s="681"/>
      <c r="H13" s="681"/>
      <c r="I13" s="681"/>
      <c r="J13" s="681"/>
      <c r="K13" s="680">
        <f>IF(M10&gt;0,M10,0)</f>
        <v>0</v>
      </c>
      <c r="L13" s="1189" t="s">
        <v>662</v>
      </c>
      <c r="M13" s="392"/>
      <c r="N13" s="315"/>
      <c r="O13" s="315"/>
      <c r="P13" s="315"/>
      <c r="Q13" s="315"/>
      <c r="R13" s="315"/>
      <c r="S13" s="315"/>
      <c r="T13" s="315"/>
      <c r="U13" s="315"/>
      <c r="V13" s="469">
        <f>U11</f>
        <v>0</v>
      </c>
      <c r="W13" s="315"/>
      <c r="X13" s="315"/>
      <c r="Y13" s="315"/>
      <c r="Z13" s="315"/>
    </row>
    <row r="14" spans="2:26" ht="21" customHeight="1" thickBot="1">
      <c r="B14" s="1191" t="s">
        <v>3220</v>
      </c>
      <c r="C14" s="1096"/>
      <c r="D14" s="1096"/>
      <c r="E14" s="1096"/>
      <c r="F14" s="1096"/>
      <c r="G14" s="1096"/>
      <c r="H14" s="1096"/>
      <c r="I14" s="1096"/>
      <c r="J14" s="1096"/>
      <c r="K14" s="1113">
        <f>SUM(K5:K13)</f>
        <v>0</v>
      </c>
      <c r="L14" s="1114">
        <f>SUM(L5:L13)</f>
        <v>0</v>
      </c>
      <c r="M14" s="392">
        <f>L14-K14</f>
        <v>0</v>
      </c>
      <c r="N14" s="701" t="s">
        <v>3434</v>
      </c>
      <c r="O14" s="315"/>
      <c r="P14" s="315"/>
      <c r="Q14" s="315"/>
      <c r="R14" s="315"/>
      <c r="S14" s="315"/>
      <c r="T14" s="315"/>
      <c r="U14" s="315"/>
      <c r="V14" s="315"/>
      <c r="W14" s="315"/>
      <c r="X14" s="315"/>
      <c r="Y14" s="315"/>
      <c r="Z14" s="315"/>
    </row>
    <row r="15" spans="2:26" ht="18.75" customHeight="1" thickTop="1">
      <c r="N15" s="315"/>
      <c r="O15" s="315"/>
      <c r="P15" s="315"/>
      <c r="Q15" s="315"/>
      <c r="R15" s="315"/>
      <c r="S15" s="315"/>
      <c r="T15" s="315"/>
    </row>
    <row r="16" spans="2:26" ht="18.75" customHeight="1">
      <c r="K16" s="392"/>
      <c r="N16" s="315"/>
      <c r="O16" s="315"/>
      <c r="P16" s="315"/>
      <c r="Q16" s="315"/>
      <c r="R16" s="315"/>
      <c r="S16" s="315"/>
      <c r="T16" s="315"/>
    </row>
    <row r="17" spans="2:20" ht="22.8">
      <c r="B17" s="1804" t="str">
        <f>"OPERATING  SURPLUS  - "&amp;UPPER('KEY INPUTS'!D53)&amp;" UTILITY"</f>
        <v>OPERATING  SURPLUS  -  UTILITY</v>
      </c>
      <c r="C17" s="1804"/>
      <c r="D17" s="1804"/>
      <c r="E17" s="1804"/>
      <c r="F17" s="1804"/>
      <c r="G17" s="1804"/>
      <c r="H17" s="1804"/>
      <c r="I17" s="1804"/>
      <c r="J17" s="1804"/>
      <c r="K17" s="1804"/>
      <c r="L17" s="1804"/>
      <c r="N17" s="315"/>
      <c r="O17" s="315"/>
      <c r="P17" s="315"/>
      <c r="Q17" s="315"/>
      <c r="R17" s="315"/>
      <c r="S17" s="315"/>
      <c r="T17" s="315"/>
    </row>
    <row r="18" spans="2:20" ht="6.75" customHeight="1" thickBot="1">
      <c r="B18" s="1096"/>
      <c r="C18" s="1096"/>
      <c r="D18" s="1096"/>
      <c r="E18" s="1096"/>
      <c r="F18" s="1096"/>
      <c r="G18" s="1096"/>
      <c r="H18" s="1096"/>
      <c r="I18" s="1096"/>
      <c r="J18" s="1096"/>
      <c r="K18" s="1096"/>
      <c r="L18" s="1096"/>
      <c r="N18" s="315"/>
      <c r="O18" s="315"/>
      <c r="P18" s="315"/>
      <c r="Q18" s="315"/>
      <c r="R18" s="315"/>
      <c r="S18" s="315"/>
      <c r="T18" s="315"/>
    </row>
    <row r="19" spans="2:20" ht="25.5" customHeight="1" thickTop="1" thickBot="1">
      <c r="B19" s="1315"/>
      <c r="C19" s="1315"/>
      <c r="D19" s="1315"/>
      <c r="E19" s="1315"/>
      <c r="F19" s="1315"/>
      <c r="G19" s="1315"/>
      <c r="H19" s="1315"/>
      <c r="I19" s="1315"/>
      <c r="J19" s="1315"/>
      <c r="K19" s="1097" t="s">
        <v>101</v>
      </c>
      <c r="L19" s="1098" t="s">
        <v>102</v>
      </c>
      <c r="N19" s="315"/>
      <c r="O19" s="315"/>
      <c r="P19" s="315"/>
      <c r="Q19" s="315"/>
      <c r="R19" s="315"/>
      <c r="S19" s="315"/>
      <c r="T19" s="315"/>
    </row>
    <row r="20" spans="2:20" ht="21" customHeight="1" thickTop="1">
      <c r="B20" s="1193" t="str">
        <f>'KEY INPUTS'!D25</f>
        <v>Balance - January 1, 2020</v>
      </c>
      <c r="C20" s="1152"/>
      <c r="D20" s="1152"/>
      <c r="E20" s="1152"/>
      <c r="F20" s="1152"/>
      <c r="G20" s="1152"/>
      <c r="H20" s="1152"/>
      <c r="I20" s="1152"/>
      <c r="J20" s="1152"/>
      <c r="K20" s="1317" t="s">
        <v>662</v>
      </c>
      <c r="L20" s="915"/>
      <c r="N20" s="315"/>
      <c r="O20" s="315"/>
      <c r="P20" s="315"/>
      <c r="Q20" s="315"/>
      <c r="R20" s="315"/>
      <c r="S20" s="315"/>
      <c r="T20" s="315"/>
    </row>
    <row r="21" spans="2:20" ht="21" customHeight="1">
      <c r="B21" s="1182"/>
      <c r="C21" s="639"/>
      <c r="D21" s="639"/>
      <c r="E21" s="639"/>
      <c r="F21" s="639"/>
      <c r="G21" s="639"/>
      <c r="H21" s="639"/>
      <c r="I21" s="639"/>
      <c r="J21" s="639"/>
      <c r="K21" s="1180"/>
      <c r="L21" s="913"/>
      <c r="N21" s="315"/>
      <c r="O21" s="315"/>
      <c r="P21" s="315"/>
      <c r="Q21" s="315"/>
      <c r="R21" s="315"/>
      <c r="S21" s="315"/>
      <c r="T21" s="315"/>
    </row>
    <row r="22" spans="2:20" ht="21" customHeight="1">
      <c r="B22" s="905" t="str">
        <f>"Excess in Results of "&amp;TEXT('KEY INPUTS'!D34,"0")&amp;" Operations"</f>
        <v>Excess in Results of 2020 Operations</v>
      </c>
      <c r="C22" s="681"/>
      <c r="D22" s="681"/>
      <c r="E22" s="681"/>
      <c r="F22" s="681"/>
      <c r="G22" s="681"/>
      <c r="H22" s="681"/>
      <c r="I22" s="681"/>
      <c r="J22" s="681"/>
      <c r="K22" s="1318" t="s">
        <v>662</v>
      </c>
      <c r="L22" s="1319">
        <f>+K13</f>
        <v>0</v>
      </c>
    </row>
    <row r="23" spans="2:20" ht="21" customHeight="1">
      <c r="B23" s="905" t="str">
        <f>"Amount Appropriated in the "&amp;TEXT('KEY INPUTS'!D34,"0")&amp;" Budget - Cash"</f>
        <v>Amount Appropriated in the 2020 Budget - Cash</v>
      </c>
      <c r="C23" s="681"/>
      <c r="D23" s="681"/>
      <c r="E23" s="681"/>
      <c r="F23" s="681"/>
      <c r="G23" s="681"/>
      <c r="H23" s="681"/>
      <c r="I23" s="681"/>
      <c r="J23" s="681"/>
      <c r="K23" s="1320">
        <f>'44-Utility2'!I7</f>
        <v>0</v>
      </c>
      <c r="L23" s="1321" t="s">
        <v>662</v>
      </c>
    </row>
    <row r="24" spans="2:20" ht="11.25" customHeight="1">
      <c r="B24" s="1171" t="str">
        <f>"Amount Appropriated in "&amp;TEXT('KEY INPUTS'!D34,"0")&amp;" Budget with Prior Written"</f>
        <v>Amount Appropriated in 2020 Budget with Prior Written</v>
      </c>
      <c r="C24" s="1096"/>
      <c r="D24" s="1096"/>
      <c r="E24" s="1096"/>
      <c r="F24" s="1096"/>
      <c r="G24" s="1096"/>
      <c r="H24" s="1096"/>
      <c r="I24" s="1096"/>
      <c r="J24" s="1096"/>
      <c r="K24" s="1969"/>
      <c r="L24" s="1967" t="s">
        <v>662</v>
      </c>
    </row>
    <row r="25" spans="2:20" ht="12.75" customHeight="1">
      <c r="B25" s="1110" t="s">
        <v>891</v>
      </c>
      <c r="C25" s="1110"/>
      <c r="D25" s="1110"/>
      <c r="E25" s="1110"/>
      <c r="F25" s="1110"/>
      <c r="G25" s="1110"/>
      <c r="H25" s="1110"/>
      <c r="I25" s="1110"/>
      <c r="J25" s="1110"/>
      <c r="K25" s="1970"/>
      <c r="L25" s="1968"/>
    </row>
    <row r="26" spans="2:20" ht="21" customHeight="1">
      <c r="B26" s="1182"/>
      <c r="C26" s="639"/>
      <c r="D26" s="639"/>
      <c r="E26" s="639"/>
      <c r="F26" s="639"/>
      <c r="G26" s="639"/>
      <c r="H26" s="639"/>
      <c r="I26" s="639"/>
      <c r="J26" s="639"/>
      <c r="K26" s="914"/>
      <c r="L26" s="1183"/>
    </row>
    <row r="27" spans="2:20" ht="21" customHeight="1" thickBot="1">
      <c r="B27" s="681" t="str">
        <f>'KEY INPUTS'!D26</f>
        <v>Balance - December 31, 2020</v>
      </c>
      <c r="C27" s="681"/>
      <c r="D27" s="681"/>
      <c r="E27" s="681"/>
      <c r="F27" s="681"/>
      <c r="G27" s="681"/>
      <c r="H27" s="681"/>
      <c r="I27" s="681"/>
      <c r="J27" s="681"/>
      <c r="K27" s="1322">
        <f>+SUM(L20:L26)-SUM(K21:K26)</f>
        <v>0</v>
      </c>
      <c r="L27" s="1323" t="s">
        <v>662</v>
      </c>
      <c r="N27" s="767" t="s">
        <v>3307</v>
      </c>
    </row>
    <row r="28" spans="2:20" ht="21" customHeight="1" thickBot="1">
      <c r="B28" s="1096"/>
      <c r="C28" s="1096"/>
      <c r="D28" s="1096"/>
      <c r="E28" s="1096"/>
      <c r="F28" s="1096"/>
      <c r="G28" s="1096"/>
      <c r="H28" s="1096"/>
      <c r="I28" s="1096"/>
      <c r="J28" s="1096"/>
      <c r="K28" s="1113">
        <f>SUM(K21:K27)</f>
        <v>0</v>
      </c>
      <c r="L28" s="1114">
        <f>SUM(L20:L27)</f>
        <v>0</v>
      </c>
    </row>
    <row r="29" spans="2:20" ht="13.8" thickTop="1"/>
    <row r="32" spans="2:20" ht="17.399999999999999">
      <c r="B32" s="1843" t="str">
        <f>"ANALYSIS  OF  BALANCE  DECEMBER 31, "&amp;TEXT('KEY INPUTS'!D34,"0")&amp;""</f>
        <v>ANALYSIS  OF  BALANCE  DECEMBER 31, 2020</v>
      </c>
      <c r="C32" s="1843"/>
      <c r="D32" s="1843"/>
      <c r="E32" s="1843"/>
      <c r="F32" s="1843"/>
      <c r="G32" s="1843"/>
      <c r="H32" s="1843"/>
      <c r="I32" s="1843"/>
      <c r="J32" s="1843"/>
      <c r="K32" s="1843"/>
      <c r="L32" s="1843"/>
    </row>
    <row r="33" spans="2:14" ht="17.399999999999999">
      <c r="B33" s="1843" t="str">
        <f>"(FROM "&amp;UPPER('KEY INPUTS'!D53)&amp;" UTILITY  -  TRIAL  BALANCE)"</f>
        <v>(FROM  UTILITY  -  TRIAL  BALANCE)</v>
      </c>
      <c r="C33" s="1843"/>
      <c r="D33" s="1843"/>
      <c r="E33" s="1843"/>
      <c r="F33" s="1843"/>
      <c r="G33" s="1843"/>
      <c r="H33" s="1843"/>
      <c r="I33" s="1843"/>
      <c r="J33" s="1843"/>
      <c r="K33" s="1843"/>
      <c r="L33" s="1843"/>
    </row>
    <row r="34" spans="2:14" ht="13.8" thickBot="1">
      <c r="B34" s="1096"/>
      <c r="C34" s="1096"/>
      <c r="D34" s="1096"/>
      <c r="E34" s="1096"/>
      <c r="F34" s="1096"/>
      <c r="G34" s="1096"/>
      <c r="H34" s="1096"/>
      <c r="I34" s="1096"/>
      <c r="J34" s="1096"/>
      <c r="K34" s="1096"/>
      <c r="L34" s="1096"/>
    </row>
    <row r="35" spans="2:14" ht="21" customHeight="1" thickTop="1">
      <c r="B35" s="1152" t="s">
        <v>202</v>
      </c>
      <c r="C35" s="1152"/>
      <c r="D35" s="1152"/>
      <c r="E35" s="1152"/>
      <c r="F35" s="1152"/>
      <c r="G35" s="1152"/>
      <c r="H35" s="1152"/>
      <c r="I35" s="1152"/>
      <c r="J35" s="1152"/>
      <c r="K35" s="1196"/>
      <c r="L35" s="1195">
        <f>+'41-Utility2'!G13</f>
        <v>0</v>
      </c>
    </row>
    <row r="36" spans="2:14" ht="21" customHeight="1">
      <c r="B36" s="681" t="s">
        <v>335</v>
      </c>
      <c r="C36" s="681"/>
      <c r="D36" s="681"/>
      <c r="E36" s="681"/>
      <c r="F36" s="681"/>
      <c r="G36" s="681"/>
      <c r="H36" s="681"/>
      <c r="I36" s="681"/>
      <c r="J36" s="681"/>
      <c r="K36" s="1197"/>
      <c r="L36" s="623"/>
    </row>
    <row r="37" spans="2:14" ht="21" customHeight="1" thickBot="1">
      <c r="B37" s="681" t="s">
        <v>698</v>
      </c>
      <c r="C37" s="681"/>
      <c r="D37" s="681"/>
      <c r="E37" s="681"/>
      <c r="F37" s="681"/>
      <c r="G37" s="681"/>
      <c r="H37" s="681"/>
      <c r="I37" s="681"/>
      <c r="J37" s="681"/>
      <c r="K37" s="1197"/>
      <c r="L37" s="625"/>
    </row>
    <row r="38" spans="2:14" ht="21" customHeight="1" thickTop="1">
      <c r="B38" s="681"/>
      <c r="C38" s="681"/>
      <c r="D38" s="681" t="s">
        <v>337</v>
      </c>
      <c r="E38" s="681"/>
      <c r="F38" s="681"/>
      <c r="G38" s="681"/>
      <c r="H38" s="681"/>
      <c r="I38" s="681"/>
      <c r="J38" s="681"/>
      <c r="K38" s="1197"/>
      <c r="L38" s="1198">
        <f>SUM(L35:L37)</f>
        <v>0</v>
      </c>
    </row>
    <row r="39" spans="2:14" ht="21" customHeight="1" thickBot="1">
      <c r="B39" s="681" t="s">
        <v>386</v>
      </c>
      <c r="C39" s="681"/>
      <c r="D39" s="681"/>
      <c r="E39" s="681"/>
      <c r="F39" s="681"/>
      <c r="G39" s="681"/>
      <c r="H39" s="681"/>
      <c r="I39" s="681"/>
      <c r="J39" s="681"/>
      <c r="K39" s="1197"/>
      <c r="L39" s="1199">
        <f>+'41-Utility2'!H39</f>
        <v>0</v>
      </c>
    </row>
    <row r="40" spans="2:14" ht="21" customHeight="1" thickTop="1">
      <c r="B40" s="681"/>
      <c r="C40" s="681"/>
      <c r="D40" s="681" t="s">
        <v>216</v>
      </c>
      <c r="E40" s="681"/>
      <c r="F40" s="681"/>
      <c r="G40" s="681"/>
      <c r="H40" s="681"/>
      <c r="I40" s="681"/>
      <c r="J40" s="681"/>
      <c r="K40" s="1197"/>
      <c r="L40" s="1198">
        <f>+L38-L39</f>
        <v>0</v>
      </c>
    </row>
    <row r="41" spans="2:14" ht="21" customHeight="1">
      <c r="B41" s="681" t="s">
        <v>393</v>
      </c>
      <c r="C41" s="681"/>
      <c r="D41" s="681"/>
      <c r="E41" s="681"/>
      <c r="F41" s="681"/>
      <c r="G41" s="681"/>
      <c r="H41" s="681"/>
      <c r="I41" s="681"/>
      <c r="J41" s="681"/>
      <c r="K41" s="682"/>
      <c r="L41" s="1102"/>
    </row>
    <row r="42" spans="2:14" ht="22.5" customHeight="1">
      <c r="B42" s="681"/>
      <c r="C42" s="1842" t="s">
        <v>389</v>
      </c>
      <c r="D42" s="1842"/>
      <c r="E42" s="1842"/>
      <c r="F42" s="1842"/>
      <c r="G42" s="1842"/>
      <c r="H42" s="1205"/>
      <c r="I42" s="681"/>
      <c r="J42" s="681"/>
      <c r="K42" s="593"/>
      <c r="L42" s="1102"/>
    </row>
    <row r="43" spans="2:14" ht="21" customHeight="1">
      <c r="B43" s="681"/>
      <c r="C43" s="681" t="s">
        <v>217</v>
      </c>
      <c r="D43" s="681"/>
      <c r="E43" s="681"/>
      <c r="F43" s="681"/>
      <c r="G43" s="681"/>
      <c r="H43" s="681"/>
      <c r="I43" s="681"/>
      <c r="J43" s="681"/>
      <c r="K43" s="593"/>
      <c r="L43" s="1102"/>
      <c r="M43" s="392"/>
      <c r="N43" s="392"/>
    </row>
    <row r="44" spans="2:14" ht="21" customHeight="1" thickBot="1">
      <c r="B44" s="681"/>
      <c r="C44" s="681"/>
      <c r="D44" s="681" t="s">
        <v>391</v>
      </c>
      <c r="E44" s="681"/>
      <c r="F44" s="681"/>
      <c r="G44" s="681"/>
      <c r="H44" s="681"/>
      <c r="I44" s="681"/>
      <c r="J44" s="681"/>
      <c r="K44" s="1201"/>
      <c r="L44" s="1112">
        <f>SUM(K42:K43)</f>
        <v>0</v>
      </c>
    </row>
    <row r="45" spans="2:14" ht="21" customHeight="1" thickBot="1">
      <c r="B45" s="465" t="str">
        <f>"# MAY NOT BE ANTICIPATED AS NON-CASH SURPLUS IN "&amp;TEXT('KEY INPUTS'!D34,"0")&amp;" BUDGET."</f>
        <v># MAY NOT BE ANTICIPATED AS NON-CASH SURPLUS IN 2020 BUDGET.</v>
      </c>
      <c r="K45" s="464"/>
      <c r="L45" s="1200">
        <f>+L40+L44</f>
        <v>0</v>
      </c>
      <c r="M45" s="392"/>
      <c r="N45" s="767" t="s">
        <v>3307</v>
      </c>
    </row>
    <row r="46" spans="2:14" ht="13.8" thickTop="1">
      <c r="B46" s="463" t="s">
        <v>223</v>
      </c>
      <c r="C46" s="463"/>
    </row>
    <row r="47" spans="2:14">
      <c r="B47" s="463"/>
      <c r="C47" s="463" t="s">
        <v>3219</v>
      </c>
    </row>
    <row r="52" spans="2:12" ht="13.8">
      <c r="B52" s="1799" t="s">
        <v>3218</v>
      </c>
      <c r="C52" s="1799"/>
      <c r="D52" s="1799"/>
      <c r="E52" s="1799"/>
      <c r="F52" s="1799"/>
      <c r="G52" s="1799"/>
      <c r="H52" s="1799"/>
      <c r="I52" s="1799"/>
      <c r="J52" s="1799"/>
      <c r="K52" s="1799"/>
      <c r="L52" s="1799"/>
    </row>
  </sheetData>
  <sheetProtection algorithmName="SHA-512" hashValue="wNatkKbMwfCMd+EM0/tvugnbPCdgKRR9x4RYtN1Hlib+X3HGU+2oo6n+2fe4fcdmFlDudpK+m7UhWprdRCDF5Q==" saltValue="8g+23Y049/pYuO4Wg2cyVQ==" spinCount="100000" sheet="1" objects="1" scenarios="1"/>
  <mergeCells count="8">
    <mergeCell ref="B52:L52"/>
    <mergeCell ref="B2:L2"/>
    <mergeCell ref="B17:L17"/>
    <mergeCell ref="B32:L32"/>
    <mergeCell ref="B33:L33"/>
    <mergeCell ref="C42:G42"/>
    <mergeCell ref="L24:L25"/>
    <mergeCell ref="K24:K25"/>
  </mergeCells>
  <pageMargins left="0.25" right="0.25" top="0.5" bottom="0.5" header="0.25" footer="0.25"/>
  <pageSetup paperSize="5" orientation="portrait" r:id="rId1"/>
  <headerFooter alignWithMargins="0"/>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6">
    <tabColor theme="3" tint="0.39997558519241921"/>
  </sheetPr>
  <dimension ref="B3:T69"/>
  <sheetViews>
    <sheetView zoomScaleNormal="100" zoomScaleSheetLayoutView="80" workbookViewId="0">
      <selection activeCell="B1" sqref="B1"/>
    </sheetView>
  </sheetViews>
  <sheetFormatPr defaultColWidth="9.109375" defaultRowHeight="13.2"/>
  <cols>
    <col min="1" max="4" width="4.6640625" style="324" customWidth="1"/>
    <col min="5" max="8" width="9.109375" style="324"/>
    <col min="9" max="9" width="1.6640625" style="324" customWidth="1"/>
    <col min="10" max="10" width="16.6640625" style="324" customWidth="1"/>
    <col min="11" max="11" width="1.6640625" style="324" customWidth="1"/>
    <col min="12" max="12" width="16.6640625" style="324" customWidth="1"/>
    <col min="13" max="16384" width="9.109375" style="324"/>
  </cols>
  <sheetData>
    <row r="3" spans="2:20" ht="17.399999999999999">
      <c r="B3" s="1849" t="str">
        <f>"SCHEDULE  OF "&amp;UPPER('KEY INPUTS'!D53&amp;"  UTILITY  ACCOUNTS  RECEIVABLE")</f>
        <v>SCHEDULE  OF   UTILITY  ACCOUNTS  RECEIVABLE</v>
      </c>
      <c r="C3" s="1849"/>
      <c r="D3" s="1849"/>
      <c r="E3" s="1849"/>
      <c r="F3" s="1849"/>
      <c r="G3" s="1849"/>
      <c r="H3" s="1849"/>
      <c r="I3" s="1849"/>
      <c r="J3" s="1849"/>
      <c r="K3" s="1849"/>
      <c r="L3" s="1849"/>
    </row>
    <row r="6" spans="2:20">
      <c r="B6" s="473" t="str">
        <f>"Balance December 31, "&amp;'KEY INPUTS'!D35</f>
        <v>Balance December 31, 2019</v>
      </c>
      <c r="J6" s="280"/>
      <c r="K6" s="324" t="s">
        <v>397</v>
      </c>
      <c r="L6" s="573"/>
      <c r="N6" s="315"/>
      <c r="O6" s="315"/>
      <c r="P6" s="315"/>
      <c r="Q6" s="315"/>
      <c r="R6" s="315"/>
      <c r="S6" s="315"/>
      <c r="T6" s="315"/>
    </row>
    <row r="7" spans="2:20">
      <c r="J7" s="280"/>
      <c r="K7" s="280"/>
      <c r="L7" s="280"/>
      <c r="N7" s="315"/>
      <c r="O7" s="315"/>
      <c r="P7" s="315"/>
      <c r="Q7" s="315"/>
      <c r="R7" s="315"/>
      <c r="S7" s="315"/>
      <c r="T7" s="315"/>
    </row>
    <row r="8" spans="2:20">
      <c r="J8" s="280"/>
      <c r="K8" s="280"/>
      <c r="L8" s="280"/>
      <c r="N8" s="370"/>
      <c r="O8" s="315"/>
      <c r="P8" s="315"/>
      <c r="Q8" s="315"/>
      <c r="R8" s="315"/>
      <c r="S8" s="315"/>
      <c r="T8" s="315"/>
    </row>
    <row r="9" spans="2:20">
      <c r="J9" s="280"/>
      <c r="K9" s="280"/>
      <c r="L9" s="280"/>
      <c r="N9" s="315"/>
      <c r="O9" s="315"/>
      <c r="P9" s="315"/>
      <c r="Q9" s="315"/>
      <c r="R9" s="315"/>
      <c r="S9" s="315"/>
      <c r="T9" s="315"/>
    </row>
    <row r="10" spans="2:20">
      <c r="B10" s="324" t="s">
        <v>224</v>
      </c>
      <c r="J10" s="280"/>
      <c r="K10" s="280"/>
      <c r="L10" s="280"/>
      <c r="N10" s="315"/>
      <c r="O10" s="315"/>
      <c r="P10" s="315"/>
      <c r="Q10" s="315"/>
      <c r="R10" s="315"/>
      <c r="S10" s="315"/>
      <c r="T10" s="315"/>
    </row>
    <row r="11" spans="2:20">
      <c r="D11" s="1174" t="s">
        <v>3547</v>
      </c>
      <c r="E11" s="1174"/>
      <c r="F11" s="1096"/>
      <c r="G11" s="766"/>
      <c r="J11" s="280"/>
      <c r="K11" s="324" t="s">
        <v>397</v>
      </c>
      <c r="L11" s="573"/>
      <c r="N11" s="315"/>
      <c r="O11" s="315"/>
      <c r="P11" s="315"/>
      <c r="Q11" s="315"/>
      <c r="R11" s="315"/>
      <c r="S11" s="315"/>
      <c r="T11" s="315"/>
    </row>
    <row r="12" spans="2:20">
      <c r="J12" s="280"/>
      <c r="K12" s="280"/>
      <c r="L12" s="280"/>
      <c r="N12" s="315"/>
      <c r="O12" s="315"/>
      <c r="P12" s="315"/>
      <c r="Q12" s="315"/>
      <c r="R12" s="315"/>
      <c r="S12" s="315"/>
      <c r="T12" s="315"/>
    </row>
    <row r="13" spans="2:20">
      <c r="J13" s="280"/>
      <c r="K13" s="280"/>
      <c r="L13" s="280"/>
      <c r="N13" s="315"/>
      <c r="O13" s="315"/>
      <c r="P13" s="315"/>
      <c r="Q13" s="315"/>
      <c r="R13" s="315"/>
      <c r="S13" s="315"/>
      <c r="T13" s="315"/>
    </row>
    <row r="14" spans="2:20">
      <c r="J14" s="280"/>
      <c r="K14" s="280"/>
      <c r="L14" s="280"/>
      <c r="N14" s="315"/>
      <c r="O14" s="315"/>
      <c r="P14" s="315"/>
      <c r="Q14" s="315"/>
      <c r="R14" s="315"/>
      <c r="S14" s="315"/>
      <c r="T14" s="315"/>
    </row>
    <row r="15" spans="2:20">
      <c r="B15" s="324" t="s">
        <v>225</v>
      </c>
      <c r="J15" s="280"/>
      <c r="K15" s="280"/>
      <c r="L15" s="280"/>
      <c r="N15" s="315"/>
      <c r="O15" s="315"/>
      <c r="P15" s="315"/>
      <c r="Q15" s="315"/>
      <c r="R15" s="315"/>
      <c r="S15" s="315"/>
      <c r="T15" s="315"/>
    </row>
    <row r="16" spans="2:20" ht="21" customHeight="1">
      <c r="D16" s="324" t="s">
        <v>226</v>
      </c>
      <c r="I16" s="324" t="s">
        <v>397</v>
      </c>
      <c r="J16" s="573"/>
      <c r="K16" s="280"/>
      <c r="L16" s="280"/>
      <c r="N16" s="315"/>
      <c r="O16" s="315"/>
      <c r="P16" s="315"/>
      <c r="Q16" s="315"/>
      <c r="R16" s="315"/>
      <c r="S16" s="315"/>
      <c r="T16" s="315"/>
    </row>
    <row r="17" spans="2:20" ht="21" customHeight="1">
      <c r="D17" s="324" t="s">
        <v>227</v>
      </c>
      <c r="I17" s="324" t="s">
        <v>397</v>
      </c>
      <c r="J17" s="573"/>
      <c r="K17" s="280"/>
      <c r="L17" s="280"/>
      <c r="N17" s="315"/>
      <c r="O17" s="315"/>
      <c r="P17" s="315"/>
      <c r="Q17" s="315"/>
      <c r="R17" s="315"/>
      <c r="S17" s="315"/>
      <c r="T17" s="315"/>
    </row>
    <row r="18" spans="2:20" ht="21" customHeight="1">
      <c r="D18" s="1096" t="s">
        <v>3551</v>
      </c>
      <c r="E18" s="1096"/>
      <c r="F18" s="1174"/>
      <c r="G18" s="1174"/>
      <c r="I18" s="324" t="s">
        <v>397</v>
      </c>
      <c r="J18" s="573"/>
      <c r="K18" s="280"/>
      <c r="L18" s="280"/>
      <c r="N18" s="315"/>
      <c r="O18" s="315"/>
      <c r="P18" s="315"/>
      <c r="Q18" s="315"/>
      <c r="R18" s="315"/>
      <c r="S18" s="315"/>
      <c r="T18" s="315"/>
    </row>
    <row r="19" spans="2:20" ht="21" customHeight="1">
      <c r="D19" s="324" t="s">
        <v>228</v>
      </c>
      <c r="I19" s="324" t="s">
        <v>397</v>
      </c>
      <c r="J19" s="573"/>
      <c r="K19" s="280"/>
      <c r="L19" s="280"/>
      <c r="N19" s="315"/>
      <c r="O19" s="315"/>
      <c r="P19" s="315"/>
      <c r="Q19" s="315"/>
      <c r="R19" s="315"/>
      <c r="S19" s="315"/>
      <c r="T19" s="315"/>
    </row>
    <row r="20" spans="2:20">
      <c r="J20" s="280"/>
      <c r="K20" s="280"/>
      <c r="L20" s="280"/>
      <c r="N20" s="315"/>
      <c r="O20" s="315"/>
      <c r="P20" s="315"/>
      <c r="Q20" s="315"/>
      <c r="R20" s="315"/>
      <c r="S20" s="315"/>
      <c r="T20" s="315"/>
    </row>
    <row r="21" spans="2:20">
      <c r="J21" s="280"/>
      <c r="K21" s="324" t="s">
        <v>397</v>
      </c>
      <c r="L21" s="67">
        <f>SUM(J16:J19)</f>
        <v>0</v>
      </c>
      <c r="N21" s="315"/>
      <c r="O21" s="315"/>
      <c r="P21" s="315"/>
      <c r="Q21" s="315"/>
      <c r="R21" s="315"/>
      <c r="S21" s="315"/>
      <c r="T21" s="315"/>
    </row>
    <row r="22" spans="2:20">
      <c r="J22" s="280"/>
      <c r="K22" s="280"/>
      <c r="L22" s="280"/>
      <c r="N22" s="315"/>
      <c r="O22" s="315"/>
      <c r="P22" s="315"/>
      <c r="Q22" s="315"/>
      <c r="R22" s="315"/>
      <c r="S22" s="315"/>
      <c r="T22" s="315"/>
    </row>
    <row r="23" spans="2:20">
      <c r="J23" s="280"/>
      <c r="K23" s="280"/>
      <c r="L23" s="280"/>
    </row>
    <row r="24" spans="2:20" ht="13.8" thickBot="1">
      <c r="B24" s="471" t="str">
        <f>"Balance December 31, "&amp;'KEY INPUTS'!D34</f>
        <v>Balance December 31, 2020</v>
      </c>
      <c r="J24" s="280"/>
      <c r="K24" s="324" t="s">
        <v>397</v>
      </c>
      <c r="L24" s="84">
        <f>+L6+L11-L21</f>
        <v>0</v>
      </c>
    </row>
    <row r="25" spans="2:20" ht="13.8" thickTop="1"/>
    <row r="28" spans="2:20">
      <c r="B28" s="472"/>
      <c r="C28" s="472"/>
      <c r="D28" s="472"/>
      <c r="E28" s="472"/>
      <c r="F28" s="472"/>
      <c r="G28" s="472"/>
      <c r="H28" s="472"/>
      <c r="I28" s="472"/>
      <c r="J28" s="472"/>
      <c r="K28" s="472"/>
      <c r="L28" s="472"/>
    </row>
    <row r="29" spans="2:20" ht="4.5" customHeight="1">
      <c r="B29" s="472"/>
      <c r="C29" s="472"/>
      <c r="D29" s="472"/>
      <c r="E29" s="472"/>
      <c r="F29" s="472"/>
      <c r="G29" s="472"/>
      <c r="H29" s="472"/>
      <c r="I29" s="472"/>
      <c r="J29" s="472"/>
      <c r="K29" s="472"/>
      <c r="L29" s="472"/>
    </row>
    <row r="33" spans="2:12" ht="17.399999999999999">
      <c r="B33" s="1843" t="str">
        <f>"SCHEDULE  OF "&amp;UPPER('KEY INPUTS'!D53)&amp;" UTILITY  LIENS"</f>
        <v>SCHEDULE  OF  UTILITY  LIENS</v>
      </c>
      <c r="C33" s="1843"/>
      <c r="D33" s="1843"/>
      <c r="E33" s="1843"/>
      <c r="F33" s="1843"/>
      <c r="G33" s="1843"/>
      <c r="H33" s="1843"/>
      <c r="I33" s="1843"/>
      <c r="J33" s="1843"/>
      <c r="K33" s="1843"/>
      <c r="L33" s="1843"/>
    </row>
    <row r="36" spans="2:12">
      <c r="B36" s="471" t="str">
        <f>"Balance December 31, "&amp;'KEY INPUTS'!D35</f>
        <v>Balance December 31, 2019</v>
      </c>
      <c r="I36" s="280"/>
      <c r="J36" s="280"/>
      <c r="K36" s="280" t="s">
        <v>397</v>
      </c>
      <c r="L36" s="573"/>
    </row>
    <row r="37" spans="2:12">
      <c r="I37" s="280"/>
      <c r="J37" s="280"/>
      <c r="K37" s="280"/>
      <c r="L37" s="280"/>
    </row>
    <row r="38" spans="2:12">
      <c r="I38" s="280"/>
      <c r="J38" s="280"/>
      <c r="K38" s="280"/>
      <c r="L38" s="280"/>
    </row>
    <row r="39" spans="2:12">
      <c r="I39" s="280"/>
      <c r="J39" s="280"/>
      <c r="K39" s="280"/>
      <c r="L39" s="280"/>
    </row>
    <row r="40" spans="2:12">
      <c r="B40" s="324" t="s">
        <v>224</v>
      </c>
      <c r="I40" s="280"/>
      <c r="J40" s="280"/>
      <c r="K40" s="280"/>
      <c r="L40" s="280"/>
    </row>
    <row r="41" spans="2:12" ht="21" customHeight="1">
      <c r="D41" s="324" t="s">
        <v>229</v>
      </c>
      <c r="I41" s="324" t="s">
        <v>397</v>
      </c>
      <c r="J41" s="573"/>
      <c r="K41" s="280"/>
      <c r="L41" s="280"/>
    </row>
    <row r="42" spans="2:12" ht="21" customHeight="1">
      <c r="D42" s="324" t="s">
        <v>230</v>
      </c>
      <c r="I42" s="324" t="s">
        <v>397</v>
      </c>
      <c r="J42" s="573"/>
      <c r="K42" s="280"/>
      <c r="L42" s="280"/>
    </row>
    <row r="43" spans="2:12" ht="21" customHeight="1">
      <c r="D43" s="324" t="s">
        <v>228</v>
      </c>
      <c r="I43" s="324" t="s">
        <v>397</v>
      </c>
      <c r="J43" s="573"/>
      <c r="K43" s="123"/>
      <c r="L43" s="123"/>
    </row>
    <row r="44" spans="2:12">
      <c r="I44" s="280"/>
      <c r="J44" s="280"/>
      <c r="K44" s="280"/>
      <c r="L44" s="280"/>
    </row>
    <row r="45" spans="2:12">
      <c r="I45" s="280"/>
      <c r="J45" s="280"/>
      <c r="K45" s="324" t="s">
        <v>397</v>
      </c>
      <c r="L45" s="67">
        <f>SUM(J41:J43)</f>
        <v>0</v>
      </c>
    </row>
    <row r="46" spans="2:12">
      <c r="I46" s="280"/>
      <c r="J46" s="280"/>
      <c r="K46" s="280"/>
      <c r="L46" s="280"/>
    </row>
    <row r="47" spans="2:12">
      <c r="B47" s="324" t="s">
        <v>225</v>
      </c>
      <c r="I47" s="280"/>
      <c r="J47" s="280"/>
      <c r="K47" s="280"/>
      <c r="L47" s="280"/>
    </row>
    <row r="48" spans="2:12" ht="21" customHeight="1">
      <c r="D48" s="324" t="s">
        <v>226</v>
      </c>
      <c r="I48" s="324" t="s">
        <v>397</v>
      </c>
      <c r="J48" s="573"/>
      <c r="K48" s="280"/>
      <c r="L48" s="280"/>
    </row>
    <row r="49" spans="2:12" ht="21" customHeight="1">
      <c r="D49" s="324" t="s">
        <v>228</v>
      </c>
      <c r="I49" s="324" t="s">
        <v>397</v>
      </c>
      <c r="J49" s="573"/>
      <c r="K49" s="280"/>
      <c r="L49" s="280"/>
    </row>
    <row r="50" spans="2:12">
      <c r="I50" s="280"/>
      <c r="J50" s="280"/>
      <c r="K50" s="280"/>
      <c r="L50" s="280"/>
    </row>
    <row r="51" spans="2:12">
      <c r="I51" s="280"/>
      <c r="J51" s="280"/>
      <c r="K51" s="324" t="s">
        <v>397</v>
      </c>
      <c r="L51" s="67">
        <f>+J49+J48</f>
        <v>0</v>
      </c>
    </row>
    <row r="52" spans="2:12">
      <c r="I52" s="280"/>
      <c r="J52" s="280"/>
      <c r="K52" s="280"/>
      <c r="L52" s="280"/>
    </row>
    <row r="53" spans="2:12">
      <c r="I53" s="280"/>
      <c r="J53" s="280"/>
      <c r="K53" s="280"/>
      <c r="L53" s="280"/>
    </row>
    <row r="54" spans="2:12" ht="13.8" thickBot="1">
      <c r="B54" s="471" t="str">
        <f>"Balance December 31, "&amp;'KEY INPUTS'!D34</f>
        <v>Balance December 31, 2020</v>
      </c>
      <c r="I54" s="280"/>
      <c r="J54" s="280"/>
      <c r="K54" s="324" t="s">
        <v>397</v>
      </c>
      <c r="L54" s="84">
        <f>+L36+L45-L51</f>
        <v>0</v>
      </c>
    </row>
    <row r="55" spans="2:12" ht="13.8" thickTop="1">
      <c r="I55" s="280"/>
      <c r="J55" s="280"/>
      <c r="K55" s="280"/>
      <c r="L55" s="280"/>
    </row>
    <row r="69" spans="2:12" ht="13.8">
      <c r="B69" s="1850" t="s">
        <v>3222</v>
      </c>
      <c r="C69" s="1850"/>
      <c r="D69" s="1850"/>
      <c r="E69" s="1850"/>
      <c r="F69" s="1850"/>
      <c r="G69" s="1850"/>
      <c r="H69" s="1850"/>
      <c r="I69" s="1850"/>
      <c r="J69" s="1850"/>
      <c r="K69" s="1850"/>
      <c r="L69" s="1850"/>
    </row>
  </sheetData>
  <sheetProtection algorithmName="SHA-512" hashValue="Lr41UFh0gCT9j5/tJDXmtOMtYYF8f92KKl/PB7uM9KFPsAnQWBvrB22jNe6bAacsnbIjdzVUDUBrvJptoqaHMw==" saltValue="nzYyoMsRI0nvVFK5W22kYg=="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7">
    <tabColor theme="3" tint="0.39997558519241921"/>
  </sheetPr>
  <dimension ref="B1:W69"/>
  <sheetViews>
    <sheetView zoomScaleNormal="100" zoomScaleSheetLayoutView="80" workbookViewId="0"/>
  </sheetViews>
  <sheetFormatPr defaultColWidth="9.109375" defaultRowHeight="13.2"/>
  <cols>
    <col min="1" max="4" width="4.6640625" style="324" customWidth="1"/>
    <col min="5" max="6" width="9.109375" style="324"/>
    <col min="7" max="7" width="1.6640625" style="324" customWidth="1"/>
    <col min="8" max="8" width="14.6640625" style="324" customWidth="1"/>
    <col min="9" max="9" width="1.6640625" style="324" customWidth="1"/>
    <col min="10" max="10" width="14.6640625" style="324" customWidth="1"/>
    <col min="11" max="11" width="1.6640625" style="324" customWidth="1"/>
    <col min="12" max="12" width="14.6640625" style="324" customWidth="1"/>
    <col min="13" max="13" width="1.6640625" style="324" customWidth="1"/>
    <col min="14" max="14" width="14.6640625" style="324" customWidth="1"/>
    <col min="15" max="16384" width="9.109375" style="324"/>
  </cols>
  <sheetData>
    <row r="1" spans="2:23">
      <c r="B1" s="1128"/>
      <c r="C1" s="1128"/>
      <c r="D1" s="1128"/>
      <c r="E1" s="1128"/>
      <c r="F1" s="1128"/>
      <c r="G1" s="1128"/>
      <c r="H1" s="1128"/>
      <c r="I1" s="1128"/>
      <c r="J1" s="1128"/>
      <c r="K1" s="1128"/>
      <c r="L1" s="1128"/>
      <c r="M1" s="1128"/>
      <c r="N1" s="1128"/>
    </row>
    <row r="2" spans="2:23">
      <c r="B2" s="1128"/>
      <c r="C2" s="1128"/>
      <c r="D2" s="1128"/>
      <c r="E2" s="1128"/>
      <c r="F2" s="1128"/>
      <c r="G2" s="1128"/>
      <c r="H2" s="1128"/>
      <c r="I2" s="1128"/>
      <c r="J2" s="1128"/>
      <c r="K2" s="1128"/>
      <c r="L2" s="1128"/>
      <c r="M2" s="1128"/>
      <c r="N2" s="1128"/>
    </row>
    <row r="3" spans="2:23" ht="20.399999999999999">
      <c r="B3" s="1916" t="s">
        <v>918</v>
      </c>
      <c r="C3" s="1916"/>
      <c r="D3" s="1916"/>
      <c r="E3" s="1916"/>
      <c r="F3" s="1916"/>
      <c r="G3" s="1916"/>
      <c r="H3" s="1916"/>
      <c r="I3" s="1916"/>
      <c r="J3" s="1916"/>
      <c r="K3" s="1916"/>
      <c r="L3" s="1916"/>
      <c r="M3" s="1916"/>
      <c r="N3" s="1916"/>
    </row>
    <row r="4" spans="2:23" ht="15.6">
      <c r="B4" s="1974" t="s">
        <v>448</v>
      </c>
      <c r="C4" s="1974"/>
      <c r="D4" s="1974"/>
      <c r="E4" s="1974"/>
      <c r="F4" s="1974"/>
      <c r="G4" s="1974"/>
      <c r="H4" s="1974"/>
      <c r="I4" s="1974"/>
      <c r="J4" s="1974"/>
      <c r="K4" s="1974"/>
      <c r="L4" s="1974"/>
      <c r="M4" s="1974"/>
      <c r="N4" s="1974"/>
    </row>
    <row r="5" spans="2:23" ht="20.399999999999999">
      <c r="B5" s="1826" t="str">
        <f>UPPER('KEY INPUTS'!D53)&amp;" UTILITY  FUND"</f>
        <v xml:space="preserve"> UTILITY  FUND</v>
      </c>
      <c r="C5" s="1826"/>
      <c r="D5" s="1826"/>
      <c r="E5" s="1826"/>
      <c r="F5" s="1826"/>
      <c r="G5" s="1826"/>
      <c r="H5" s="1826"/>
      <c r="I5" s="1826"/>
      <c r="J5" s="1826"/>
      <c r="K5" s="1826"/>
      <c r="L5" s="1826"/>
      <c r="M5" s="1826"/>
      <c r="N5" s="1826"/>
    </row>
    <row r="6" spans="2:23">
      <c r="B6" s="1975" t="s">
        <v>231</v>
      </c>
      <c r="C6" s="1975"/>
      <c r="D6" s="1975"/>
      <c r="E6" s="1975"/>
      <c r="F6" s="1975"/>
      <c r="G6" s="1975"/>
      <c r="H6" s="1975"/>
      <c r="I6" s="1975"/>
      <c r="J6" s="1975"/>
      <c r="K6" s="1975"/>
      <c r="L6" s="1975"/>
      <c r="M6" s="1975"/>
      <c r="N6" s="1975"/>
    </row>
    <row r="7" spans="2:23">
      <c r="B7" s="1128"/>
      <c r="C7" s="1128"/>
      <c r="D7" s="1128"/>
      <c r="E7" s="1128"/>
      <c r="F7" s="1128"/>
      <c r="G7" s="1128"/>
      <c r="H7" s="1128"/>
      <c r="I7" s="1128"/>
      <c r="J7" s="1128"/>
      <c r="K7" s="1128"/>
      <c r="L7" s="1128"/>
      <c r="M7" s="1128"/>
      <c r="N7" s="1128"/>
    </row>
    <row r="8" spans="2:23">
      <c r="B8" s="1128"/>
      <c r="C8" s="1128"/>
      <c r="D8" s="1128"/>
      <c r="E8" s="1128"/>
      <c r="F8" s="1128"/>
      <c r="G8" s="1128"/>
      <c r="H8" s="1123" t="s">
        <v>441</v>
      </c>
      <c r="I8" s="1128"/>
      <c r="J8" s="1128"/>
      <c r="K8" s="1128"/>
      <c r="L8" s="1128"/>
      <c r="M8" s="1128"/>
      <c r="N8" s="1128"/>
    </row>
    <row r="9" spans="2:23">
      <c r="B9" s="1128"/>
      <c r="C9" s="1973" t="s">
        <v>461</v>
      </c>
      <c r="D9" s="1973"/>
      <c r="E9" s="1973"/>
      <c r="F9" s="1128"/>
      <c r="G9" s="1128"/>
      <c r="H9" s="1326" t="str">
        <f>'KEY INPUTS'!D45</f>
        <v>Dec. 31, 2019</v>
      </c>
      <c r="I9" s="1128"/>
      <c r="J9" s="1123" t="s">
        <v>462</v>
      </c>
      <c r="K9" s="1128"/>
      <c r="L9" s="1123" t="s">
        <v>441</v>
      </c>
      <c r="M9" s="1128"/>
      <c r="N9" s="1123" t="s">
        <v>559</v>
      </c>
    </row>
    <row r="10" spans="2:23">
      <c r="B10" s="1128"/>
      <c r="C10" s="1128"/>
      <c r="D10" s="1128"/>
      <c r="E10" s="1128"/>
      <c r="F10" s="1128"/>
      <c r="G10" s="1128"/>
      <c r="H10" s="1123" t="s">
        <v>460</v>
      </c>
      <c r="I10" s="1128"/>
      <c r="J10" s="1123">
        <f>'KEY INPUTS'!D34</f>
        <v>2020</v>
      </c>
      <c r="K10" s="1128"/>
      <c r="L10" s="1123" t="s">
        <v>463</v>
      </c>
      <c r="M10" s="1128"/>
      <c r="N10" s="1123" t="s">
        <v>464</v>
      </c>
    </row>
    <row r="11" spans="2:23">
      <c r="B11" s="1128"/>
      <c r="C11" s="1128"/>
      <c r="D11" s="1128"/>
      <c r="E11" s="1128"/>
      <c r="F11" s="1128"/>
      <c r="G11" s="1128"/>
      <c r="H11" s="1327" t="s">
        <v>459</v>
      </c>
      <c r="I11" s="1128"/>
      <c r="J11" s="1327" t="s">
        <v>564</v>
      </c>
      <c r="K11" s="1128"/>
      <c r="L11" s="1327">
        <f>'KEY INPUTS'!D34</f>
        <v>2020</v>
      </c>
      <c r="M11" s="1128"/>
      <c r="N11" s="1328" t="str">
        <f>'KEY INPUTS'!D46</f>
        <v>Dec. 31, 2020</v>
      </c>
      <c r="Q11" s="315"/>
      <c r="R11" s="315"/>
      <c r="S11" s="315"/>
      <c r="T11" s="315"/>
      <c r="U11" s="315"/>
      <c r="V11" s="315"/>
      <c r="W11" s="315"/>
    </row>
    <row r="12" spans="2:23">
      <c r="B12" s="1329" t="s">
        <v>308</v>
      </c>
      <c r="C12" s="1128" t="s">
        <v>919</v>
      </c>
      <c r="D12" s="1128"/>
      <c r="E12" s="1128"/>
      <c r="F12" s="1128"/>
      <c r="G12" s="1128"/>
      <c r="H12" s="1128"/>
      <c r="I12" s="1128"/>
      <c r="J12" s="1128"/>
      <c r="K12" s="1128"/>
      <c r="L12" s="1128"/>
      <c r="M12" s="1128"/>
      <c r="N12" s="1128"/>
      <c r="Q12" s="315"/>
      <c r="R12" s="315"/>
      <c r="S12" s="315"/>
      <c r="T12" s="315"/>
      <c r="U12" s="315"/>
      <c r="V12" s="315"/>
      <c r="W12" s="315"/>
    </row>
    <row r="13" spans="2:23">
      <c r="B13" s="474"/>
      <c r="D13" s="324" t="s">
        <v>920</v>
      </c>
      <c r="G13" s="324" t="s">
        <v>397</v>
      </c>
      <c r="H13" s="573"/>
      <c r="I13" s="324" t="s">
        <v>397</v>
      </c>
      <c r="J13" s="573"/>
      <c r="K13" s="324" t="s">
        <v>397</v>
      </c>
      <c r="L13" s="573"/>
      <c r="M13" s="324" t="s">
        <v>397</v>
      </c>
      <c r="N13" s="661">
        <f>+H13-J13+L13</f>
        <v>0</v>
      </c>
      <c r="Q13" s="370"/>
      <c r="R13" s="315"/>
      <c r="S13" s="315"/>
      <c r="T13" s="315"/>
      <c r="U13" s="315"/>
      <c r="V13" s="315"/>
      <c r="W13" s="315"/>
    </row>
    <row r="14" spans="2:23">
      <c r="B14" s="474"/>
      <c r="H14" s="280"/>
      <c r="J14" s="280"/>
      <c r="L14" s="280"/>
      <c r="Q14" s="315"/>
      <c r="R14" s="315"/>
      <c r="S14" s="315"/>
      <c r="T14" s="315"/>
      <c r="U14" s="315"/>
      <c r="V14" s="315"/>
      <c r="W14" s="315"/>
    </row>
    <row r="15" spans="2:23" ht="21" customHeight="1">
      <c r="B15" s="474" t="s">
        <v>309</v>
      </c>
      <c r="C15" s="660" t="s">
        <v>3190</v>
      </c>
      <c r="D15" s="659"/>
      <c r="E15" s="659"/>
      <c r="F15" s="659"/>
      <c r="G15" s="324" t="s">
        <v>397</v>
      </c>
      <c r="H15" s="573"/>
      <c r="I15" s="324" t="s">
        <v>397</v>
      </c>
      <c r="J15" s="573"/>
      <c r="K15" s="324" t="s">
        <v>397</v>
      </c>
      <c r="L15" s="573"/>
      <c r="M15" s="324" t="s">
        <v>397</v>
      </c>
      <c r="N15" s="1206">
        <f>+H15-J15+L15</f>
        <v>0</v>
      </c>
      <c r="Q15" s="315"/>
      <c r="R15" s="315"/>
      <c r="S15" s="315"/>
      <c r="T15" s="315"/>
      <c r="U15" s="315"/>
      <c r="V15" s="315"/>
      <c r="W15" s="315"/>
    </row>
    <row r="16" spans="2:23" ht="21" customHeight="1">
      <c r="B16" s="474" t="s">
        <v>310</v>
      </c>
      <c r="C16" s="659"/>
      <c r="D16" s="659"/>
      <c r="E16" s="659"/>
      <c r="F16" s="659"/>
      <c r="G16" s="324" t="s">
        <v>397</v>
      </c>
      <c r="H16" s="573"/>
      <c r="I16" s="324" t="s">
        <v>397</v>
      </c>
      <c r="J16" s="573"/>
      <c r="K16" s="324" t="s">
        <v>397</v>
      </c>
      <c r="L16" s="573"/>
      <c r="M16" s="324" t="s">
        <v>397</v>
      </c>
      <c r="N16" s="1206">
        <f>+H16-J16+L16</f>
        <v>0</v>
      </c>
      <c r="Q16" s="315"/>
      <c r="R16" s="315"/>
      <c r="S16" s="315"/>
      <c r="T16" s="315"/>
      <c r="U16" s="315"/>
      <c r="V16" s="315"/>
      <c r="W16" s="315"/>
    </row>
    <row r="17" spans="2:23" ht="21" customHeight="1">
      <c r="B17" s="474" t="s">
        <v>311</v>
      </c>
      <c r="C17" s="659"/>
      <c r="D17" s="659"/>
      <c r="E17" s="659"/>
      <c r="F17" s="659"/>
      <c r="G17" s="324" t="s">
        <v>397</v>
      </c>
      <c r="H17" s="573"/>
      <c r="I17" s="324" t="s">
        <v>397</v>
      </c>
      <c r="J17" s="573"/>
      <c r="K17" s="324" t="s">
        <v>397</v>
      </c>
      <c r="L17" s="573"/>
      <c r="M17" s="324" t="s">
        <v>397</v>
      </c>
      <c r="N17" s="1206">
        <f t="shared" ref="N17:N23" si="0">+H17-J17+L17</f>
        <v>0</v>
      </c>
      <c r="Q17" s="315"/>
      <c r="R17" s="315"/>
      <c r="S17" s="315"/>
      <c r="T17" s="315"/>
      <c r="U17" s="315"/>
      <c r="V17" s="315"/>
      <c r="W17" s="315"/>
    </row>
    <row r="18" spans="2:23" ht="21" customHeight="1">
      <c r="B18" s="474" t="s">
        <v>312</v>
      </c>
      <c r="C18" s="659"/>
      <c r="D18" s="659"/>
      <c r="E18" s="659"/>
      <c r="F18" s="659"/>
      <c r="G18" s="324" t="s">
        <v>397</v>
      </c>
      <c r="H18" s="573"/>
      <c r="I18" s="324" t="s">
        <v>397</v>
      </c>
      <c r="J18" s="573"/>
      <c r="K18" s="324" t="s">
        <v>397</v>
      </c>
      <c r="L18" s="573"/>
      <c r="M18" s="324" t="s">
        <v>397</v>
      </c>
      <c r="N18" s="1206">
        <f t="shared" si="0"/>
        <v>0</v>
      </c>
      <c r="Q18" s="315"/>
      <c r="R18" s="315"/>
      <c r="S18" s="315"/>
      <c r="T18" s="315"/>
      <c r="U18" s="315"/>
      <c r="V18" s="315"/>
      <c r="W18" s="315"/>
    </row>
    <row r="19" spans="2:23" ht="21" customHeight="1">
      <c r="B19" s="474"/>
      <c r="C19" s="1208" t="s">
        <v>3268</v>
      </c>
      <c r="D19" s="1208"/>
      <c r="E19" s="1208"/>
      <c r="F19" s="1208"/>
      <c r="G19" s="731" t="s">
        <v>397</v>
      </c>
      <c r="H19" s="573"/>
      <c r="I19" s="731" t="s">
        <v>397</v>
      </c>
      <c r="J19" s="573"/>
      <c r="K19" s="731" t="s">
        <v>397</v>
      </c>
      <c r="L19" s="573"/>
      <c r="M19" s="324" t="s">
        <v>397</v>
      </c>
      <c r="N19" s="1206">
        <f t="shared" si="0"/>
        <v>0</v>
      </c>
      <c r="Q19" s="315"/>
      <c r="R19" s="315"/>
      <c r="S19" s="315"/>
      <c r="T19" s="315"/>
      <c r="U19" s="315"/>
      <c r="V19" s="315"/>
      <c r="W19" s="315"/>
    </row>
    <row r="20" spans="2:23" ht="21" customHeight="1">
      <c r="B20" s="474"/>
      <c r="C20" s="1330" t="s">
        <v>3269</v>
      </c>
      <c r="D20" s="1208"/>
      <c r="E20" s="1208"/>
      <c r="F20" s="1208"/>
      <c r="G20" s="731" t="s">
        <v>397</v>
      </c>
      <c r="H20" s="1207">
        <f>H13+H15+H16+H17+H18+H19</f>
        <v>0</v>
      </c>
      <c r="I20" s="731" t="s">
        <v>397</v>
      </c>
      <c r="J20" s="1207">
        <f>J13+J15+J16+J17+J18+J19</f>
        <v>0</v>
      </c>
      <c r="K20" s="731" t="s">
        <v>397</v>
      </c>
      <c r="L20" s="1207">
        <f>L13+L15+L16+L17+L18+L19</f>
        <v>0</v>
      </c>
      <c r="M20" s="324" t="s">
        <v>397</v>
      </c>
      <c r="N20" s="1207">
        <f>N13+N15+N16+N17+N18+N19</f>
        <v>0</v>
      </c>
      <c r="Q20" s="315"/>
      <c r="R20" s="315"/>
      <c r="S20" s="315"/>
      <c r="T20" s="315"/>
      <c r="U20" s="315"/>
      <c r="V20" s="315"/>
      <c r="W20" s="315"/>
    </row>
    <row r="21" spans="2:23" ht="21" customHeight="1">
      <c r="B21" s="474" t="s">
        <v>313</v>
      </c>
      <c r="C21" s="659"/>
      <c r="D21" s="659"/>
      <c r="E21" s="659"/>
      <c r="F21" s="659"/>
      <c r="G21" s="324" t="s">
        <v>397</v>
      </c>
      <c r="H21" s="573"/>
      <c r="I21" s="324" t="s">
        <v>397</v>
      </c>
      <c r="J21" s="573"/>
      <c r="K21" s="324" t="s">
        <v>397</v>
      </c>
      <c r="L21" s="573"/>
      <c r="M21" s="324" t="s">
        <v>397</v>
      </c>
      <c r="N21" s="1206">
        <f t="shared" si="0"/>
        <v>0</v>
      </c>
      <c r="Q21" s="315"/>
      <c r="R21" s="315"/>
      <c r="S21" s="315"/>
      <c r="T21" s="315"/>
      <c r="U21" s="315"/>
      <c r="V21" s="315"/>
      <c r="W21" s="315"/>
    </row>
    <row r="22" spans="2:23" ht="21" customHeight="1">
      <c r="B22" s="474" t="s">
        <v>314</v>
      </c>
      <c r="C22" s="659"/>
      <c r="D22" s="659"/>
      <c r="E22" s="659"/>
      <c r="F22" s="659"/>
      <c r="G22" s="324" t="s">
        <v>397</v>
      </c>
      <c r="H22" s="573"/>
      <c r="I22" s="324" t="s">
        <v>397</v>
      </c>
      <c r="J22" s="573"/>
      <c r="K22" s="324" t="s">
        <v>397</v>
      </c>
      <c r="L22" s="573"/>
      <c r="M22" s="324" t="s">
        <v>397</v>
      </c>
      <c r="N22" s="1206">
        <f t="shared" si="0"/>
        <v>0</v>
      </c>
      <c r="Q22" s="315"/>
      <c r="R22" s="315"/>
      <c r="S22" s="315"/>
      <c r="T22" s="315"/>
      <c r="U22" s="315"/>
      <c r="V22" s="315"/>
      <c r="W22" s="315"/>
    </row>
    <row r="23" spans="2:23" ht="21" customHeight="1">
      <c r="B23" s="474"/>
      <c r="C23" s="1330" t="s">
        <v>3548</v>
      </c>
      <c r="D23" s="1208"/>
      <c r="E23" s="1208"/>
      <c r="F23" s="1208"/>
      <c r="G23" s="731" t="s">
        <v>397</v>
      </c>
      <c r="H23" s="1207">
        <f>H21+H22</f>
        <v>0</v>
      </c>
      <c r="I23" s="731" t="s">
        <v>397</v>
      </c>
      <c r="J23" s="1207">
        <f>J21+J22</f>
        <v>0</v>
      </c>
      <c r="K23" s="731" t="s">
        <v>397</v>
      </c>
      <c r="L23" s="1207">
        <f>L21+L22</f>
        <v>0</v>
      </c>
      <c r="M23" s="324" t="s">
        <v>397</v>
      </c>
      <c r="N23" s="1206">
        <f t="shared" si="0"/>
        <v>0</v>
      </c>
      <c r="Q23" s="315"/>
      <c r="R23" s="315"/>
      <c r="S23" s="315"/>
      <c r="T23" s="315"/>
      <c r="U23" s="315"/>
      <c r="V23" s="315"/>
      <c r="W23" s="315"/>
    </row>
    <row r="24" spans="2:23">
      <c r="B24" s="1329"/>
      <c r="C24" s="1128"/>
      <c r="D24" s="1128"/>
      <c r="E24" s="1128"/>
      <c r="F24" s="1128"/>
      <c r="G24" s="1128"/>
      <c r="H24" s="1128"/>
      <c r="I24" s="1128"/>
      <c r="J24" s="1128"/>
      <c r="K24" s="1128"/>
      <c r="L24" s="1128"/>
      <c r="M24" s="1128"/>
      <c r="N24" s="1128"/>
      <c r="Q24" s="315"/>
      <c r="R24" s="315"/>
      <c r="S24" s="315"/>
      <c r="T24" s="315"/>
      <c r="U24" s="315"/>
      <c r="V24" s="315"/>
      <c r="W24" s="315"/>
    </row>
    <row r="25" spans="2:23">
      <c r="B25" s="1329"/>
      <c r="C25" s="1128" t="s">
        <v>922</v>
      </c>
      <c r="D25" s="1128"/>
      <c r="E25" s="1128"/>
      <c r="F25" s="1128"/>
      <c r="G25" s="1128"/>
      <c r="H25" s="1128"/>
      <c r="I25" s="1128"/>
      <c r="J25" s="1128"/>
      <c r="K25" s="1128"/>
      <c r="L25" s="1128"/>
      <c r="M25" s="1128"/>
      <c r="N25" s="1128"/>
      <c r="Q25" s="315"/>
      <c r="R25" s="315"/>
      <c r="S25" s="315"/>
      <c r="T25" s="315"/>
      <c r="U25" s="315"/>
      <c r="V25" s="315"/>
      <c r="W25" s="315"/>
    </row>
    <row r="26" spans="2:23">
      <c r="B26" s="1329"/>
      <c r="C26" s="1128"/>
      <c r="D26" s="1128"/>
      <c r="E26" s="1128"/>
      <c r="F26" s="1128"/>
      <c r="G26" s="1128"/>
      <c r="H26" s="1128"/>
      <c r="I26" s="1128"/>
      <c r="J26" s="1128"/>
      <c r="K26" s="1128"/>
      <c r="L26" s="1128"/>
      <c r="M26" s="1128"/>
      <c r="N26" s="1128"/>
      <c r="Q26" s="315"/>
      <c r="R26" s="315"/>
      <c r="S26" s="315"/>
      <c r="T26" s="315"/>
      <c r="U26" s="315"/>
      <c r="V26" s="315"/>
      <c r="W26" s="315"/>
    </row>
    <row r="27" spans="2:23">
      <c r="B27" s="1329"/>
      <c r="C27" s="1128"/>
      <c r="D27" s="1128"/>
      <c r="E27" s="1128"/>
      <c r="F27" s="1128"/>
      <c r="G27" s="1128"/>
      <c r="H27" s="1128"/>
      <c r="I27" s="1128"/>
      <c r="J27" s="1128"/>
      <c r="K27" s="1128"/>
      <c r="L27" s="1128"/>
      <c r="M27" s="1128"/>
      <c r="N27" s="1128"/>
      <c r="Q27" s="315"/>
      <c r="R27" s="315"/>
      <c r="S27" s="315"/>
      <c r="T27" s="315"/>
      <c r="U27" s="315"/>
      <c r="V27" s="315"/>
      <c r="W27" s="315"/>
    </row>
    <row r="28" spans="2:23" ht="15.6">
      <c r="B28" s="1971" t="s">
        <v>438</v>
      </c>
      <c r="C28" s="1971"/>
      <c r="D28" s="1971"/>
      <c r="E28" s="1971"/>
      <c r="F28" s="1971"/>
      <c r="G28" s="1971"/>
      <c r="H28" s="1971"/>
      <c r="I28" s="1971"/>
      <c r="J28" s="1971"/>
      <c r="K28" s="1971"/>
      <c r="L28" s="1971"/>
      <c r="M28" s="1971"/>
      <c r="N28" s="1971"/>
    </row>
    <row r="29" spans="2:23" ht="15.6">
      <c r="B29" s="1971" t="s">
        <v>439</v>
      </c>
      <c r="C29" s="1971"/>
      <c r="D29" s="1971"/>
      <c r="E29" s="1971"/>
      <c r="F29" s="1971"/>
      <c r="G29" s="1971"/>
      <c r="H29" s="1971"/>
      <c r="I29" s="1971"/>
      <c r="J29" s="1971"/>
      <c r="K29" s="1971"/>
      <c r="L29" s="1971"/>
      <c r="M29" s="1971"/>
      <c r="N29" s="1971"/>
    </row>
    <row r="30" spans="2:23" ht="6.75" customHeight="1">
      <c r="B30" s="1331"/>
      <c r="C30" s="1331"/>
      <c r="D30" s="1331"/>
      <c r="E30" s="1331"/>
      <c r="F30" s="1331"/>
      <c r="G30" s="1331"/>
      <c r="H30" s="1331"/>
      <c r="I30" s="1331"/>
      <c r="J30" s="1331"/>
      <c r="K30" s="1331"/>
      <c r="L30" s="1331"/>
      <c r="M30" s="1331"/>
      <c r="N30" s="1331"/>
    </row>
    <row r="31" spans="2:23" ht="18" customHeight="1">
      <c r="B31" s="1329"/>
      <c r="C31" s="1128"/>
      <c r="D31" s="1972" t="s">
        <v>18</v>
      </c>
      <c r="E31" s="1972"/>
      <c r="F31" s="1332"/>
      <c r="G31" s="1972" t="s">
        <v>440</v>
      </c>
      <c r="H31" s="1972"/>
      <c r="I31" s="1972"/>
      <c r="J31" s="1972"/>
      <c r="K31" s="1972"/>
      <c r="L31" s="1972"/>
      <c r="M31" s="1332"/>
      <c r="N31" s="1333" t="s">
        <v>441</v>
      </c>
    </row>
    <row r="32" spans="2:23" ht="21" customHeight="1">
      <c r="B32" s="474"/>
      <c r="C32" s="474" t="s">
        <v>308</v>
      </c>
      <c r="D32" s="659"/>
      <c r="E32" s="659"/>
      <c r="G32" s="659"/>
      <c r="H32" s="659"/>
      <c r="I32" s="659"/>
      <c r="J32" s="659"/>
      <c r="K32" s="659"/>
      <c r="L32" s="659"/>
      <c r="M32" s="324" t="s">
        <v>397</v>
      </c>
      <c r="N32" s="369"/>
    </row>
    <row r="33" spans="2:14" ht="21" customHeight="1">
      <c r="B33" s="474"/>
      <c r="C33" s="474" t="s">
        <v>309</v>
      </c>
      <c r="D33" s="659"/>
      <c r="E33" s="659"/>
      <c r="G33" s="659"/>
      <c r="H33" s="659"/>
      <c r="I33" s="659"/>
      <c r="J33" s="659"/>
      <c r="K33" s="659"/>
      <c r="L33" s="659"/>
      <c r="M33" s="324" t="s">
        <v>397</v>
      </c>
      <c r="N33" s="369"/>
    </row>
    <row r="34" spans="2:14" ht="21" customHeight="1">
      <c r="B34" s="474"/>
      <c r="C34" s="474" t="s">
        <v>310</v>
      </c>
      <c r="D34" s="659"/>
      <c r="E34" s="659"/>
      <c r="G34" s="659"/>
      <c r="H34" s="659"/>
      <c r="I34" s="659"/>
      <c r="J34" s="659"/>
      <c r="K34" s="659"/>
      <c r="L34" s="659"/>
      <c r="M34" s="324" t="s">
        <v>397</v>
      </c>
      <c r="N34" s="369"/>
    </row>
    <row r="35" spans="2:14" ht="21" customHeight="1">
      <c r="B35" s="474"/>
      <c r="C35" s="474" t="s">
        <v>311</v>
      </c>
      <c r="D35" s="659"/>
      <c r="E35" s="659"/>
      <c r="G35" s="659"/>
      <c r="H35" s="659"/>
      <c r="I35" s="659"/>
      <c r="J35" s="659"/>
      <c r="K35" s="659"/>
      <c r="L35" s="659"/>
      <c r="M35" s="324" t="s">
        <v>397</v>
      </c>
      <c r="N35" s="369"/>
    </row>
    <row r="36" spans="2:14" ht="21" customHeight="1">
      <c r="B36" s="474"/>
      <c r="C36" s="474" t="s">
        <v>312</v>
      </c>
      <c r="D36" s="659"/>
      <c r="E36" s="659"/>
      <c r="G36" s="659"/>
      <c r="H36" s="659"/>
      <c r="I36" s="659"/>
      <c r="J36" s="659"/>
      <c r="K36" s="659"/>
      <c r="L36" s="659"/>
      <c r="M36" s="324" t="s">
        <v>397</v>
      </c>
      <c r="N36" s="369"/>
    </row>
    <row r="37" spans="2:14">
      <c r="B37" s="1329"/>
      <c r="C37" s="1128"/>
      <c r="D37" s="1128"/>
      <c r="E37" s="1128"/>
      <c r="F37" s="1128"/>
      <c r="G37" s="1128"/>
      <c r="H37" s="1128"/>
      <c r="I37" s="1128"/>
      <c r="J37" s="1128"/>
      <c r="K37" s="1128"/>
      <c r="L37" s="1128"/>
      <c r="M37" s="1128"/>
      <c r="N37" s="1128"/>
    </row>
    <row r="38" spans="2:14">
      <c r="B38" s="1329"/>
      <c r="C38" s="1128"/>
      <c r="D38" s="1128"/>
      <c r="E38" s="1128"/>
      <c r="F38" s="1128"/>
      <c r="G38" s="1128"/>
      <c r="H38" s="1128"/>
      <c r="I38" s="1128"/>
      <c r="J38" s="1128"/>
      <c r="K38" s="1128"/>
      <c r="L38" s="1128"/>
      <c r="M38" s="1128"/>
      <c r="N38" s="1128"/>
    </row>
    <row r="39" spans="2:14">
      <c r="B39" s="1329"/>
      <c r="C39" s="1128"/>
      <c r="D39" s="1128"/>
      <c r="E39" s="1128"/>
      <c r="F39" s="1128"/>
      <c r="G39" s="1128"/>
      <c r="H39" s="1128"/>
      <c r="I39" s="1128"/>
      <c r="J39" s="1128"/>
      <c r="K39" s="1128"/>
      <c r="L39" s="1128"/>
      <c r="M39" s="1128"/>
      <c r="N39" s="1128"/>
    </row>
    <row r="40" spans="2:14" ht="15.6">
      <c r="B40" s="1971" t="s">
        <v>264</v>
      </c>
      <c r="C40" s="1971"/>
      <c r="D40" s="1971"/>
      <c r="E40" s="1971"/>
      <c r="F40" s="1971"/>
      <c r="G40" s="1971"/>
      <c r="H40" s="1971"/>
      <c r="I40" s="1971"/>
      <c r="J40" s="1971"/>
      <c r="K40" s="1971"/>
      <c r="L40" s="1971"/>
      <c r="M40" s="1971"/>
      <c r="N40" s="1971"/>
    </row>
    <row r="41" spans="2:14">
      <c r="B41" s="1329"/>
      <c r="C41" s="1128"/>
      <c r="D41" s="1128"/>
      <c r="E41" s="1128"/>
      <c r="F41" s="1128"/>
      <c r="G41" s="1128"/>
      <c r="H41" s="1128"/>
      <c r="I41" s="1128"/>
      <c r="J41" s="1128"/>
      <c r="K41" s="1128"/>
      <c r="L41" s="1128"/>
      <c r="M41" s="1128"/>
      <c r="N41" s="1128"/>
    </row>
    <row r="42" spans="2:14">
      <c r="B42" s="1329"/>
      <c r="C42" s="1128"/>
      <c r="D42" s="1128"/>
      <c r="E42" s="1128"/>
      <c r="F42" s="1128"/>
      <c r="G42" s="1128"/>
      <c r="H42" s="1128"/>
      <c r="I42" s="1128"/>
      <c r="J42" s="1128"/>
      <c r="K42" s="1128"/>
      <c r="L42" s="1128"/>
      <c r="M42" s="1128"/>
      <c r="N42" s="1123" t="s">
        <v>446</v>
      </c>
    </row>
    <row r="43" spans="2:14">
      <c r="B43" s="1329"/>
      <c r="C43" s="1128"/>
      <c r="D43" s="1128"/>
      <c r="E43" s="1128"/>
      <c r="F43" s="1128"/>
      <c r="G43" s="1128"/>
      <c r="H43" s="1128"/>
      <c r="I43" s="1128"/>
      <c r="J43" s="1128"/>
      <c r="K43" s="1128"/>
      <c r="L43" s="1128"/>
      <c r="M43" s="1128"/>
      <c r="N43" s="1123" t="s">
        <v>447</v>
      </c>
    </row>
    <row r="44" spans="2:14">
      <c r="B44" s="1329"/>
      <c r="C44" s="1128"/>
      <c r="D44" s="1973" t="s">
        <v>443</v>
      </c>
      <c r="E44" s="1973"/>
      <c r="F44" s="1128"/>
      <c r="G44" s="1128"/>
      <c r="H44" s="1973" t="s">
        <v>444</v>
      </c>
      <c r="I44" s="1973"/>
      <c r="J44" s="1327" t="s">
        <v>445</v>
      </c>
      <c r="K44" s="1128"/>
      <c r="L44" s="1327" t="s">
        <v>441</v>
      </c>
      <c r="M44" s="1128"/>
      <c r="N44" s="1327" t="str">
        <f>"Year "&amp;TEXT('KEY INPUTS'!D33,"0")&amp;""</f>
        <v>Year 2021</v>
      </c>
    </row>
    <row r="45" spans="2:14">
      <c r="B45" s="1329"/>
      <c r="C45" s="1128"/>
      <c r="D45" s="1128"/>
      <c r="E45" s="1128"/>
      <c r="F45" s="1128"/>
      <c r="G45" s="1128"/>
      <c r="H45" s="1128"/>
      <c r="I45" s="1128"/>
      <c r="J45" s="1128"/>
      <c r="K45" s="1128"/>
      <c r="L45" s="1128"/>
      <c r="M45" s="1128"/>
      <c r="N45" s="1128"/>
    </row>
    <row r="46" spans="2:14" ht="21" customHeight="1">
      <c r="B46" s="474"/>
      <c r="C46" s="474" t="s">
        <v>308</v>
      </c>
      <c r="D46" s="659"/>
      <c r="E46" s="659"/>
      <c r="F46" s="659"/>
      <c r="G46" s="659"/>
      <c r="H46" s="659"/>
      <c r="I46" s="659"/>
      <c r="J46" s="659"/>
      <c r="K46" s="324" t="s">
        <v>397</v>
      </c>
      <c r="L46" s="369"/>
      <c r="M46" s="658"/>
      <c r="N46" s="369"/>
    </row>
    <row r="47" spans="2:14" ht="21" customHeight="1">
      <c r="B47" s="474"/>
      <c r="C47" s="474" t="s">
        <v>309</v>
      </c>
      <c r="D47" s="659"/>
      <c r="E47" s="659"/>
      <c r="F47" s="659"/>
      <c r="G47" s="659"/>
      <c r="H47" s="659"/>
      <c r="I47" s="659"/>
      <c r="J47" s="659"/>
      <c r="K47" s="324" t="s">
        <v>397</v>
      </c>
      <c r="L47" s="369"/>
      <c r="M47" s="658"/>
      <c r="N47" s="369"/>
    </row>
    <row r="48" spans="2:14" ht="21" customHeight="1">
      <c r="B48" s="474"/>
      <c r="C48" s="474" t="s">
        <v>310</v>
      </c>
      <c r="D48" s="659"/>
      <c r="E48" s="659"/>
      <c r="F48" s="659"/>
      <c r="G48" s="659"/>
      <c r="H48" s="659"/>
      <c r="I48" s="659"/>
      <c r="J48" s="659"/>
      <c r="K48" s="324" t="s">
        <v>397</v>
      </c>
      <c r="L48" s="369"/>
      <c r="M48" s="658"/>
      <c r="N48" s="369"/>
    </row>
    <row r="49" spans="2:14" ht="21" customHeight="1">
      <c r="B49" s="474"/>
      <c r="C49" s="474" t="s">
        <v>311</v>
      </c>
      <c r="D49" s="659"/>
      <c r="E49" s="659"/>
      <c r="F49" s="659"/>
      <c r="G49" s="659"/>
      <c r="H49" s="659"/>
      <c r="I49" s="659"/>
      <c r="J49" s="659"/>
      <c r="K49" s="324" t="s">
        <v>397</v>
      </c>
      <c r="L49" s="369"/>
      <c r="M49" s="658"/>
      <c r="N49" s="369"/>
    </row>
    <row r="50" spans="2:14">
      <c r="B50" s="474"/>
    </row>
    <row r="51" spans="2:14">
      <c r="B51" s="474"/>
    </row>
    <row r="52" spans="2:14">
      <c r="B52" s="474"/>
    </row>
    <row r="53" spans="2:14">
      <c r="B53" s="474"/>
    </row>
    <row r="54" spans="2:14">
      <c r="B54" s="474"/>
    </row>
    <row r="55" spans="2:14">
      <c r="B55" s="474"/>
    </row>
    <row r="56" spans="2:14">
      <c r="B56" s="474"/>
    </row>
    <row r="57" spans="2:14">
      <c r="B57" s="474"/>
    </row>
    <row r="58" spans="2:14">
      <c r="B58" s="474"/>
    </row>
    <row r="59" spans="2:14">
      <c r="B59" s="474"/>
    </row>
    <row r="60" spans="2:14">
      <c r="B60" s="474"/>
    </row>
    <row r="61" spans="2:14" ht="13.8">
      <c r="B61" s="1851" t="s">
        <v>3223</v>
      </c>
      <c r="C61" s="1851"/>
      <c r="D61" s="1851"/>
      <c r="E61" s="1851"/>
      <c r="F61" s="1851"/>
      <c r="G61" s="1851"/>
      <c r="H61" s="1851"/>
      <c r="I61" s="1851"/>
      <c r="J61" s="1851"/>
      <c r="K61" s="1851"/>
      <c r="L61" s="1851"/>
      <c r="M61" s="1851"/>
      <c r="N61" s="1851"/>
    </row>
    <row r="62" spans="2:14">
      <c r="B62" s="474"/>
    </row>
    <row r="63" spans="2:14">
      <c r="B63" s="474"/>
    </row>
    <row r="64" spans="2:14">
      <c r="B64" s="474"/>
    </row>
    <row r="65" spans="2:2">
      <c r="B65" s="474"/>
    </row>
    <row r="66" spans="2:2">
      <c r="B66" s="474"/>
    </row>
    <row r="67" spans="2:2">
      <c r="B67" s="474"/>
    </row>
    <row r="68" spans="2:2">
      <c r="B68" s="474"/>
    </row>
    <row r="69" spans="2:2">
      <c r="B69" s="474"/>
    </row>
  </sheetData>
  <sheetProtection algorithmName="SHA-512" hashValue="ptpJOFCix/k1PPS3eESzYWQF0TAJf5pO4K9lVKyNXMGaIiLfH45mHVV3p0/83IkW4BcNus61SsDngFx66v/07g==" saltValue="IpNGQ++9idoA9bp/3h5azA=="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1">
    <tabColor theme="3" tint="0.39997558519241921"/>
  </sheetPr>
  <dimension ref="A1:O36"/>
  <sheetViews>
    <sheetView zoomScaleNormal="100" workbookViewId="0">
      <selection activeCell="B31" sqref="B31"/>
    </sheetView>
  </sheetViews>
  <sheetFormatPr defaultColWidth="9.109375" defaultRowHeight="13.2"/>
  <cols>
    <col min="1" max="1" width="5.6640625" style="315" customWidth="1"/>
    <col min="2" max="4" width="4.88671875" style="315" customWidth="1"/>
    <col min="5" max="5" width="46.6640625" style="315" customWidth="1"/>
    <col min="6" max="6" width="7.6640625" style="315" customWidth="1"/>
    <col min="7" max="8" width="16.6640625" style="315" customWidth="1"/>
    <col min="9" max="12" width="15.6640625" style="315" customWidth="1"/>
    <col min="13" max="13" width="10.44140625" style="315" bestFit="1" customWidth="1"/>
    <col min="14" max="16384" width="9.109375" style="315"/>
  </cols>
  <sheetData>
    <row r="1" spans="1:15">
      <c r="B1" s="844"/>
      <c r="C1" s="844"/>
      <c r="D1" s="844"/>
      <c r="E1" s="844"/>
      <c r="F1" s="844"/>
      <c r="G1" s="844"/>
      <c r="H1" s="844"/>
      <c r="I1" s="844"/>
      <c r="J1" s="844"/>
      <c r="K1" s="844"/>
      <c r="L1" s="844"/>
    </row>
    <row r="2" spans="1:15" ht="17.399999999999999">
      <c r="B2" s="1602" t="s">
        <v>3599</v>
      </c>
      <c r="C2" s="1602"/>
      <c r="D2" s="1602"/>
      <c r="E2" s="1602"/>
      <c r="F2" s="1602"/>
      <c r="G2" s="1602"/>
      <c r="H2" s="1602"/>
      <c r="I2" s="1602"/>
      <c r="J2" s="1602"/>
      <c r="K2" s="1602"/>
      <c r="L2" s="1602"/>
    </row>
    <row r="3" spans="1:15">
      <c r="B3" s="844"/>
      <c r="C3" s="844"/>
      <c r="D3" s="844"/>
      <c r="E3" s="844"/>
      <c r="F3" s="844"/>
      <c r="G3" s="844"/>
      <c r="H3" s="844"/>
      <c r="I3" s="844"/>
      <c r="J3" s="844"/>
      <c r="K3" s="844"/>
      <c r="L3" s="844"/>
    </row>
    <row r="4" spans="1:15">
      <c r="B4" s="844"/>
      <c r="C4" s="844"/>
      <c r="D4" s="844"/>
      <c r="E4" s="844"/>
      <c r="F4" s="844"/>
      <c r="G4" s="844"/>
      <c r="H4" s="844"/>
      <c r="I4" s="844"/>
      <c r="J4" s="844"/>
      <c r="K4" s="844"/>
      <c r="L4" s="844"/>
    </row>
    <row r="5" spans="1:15" ht="13.8" thickBot="1">
      <c r="B5" s="844"/>
      <c r="C5" s="844"/>
      <c r="D5" s="844"/>
      <c r="E5" s="844"/>
      <c r="F5" s="844"/>
      <c r="G5" s="844"/>
      <c r="H5" s="844"/>
      <c r="I5" s="844"/>
      <c r="J5" s="844"/>
      <c r="K5" s="844"/>
      <c r="L5" s="844"/>
    </row>
    <row r="6" spans="1:15" ht="13.8" thickTop="1">
      <c r="B6" s="877"/>
      <c r="C6" s="877"/>
      <c r="D6" s="877"/>
      <c r="E6" s="1058"/>
      <c r="F6" s="877"/>
      <c r="G6" s="878"/>
      <c r="H6" s="1059"/>
      <c r="I6" s="878"/>
      <c r="J6" s="877"/>
      <c r="K6" s="877"/>
      <c r="L6" s="854"/>
    </row>
    <row r="7" spans="1:15" ht="15.6">
      <c r="B7" s="1636" t="s">
        <v>18</v>
      </c>
      <c r="C7" s="1636"/>
      <c r="D7" s="1636"/>
      <c r="E7" s="1681" t="s">
        <v>440</v>
      </c>
      <c r="F7" s="1637"/>
      <c r="G7" s="880" t="s">
        <v>441</v>
      </c>
      <c r="H7" s="1506" t="s">
        <v>469</v>
      </c>
      <c r="I7" s="880" t="s">
        <v>559</v>
      </c>
      <c r="J7" s="1687" t="str">
        <f>"REDUCED  IN  "&amp;TEXT('KEY INPUTS'!D34,"0")</f>
        <v>REDUCED  IN  2020</v>
      </c>
      <c r="K7" s="1688"/>
      <c r="L7" s="855" t="s">
        <v>559</v>
      </c>
    </row>
    <row r="8" spans="1:15">
      <c r="B8" s="844"/>
      <c r="C8" s="844"/>
      <c r="D8" s="844"/>
      <c r="E8" s="1060"/>
      <c r="F8" s="844"/>
      <c r="G8" s="880" t="s">
        <v>468</v>
      </c>
      <c r="H8" s="1506" t="s">
        <v>470</v>
      </c>
      <c r="I8" s="883" t="str">
        <f>'KEY INPUTS'!D45</f>
        <v>Dec. 31, 2019</v>
      </c>
      <c r="J8" s="880" t="str">
        <f>"By "&amp;TEXT('KEY INPUTS'!D34,"0")</f>
        <v>By 2020</v>
      </c>
      <c r="K8" s="880" t="s">
        <v>466</v>
      </c>
      <c r="L8" s="856" t="str">
        <f>'KEY INPUTS'!D46</f>
        <v>Dec. 31, 2020</v>
      </c>
    </row>
    <row r="9" spans="1:15" ht="13.8" thickBot="1">
      <c r="B9" s="886"/>
      <c r="C9" s="886"/>
      <c r="D9" s="886"/>
      <c r="E9" s="889"/>
      <c r="F9" s="886"/>
      <c r="G9" s="888"/>
      <c r="H9" s="1061" t="s">
        <v>471</v>
      </c>
      <c r="I9" s="887"/>
      <c r="J9" s="888" t="s">
        <v>564</v>
      </c>
      <c r="K9" s="888" t="s">
        <v>467</v>
      </c>
      <c r="L9" s="857"/>
    </row>
    <row r="10" spans="1:15" ht="21" customHeight="1" thickTop="1">
      <c r="B10" s="1682"/>
      <c r="C10" s="1682"/>
      <c r="D10" s="1683"/>
      <c r="E10" s="584"/>
      <c r="F10" s="563"/>
      <c r="G10" s="585"/>
      <c r="H10" s="585"/>
      <c r="I10" s="586"/>
      <c r="J10" s="586"/>
      <c r="K10" s="586"/>
      <c r="L10" s="1524">
        <f>+I10-J10-K10</f>
        <v>0</v>
      </c>
    </row>
    <row r="11" spans="1:15" ht="21" customHeight="1">
      <c r="B11" s="1684"/>
      <c r="C11" s="1562"/>
      <c r="D11" s="1685"/>
      <c r="E11" s="587"/>
      <c r="F11" s="565"/>
      <c r="G11" s="574"/>
      <c r="H11" s="574"/>
      <c r="I11" s="367"/>
      <c r="J11" s="367"/>
      <c r="K11" s="367"/>
      <c r="L11" s="1525">
        <f>+I11-J11-K11</f>
        <v>0</v>
      </c>
      <c r="M11" s="318"/>
    </row>
    <row r="12" spans="1:15" ht="21" customHeight="1">
      <c r="B12" s="1684"/>
      <c r="C12" s="1562"/>
      <c r="D12" s="1685"/>
      <c r="E12" s="587"/>
      <c r="F12" s="565"/>
      <c r="G12" s="588"/>
      <c r="H12" s="574"/>
      <c r="I12" s="589"/>
      <c r="J12" s="367"/>
      <c r="K12" s="367"/>
      <c r="L12" s="1525">
        <f t="shared" ref="L12:L23" si="0">+I12-J12-K12</f>
        <v>0</v>
      </c>
      <c r="M12" s="318"/>
    </row>
    <row r="13" spans="1:15" ht="21" customHeight="1">
      <c r="B13" s="1562"/>
      <c r="C13" s="1562"/>
      <c r="D13" s="1685"/>
      <c r="E13" s="587"/>
      <c r="F13" s="565"/>
      <c r="G13" s="574"/>
      <c r="H13" s="574"/>
      <c r="I13" s="367"/>
      <c r="J13" s="367"/>
      <c r="K13" s="367"/>
      <c r="L13" s="1525">
        <f t="shared" si="0"/>
        <v>0</v>
      </c>
    </row>
    <row r="14" spans="1:15" ht="21" customHeight="1">
      <c r="B14" s="1684"/>
      <c r="C14" s="1562"/>
      <c r="D14" s="1685"/>
      <c r="E14" s="587"/>
      <c r="F14" s="565"/>
      <c r="G14" s="574"/>
      <c r="H14" s="574"/>
      <c r="I14" s="367"/>
      <c r="J14" s="367"/>
      <c r="K14" s="367"/>
      <c r="L14" s="1525">
        <f t="shared" si="0"/>
        <v>0</v>
      </c>
      <c r="O14" s="370"/>
    </row>
    <row r="15" spans="1:15" ht="21" customHeight="1">
      <c r="B15" s="1684"/>
      <c r="C15" s="1562"/>
      <c r="D15" s="1685"/>
      <c r="E15" s="587"/>
      <c r="F15" s="565"/>
      <c r="G15" s="588"/>
      <c r="H15" s="574"/>
      <c r="I15" s="589"/>
      <c r="J15" s="367"/>
      <c r="K15" s="367"/>
      <c r="L15" s="1525">
        <f t="shared" si="0"/>
        <v>0</v>
      </c>
    </row>
    <row r="16" spans="1:15" ht="21" customHeight="1">
      <c r="A16" s="1613" t="s">
        <v>3600</v>
      </c>
      <c r="B16" s="1562"/>
      <c r="C16" s="1562"/>
      <c r="D16" s="1685"/>
      <c r="E16" s="587"/>
      <c r="F16" s="565"/>
      <c r="G16" s="574"/>
      <c r="H16" s="574"/>
      <c r="I16" s="367"/>
      <c r="J16" s="367"/>
      <c r="K16" s="367"/>
      <c r="L16" s="1525">
        <f t="shared" si="0"/>
        <v>0</v>
      </c>
    </row>
    <row r="17" spans="1:12" ht="21" customHeight="1">
      <c r="A17" s="1613"/>
      <c r="B17" s="1562"/>
      <c r="C17" s="1562"/>
      <c r="D17" s="1685"/>
      <c r="E17" s="587"/>
      <c r="F17" s="565"/>
      <c r="G17" s="574"/>
      <c r="H17" s="574"/>
      <c r="I17" s="367"/>
      <c r="J17" s="367"/>
      <c r="K17" s="367"/>
      <c r="L17" s="1525">
        <f t="shared" si="0"/>
        <v>0</v>
      </c>
    </row>
    <row r="18" spans="1:12" ht="21" customHeight="1">
      <c r="A18" s="1613"/>
      <c r="B18" s="1562"/>
      <c r="C18" s="1562"/>
      <c r="D18" s="1685"/>
      <c r="E18" s="587"/>
      <c r="F18" s="565"/>
      <c r="G18" s="574"/>
      <c r="H18" s="574"/>
      <c r="I18" s="367"/>
      <c r="J18" s="367"/>
      <c r="K18" s="367"/>
      <c r="L18" s="1525">
        <f t="shared" si="0"/>
        <v>0</v>
      </c>
    </row>
    <row r="19" spans="1:12" ht="21" customHeight="1">
      <c r="A19" s="1505"/>
      <c r="B19" s="1504"/>
      <c r="C19" s="1504"/>
      <c r="D19" s="1507"/>
      <c r="E19" s="587"/>
      <c r="F19" s="565"/>
      <c r="G19" s="574"/>
      <c r="H19" s="574"/>
      <c r="I19" s="367"/>
      <c r="J19" s="367"/>
      <c r="K19" s="367"/>
      <c r="L19" s="1525">
        <f t="shared" si="0"/>
        <v>0</v>
      </c>
    </row>
    <row r="20" spans="1:12" ht="21" customHeight="1">
      <c r="A20" s="1505"/>
      <c r="B20" s="1504"/>
      <c r="C20" s="1504"/>
      <c r="D20" s="1507"/>
      <c r="E20" s="587"/>
      <c r="F20" s="565"/>
      <c r="G20" s="574"/>
      <c r="H20" s="574"/>
      <c r="I20" s="367"/>
      <c r="J20" s="367"/>
      <c r="K20" s="367"/>
      <c r="L20" s="1525">
        <f t="shared" si="0"/>
        <v>0</v>
      </c>
    </row>
    <row r="21" spans="1:12" ht="21" customHeight="1">
      <c r="B21" s="1562"/>
      <c r="C21" s="1562"/>
      <c r="D21" s="1685"/>
      <c r="E21" s="587"/>
      <c r="F21" s="565"/>
      <c r="G21" s="574"/>
      <c r="H21" s="574"/>
      <c r="I21" s="367"/>
      <c r="J21" s="367"/>
      <c r="K21" s="367"/>
      <c r="L21" s="1525">
        <f t="shared" si="0"/>
        <v>0</v>
      </c>
    </row>
    <row r="22" spans="1:12" ht="21" customHeight="1">
      <c r="B22" s="1504"/>
      <c r="C22" s="1504"/>
      <c r="D22" s="1507"/>
      <c r="E22" s="587"/>
      <c r="F22" s="565"/>
      <c r="G22" s="574"/>
      <c r="H22" s="574"/>
      <c r="I22" s="367"/>
      <c r="J22" s="367"/>
      <c r="K22" s="367"/>
      <c r="L22" s="1525">
        <f t="shared" si="0"/>
        <v>0</v>
      </c>
    </row>
    <row r="23" spans="1:12" ht="21" customHeight="1">
      <c r="B23" s="1562"/>
      <c r="C23" s="1562"/>
      <c r="D23" s="1685"/>
      <c r="E23" s="587"/>
      <c r="F23" s="565"/>
      <c r="G23" s="574"/>
      <c r="H23" s="574"/>
      <c r="I23" s="367"/>
      <c r="J23" s="367"/>
      <c r="K23" s="367"/>
      <c r="L23" s="1525">
        <f t="shared" si="0"/>
        <v>0</v>
      </c>
    </row>
    <row r="24" spans="1:12" ht="21" customHeight="1" thickBot="1">
      <c r="B24" s="279"/>
      <c r="C24" s="279"/>
      <c r="D24" s="279"/>
      <c r="E24" s="279"/>
      <c r="F24" s="888" t="s">
        <v>674</v>
      </c>
      <c r="G24" s="1006">
        <f t="shared" ref="G24:L24" si="1">SUM(G10:G23)</f>
        <v>0</v>
      </c>
      <c r="H24" s="1006">
        <f t="shared" si="1"/>
        <v>0</v>
      </c>
      <c r="I24" s="1006">
        <f t="shared" si="1"/>
        <v>0</v>
      </c>
      <c r="J24" s="1006">
        <f t="shared" si="1"/>
        <v>0</v>
      </c>
      <c r="K24" s="1006">
        <f t="shared" si="1"/>
        <v>0</v>
      </c>
      <c r="L24" s="853">
        <f t="shared" si="1"/>
        <v>0</v>
      </c>
    </row>
    <row r="25" spans="1:12" ht="12.75" customHeight="1" thickTop="1">
      <c r="B25" s="279"/>
      <c r="C25" s="279"/>
      <c r="D25" s="279"/>
      <c r="E25" s="279"/>
      <c r="F25" s="1048"/>
      <c r="G25" s="1048"/>
      <c r="H25" s="1048"/>
      <c r="I25" s="1062"/>
      <c r="J25" s="1062"/>
      <c r="K25" s="1048"/>
      <c r="L25" s="1048"/>
    </row>
    <row r="26" spans="1:12">
      <c r="B26" s="1520" t="s">
        <v>3596</v>
      </c>
      <c r="C26" s="1048"/>
      <c r="D26" s="1048"/>
      <c r="E26" s="1048"/>
      <c r="F26" s="1048"/>
      <c r="G26" s="1048"/>
      <c r="H26" s="1048"/>
      <c r="I26" s="1048"/>
      <c r="J26" s="1048"/>
      <c r="K26" s="1048"/>
      <c r="L26" s="1048"/>
    </row>
    <row r="27" spans="1:12" ht="13.5" customHeight="1">
      <c r="B27" s="1048" t="s">
        <v>128</v>
      </c>
      <c r="C27" s="1048"/>
      <c r="D27" s="1048"/>
      <c r="E27" s="1048"/>
      <c r="F27" s="279"/>
      <c r="G27" s="279"/>
      <c r="H27" s="279"/>
      <c r="I27" s="279"/>
      <c r="J27" s="279"/>
      <c r="K27" s="279"/>
      <c r="L27" s="279"/>
    </row>
    <row r="28" spans="1:12" ht="13.5" customHeight="1">
      <c r="B28" s="34"/>
      <c r="J28" s="1570"/>
      <c r="K28" s="1570"/>
    </row>
    <row r="29" spans="1:12">
      <c r="B29" s="844"/>
      <c r="C29" s="844"/>
      <c r="D29" s="844"/>
      <c r="E29" s="844"/>
      <c r="F29" s="844"/>
      <c r="G29" s="844"/>
      <c r="H29" s="844"/>
      <c r="I29" s="844"/>
      <c r="J29" s="1686" t="s">
        <v>129</v>
      </c>
      <c r="K29" s="1686"/>
    </row>
    <row r="30" spans="1:12">
      <c r="B30" s="844"/>
      <c r="C30" s="844"/>
      <c r="D30" s="844"/>
      <c r="E30" s="844"/>
      <c r="F30" s="844"/>
      <c r="G30" s="844"/>
      <c r="H30" s="844"/>
      <c r="I30" s="844"/>
      <c r="J30" s="844"/>
      <c r="K30" s="844"/>
    </row>
    <row r="35" spans="9:12">
      <c r="L35" s="318">
        <f>+I24-J24-L24</f>
        <v>0</v>
      </c>
    </row>
    <row r="36" spans="9:12">
      <c r="I36" s="318"/>
      <c r="J36" s="318"/>
    </row>
  </sheetData>
  <sheetProtection algorithmName="SHA-512" hashValue="ezetlkLyX+N4h8nc9yRr2dalzeLftKW558F1MYGE2TGO0oOUeV5/3x7okGeWtEFOcD3N9Z7gMUrV8yAgJ33Otg==" saltValue="+opVLY1bOUxSIKY5dtaDPQ=="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9">
    <tabColor theme="3" tint="0.39997558519241921"/>
  </sheetPr>
  <dimension ref="B1: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1" spans="2:21">
      <c r="B1" s="1128"/>
      <c r="C1" s="1128"/>
      <c r="D1" s="1128"/>
      <c r="E1" s="1128"/>
      <c r="F1" s="1128"/>
      <c r="G1" s="1128"/>
      <c r="H1" s="1128"/>
      <c r="I1" s="1128"/>
      <c r="J1" s="1128"/>
      <c r="K1" s="1128"/>
      <c r="L1" s="1128"/>
    </row>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INPUTS'!D$53)&amp;"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467" t="str">
        <f>'KEY INPUTS'!D27</f>
        <v>Outstanding - January 1, 2020</v>
      </c>
      <c r="C7" s="408"/>
      <c r="D7" s="408"/>
      <c r="E7" s="408"/>
      <c r="F7" s="408"/>
      <c r="G7" s="1070" t="s">
        <v>662</v>
      </c>
      <c r="H7" s="1724"/>
      <c r="I7" s="1725"/>
      <c r="O7" s="315"/>
      <c r="P7" s="315"/>
      <c r="Q7" s="315"/>
      <c r="R7" s="315"/>
      <c r="S7" s="315"/>
      <c r="T7" s="315"/>
      <c r="U7" s="315"/>
    </row>
    <row r="8" spans="2:21" ht="21" customHeight="1">
      <c r="B8" s="395" t="s">
        <v>97</v>
      </c>
      <c r="C8" s="327"/>
      <c r="D8" s="327"/>
      <c r="E8" s="327"/>
      <c r="F8" s="327"/>
      <c r="G8" s="963" t="s">
        <v>662</v>
      </c>
      <c r="H8" s="1722"/>
      <c r="I8" s="1723"/>
      <c r="O8" s="370"/>
      <c r="P8" s="315"/>
      <c r="Q8" s="315"/>
      <c r="R8" s="315"/>
      <c r="S8" s="315"/>
      <c r="T8" s="315"/>
      <c r="U8" s="315"/>
    </row>
    <row r="9" spans="2:21" ht="21" customHeight="1">
      <c r="B9" s="395"/>
      <c r="C9" s="327"/>
      <c r="D9" s="327"/>
      <c r="E9" s="327"/>
      <c r="F9" s="327"/>
      <c r="G9" s="963"/>
      <c r="H9" s="1371"/>
      <c r="I9" s="1372"/>
      <c r="O9" s="315"/>
      <c r="P9" s="315"/>
      <c r="Q9" s="315"/>
      <c r="R9" s="315"/>
      <c r="S9" s="315"/>
      <c r="T9" s="315"/>
      <c r="U9" s="315"/>
    </row>
    <row r="10" spans="2:21" ht="21" customHeight="1">
      <c r="B10" s="395" t="s">
        <v>268</v>
      </c>
      <c r="C10" s="327"/>
      <c r="D10" s="327"/>
      <c r="E10" s="327"/>
      <c r="F10" s="327"/>
      <c r="G10" s="593"/>
      <c r="H10" s="1743" t="s">
        <v>662</v>
      </c>
      <c r="I10" s="1744"/>
      <c r="O10" s="315"/>
      <c r="P10" s="315"/>
      <c r="Q10" s="315"/>
      <c r="R10" s="315"/>
      <c r="S10" s="315"/>
      <c r="T10" s="315"/>
      <c r="U10" s="315"/>
    </row>
    <row r="11" spans="2:21" ht="21" customHeight="1" thickBot="1">
      <c r="B11" s="395" t="str">
        <f>'KEY INPUTS'!D28</f>
        <v>Outstanding - December 31, 2020</v>
      </c>
      <c r="C11" s="327"/>
      <c r="D11" s="327"/>
      <c r="E11" s="327"/>
      <c r="F11" s="327"/>
      <c r="G11" s="1071">
        <f>+H7+H8-G10</f>
        <v>0</v>
      </c>
      <c r="H11" s="1737" t="s">
        <v>662</v>
      </c>
      <c r="I11" s="1738"/>
      <c r="O11" s="315"/>
      <c r="P11" s="315"/>
      <c r="Q11" s="315"/>
      <c r="R11" s="315"/>
      <c r="S11" s="315"/>
      <c r="T11" s="315"/>
      <c r="U11" s="315"/>
    </row>
    <row r="12" spans="2:21" ht="21" customHeight="1" thickBot="1">
      <c r="B12" s="391"/>
      <c r="G12" s="1065">
        <f>SUM(G7:G11)</f>
        <v>0</v>
      </c>
      <c r="H12" s="1741">
        <f>SUM(H7:I11)</f>
        <v>0</v>
      </c>
      <c r="I12" s="1742"/>
      <c r="O12" s="315"/>
      <c r="P12" s="315"/>
      <c r="Q12" s="315"/>
      <c r="R12" s="315"/>
      <c r="S12" s="315"/>
      <c r="T12" s="315"/>
      <c r="U12" s="315"/>
    </row>
    <row r="13" spans="2:21" ht="21" customHeight="1" thickTop="1">
      <c r="B13" s="494" t="str">
        <f>TEXT('KEY INPUTS'!D34+1,"0")&amp;" Loan Maturities"</f>
        <v>2021 Loan Maturities</v>
      </c>
      <c r="C13" s="472"/>
      <c r="D13" s="472"/>
      <c r="E13" s="472"/>
      <c r="F13" s="472"/>
      <c r="G13" s="1373"/>
      <c r="H13" s="1373"/>
      <c r="I13" s="1374"/>
      <c r="J13" s="472" t="s">
        <v>397</v>
      </c>
      <c r="K13" s="1748"/>
      <c r="L13" s="1748"/>
      <c r="O13" s="315"/>
      <c r="P13" s="315"/>
      <c r="Q13" s="315"/>
      <c r="R13" s="315"/>
      <c r="S13" s="315"/>
      <c r="T13" s="315"/>
      <c r="U13" s="315"/>
    </row>
    <row r="14" spans="2:21" ht="21" customHeight="1" thickBot="1">
      <c r="B14" s="491" t="str">
        <f>TEXT('KEY INPUTS'!D34+1,"0")&amp;" Interest on Loans"</f>
        <v>2021 Interest on Loans</v>
      </c>
      <c r="C14" s="406"/>
      <c r="D14" s="406"/>
      <c r="E14" s="406"/>
      <c r="F14" s="406"/>
      <c r="G14" s="507"/>
      <c r="H14" s="406" t="s">
        <v>397</v>
      </c>
      <c r="I14" s="665"/>
      <c r="O14" s="315"/>
      <c r="P14" s="315"/>
      <c r="Q14" s="315"/>
      <c r="R14" s="315"/>
      <c r="S14" s="315"/>
      <c r="T14" s="315"/>
      <c r="U14" s="315"/>
    </row>
    <row r="15" spans="2:21" ht="16.5" customHeight="1" thickTop="1">
      <c r="B15" s="1891"/>
      <c r="C15" s="1891"/>
      <c r="D15" s="1891"/>
      <c r="E15" s="1891"/>
      <c r="F15" s="1891"/>
      <c r="G15" s="1891"/>
      <c r="H15" s="1891"/>
      <c r="I15" s="1892"/>
      <c r="O15" s="315"/>
      <c r="P15" s="315"/>
      <c r="Q15" s="315"/>
      <c r="R15" s="315"/>
      <c r="S15" s="315"/>
      <c r="T15" s="315"/>
      <c r="U15" s="315"/>
    </row>
    <row r="16" spans="2:21" ht="26.25" customHeight="1" thickBot="1">
      <c r="B16" s="1976" t="str">
        <f>UPPER('KEY INPUTS'!D$53)&amp;"  UTILITY"&amp;" ________________ LOAN"</f>
        <v xml:space="preserve">  UTILITY ________________ LOAN</v>
      </c>
      <c r="C16" s="1976"/>
      <c r="D16" s="1976"/>
      <c r="E16" s="1976"/>
      <c r="F16" s="1976"/>
      <c r="G16" s="1976"/>
      <c r="H16" s="1976"/>
      <c r="I16" s="1977"/>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O17" s="315"/>
      <c r="P17" s="315"/>
      <c r="Q17" s="315"/>
      <c r="R17" s="315"/>
      <c r="S17" s="315"/>
      <c r="T17" s="315"/>
      <c r="U17" s="315"/>
    </row>
    <row r="18" spans="2:21" ht="21" customHeight="1">
      <c r="B18" s="681" t="s">
        <v>97</v>
      </c>
      <c r="C18" s="1121"/>
      <c r="D18" s="1121"/>
      <c r="E18" s="1121"/>
      <c r="F18" s="1121"/>
      <c r="G18" s="963" t="s">
        <v>662</v>
      </c>
      <c r="H18" s="1722"/>
      <c r="I18" s="1723"/>
      <c r="O18" s="315"/>
      <c r="P18" s="315"/>
      <c r="Q18" s="315"/>
      <c r="R18" s="315"/>
      <c r="S18" s="315"/>
      <c r="T18" s="315"/>
      <c r="U18" s="315"/>
    </row>
    <row r="19" spans="2:21" ht="21" customHeight="1">
      <c r="B19" s="681" t="s">
        <v>268</v>
      </c>
      <c r="C19" s="1121"/>
      <c r="D19" s="1121"/>
      <c r="E19" s="1121"/>
      <c r="F19" s="1121"/>
      <c r="G19" s="593"/>
      <c r="H19" s="1743" t="s">
        <v>662</v>
      </c>
      <c r="I19" s="1744"/>
      <c r="O19" s="315"/>
      <c r="P19" s="315"/>
      <c r="Q19" s="315"/>
      <c r="R19" s="315"/>
      <c r="S19" s="315"/>
      <c r="T19" s="315"/>
      <c r="U19" s="315"/>
    </row>
    <row r="20" spans="2:21" ht="21" customHeight="1">
      <c r="B20" s="681"/>
      <c r="C20" s="1121"/>
      <c r="D20" s="1121"/>
      <c r="E20" s="1121"/>
      <c r="F20" s="1121"/>
      <c r="G20" s="1087"/>
      <c r="H20" s="1745"/>
      <c r="I20" s="1746"/>
      <c r="O20" s="315"/>
      <c r="P20" s="315"/>
      <c r="Q20" s="315"/>
      <c r="R20" s="315"/>
      <c r="S20" s="315"/>
      <c r="T20" s="315"/>
      <c r="U20" s="315"/>
    </row>
    <row r="21" spans="2:21" ht="21" customHeight="1">
      <c r="B21" s="681"/>
      <c r="C21" s="1121"/>
      <c r="D21" s="1121"/>
      <c r="E21" s="1121"/>
      <c r="F21" s="1121"/>
      <c r="G21" s="1087"/>
      <c r="H21" s="1745"/>
      <c r="I21" s="1746"/>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O22" s="315"/>
      <c r="P22" s="315"/>
      <c r="Q22" s="315"/>
      <c r="R22" s="315"/>
      <c r="S22" s="315"/>
      <c r="T22" s="315"/>
      <c r="U22" s="315"/>
    </row>
    <row r="23" spans="2:21" ht="21" customHeight="1" thickBot="1">
      <c r="B23" s="1096"/>
      <c r="C23" s="1128"/>
      <c r="D23" s="1128"/>
      <c r="E23" s="1128"/>
      <c r="F23" s="1128"/>
      <c r="G23" s="1065">
        <f>SUM(G17:G22)</f>
        <v>0</v>
      </c>
      <c r="H23" s="1741">
        <f>SUM(H17:I22)</f>
        <v>0</v>
      </c>
      <c r="I23" s="1742"/>
    </row>
    <row r="24" spans="2:21" ht="21" customHeight="1" thickTop="1">
      <c r="B24" s="494" t="str">
        <f>TEXT('KEY INPUTS'!D34+1,"0")&amp;" Loan Maturities"</f>
        <v>2021 Loan Maturities</v>
      </c>
      <c r="C24" s="472"/>
      <c r="D24" s="472"/>
      <c r="E24" s="472"/>
      <c r="F24" s="472"/>
      <c r="G24" s="472"/>
      <c r="H24" s="472"/>
      <c r="I24" s="508"/>
      <c r="J24" s="472" t="s">
        <v>397</v>
      </c>
      <c r="K24" s="1748"/>
      <c r="L24" s="1748"/>
    </row>
    <row r="25" spans="2:21" ht="21" customHeight="1" thickBot="1">
      <c r="B25" s="491" t="str">
        <f>TEXT('KEY INPUTS'!D34+1,"0")&amp;" Interest on Loans"</f>
        <v>2021 Interest on Loans</v>
      </c>
      <c r="C25" s="406"/>
      <c r="D25" s="406"/>
      <c r="E25" s="406"/>
      <c r="F25" s="406"/>
      <c r="G25" s="507"/>
      <c r="H25" s="1381" t="s">
        <v>397</v>
      </c>
      <c r="I25" s="600"/>
      <c r="J25" s="498"/>
      <c r="K25" s="406"/>
      <c r="L25" s="406"/>
    </row>
    <row r="26" spans="2:21" ht="21" customHeight="1" thickTop="1"/>
    <row r="27" spans="2:21" ht="19.5" customHeight="1" thickBot="1">
      <c r="B27" s="1976" t="str">
        <f>"INTEREST  ON  LOANS  - "&amp;UPPER('KEY INPUTS'!D53)&amp;"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408" t="s">
        <v>397</v>
      </c>
      <c r="I28" s="1375">
        <f>+I25+I14</f>
        <v>0</v>
      </c>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row>
    <row r="30" spans="2:21" ht="21" customHeight="1">
      <c r="B30" s="681"/>
      <c r="C30" s="681" t="s">
        <v>337</v>
      </c>
      <c r="D30" s="1121"/>
      <c r="E30" s="1121"/>
      <c r="F30" s="1121"/>
      <c r="G30" s="1121"/>
      <c r="H30" s="327" t="s">
        <v>397</v>
      </c>
      <c r="I30" s="1377">
        <f>+I28-I29</f>
        <v>0</v>
      </c>
    </row>
    <row r="31" spans="2:21" ht="21" customHeight="1">
      <c r="B31" s="905" t="str">
        <f>"Add: Interest to be Accrued as of "&amp;TEXT('KEY INPUTS'!D30,"mm/dd/yyyy")&amp;""</f>
        <v>Add: Interest to be Accrued as of 12/31/2021</v>
      </c>
      <c r="C31" s="681"/>
      <c r="D31" s="1121"/>
      <c r="E31" s="1121"/>
      <c r="F31" s="1121"/>
      <c r="G31" s="1121"/>
      <c r="H31" s="327" t="s">
        <v>397</v>
      </c>
      <c r="I31" s="592"/>
    </row>
    <row r="32" spans="2:21" ht="21" customHeight="1">
      <c r="B32" s="905" t="str">
        <f>"Required Appropriation "&amp;TEXT('KEY INPUTS'!D34+1,"0")</f>
        <v>Required Appropriation 2021</v>
      </c>
      <c r="C32" s="681"/>
      <c r="D32" s="1121"/>
      <c r="E32" s="1121"/>
      <c r="F32" s="1121"/>
      <c r="G32" s="1121"/>
      <c r="H32" s="327"/>
      <c r="I32" s="407"/>
      <c r="J32" s="499" t="s">
        <v>397</v>
      </c>
      <c r="K32" s="1985">
        <f>+I30+I31</f>
        <v>0</v>
      </c>
      <c r="L32" s="1986"/>
    </row>
    <row r="33" spans="2:12" ht="13.5" customHeight="1">
      <c r="B33" s="503"/>
      <c r="C33" s="503"/>
      <c r="D33" s="503"/>
      <c r="E33" s="503"/>
      <c r="F33" s="503"/>
      <c r="G33" s="503"/>
      <c r="H33" s="503"/>
      <c r="I33" s="503"/>
      <c r="J33" s="503"/>
      <c r="K33" s="502"/>
      <c r="L33" s="778"/>
    </row>
    <row r="34" spans="2:12" ht="13.5" customHeight="1">
      <c r="B34" s="503"/>
      <c r="C34" s="503"/>
      <c r="D34" s="503"/>
      <c r="E34" s="503"/>
      <c r="F34" s="503"/>
      <c r="G34" s="503"/>
      <c r="H34" s="503"/>
      <c r="I34" s="503"/>
      <c r="J34" s="503"/>
      <c r="K34" s="502"/>
      <c r="L34" s="778"/>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3225</v>
      </c>
      <c r="C51" s="1850"/>
      <c r="D51" s="1850"/>
      <c r="E51" s="1850"/>
      <c r="F51" s="1850"/>
      <c r="G51" s="1850"/>
      <c r="H51" s="1850"/>
      <c r="I51" s="1850"/>
      <c r="J51" s="1850"/>
      <c r="K51" s="1850"/>
      <c r="L51" s="1850"/>
    </row>
  </sheetData>
  <sheetProtection algorithmName="SHA-512" hashValue="M3X1ZsBXReaaabPzGPI+bRNbRljJ+OY/VrQMZGXmPDkJpPvnaAyahlH760tSRbrsQFaBRllPK4eQIKjoek7jGQ==" saltValue="M8fvJGCx97cqUu0Ajxxcn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0">
    <tabColor theme="3" tint="0.39997558519241921"/>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854" t="s">
        <v>510</v>
      </c>
      <c r="C2" s="1854"/>
      <c r="D2" s="1854"/>
      <c r="E2" s="1854"/>
      <c r="F2" s="1854"/>
      <c r="G2" s="1854"/>
      <c r="H2" s="1854"/>
      <c r="I2" s="1854"/>
      <c r="J2" s="1854"/>
      <c r="K2" s="1854"/>
      <c r="L2" s="1854"/>
    </row>
    <row r="3" spans="2:21" ht="20.399999999999999">
      <c r="B3" s="1893" t="str">
        <f>"AND  "&amp;TEXT('KEY INPUTS'!D34+1,"0")&amp;"  DEBT  SERVICE  FOR  LOANS"</f>
        <v>AND  2021  DEBT  SERVICE  FOR  LOANS</v>
      </c>
      <c r="C3" s="1893"/>
      <c r="D3" s="1893"/>
      <c r="E3" s="1893"/>
      <c r="F3" s="1893"/>
      <c r="G3" s="1893"/>
      <c r="H3" s="1893"/>
      <c r="I3" s="1893"/>
      <c r="J3" s="1893"/>
      <c r="K3" s="1893"/>
      <c r="L3" s="1893"/>
    </row>
    <row r="4" spans="2:21" ht="15.6">
      <c r="B4" s="1806" t="str">
        <f>UPPER('KEY INPUTS'!D$53)&amp;"  UTILITY"&amp;" ________________ LOAN"</f>
        <v xml:space="preserve">  UTILITY ________________ LOAN</v>
      </c>
      <c r="C4" s="1806"/>
      <c r="D4" s="1806"/>
      <c r="E4" s="1806"/>
      <c r="F4" s="1806"/>
      <c r="G4" s="1806"/>
      <c r="H4" s="1806"/>
      <c r="I4" s="1806"/>
      <c r="J4" s="1806"/>
      <c r="K4" s="1806"/>
      <c r="L4" s="1806"/>
    </row>
    <row r="5" spans="2:21" ht="9.75" customHeight="1" thickBot="1">
      <c r="B5" s="798"/>
      <c r="C5" s="798"/>
      <c r="D5" s="798"/>
      <c r="E5" s="798"/>
      <c r="F5" s="798"/>
      <c r="G5" s="798"/>
      <c r="H5" s="798"/>
      <c r="I5" s="798"/>
      <c r="J5" s="798"/>
      <c r="K5" s="798"/>
      <c r="L5" s="798"/>
    </row>
    <row r="6" spans="2:21" ht="27.75" customHeight="1" thickTop="1" thickBot="1">
      <c r="B6" s="509"/>
      <c r="C6" s="509"/>
      <c r="D6" s="509"/>
      <c r="E6" s="509"/>
      <c r="F6" s="509"/>
      <c r="G6" s="403" t="s">
        <v>101</v>
      </c>
      <c r="H6" s="1889" t="s">
        <v>102</v>
      </c>
      <c r="I6" s="1890"/>
      <c r="J6" s="1872" t="str">
        <f>'KEY INPUTS'!D33&amp;" Debt
Service"</f>
        <v>2021 Debt
Service</v>
      </c>
      <c r="K6" s="1873"/>
      <c r="L6" s="1873"/>
      <c r="O6" s="315"/>
      <c r="P6" s="315"/>
      <c r="Q6" s="315"/>
      <c r="R6" s="315"/>
      <c r="S6" s="315"/>
      <c r="T6" s="315"/>
      <c r="U6" s="315"/>
    </row>
    <row r="7" spans="2:21" ht="21" customHeight="1" thickTop="1">
      <c r="B7" s="467" t="str">
        <f>'KEY INPUTS'!D27</f>
        <v>Outstanding - January 1, 2020</v>
      </c>
      <c r="C7" s="408"/>
      <c r="D7" s="408"/>
      <c r="E7" s="408"/>
      <c r="F7" s="408"/>
      <c r="G7" s="143" t="s">
        <v>662</v>
      </c>
      <c r="H7" s="1724"/>
      <c r="I7" s="1725"/>
      <c r="O7" s="315"/>
      <c r="P7" s="315"/>
      <c r="Q7" s="315"/>
      <c r="R7" s="315"/>
      <c r="S7" s="315"/>
      <c r="T7" s="315"/>
      <c r="U7" s="315"/>
    </row>
    <row r="8" spans="2:21" ht="21" customHeight="1">
      <c r="B8" s="395" t="s">
        <v>97</v>
      </c>
      <c r="C8" s="327"/>
      <c r="D8" s="327"/>
      <c r="E8" s="327"/>
      <c r="F8" s="327"/>
      <c r="G8" s="144" t="s">
        <v>662</v>
      </c>
      <c r="H8" s="1722"/>
      <c r="I8" s="1723"/>
      <c r="O8" s="370"/>
      <c r="P8" s="315"/>
      <c r="Q8" s="315"/>
      <c r="R8" s="315"/>
      <c r="S8" s="315"/>
      <c r="T8" s="315"/>
      <c r="U8" s="315"/>
    </row>
    <row r="9" spans="2:21" ht="21" customHeight="1">
      <c r="B9" s="395"/>
      <c r="C9" s="327"/>
      <c r="D9" s="327"/>
      <c r="E9" s="327"/>
      <c r="F9" s="327"/>
      <c r="G9" s="144"/>
      <c r="H9" s="991"/>
      <c r="I9" s="992"/>
      <c r="O9" s="315"/>
      <c r="P9" s="315"/>
      <c r="Q9" s="315"/>
      <c r="R9" s="315"/>
      <c r="S9" s="315"/>
      <c r="T9" s="315"/>
      <c r="U9" s="315"/>
    </row>
    <row r="10" spans="2:21" ht="21" customHeight="1">
      <c r="B10" s="395" t="s">
        <v>268</v>
      </c>
      <c r="C10" s="327"/>
      <c r="D10" s="327"/>
      <c r="E10" s="327"/>
      <c r="F10" s="327"/>
      <c r="G10" s="593"/>
      <c r="H10" s="1697" t="s">
        <v>662</v>
      </c>
      <c r="I10" s="1698"/>
      <c r="O10" s="315"/>
      <c r="P10" s="315"/>
      <c r="Q10" s="315"/>
      <c r="R10" s="315"/>
      <c r="S10" s="315"/>
      <c r="T10" s="315"/>
      <c r="U10" s="315"/>
    </row>
    <row r="11" spans="2:21" ht="21" customHeight="1" thickBot="1">
      <c r="B11" s="395" t="str">
        <f>'KEY INPUTS'!D28</f>
        <v>Outstanding - December 31, 2020</v>
      </c>
      <c r="C11" s="327"/>
      <c r="D11" s="327"/>
      <c r="E11" s="327"/>
      <c r="F11" s="327"/>
      <c r="G11" s="139">
        <f>+H7+H8-G10</f>
        <v>0</v>
      </c>
      <c r="H11" s="1701" t="s">
        <v>662</v>
      </c>
      <c r="I11" s="1702"/>
      <c r="O11" s="315"/>
      <c r="P11" s="315"/>
      <c r="Q11" s="315"/>
      <c r="R11" s="315"/>
      <c r="S11" s="315"/>
      <c r="T11" s="315"/>
      <c r="U11" s="315"/>
    </row>
    <row r="12" spans="2:21" ht="21" customHeight="1" thickBot="1">
      <c r="B12" s="391"/>
      <c r="G12" s="135">
        <f>SUM(G7:G11)</f>
        <v>0</v>
      </c>
      <c r="H12" s="1753">
        <f>SUM(H7:I11)</f>
        <v>0</v>
      </c>
      <c r="I12" s="1754"/>
      <c r="O12" s="315"/>
      <c r="P12" s="315"/>
      <c r="Q12" s="315"/>
      <c r="R12" s="315"/>
      <c r="S12" s="315"/>
      <c r="T12" s="315"/>
      <c r="U12" s="315"/>
    </row>
    <row r="13" spans="2:21" ht="21" customHeight="1" thickTop="1">
      <c r="B13" s="494" t="str">
        <f>TEXT('KEY INPUTS'!D34+1,"0")&amp;" Loan Maturities"</f>
        <v>2021 Loan Maturities</v>
      </c>
      <c r="C13" s="472"/>
      <c r="D13" s="472"/>
      <c r="E13" s="472"/>
      <c r="F13" s="472"/>
      <c r="G13" s="472"/>
      <c r="H13" s="472"/>
      <c r="I13" s="508"/>
      <c r="J13" s="472" t="s">
        <v>397</v>
      </c>
      <c r="K13" s="1748"/>
      <c r="L13" s="1748"/>
      <c r="O13" s="315"/>
      <c r="P13" s="315"/>
      <c r="Q13" s="315"/>
      <c r="R13" s="315"/>
      <c r="S13" s="315"/>
      <c r="T13" s="315"/>
      <c r="U13" s="315"/>
    </row>
    <row r="14" spans="2:21" ht="21" customHeight="1" thickBot="1">
      <c r="B14" s="491" t="str">
        <f>TEXT('KEY INPUTS'!D34+1,"0")&amp;" Interest on Loans"</f>
        <v>2021 Interest on Loans</v>
      </c>
      <c r="C14" s="406"/>
      <c r="D14" s="406"/>
      <c r="E14" s="406"/>
      <c r="F14" s="406"/>
      <c r="G14" s="507"/>
      <c r="H14" s="406" t="s">
        <v>397</v>
      </c>
      <c r="I14" s="665"/>
      <c r="O14" s="315"/>
      <c r="P14" s="315"/>
      <c r="Q14" s="315"/>
      <c r="R14" s="315"/>
      <c r="S14" s="315"/>
      <c r="T14" s="315"/>
      <c r="U14" s="315"/>
    </row>
    <row r="15" spans="2:21" ht="16.5" customHeight="1" thickTop="1">
      <c r="B15" s="1891"/>
      <c r="C15" s="1891"/>
      <c r="D15" s="1891"/>
      <c r="E15" s="1891"/>
      <c r="F15" s="1891"/>
      <c r="G15" s="1891"/>
      <c r="H15" s="1891"/>
      <c r="I15" s="1892"/>
      <c r="O15" s="315"/>
      <c r="P15" s="315"/>
      <c r="Q15" s="315"/>
      <c r="R15" s="315"/>
      <c r="S15" s="315"/>
      <c r="T15" s="315"/>
      <c r="U15" s="315"/>
    </row>
    <row r="16" spans="2:21" ht="26.25" customHeight="1" thickBot="1">
      <c r="B16" s="1976" t="str">
        <f>UPPER('KEY INPUTS'!D$53)&amp;"  UTILITY"&amp;" ________________ LOAN"</f>
        <v xml:space="preserve">  UTILITY ________________ LOAN</v>
      </c>
      <c r="C16" s="1976"/>
      <c r="D16" s="1976"/>
      <c r="E16" s="1976"/>
      <c r="F16" s="1976"/>
      <c r="G16" s="1976"/>
      <c r="H16" s="1976"/>
      <c r="I16" s="1977"/>
      <c r="O16" s="315"/>
      <c r="P16" s="315"/>
      <c r="Q16" s="315"/>
      <c r="R16" s="315"/>
      <c r="S16" s="315"/>
      <c r="T16" s="315"/>
      <c r="U16" s="315"/>
    </row>
    <row r="17" spans="2:21" ht="21" customHeight="1" thickTop="1">
      <c r="B17" s="467" t="str">
        <f>'KEY INPUTS'!D27</f>
        <v>Outstanding - January 1, 2020</v>
      </c>
      <c r="C17" s="408"/>
      <c r="D17" s="408"/>
      <c r="E17" s="408"/>
      <c r="F17" s="408"/>
      <c r="G17" s="143" t="s">
        <v>662</v>
      </c>
      <c r="H17" s="1724"/>
      <c r="I17" s="1725"/>
      <c r="O17" s="315"/>
      <c r="P17" s="315"/>
      <c r="Q17" s="315"/>
      <c r="R17" s="315"/>
      <c r="S17" s="315"/>
      <c r="T17" s="315"/>
      <c r="U17" s="315"/>
    </row>
    <row r="18" spans="2:21" ht="21" customHeight="1">
      <c r="B18" s="395" t="s">
        <v>97</v>
      </c>
      <c r="C18" s="327"/>
      <c r="D18" s="327"/>
      <c r="E18" s="327"/>
      <c r="F18" s="327"/>
      <c r="G18" s="144" t="s">
        <v>662</v>
      </c>
      <c r="H18" s="1722"/>
      <c r="I18" s="1723"/>
      <c r="O18" s="315"/>
      <c r="P18" s="315"/>
      <c r="Q18" s="315"/>
      <c r="R18" s="315"/>
      <c r="S18" s="315"/>
      <c r="T18" s="315"/>
      <c r="U18" s="315"/>
    </row>
    <row r="19" spans="2:21" ht="21" customHeight="1">
      <c r="B19" s="395" t="s">
        <v>268</v>
      </c>
      <c r="C19" s="327"/>
      <c r="D19" s="327"/>
      <c r="E19" s="327"/>
      <c r="F19" s="327"/>
      <c r="G19" s="593"/>
      <c r="H19" s="1697" t="s">
        <v>662</v>
      </c>
      <c r="I19" s="1698"/>
      <c r="O19" s="315"/>
      <c r="P19" s="315"/>
      <c r="Q19" s="315"/>
      <c r="R19" s="315"/>
      <c r="S19" s="315"/>
      <c r="T19" s="315"/>
      <c r="U19" s="315"/>
    </row>
    <row r="20" spans="2:21" ht="21" customHeight="1">
      <c r="B20" s="395"/>
      <c r="C20" s="327"/>
      <c r="D20" s="327"/>
      <c r="E20" s="327"/>
      <c r="F20" s="327"/>
      <c r="G20" s="118"/>
      <c r="H20" s="1885"/>
      <c r="I20" s="1886"/>
      <c r="O20" s="315"/>
      <c r="P20" s="315"/>
      <c r="Q20" s="315"/>
      <c r="R20" s="315"/>
      <c r="S20" s="315"/>
      <c r="T20" s="315"/>
      <c r="U20" s="315"/>
    </row>
    <row r="21" spans="2:21" ht="21" customHeight="1">
      <c r="B21" s="395"/>
      <c r="C21" s="327"/>
      <c r="D21" s="327"/>
      <c r="E21" s="327"/>
      <c r="F21" s="327"/>
      <c r="G21" s="118"/>
      <c r="H21" s="1885"/>
      <c r="I21" s="1886"/>
      <c r="O21" s="315"/>
      <c r="P21" s="315"/>
      <c r="Q21" s="315"/>
      <c r="R21" s="315"/>
      <c r="S21" s="315"/>
      <c r="T21" s="315"/>
      <c r="U21" s="315"/>
    </row>
    <row r="22" spans="2:21" ht="21" customHeight="1" thickBot="1">
      <c r="B22" s="395" t="str">
        <f>'KEY INPUTS'!D28</f>
        <v>Outstanding - December 31, 2020</v>
      </c>
      <c r="C22" s="327"/>
      <c r="D22" s="327"/>
      <c r="E22" s="327"/>
      <c r="F22" s="327"/>
      <c r="G22" s="139">
        <f>+H17+H18-G19-G20-G21+H20+H21</f>
        <v>0</v>
      </c>
      <c r="H22" s="1701" t="s">
        <v>662</v>
      </c>
      <c r="I22" s="1702"/>
      <c r="O22" s="315"/>
      <c r="P22" s="315"/>
      <c r="Q22" s="315"/>
      <c r="R22" s="315"/>
      <c r="S22" s="315"/>
      <c r="T22" s="315"/>
      <c r="U22" s="315"/>
    </row>
    <row r="23" spans="2:21" ht="21" customHeight="1" thickBot="1">
      <c r="B23" s="391"/>
      <c r="G23" s="135">
        <f>SUM(G17:G22)</f>
        <v>0</v>
      </c>
      <c r="H23" s="1753">
        <f>SUM(H17:I22)</f>
        <v>0</v>
      </c>
      <c r="I23" s="1754"/>
    </row>
    <row r="24" spans="2:21" ht="21" customHeight="1" thickTop="1">
      <c r="B24" s="494" t="str">
        <f>TEXT('KEY INPUTS'!D34+1,"0")&amp;" Loan Maturities"</f>
        <v>2021 Loan Maturities</v>
      </c>
      <c r="C24" s="472"/>
      <c r="D24" s="472"/>
      <c r="E24" s="472"/>
      <c r="F24" s="472"/>
      <c r="G24" s="472"/>
      <c r="H24" s="472"/>
      <c r="I24" s="508"/>
      <c r="J24" s="472" t="s">
        <v>397</v>
      </c>
      <c r="K24" s="1748"/>
      <c r="L24" s="1748"/>
    </row>
    <row r="25" spans="2:21" ht="21" customHeight="1" thickBot="1">
      <c r="B25" s="491" t="str">
        <f>TEXT('KEY INPUTS'!D34+1,"0")&amp;" Interest on Loans"</f>
        <v>2021 Interest on Loans</v>
      </c>
      <c r="C25" s="406"/>
      <c r="D25" s="406"/>
      <c r="E25" s="406"/>
      <c r="F25" s="406"/>
      <c r="G25" s="507"/>
      <c r="H25" s="406" t="s">
        <v>397</v>
      </c>
      <c r="I25" s="600"/>
      <c r="J25" s="498"/>
      <c r="K25" s="406"/>
      <c r="L25" s="406"/>
    </row>
    <row r="26" spans="2:21" ht="21" customHeight="1" thickTop="1"/>
    <row r="27" spans="2:21" ht="19.5" customHeight="1" thickBot="1">
      <c r="B27" s="1976" t="str">
        <f>"INTEREST  ON  LOANS  - "&amp;UPPER('KEY INPUTS'!D53)&amp;"  UTILITY  BUDGET"</f>
        <v>INTEREST  ON  LOANS  -   UTILITY  BUDGET</v>
      </c>
      <c r="C27" s="1976"/>
      <c r="D27" s="1976"/>
      <c r="E27" s="1976"/>
      <c r="F27" s="1976"/>
      <c r="G27" s="1976"/>
      <c r="H27" s="1976"/>
      <c r="I27" s="1976"/>
      <c r="J27" s="1976"/>
      <c r="K27" s="1976"/>
      <c r="L27" s="1976"/>
    </row>
    <row r="28" spans="2:21" ht="21" customHeight="1" thickTop="1">
      <c r="B28" s="490" t="str">
        <f>TEXT('KEY INPUTS'!D34+1,"0")&amp;" Interest on Loans (*Items)"</f>
        <v>2021 Interest on Loans (*Items)</v>
      </c>
      <c r="C28" s="450"/>
      <c r="D28" s="408"/>
      <c r="E28" s="408"/>
      <c r="F28" s="408"/>
      <c r="G28" s="408"/>
      <c r="H28" s="408" t="s">
        <v>397</v>
      </c>
      <c r="I28" s="506">
        <f>+I25+I14</f>
        <v>0</v>
      </c>
    </row>
    <row r="29" spans="2:21" ht="21" customHeight="1">
      <c r="B29" s="399" t="str">
        <f>"Less: Interest Accrued to "&amp;TEXT('KEY INPUTS'!D29,"mm/dd/yyy")&amp;" (Trial Balance)"</f>
        <v>Less: Interest Accrued to 12/31/2020 (Trial Balance)</v>
      </c>
      <c r="C29" s="395"/>
      <c r="D29" s="327"/>
      <c r="E29" s="327"/>
      <c r="F29" s="327"/>
      <c r="G29" s="327"/>
      <c r="H29" s="327" t="s">
        <v>397</v>
      </c>
      <c r="I29" s="592"/>
    </row>
    <row r="30" spans="2:21" ht="21" customHeight="1">
      <c r="B30" s="395"/>
      <c r="C30" s="395" t="s">
        <v>337</v>
      </c>
      <c r="D30" s="327"/>
      <c r="E30" s="327"/>
      <c r="F30" s="327"/>
      <c r="G30" s="327"/>
      <c r="H30" s="327" t="s">
        <v>397</v>
      </c>
      <c r="I30" s="505">
        <f>+I28-I29</f>
        <v>0</v>
      </c>
    </row>
    <row r="31" spans="2:21" ht="21" customHeight="1">
      <c r="B31" s="399" t="str">
        <f>"Add: Interest to be Accrued as of "&amp;TEXT('KEY INPUTS'!D30,"mm/dd/yyyy")&amp;""</f>
        <v>Add: Interest to be Accrued as of 12/31/2021</v>
      </c>
      <c r="C31" s="395"/>
      <c r="D31" s="327"/>
      <c r="E31" s="327"/>
      <c r="F31" s="327"/>
      <c r="G31" s="327"/>
      <c r="H31" s="327" t="s">
        <v>397</v>
      </c>
      <c r="I31" s="592"/>
    </row>
    <row r="32" spans="2:21" ht="21" customHeight="1">
      <c r="B32" s="399" t="str">
        <f>"Required Appropriation "&amp;TEXT('KEY INPUTS'!D34+1,"0")</f>
        <v>Required Appropriation 2021</v>
      </c>
      <c r="C32" s="395"/>
      <c r="D32" s="327"/>
      <c r="E32" s="327"/>
      <c r="F32" s="327"/>
      <c r="G32" s="327"/>
      <c r="H32" s="327"/>
      <c r="I32" s="900"/>
      <c r="J32" s="499" t="s">
        <v>397</v>
      </c>
      <c r="K32" s="1895">
        <f>+I30+I31</f>
        <v>0</v>
      </c>
      <c r="L32" s="1896"/>
    </row>
    <row r="33" spans="2:12" ht="13.5" customHeight="1">
      <c r="B33" s="503"/>
      <c r="C33" s="503"/>
      <c r="D33" s="503"/>
      <c r="E33" s="503"/>
      <c r="F33" s="503"/>
      <c r="G33" s="503"/>
      <c r="H33" s="503"/>
      <c r="I33" s="503"/>
      <c r="J33" s="503"/>
      <c r="K33" s="502"/>
      <c r="L33" s="1001"/>
    </row>
    <row r="34" spans="2:12" ht="13.5" customHeight="1">
      <c r="B34" s="503"/>
      <c r="C34" s="503"/>
      <c r="D34" s="503"/>
      <c r="E34" s="503"/>
      <c r="F34" s="503"/>
      <c r="G34" s="503"/>
      <c r="H34" s="503"/>
      <c r="I34" s="503"/>
      <c r="J34" s="503"/>
      <c r="K34" s="502"/>
      <c r="L34" s="1001"/>
    </row>
    <row r="35" spans="2:12" ht="21" customHeight="1" thickBot="1">
      <c r="B35" s="1869" t="str">
        <f>"LIST  OF  LOANS  ISSUED  DURING  "&amp;TEXT('KEY INPUTS'!D34,"0")&amp;""</f>
        <v>LIST  OF  LOANS  ISSUED  DURING  2020</v>
      </c>
      <c r="C35" s="1869"/>
      <c r="D35" s="1869"/>
      <c r="E35" s="1869"/>
      <c r="F35" s="1869"/>
      <c r="G35" s="1869"/>
      <c r="H35" s="1869"/>
      <c r="I35" s="1869"/>
      <c r="J35" s="1869"/>
      <c r="K35" s="1869"/>
      <c r="L35" s="1869"/>
    </row>
    <row r="36" spans="2:12" ht="27" customHeight="1" thickTop="1" thickBot="1">
      <c r="B36" s="1884" t="s">
        <v>440</v>
      </c>
      <c r="C36" s="1884"/>
      <c r="D36" s="1884"/>
      <c r="E36" s="1884"/>
      <c r="F36" s="1884"/>
      <c r="G36" s="486" t="str">
        <f>TEXT('KEY INPUTS'!D33,"0")&amp;" Maturity"</f>
        <v>2021 Maturity</v>
      </c>
      <c r="H36" s="1889" t="s">
        <v>96</v>
      </c>
      <c r="I36" s="1890"/>
      <c r="J36" s="1887" t="s">
        <v>94</v>
      </c>
      <c r="K36" s="1888"/>
      <c r="L36" s="100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406"/>
      <c r="C41" s="406"/>
      <c r="D41" s="406"/>
      <c r="E41" s="406"/>
      <c r="F41" s="405"/>
      <c r="G41" s="135">
        <f>SUM(G37:G40)</f>
        <v>0</v>
      </c>
      <c r="H41" s="1750">
        <f>SUM(H37:I40)</f>
        <v>0</v>
      </c>
      <c r="I41" s="1751"/>
      <c r="J41" s="498"/>
      <c r="K41" s="406"/>
      <c r="L41" s="410"/>
    </row>
    <row r="42" spans="2:12" ht="13.8" thickTop="1">
      <c r="G42" s="497"/>
      <c r="H42" s="497"/>
      <c r="I42" s="497"/>
    </row>
    <row r="51" spans="2:12" ht="13.8">
      <c r="B51" s="1850" t="s">
        <v>3419</v>
      </c>
      <c r="C51" s="1850"/>
      <c r="D51" s="1850"/>
      <c r="E51" s="1850"/>
      <c r="F51" s="1850"/>
      <c r="G51" s="1850"/>
      <c r="H51" s="1850"/>
      <c r="I51" s="1850"/>
      <c r="J51" s="1850"/>
      <c r="K51" s="1850"/>
      <c r="L51" s="1850"/>
    </row>
  </sheetData>
  <sheetProtection algorithmName="SHA-512" hashValue="NezQw0sODiLGxTP5LbfS+PepCAip6bSFeExiuPgPG82lHO2W6C0xUr2njUBJuu+AW5HHBLJbUt5pc2T5myJsCA==" saltValue="Q6LzXm9Fax76TCEQm5NC7g=="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5">
    <tabColor theme="3" tint="0.39997558519241921"/>
  </sheetPr>
  <dimension ref="A2:V30"/>
  <sheetViews>
    <sheetView zoomScaleNormal="100" zoomScaleSheetLayoutView="80" workbookViewId="0"/>
  </sheetViews>
  <sheetFormatPr defaultColWidth="8.88671875" defaultRowHeight="13.2"/>
  <cols>
    <col min="1" max="1" width="5.6640625" style="324" customWidth="1"/>
    <col min="2" max="3" width="4.88671875" style="324" customWidth="1"/>
    <col min="4" max="4" width="30.44140625" style="324" customWidth="1"/>
    <col min="5" max="11" width="15.6640625" style="324" customWidth="1"/>
    <col min="12" max="12" width="1.6640625" style="324" customWidth="1"/>
    <col min="13" max="13" width="12.6640625" style="324" customWidth="1"/>
    <col min="14" max="16384" width="8.88671875" style="324"/>
  </cols>
  <sheetData>
    <row r="2" spans="1:22" ht="20.399999999999999">
      <c r="B2" s="1854" t="str">
        <f>"DEBT  SERVICE  FOR  "&amp;UPPER('KEY INPUTS'!D53)&amp;"  UTILITY  NOTES  (OTHER  THAN  UTILITY  ASSESSMENT  NOTES)"</f>
        <v>DEBT  SERVICE  FOR    UTILITY  NOTES  (OTHER  THAN  UTILITY  ASSESSMENT  NOTES)</v>
      </c>
      <c r="C2" s="1854"/>
      <c r="D2" s="1854"/>
      <c r="E2" s="1854"/>
      <c r="F2" s="1854"/>
      <c r="G2" s="1854"/>
      <c r="H2" s="1854"/>
      <c r="I2" s="1854"/>
      <c r="J2" s="1854"/>
      <c r="K2" s="1854"/>
      <c r="L2" s="1854"/>
      <c r="M2" s="1854"/>
    </row>
    <row r="3" spans="1:22" ht="21" thickBot="1">
      <c r="B3" s="1854"/>
      <c r="C3" s="1854"/>
      <c r="D3" s="1854"/>
      <c r="E3" s="1854"/>
      <c r="F3" s="1854"/>
      <c r="G3" s="1854"/>
      <c r="H3" s="1854"/>
      <c r="I3" s="1854"/>
      <c r="J3" s="1854"/>
      <c r="K3" s="1854"/>
      <c r="L3" s="1854"/>
      <c r="M3" s="1854"/>
    </row>
    <row r="4" spans="1:22" ht="13.5" customHeight="1" thickTop="1">
      <c r="B4" s="418"/>
      <c r="C4" s="418"/>
      <c r="D4" s="418"/>
      <c r="E4" s="419"/>
      <c r="F4" s="419"/>
      <c r="G4" s="419"/>
      <c r="H4" s="419"/>
      <c r="I4" s="419"/>
      <c r="J4" s="418"/>
      <c r="K4" s="1473"/>
      <c r="L4" s="418"/>
      <c r="M4" s="1474"/>
    </row>
    <row r="5" spans="1:22" ht="13.5" customHeight="1">
      <c r="E5" s="415" t="s">
        <v>144</v>
      </c>
      <c r="F5" s="414" t="s">
        <v>144</v>
      </c>
      <c r="G5" s="414" t="s">
        <v>441</v>
      </c>
      <c r="H5" s="414" t="s">
        <v>18</v>
      </c>
      <c r="I5" s="414" t="s">
        <v>572</v>
      </c>
      <c r="J5" s="1898">
        <f>'KEY INPUTS'!D33</f>
        <v>2021</v>
      </c>
      <c r="K5" s="1899"/>
      <c r="L5" s="1475"/>
      <c r="M5" s="1476" t="s">
        <v>573</v>
      </c>
    </row>
    <row r="6" spans="1:22" ht="13.5" customHeight="1">
      <c r="C6" s="1902" t="s">
        <v>143</v>
      </c>
      <c r="D6" s="1903"/>
      <c r="E6" s="415" t="s">
        <v>441</v>
      </c>
      <c r="F6" s="414" t="s">
        <v>145</v>
      </c>
      <c r="G6" s="414" t="s">
        <v>569</v>
      </c>
      <c r="H6" s="414" t="s">
        <v>570</v>
      </c>
      <c r="I6" s="414" t="s">
        <v>570</v>
      </c>
      <c r="J6" s="1900"/>
      <c r="K6" s="1901"/>
      <c r="L6" s="1477"/>
      <c r="M6" s="1476" t="s">
        <v>576</v>
      </c>
    </row>
    <row r="7" spans="1:22" ht="13.5" customHeight="1">
      <c r="E7" s="415" t="s">
        <v>97</v>
      </c>
      <c r="F7" s="415" t="s">
        <v>146</v>
      </c>
      <c r="G7" s="415" t="s">
        <v>206</v>
      </c>
      <c r="H7" s="415" t="s">
        <v>571</v>
      </c>
      <c r="I7" s="415" t="s">
        <v>573</v>
      </c>
      <c r="J7" s="415" t="s">
        <v>118</v>
      </c>
      <c r="K7" s="415" t="s">
        <v>574</v>
      </c>
      <c r="L7" s="414"/>
      <c r="M7" s="1476" t="s">
        <v>577</v>
      </c>
    </row>
    <row r="8" spans="1:22" ht="13.5" customHeight="1" thickBot="1">
      <c r="B8" s="413"/>
      <c r="C8" s="413"/>
      <c r="D8" s="413"/>
      <c r="E8" s="411"/>
      <c r="F8" s="411"/>
      <c r="G8" s="787" t="str">
        <f>'KEY INPUTS'!D46</f>
        <v>Dec. 31, 2020</v>
      </c>
      <c r="H8" s="411"/>
      <c r="I8" s="411"/>
      <c r="J8" s="412"/>
      <c r="K8" s="539"/>
      <c r="L8" s="1478"/>
      <c r="M8" s="1479"/>
      <c r="P8" s="315"/>
      <c r="Q8" s="315"/>
      <c r="R8" s="315"/>
      <c r="S8" s="315"/>
      <c r="T8" s="315"/>
      <c r="U8" s="315"/>
      <c r="V8" s="315"/>
    </row>
    <row r="9" spans="1:22" ht="21" customHeight="1" thickTop="1">
      <c r="B9" s="1480" t="s">
        <v>308</v>
      </c>
      <c r="C9" s="664"/>
      <c r="D9" s="667"/>
      <c r="E9" s="597"/>
      <c r="F9" s="1481"/>
      <c r="G9" s="597"/>
      <c r="H9" s="1482"/>
      <c r="I9" s="789"/>
      <c r="J9" s="597"/>
      <c r="K9" s="597">
        <f>+I9*G9</f>
        <v>0</v>
      </c>
      <c r="L9" s="1483"/>
      <c r="M9" s="1484"/>
      <c r="P9" s="315"/>
      <c r="Q9" s="315"/>
      <c r="R9" s="315"/>
      <c r="S9" s="315"/>
      <c r="T9" s="315"/>
      <c r="U9" s="315"/>
      <c r="V9" s="315"/>
    </row>
    <row r="10" spans="1:22" ht="21" customHeight="1">
      <c r="B10" s="1485" t="s">
        <v>309</v>
      </c>
      <c r="C10" s="1486"/>
      <c r="D10" s="643"/>
      <c r="E10" s="593"/>
      <c r="F10" s="1487"/>
      <c r="G10" s="593"/>
      <c r="H10" s="1488"/>
      <c r="I10" s="615"/>
      <c r="J10" s="1489"/>
      <c r="K10" s="593">
        <f>+I10*G10</f>
        <v>0</v>
      </c>
      <c r="L10" s="623"/>
      <c r="M10" s="1490"/>
      <c r="N10" s="324" t="s">
        <v>3190</v>
      </c>
      <c r="O10" s="324" t="s">
        <v>3190</v>
      </c>
      <c r="P10" s="370"/>
      <c r="Q10" s="315"/>
      <c r="R10" s="315"/>
      <c r="S10" s="315"/>
      <c r="T10" s="315"/>
      <c r="U10" s="315"/>
      <c r="V10" s="315"/>
    </row>
    <row r="11" spans="1:22" ht="21" customHeight="1">
      <c r="B11" s="1485" t="s">
        <v>310</v>
      </c>
      <c r="C11" s="639"/>
      <c r="D11" s="643"/>
      <c r="E11" s="593"/>
      <c r="F11" s="676"/>
      <c r="G11" s="593"/>
      <c r="H11" s="593"/>
      <c r="I11" s="615"/>
      <c r="J11" s="593"/>
      <c r="K11" s="593"/>
      <c r="L11" s="623"/>
      <c r="M11" s="675"/>
      <c r="P11" s="315"/>
      <c r="Q11" s="315"/>
      <c r="R11" s="315"/>
      <c r="S11" s="315"/>
      <c r="T11" s="315"/>
      <c r="U11" s="315"/>
      <c r="V11" s="315"/>
    </row>
    <row r="12" spans="1:22" ht="21" customHeight="1">
      <c r="B12" s="1485" t="s">
        <v>311</v>
      </c>
      <c r="C12" s="639"/>
      <c r="D12" s="643"/>
      <c r="E12" s="593"/>
      <c r="F12" s="676"/>
      <c r="G12" s="593"/>
      <c r="H12" s="593"/>
      <c r="I12" s="615"/>
      <c r="J12" s="593"/>
      <c r="K12" s="593"/>
      <c r="L12" s="623"/>
      <c r="M12" s="675"/>
      <c r="P12" s="315"/>
      <c r="Q12" s="315"/>
      <c r="R12" s="315"/>
      <c r="S12" s="315"/>
      <c r="T12" s="315"/>
      <c r="U12" s="315"/>
      <c r="V12" s="315"/>
    </row>
    <row r="13" spans="1:22" ht="21" customHeight="1">
      <c r="B13" s="1485" t="s">
        <v>312</v>
      </c>
      <c r="C13" s="639"/>
      <c r="D13" s="643"/>
      <c r="E13" s="593"/>
      <c r="F13" s="676"/>
      <c r="G13" s="593"/>
      <c r="H13" s="593"/>
      <c r="I13" s="615"/>
      <c r="J13" s="593"/>
      <c r="K13" s="593"/>
      <c r="L13" s="623"/>
      <c r="M13" s="675"/>
      <c r="P13" s="315"/>
      <c r="Q13" s="315"/>
      <c r="R13" s="315"/>
      <c r="S13" s="315"/>
      <c r="T13" s="315"/>
      <c r="U13" s="315"/>
      <c r="V13" s="315"/>
    </row>
    <row r="14" spans="1:22" ht="21" customHeight="1">
      <c r="B14" s="1485" t="s">
        <v>313</v>
      </c>
      <c r="C14" s="639"/>
      <c r="D14" s="643"/>
      <c r="E14" s="596"/>
      <c r="F14" s="677"/>
      <c r="G14" s="596"/>
      <c r="H14" s="596"/>
      <c r="I14" s="618"/>
      <c r="J14" s="593"/>
      <c r="K14" s="593"/>
      <c r="L14" s="623"/>
      <c r="M14" s="675"/>
      <c r="P14" s="315"/>
      <c r="Q14" s="315"/>
      <c r="R14" s="315"/>
      <c r="S14" s="315"/>
      <c r="T14" s="315"/>
      <c r="U14" s="315"/>
      <c r="V14" s="315"/>
    </row>
    <row r="15" spans="1:22" ht="21" customHeight="1">
      <c r="A15" s="1830" t="s">
        <v>3226</v>
      </c>
      <c r="B15" s="1485" t="s">
        <v>314</v>
      </c>
      <c r="C15" s="678"/>
      <c r="D15" s="679"/>
      <c r="E15" s="593"/>
      <c r="F15" s="676"/>
      <c r="G15" s="593"/>
      <c r="H15" s="593"/>
      <c r="I15" s="615"/>
      <c r="J15" s="593"/>
      <c r="K15" s="593"/>
      <c r="L15" s="623"/>
      <c r="M15" s="675"/>
      <c r="P15" s="315"/>
      <c r="Q15" s="315"/>
      <c r="R15" s="315"/>
      <c r="S15" s="315"/>
      <c r="T15" s="315"/>
      <c r="U15" s="315"/>
      <c r="V15" s="315"/>
    </row>
    <row r="16" spans="1:22" ht="21" customHeight="1">
      <c r="A16" s="1830"/>
      <c r="B16" s="1485" t="s">
        <v>409</v>
      </c>
      <c r="C16" s="639"/>
      <c r="D16" s="643"/>
      <c r="E16" s="593"/>
      <c r="F16" s="676"/>
      <c r="G16" s="593"/>
      <c r="H16" s="593"/>
      <c r="I16" s="615"/>
      <c r="J16" s="593"/>
      <c r="K16" s="593"/>
      <c r="L16" s="623"/>
      <c r="M16" s="675"/>
      <c r="P16" s="315"/>
      <c r="Q16" s="315"/>
      <c r="R16" s="315"/>
      <c r="S16" s="315"/>
      <c r="T16" s="315"/>
      <c r="U16" s="315"/>
      <c r="V16" s="315"/>
    </row>
    <row r="17" spans="1:22" ht="21" customHeight="1">
      <c r="A17" s="1830"/>
      <c r="B17" s="1485" t="s">
        <v>410</v>
      </c>
      <c r="C17" s="639"/>
      <c r="D17" s="643"/>
      <c r="E17" s="593"/>
      <c r="F17" s="676"/>
      <c r="G17" s="593"/>
      <c r="H17" s="593"/>
      <c r="I17" s="615"/>
      <c r="J17" s="593"/>
      <c r="K17" s="593"/>
      <c r="L17" s="623"/>
      <c r="M17" s="675"/>
      <c r="P17" s="315"/>
      <c r="Q17" s="315"/>
      <c r="R17" s="315"/>
      <c r="S17" s="315"/>
      <c r="T17" s="315"/>
      <c r="U17" s="315"/>
      <c r="V17" s="315"/>
    </row>
    <row r="18" spans="1:22" ht="21" customHeight="1">
      <c r="A18" s="538"/>
      <c r="B18" s="1491" t="s">
        <v>834</v>
      </c>
      <c r="C18" s="327"/>
      <c r="D18" s="407"/>
      <c r="E18" s="118">
        <f>SUM(E9:E17)</f>
        <v>0</v>
      </c>
      <c r="F18" s="1492"/>
      <c r="G18" s="118">
        <f>SUM(G9:G17)</f>
        <v>0</v>
      </c>
      <c r="H18" s="118"/>
      <c r="I18" s="1493"/>
      <c r="J18" s="118">
        <f>SUM(J9:J17)</f>
        <v>0</v>
      </c>
      <c r="K18" s="118">
        <f>SUM(K9:K17)</f>
        <v>0</v>
      </c>
      <c r="L18" s="1494"/>
      <c r="M18" s="1495"/>
      <c r="P18" s="315"/>
      <c r="Q18" s="315"/>
      <c r="R18" s="315"/>
      <c r="S18" s="315"/>
      <c r="T18" s="315"/>
      <c r="U18" s="315"/>
      <c r="V18" s="315"/>
    </row>
    <row r="19" spans="1:22" ht="21" customHeight="1">
      <c r="A19" s="538"/>
      <c r="B19" s="474"/>
      <c r="E19" s="189"/>
      <c r="G19" s="189"/>
      <c r="H19" s="189"/>
      <c r="I19" s="1496"/>
      <c r="J19" s="189"/>
      <c r="K19" s="189"/>
      <c r="L19" s="189"/>
      <c r="P19" s="315"/>
      <c r="Q19" s="315"/>
      <c r="R19" s="315"/>
      <c r="S19" s="315"/>
      <c r="T19" s="315"/>
      <c r="U19" s="315"/>
      <c r="V19" s="315"/>
    </row>
    <row r="20" spans="1:22" ht="21" customHeight="1">
      <c r="A20" s="538"/>
      <c r="B20" s="474"/>
      <c r="E20" s="189"/>
      <c r="G20" s="189"/>
      <c r="H20" s="189"/>
      <c r="I20" s="1496"/>
      <c r="J20" s="189"/>
      <c r="K20" s="189"/>
      <c r="L20" s="189"/>
      <c r="P20" s="315"/>
      <c r="Q20" s="315"/>
      <c r="R20" s="315"/>
      <c r="S20" s="315"/>
      <c r="T20" s="315"/>
      <c r="U20" s="315"/>
      <c r="V20" s="315"/>
    </row>
    <row r="21" spans="1:22" ht="13.5" customHeight="1">
      <c r="B21" s="1497"/>
      <c r="C21" s="404"/>
      <c r="D21" s="795"/>
      <c r="J21" s="791"/>
      <c r="P21" s="315"/>
      <c r="Q21" s="315"/>
      <c r="R21" s="315"/>
      <c r="S21" s="315"/>
      <c r="T21" s="315"/>
      <c r="U21" s="315"/>
      <c r="V21" s="315"/>
    </row>
    <row r="22" spans="1:22">
      <c r="B22" s="1498" t="s">
        <v>44</v>
      </c>
      <c r="C22" s="791"/>
      <c r="D22" s="1499"/>
      <c r="E22" s="791"/>
      <c r="I22" s="1857"/>
      <c r="J22" s="1857"/>
      <c r="K22" s="1857"/>
      <c r="L22" s="1857"/>
      <c r="M22" s="1857"/>
      <c r="P22" s="315"/>
      <c r="Q22" s="315"/>
      <c r="R22" s="315"/>
      <c r="S22" s="315"/>
      <c r="T22" s="315"/>
      <c r="U22" s="315"/>
      <c r="V22" s="315"/>
    </row>
    <row r="23" spans="1:22" ht="15.6" customHeight="1">
      <c r="B23" s="1500" t="s">
        <v>45</v>
      </c>
      <c r="C23" s="1500"/>
      <c r="D23" s="1498" t="s">
        <v>46</v>
      </c>
      <c r="E23" s="791"/>
      <c r="M23" s="280"/>
      <c r="P23" s="315"/>
      <c r="Q23" s="315"/>
      <c r="R23" s="315"/>
      <c r="S23" s="315"/>
      <c r="T23" s="315"/>
      <c r="U23" s="315"/>
      <c r="V23" s="315"/>
    </row>
    <row r="24" spans="1:22" ht="15.6" customHeight="1">
      <c r="B24" s="1498"/>
      <c r="C24" s="1498"/>
      <c r="D24" s="1500" t="s">
        <v>47</v>
      </c>
      <c r="E24" s="791"/>
      <c r="M24" s="1501"/>
      <c r="P24" s="315"/>
      <c r="Q24" s="315"/>
      <c r="R24" s="315"/>
      <c r="S24" s="315"/>
      <c r="T24" s="315"/>
      <c r="U24" s="315"/>
      <c r="V24" s="315"/>
    </row>
    <row r="25" spans="1:22" ht="15.6" customHeight="1">
      <c r="B25" s="1498"/>
      <c r="C25" s="1498"/>
      <c r="D25" s="1498" t="s">
        <v>48</v>
      </c>
      <c r="E25" s="791"/>
      <c r="M25" s="280"/>
    </row>
    <row r="26" spans="1:22" ht="15.6" customHeight="1">
      <c r="B26" s="1498"/>
      <c r="C26" s="1498"/>
      <c r="D26" s="1498" t="str">
        <f>"All notes with an original date of issue of "&amp;'KEY INPUTS'!D33-3&amp;" or prior require one legally payable installment to be budgeted if it"</f>
        <v>All notes with an original date of issue of 2018 or prior require one legally payable installment to be budgeted if it</v>
      </c>
      <c r="E26" s="791"/>
      <c r="M26" s="1501"/>
    </row>
    <row r="27" spans="1:22" ht="15.6" customHeight="1">
      <c r="B27" s="1498"/>
      <c r="C27" s="1498"/>
      <c r="D27" s="1498" t="str">
        <f>"is contemplated that such notes will be renewed in "&amp;TEXT('KEY INPUTS'!D34+1,"0")&amp;" or written intent of permanent financing submitted."</f>
        <v>is contemplated that such notes will be renewed in 2021 or written intent of permanent financing submitted.</v>
      </c>
      <c r="E27" s="791"/>
      <c r="M27" s="280"/>
    </row>
    <row r="28" spans="1:22">
      <c r="B28" s="1498"/>
      <c r="C28" s="1498"/>
      <c r="D28" s="1498" t="s">
        <v>49</v>
      </c>
      <c r="E28" s="791"/>
    </row>
    <row r="29" spans="1:22">
      <c r="B29" s="791"/>
      <c r="C29" s="791"/>
      <c r="D29" s="1500" t="s">
        <v>50</v>
      </c>
      <c r="E29" s="791"/>
    </row>
    <row r="30" spans="1:22">
      <c r="J30" s="791" t="s">
        <v>103</v>
      </c>
    </row>
  </sheetData>
  <sheetProtection algorithmName="SHA-512" hashValue="V7nrludU1/iF94DX3S4BfW8ZLVpXPwAfo0l4RB1Xy9ndyAl+CBhJVamwt9PcxiWoVMcDIlW0YS38t31xd3LeAg==" saltValue="/BzCKSOXgzvicVTbhQycXg=="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1">
    <tabColor theme="3" tint="0.39997558519241921"/>
  </sheetPr>
  <dimension ref="A1:V30"/>
  <sheetViews>
    <sheetView zoomScaleNormal="100" zoomScaleSheetLayoutView="80" workbookViewId="0"/>
  </sheetViews>
  <sheetFormatPr defaultColWidth="8.88671875" defaultRowHeight="13.2"/>
  <cols>
    <col min="1" max="1" width="5.6640625" style="391" customWidth="1"/>
    <col min="2" max="3" width="4.88671875" style="391" customWidth="1"/>
    <col min="4" max="4" width="30.44140625" style="391" customWidth="1"/>
    <col min="5" max="11" width="15.6640625" style="391" customWidth="1"/>
    <col min="12" max="12" width="1.6640625" style="391" customWidth="1"/>
    <col min="13" max="13" width="12.6640625" style="391" customWidth="1"/>
    <col min="14" max="16384" width="8.88671875" style="391"/>
  </cols>
  <sheetData>
    <row r="1" spans="1:22">
      <c r="B1" s="1096"/>
      <c r="C1" s="1096"/>
      <c r="D1" s="1096"/>
      <c r="E1" s="1096"/>
      <c r="F1" s="1096"/>
      <c r="G1" s="1096"/>
      <c r="H1" s="1096"/>
      <c r="I1" s="1096"/>
      <c r="J1" s="1096"/>
      <c r="K1" s="1096"/>
      <c r="L1" s="1096"/>
      <c r="M1" s="1096"/>
    </row>
    <row r="2" spans="1:22" ht="20.399999999999999">
      <c r="B2" s="1826" t="str">
        <f>"DEBT  SERVICE  FOR  "&amp;UPPER('KEY INPUTS'!D53)&amp;"  UTILITY  NOTES  (OTHER  THAN  UTILITY  ASSESSMENT  NOTES)"</f>
        <v>DEBT  SERVICE  FOR    UTILITY  NOTES  (OTHER  THAN  UTILITY  ASSESSMENT  NOTES)</v>
      </c>
      <c r="C2" s="1826"/>
      <c r="D2" s="1826"/>
      <c r="E2" s="1826"/>
      <c r="F2" s="1826"/>
      <c r="G2" s="1826"/>
      <c r="H2" s="1826"/>
      <c r="I2" s="1826"/>
      <c r="J2" s="1826"/>
      <c r="K2" s="1826"/>
      <c r="L2" s="1826"/>
      <c r="M2" s="1826"/>
    </row>
    <row r="3" spans="1:22" ht="21" thickBot="1">
      <c r="B3" s="1826"/>
      <c r="C3" s="1826"/>
      <c r="D3" s="1826"/>
      <c r="E3" s="1826"/>
      <c r="F3" s="1826"/>
      <c r="G3" s="1826"/>
      <c r="H3" s="1826"/>
      <c r="I3" s="1826"/>
      <c r="J3" s="1826"/>
      <c r="K3" s="1826"/>
      <c r="L3" s="1826"/>
      <c r="M3" s="1826"/>
    </row>
    <row r="4" spans="1:22" ht="13.5" customHeight="1" thickTop="1">
      <c r="B4" s="1219"/>
      <c r="C4" s="1219"/>
      <c r="D4" s="1219"/>
      <c r="E4" s="1220"/>
      <c r="F4" s="1220"/>
      <c r="G4" s="1220"/>
      <c r="H4" s="1220"/>
      <c r="I4" s="1220"/>
      <c r="J4" s="1219"/>
      <c r="K4" s="1221"/>
      <c r="L4" s="1219"/>
      <c r="M4" s="1222"/>
    </row>
    <row r="5" spans="1:22" ht="13.5" customHeight="1">
      <c r="B5" s="1096"/>
      <c r="C5" s="1096"/>
      <c r="D5" s="1096"/>
      <c r="E5" s="1223" t="s">
        <v>144</v>
      </c>
      <c r="F5" s="1224" t="s">
        <v>144</v>
      </c>
      <c r="G5" s="1224" t="s">
        <v>441</v>
      </c>
      <c r="H5" s="1224" t="s">
        <v>18</v>
      </c>
      <c r="I5" s="1224" t="s">
        <v>572</v>
      </c>
      <c r="J5" s="1910">
        <f>'KEY INPUTS'!D33</f>
        <v>2021</v>
      </c>
      <c r="K5" s="1911"/>
      <c r="L5" s="1225"/>
      <c r="M5" s="1226" t="s">
        <v>573</v>
      </c>
    </row>
    <row r="6" spans="1:22" ht="13.5" customHeight="1">
      <c r="B6" s="1096"/>
      <c r="C6" s="1908" t="s">
        <v>143</v>
      </c>
      <c r="D6" s="1909"/>
      <c r="E6" s="1223" t="s">
        <v>441</v>
      </c>
      <c r="F6" s="1224" t="s">
        <v>145</v>
      </c>
      <c r="G6" s="1224" t="s">
        <v>569</v>
      </c>
      <c r="H6" s="1224" t="s">
        <v>570</v>
      </c>
      <c r="I6" s="1224" t="s">
        <v>570</v>
      </c>
      <c r="J6" s="1912"/>
      <c r="K6" s="1913"/>
      <c r="L6" s="1227"/>
      <c r="M6" s="1226" t="s">
        <v>576</v>
      </c>
    </row>
    <row r="7" spans="1:22" ht="13.5" customHeight="1">
      <c r="B7" s="1096"/>
      <c r="C7" s="1096"/>
      <c r="D7" s="1096"/>
      <c r="E7" s="1223" t="s">
        <v>97</v>
      </c>
      <c r="F7" s="1223" t="s">
        <v>146</v>
      </c>
      <c r="G7" s="1223" t="s">
        <v>206</v>
      </c>
      <c r="H7" s="1223" t="s">
        <v>571</v>
      </c>
      <c r="I7" s="1223" t="s">
        <v>573</v>
      </c>
      <c r="J7" s="1223" t="s">
        <v>118</v>
      </c>
      <c r="K7" s="1223" t="s">
        <v>574</v>
      </c>
      <c r="L7" s="1224"/>
      <c r="M7" s="1226" t="s">
        <v>577</v>
      </c>
    </row>
    <row r="8" spans="1:22" ht="13.5" customHeight="1" thickBot="1">
      <c r="B8" s="1151"/>
      <c r="C8" s="1151"/>
      <c r="D8" s="1151"/>
      <c r="E8" s="1228"/>
      <c r="F8" s="1228"/>
      <c r="G8" s="1229" t="str">
        <f>'KEY INPUTS'!D46</f>
        <v>Dec. 31, 2020</v>
      </c>
      <c r="H8" s="1228"/>
      <c r="I8" s="1228"/>
      <c r="J8" s="1230"/>
      <c r="K8" s="1231"/>
      <c r="L8" s="1232"/>
      <c r="M8" s="1233"/>
      <c r="P8" s="315"/>
      <c r="Q8" s="315"/>
      <c r="R8" s="315"/>
      <c r="S8" s="315"/>
      <c r="T8" s="315"/>
      <c r="U8" s="315"/>
      <c r="V8" s="315"/>
    </row>
    <row r="9" spans="1:22" ht="21" customHeight="1" thickTop="1">
      <c r="B9" s="530" t="s">
        <v>308</v>
      </c>
      <c r="C9" s="666"/>
      <c r="D9" s="667"/>
      <c r="E9" s="610"/>
      <c r="F9" s="1450"/>
      <c r="G9" s="610"/>
      <c r="H9" s="669"/>
      <c r="I9" s="612"/>
      <c r="J9" s="610"/>
      <c r="K9" s="610"/>
      <c r="L9" s="621"/>
      <c r="M9" s="670"/>
      <c r="P9" s="315"/>
      <c r="Q9" s="315"/>
      <c r="R9" s="315"/>
      <c r="S9" s="315"/>
      <c r="T9" s="315"/>
      <c r="U9" s="315"/>
      <c r="V9" s="315"/>
    </row>
    <row r="10" spans="1:22" ht="21" customHeight="1">
      <c r="B10" s="529" t="s">
        <v>309</v>
      </c>
      <c r="C10" s="671"/>
      <c r="D10" s="643"/>
      <c r="E10" s="593"/>
      <c r="F10" s="1451"/>
      <c r="G10" s="593"/>
      <c r="H10" s="593"/>
      <c r="I10" s="673"/>
      <c r="J10" s="674"/>
      <c r="K10" s="593"/>
      <c r="L10" s="623"/>
      <c r="M10" s="675"/>
      <c r="N10" s="391" t="s">
        <v>3190</v>
      </c>
      <c r="O10" s="391" t="s">
        <v>3190</v>
      </c>
      <c r="P10" s="370"/>
      <c r="Q10" s="315"/>
      <c r="R10" s="315"/>
      <c r="S10" s="315"/>
      <c r="T10" s="315"/>
      <c r="U10" s="315"/>
      <c r="V10" s="315"/>
    </row>
    <row r="11" spans="1:22" ht="21" customHeight="1">
      <c r="B11" s="529" t="s">
        <v>310</v>
      </c>
      <c r="C11" s="639"/>
      <c r="D11" s="643"/>
      <c r="E11" s="593"/>
      <c r="F11" s="1452"/>
      <c r="G11" s="593"/>
      <c r="H11" s="593"/>
      <c r="I11" s="615"/>
      <c r="J11" s="593"/>
      <c r="K11" s="593"/>
      <c r="L11" s="623"/>
      <c r="M11" s="675"/>
      <c r="P11" s="315"/>
      <c r="Q11" s="315"/>
      <c r="R11" s="315"/>
      <c r="S11" s="315"/>
      <c r="T11" s="315"/>
      <c r="U11" s="315"/>
      <c r="V11" s="315"/>
    </row>
    <row r="12" spans="1:22" ht="21" customHeight="1">
      <c r="B12" s="529" t="s">
        <v>311</v>
      </c>
      <c r="C12" s="639"/>
      <c r="D12" s="643"/>
      <c r="E12" s="593"/>
      <c r="F12" s="1452"/>
      <c r="G12" s="593"/>
      <c r="H12" s="593"/>
      <c r="I12" s="615"/>
      <c r="J12" s="593"/>
      <c r="K12" s="593"/>
      <c r="L12" s="623"/>
      <c r="M12" s="675"/>
      <c r="P12" s="315"/>
      <c r="Q12" s="315"/>
      <c r="R12" s="315"/>
      <c r="S12" s="315"/>
      <c r="T12" s="315"/>
      <c r="U12" s="315"/>
      <c r="V12" s="315"/>
    </row>
    <row r="13" spans="1:22" ht="21" customHeight="1">
      <c r="B13" s="529" t="s">
        <v>312</v>
      </c>
      <c r="C13" s="639"/>
      <c r="D13" s="643"/>
      <c r="E13" s="593"/>
      <c r="F13" s="1452"/>
      <c r="G13" s="593"/>
      <c r="H13" s="593"/>
      <c r="I13" s="615"/>
      <c r="J13" s="593"/>
      <c r="K13" s="593"/>
      <c r="L13" s="623"/>
      <c r="M13" s="675"/>
      <c r="P13" s="315"/>
      <c r="Q13" s="315"/>
      <c r="R13" s="315"/>
      <c r="S13" s="315"/>
      <c r="T13" s="315"/>
      <c r="U13" s="315"/>
      <c r="V13" s="315"/>
    </row>
    <row r="14" spans="1:22" ht="21" customHeight="1">
      <c r="B14" s="529" t="s">
        <v>313</v>
      </c>
      <c r="C14" s="639"/>
      <c r="D14" s="643"/>
      <c r="E14" s="596"/>
      <c r="F14" s="1453"/>
      <c r="G14" s="596"/>
      <c r="H14" s="596"/>
      <c r="I14" s="618"/>
      <c r="J14" s="593"/>
      <c r="K14" s="593"/>
      <c r="L14" s="623"/>
      <c r="M14" s="675"/>
      <c r="P14" s="315"/>
      <c r="Q14" s="315"/>
      <c r="R14" s="315"/>
      <c r="S14" s="315"/>
      <c r="T14" s="315"/>
      <c r="U14" s="315"/>
      <c r="V14" s="315"/>
    </row>
    <row r="15" spans="1:22" ht="21" customHeight="1">
      <c r="A15" s="1907" t="s">
        <v>3226</v>
      </c>
      <c r="B15" s="529" t="s">
        <v>314</v>
      </c>
      <c r="C15" s="678"/>
      <c r="D15" s="679"/>
      <c r="E15" s="593"/>
      <c r="F15" s="1452"/>
      <c r="G15" s="593"/>
      <c r="H15" s="593"/>
      <c r="I15" s="615"/>
      <c r="J15" s="593"/>
      <c r="K15" s="593"/>
      <c r="L15" s="623"/>
      <c r="M15" s="675"/>
      <c r="P15" s="315"/>
      <c r="Q15" s="315"/>
      <c r="R15" s="315"/>
      <c r="S15" s="315"/>
      <c r="T15" s="315"/>
      <c r="U15" s="315"/>
      <c r="V15" s="315"/>
    </row>
    <row r="16" spans="1:22" ht="21" customHeight="1">
      <c r="A16" s="1907"/>
      <c r="B16" s="529" t="s">
        <v>409</v>
      </c>
      <c r="C16" s="639"/>
      <c r="D16" s="643"/>
      <c r="E16" s="593"/>
      <c r="F16" s="1452"/>
      <c r="G16" s="593"/>
      <c r="H16" s="593"/>
      <c r="I16" s="615"/>
      <c r="J16" s="593"/>
      <c r="K16" s="593"/>
      <c r="L16" s="623"/>
      <c r="M16" s="675"/>
      <c r="P16" s="315"/>
      <c r="Q16" s="315"/>
      <c r="R16" s="315"/>
      <c r="S16" s="315"/>
      <c r="T16" s="315"/>
      <c r="U16" s="315"/>
      <c r="V16" s="315"/>
    </row>
    <row r="17" spans="1:22" ht="21" customHeight="1">
      <c r="A17" s="1907"/>
      <c r="B17" s="529" t="s">
        <v>410</v>
      </c>
      <c r="C17" s="639"/>
      <c r="D17" s="643"/>
      <c r="E17" s="593"/>
      <c r="F17" s="1452"/>
      <c r="G17" s="593"/>
      <c r="H17" s="593"/>
      <c r="I17" s="615"/>
      <c r="J17" s="593"/>
      <c r="K17" s="593"/>
      <c r="L17" s="623"/>
      <c r="M17" s="675"/>
      <c r="P17" s="315"/>
      <c r="Q17" s="315"/>
      <c r="R17" s="315"/>
      <c r="S17" s="315"/>
      <c r="T17" s="315"/>
      <c r="U17" s="315"/>
      <c r="V17" s="315"/>
    </row>
    <row r="18" spans="1:22" ht="21" customHeight="1">
      <c r="A18" s="528"/>
      <c r="B18" s="687" t="s">
        <v>834</v>
      </c>
      <c r="C18" s="681"/>
      <c r="D18" s="682"/>
      <c r="E18" s="680">
        <f>SUM(E9:E17)+'50-Utility2'!E18</f>
        <v>0</v>
      </c>
      <c r="F18" s="683"/>
      <c r="G18" s="680">
        <f>SUM(G9:G17)+'50-Utility2'!G18</f>
        <v>0</v>
      </c>
      <c r="H18" s="680"/>
      <c r="I18" s="684"/>
      <c r="J18" s="680">
        <f>SUM(J9:J17)+'50-Utility2'!J18</f>
        <v>0</v>
      </c>
      <c r="K18" s="680">
        <f>SUM(K9:K17)+'50-Utility2'!K18</f>
        <v>0</v>
      </c>
      <c r="L18" s="685"/>
      <c r="M18" s="686"/>
      <c r="P18" s="315"/>
      <c r="Q18" s="315"/>
      <c r="R18" s="315"/>
      <c r="S18" s="315"/>
      <c r="T18" s="315"/>
      <c r="U18" s="315"/>
      <c r="V18" s="315"/>
    </row>
    <row r="19" spans="1:22" ht="21" customHeight="1">
      <c r="A19" s="528"/>
      <c r="B19" s="1334"/>
      <c r="C19" s="1174"/>
      <c r="D19" s="1174"/>
      <c r="E19" s="1335"/>
      <c r="F19" s="1174"/>
      <c r="G19" s="1335"/>
      <c r="H19" s="1335"/>
      <c r="I19" s="1336"/>
      <c r="J19" s="1335"/>
      <c r="K19" s="1335"/>
      <c r="L19" s="1335"/>
      <c r="M19" s="1174"/>
      <c r="P19" s="315"/>
      <c r="Q19" s="315"/>
      <c r="R19" s="315"/>
      <c r="S19" s="315"/>
      <c r="T19" s="315"/>
      <c r="U19" s="315"/>
      <c r="V19" s="315"/>
    </row>
    <row r="20" spans="1:22" ht="21" customHeight="1">
      <c r="A20" s="528"/>
      <c r="B20" s="1334"/>
      <c r="C20" s="1174"/>
      <c r="D20" s="1174"/>
      <c r="E20" s="1335"/>
      <c r="F20" s="1174"/>
      <c r="G20" s="1335"/>
      <c r="H20" s="1335"/>
      <c r="I20" s="1336"/>
      <c r="J20" s="1335"/>
      <c r="K20" s="1335"/>
      <c r="L20" s="1335"/>
      <c r="M20" s="1174"/>
      <c r="P20" s="315"/>
      <c r="Q20" s="315"/>
      <c r="R20" s="315"/>
      <c r="S20" s="315"/>
      <c r="T20" s="315"/>
      <c r="U20" s="315"/>
      <c r="V20" s="315"/>
    </row>
    <row r="21" spans="1:22" ht="13.5" customHeight="1" thickBot="1">
      <c r="B21" s="1337"/>
      <c r="C21" s="1338"/>
      <c r="D21" s="1339"/>
      <c r="E21" s="1174"/>
      <c r="F21" s="1174"/>
      <c r="G21" s="1174"/>
      <c r="H21" s="1174"/>
      <c r="I21" s="1174"/>
      <c r="J21" s="1340"/>
      <c r="K21" s="1174"/>
      <c r="L21" s="1174"/>
      <c r="M21" s="1174"/>
      <c r="P21" s="315"/>
      <c r="Q21" s="315"/>
      <c r="R21" s="315"/>
      <c r="S21" s="315"/>
      <c r="T21" s="315"/>
      <c r="U21" s="315"/>
      <c r="V21" s="315"/>
    </row>
    <row r="22" spans="1:22" ht="14.4" thickTop="1" thickBot="1">
      <c r="B22" s="1202" t="s">
        <v>44</v>
      </c>
      <c r="C22" s="1101"/>
      <c r="D22" s="1341"/>
      <c r="E22" s="1101"/>
      <c r="F22" s="1096"/>
      <c r="G22" s="1096"/>
      <c r="H22" s="1096"/>
      <c r="I22" s="1904" t="str">
        <f>"INTEREST  ON  NOTES  -  "&amp;UPPER('KEY INPUTS'!D53)&amp;" UTILITY  BUDGET"</f>
        <v>INTEREST  ON  NOTES  -   UTILITY  BUDGET</v>
      </c>
      <c r="J22" s="1905"/>
      <c r="K22" s="1905"/>
      <c r="L22" s="1905"/>
      <c r="M22" s="1906"/>
      <c r="P22" s="315"/>
      <c r="Q22" s="315"/>
      <c r="R22" s="315"/>
      <c r="S22" s="315"/>
      <c r="T22" s="315"/>
      <c r="U22" s="315"/>
      <c r="V22" s="315"/>
    </row>
    <row r="23" spans="1:22" ht="15.6" customHeight="1">
      <c r="B23" s="1342" t="s">
        <v>45</v>
      </c>
      <c r="C23" s="1342"/>
      <c r="D23" s="1202" t="s">
        <v>46</v>
      </c>
      <c r="E23" s="1101"/>
      <c r="F23" s="1096"/>
      <c r="G23" s="1096"/>
      <c r="H23" s="1096"/>
      <c r="I23" s="1343" t="str">
        <f>TEXT('KEY INPUTS'!D34+1,"0")&amp;"  Interest on Notes"</f>
        <v>2021  Interest on Notes</v>
      </c>
      <c r="J23" s="1173"/>
      <c r="K23" s="1173"/>
      <c r="L23" s="1344" t="s">
        <v>397</v>
      </c>
      <c r="M23" s="1216">
        <f>K18</f>
        <v>0</v>
      </c>
      <c r="P23" s="315"/>
      <c r="Q23" s="315"/>
      <c r="R23" s="315"/>
      <c r="S23" s="315"/>
      <c r="T23" s="315"/>
      <c r="U23" s="315"/>
      <c r="V23" s="315"/>
    </row>
    <row r="24" spans="1:22" ht="15.6" customHeight="1">
      <c r="B24" s="465"/>
      <c r="C24" s="465"/>
      <c r="D24" s="513" t="s">
        <v>47</v>
      </c>
      <c r="E24" s="512"/>
      <c r="I24" s="518" t="str">
        <f>"Less: Interest Accrued to "&amp;TEXT('KEY INPUTS'!D29,"mm/dd/yyyy")&amp;" (Trial Balance)"</f>
        <v>Less: Interest Accrued to 12/31/2020 (Trial Balance)</v>
      </c>
      <c r="J24" s="395"/>
      <c r="K24" s="395"/>
      <c r="L24" s="517" t="s">
        <v>397</v>
      </c>
      <c r="M24" s="663"/>
      <c r="P24" s="315"/>
      <c r="Q24" s="315"/>
      <c r="R24" s="315"/>
      <c r="S24" s="315"/>
      <c r="T24" s="315"/>
      <c r="U24" s="315"/>
      <c r="V24" s="315"/>
    </row>
    <row r="25" spans="1:22" ht="15.6" customHeight="1">
      <c r="B25" s="465"/>
      <c r="C25" s="465"/>
      <c r="D25" s="465" t="s">
        <v>48</v>
      </c>
      <c r="E25" s="512"/>
      <c r="I25" s="484"/>
      <c r="J25" s="395" t="s">
        <v>337</v>
      </c>
      <c r="K25" s="395"/>
      <c r="L25" s="517" t="s">
        <v>397</v>
      </c>
      <c r="M25" s="301">
        <f>+M23-M24</f>
        <v>0</v>
      </c>
    </row>
    <row r="26" spans="1:22" ht="15.6" customHeight="1">
      <c r="B26" s="465"/>
      <c r="C26" s="465"/>
      <c r="D26" s="465" t="str">
        <f>"All notes with an original date of issue of "&amp;'KEY INPUTS'!D33-3&amp;" or prior require one legally payable installment to be budgeted if it"</f>
        <v>All notes with an original date of issue of 2018 or prior require one legally payable installment to be budgeted if it</v>
      </c>
      <c r="E26" s="512"/>
      <c r="I26" s="518" t="str">
        <f>"Add: Interest to be Accrued as of "&amp;TEXT('KEY INPUTS'!D30,"mm/dd/yyyy")&amp;""</f>
        <v>Add: Interest to be Accrued as of 12/31/2021</v>
      </c>
      <c r="J26" s="395"/>
      <c r="K26" s="395"/>
      <c r="L26" s="517" t="s">
        <v>397</v>
      </c>
      <c r="M26" s="663"/>
    </row>
    <row r="27" spans="1:22" ht="15.6" customHeight="1" thickBot="1">
      <c r="B27" s="465"/>
      <c r="C27" s="465"/>
      <c r="D27" s="465" t="str">
        <f>"is contemplated that such notes will be renewed in "&amp;TEXT('KEY INPUTS'!D34+1,"0")&amp;" or written intent of permanent financing submitted."</f>
        <v>is contemplated that such notes will be renewed in 2021 or written intent of permanent financing submitted.</v>
      </c>
      <c r="E27" s="512"/>
      <c r="I27" s="516" t="str">
        <f>"Required Appropriation - "&amp;TEXT('KEY INPUTS'!D34+1,"0")&amp;""</f>
        <v>Required Appropriation - 2021</v>
      </c>
      <c r="J27" s="459"/>
      <c r="K27" s="459"/>
      <c r="L27" s="515" t="s">
        <v>397</v>
      </c>
      <c r="M27" s="514">
        <f>+M25+M26</f>
        <v>0</v>
      </c>
    </row>
    <row r="28" spans="1:22" ht="13.8" thickTop="1">
      <c r="B28" s="465"/>
      <c r="C28" s="465"/>
      <c r="D28" s="465" t="s">
        <v>49</v>
      </c>
      <c r="E28" s="512"/>
    </row>
    <row r="29" spans="1:22">
      <c r="B29" s="512"/>
      <c r="C29" s="512"/>
      <c r="D29" s="513" t="s">
        <v>50</v>
      </c>
      <c r="E29" s="512"/>
    </row>
    <row r="30" spans="1:22">
      <c r="J30" s="511" t="s">
        <v>103</v>
      </c>
    </row>
  </sheetData>
  <sheetProtection algorithmName="SHA-512" hashValue="hlyl1BsJ8xyVkZGEhAW6pnENKNO4V15UCRhAzgAomX96XYRsYDNjkmX4eO05FW6ZKrVGF9F9zmoPKjLSZYLVSQ==" saltValue="yRFnJprEbKRJWTg2Ebswrw=="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2">
    <tabColor theme="3" tint="0.39997558519241921"/>
  </sheetPr>
  <dimension ref="A2:T29"/>
  <sheetViews>
    <sheetView zoomScaleNormal="100" zoomScaleSheetLayoutView="80" workbookViewId="0"/>
  </sheetViews>
  <sheetFormatPr defaultColWidth="9.109375" defaultRowHeight="13.2"/>
  <cols>
    <col min="1" max="1" width="5.6640625" style="324" customWidth="1"/>
    <col min="2" max="3" width="4.88671875" style="324" customWidth="1"/>
    <col min="4" max="4" width="31.5546875" style="324" customWidth="1"/>
    <col min="5" max="12" width="15.6640625" style="324" customWidth="1"/>
    <col min="13" max="16384" width="9.109375" style="324"/>
  </cols>
  <sheetData>
    <row r="2" spans="1:20" ht="20.399999999999999">
      <c r="B2" s="1826" t="str">
        <f>"DEBT  SERVICE  SCHEDULE  FOR  "&amp;UPPER('KEY INPUTS'!D53) &amp;"  UTILITY  ASSESSMENT  NOTES"</f>
        <v>DEBT  SERVICE  SCHEDULE  FOR    UTILITY  ASSESSMENT  NOTES</v>
      </c>
      <c r="C2" s="1826"/>
      <c r="D2" s="1826"/>
      <c r="E2" s="1826"/>
      <c r="F2" s="1826"/>
      <c r="G2" s="1826"/>
      <c r="H2" s="1826"/>
      <c r="I2" s="1826"/>
      <c r="J2" s="1826"/>
      <c r="K2" s="1826"/>
      <c r="L2" s="1826"/>
    </row>
    <row r="3" spans="1:20" ht="21" thickBot="1">
      <c r="B3" s="1916"/>
      <c r="C3" s="1916"/>
      <c r="D3" s="1916"/>
      <c r="E3" s="1916"/>
      <c r="F3" s="1916"/>
      <c r="G3" s="1916"/>
      <c r="H3" s="1916"/>
      <c r="I3" s="1916"/>
      <c r="J3" s="1916"/>
      <c r="K3" s="1916"/>
      <c r="L3" s="1916"/>
    </row>
    <row r="4" spans="1:20" ht="13.5" customHeight="1" thickTop="1">
      <c r="B4" s="1987"/>
      <c r="C4" s="1987"/>
      <c r="D4" s="1988"/>
      <c r="E4" s="1220"/>
      <c r="F4" s="1125"/>
      <c r="G4" s="1125"/>
      <c r="H4" s="1125"/>
      <c r="I4" s="1125"/>
      <c r="J4" s="1124"/>
      <c r="K4" s="1124"/>
      <c r="L4" s="1127"/>
    </row>
    <row r="5" spans="1:20" ht="13.5" customHeight="1">
      <c r="B5" s="1128"/>
      <c r="C5" s="1128"/>
      <c r="D5" s="1128"/>
      <c r="E5" s="1129" t="s">
        <v>144</v>
      </c>
      <c r="F5" s="1133" t="s">
        <v>144</v>
      </c>
      <c r="G5" s="1133" t="s">
        <v>441</v>
      </c>
      <c r="H5" s="1133" t="s">
        <v>18</v>
      </c>
      <c r="I5" s="1133" t="s">
        <v>572</v>
      </c>
      <c r="J5" s="1910">
        <f>'KEY INPUTS'!D33</f>
        <v>2021</v>
      </c>
      <c r="K5" s="1911"/>
      <c r="L5" s="1131" t="s">
        <v>573</v>
      </c>
    </row>
    <row r="6" spans="1:20" ht="13.5" customHeight="1">
      <c r="B6" s="1128"/>
      <c r="C6" s="1825" t="s">
        <v>143</v>
      </c>
      <c r="D6" s="1917"/>
      <c r="E6" s="1129" t="s">
        <v>441</v>
      </c>
      <c r="F6" s="1133" t="s">
        <v>145</v>
      </c>
      <c r="G6" s="1133" t="s">
        <v>569</v>
      </c>
      <c r="H6" s="1133" t="s">
        <v>570</v>
      </c>
      <c r="I6" s="1133" t="s">
        <v>570</v>
      </c>
      <c r="J6" s="1912"/>
      <c r="K6" s="1913"/>
      <c r="L6" s="1131" t="s">
        <v>576</v>
      </c>
    </row>
    <row r="7" spans="1:20" ht="13.5" customHeight="1">
      <c r="B7" s="1128"/>
      <c r="C7" s="1128"/>
      <c r="D7" s="1128"/>
      <c r="E7" s="1129" t="s">
        <v>97</v>
      </c>
      <c r="F7" s="1129" t="s">
        <v>146</v>
      </c>
      <c r="G7" s="1129" t="s">
        <v>206</v>
      </c>
      <c r="H7" s="1129" t="s">
        <v>571</v>
      </c>
      <c r="I7" s="1129" t="s">
        <v>573</v>
      </c>
      <c r="J7" s="1129" t="s">
        <v>118</v>
      </c>
      <c r="K7" s="1129" t="s">
        <v>574</v>
      </c>
      <c r="L7" s="1131" t="s">
        <v>577</v>
      </c>
      <c r="N7" s="315"/>
      <c r="O7" s="315"/>
      <c r="P7" s="315"/>
      <c r="Q7" s="315"/>
      <c r="R7" s="315"/>
      <c r="S7" s="315"/>
      <c r="T7" s="315"/>
    </row>
    <row r="8" spans="1:20" ht="13.5" customHeight="1" thickBot="1">
      <c r="B8" s="1135"/>
      <c r="C8" s="1135"/>
      <c r="D8" s="1135"/>
      <c r="E8" s="1136"/>
      <c r="F8" s="1136"/>
      <c r="G8" s="1346" t="str">
        <f>'KEY INPUTS'!D46</f>
        <v>Dec. 31, 2020</v>
      </c>
      <c r="H8" s="1136"/>
      <c r="I8" s="1136"/>
      <c r="J8" s="1137"/>
      <c r="K8" s="1237" t="s">
        <v>575</v>
      </c>
      <c r="L8" s="1139"/>
      <c r="N8" s="315"/>
      <c r="O8" s="315"/>
      <c r="P8" s="315"/>
      <c r="Q8" s="315"/>
      <c r="R8" s="315"/>
      <c r="S8" s="315"/>
      <c r="T8" s="315"/>
    </row>
    <row r="9" spans="1:20" ht="21" customHeight="1" thickTop="1">
      <c r="B9" s="1920"/>
      <c r="C9" s="1920"/>
      <c r="D9" s="1921"/>
      <c r="E9" s="597"/>
      <c r="F9" s="788"/>
      <c r="G9" s="597"/>
      <c r="H9" s="597"/>
      <c r="I9" s="789"/>
      <c r="J9" s="597"/>
      <c r="K9" s="597"/>
      <c r="L9" s="790"/>
      <c r="N9" s="370"/>
      <c r="O9" s="315"/>
      <c r="P9" s="315"/>
      <c r="Q9" s="315"/>
      <c r="R9" s="315"/>
      <c r="S9" s="315"/>
      <c r="T9" s="315"/>
    </row>
    <row r="10" spans="1:20" ht="21" customHeight="1">
      <c r="B10" s="1914"/>
      <c r="C10" s="1914"/>
      <c r="D10" s="1915"/>
      <c r="E10" s="593"/>
      <c r="F10" s="676"/>
      <c r="G10" s="593"/>
      <c r="H10" s="593"/>
      <c r="I10" s="615"/>
      <c r="J10" s="593"/>
      <c r="K10" s="593"/>
      <c r="L10" s="690"/>
      <c r="N10" s="315"/>
      <c r="O10" s="315"/>
      <c r="P10" s="315"/>
      <c r="Q10" s="315"/>
      <c r="R10" s="315"/>
      <c r="S10" s="315"/>
      <c r="T10" s="315"/>
    </row>
    <row r="11" spans="1:20" ht="21" customHeight="1">
      <c r="B11" s="1914"/>
      <c r="C11" s="1914"/>
      <c r="D11" s="1915"/>
      <c r="E11" s="593"/>
      <c r="F11" s="676"/>
      <c r="G11" s="593"/>
      <c r="H11" s="593"/>
      <c r="I11" s="615"/>
      <c r="J11" s="593"/>
      <c r="K11" s="593"/>
      <c r="L11" s="690"/>
      <c r="N11" s="315"/>
      <c r="O11" s="315"/>
      <c r="P11" s="315"/>
      <c r="Q11" s="315"/>
      <c r="R11" s="315"/>
      <c r="S11" s="315"/>
      <c r="T11" s="315"/>
    </row>
    <row r="12" spans="1:20" ht="21" customHeight="1">
      <c r="B12" s="1914"/>
      <c r="C12" s="1914"/>
      <c r="D12" s="1915"/>
      <c r="E12" s="593"/>
      <c r="F12" s="676"/>
      <c r="G12" s="593"/>
      <c r="H12" s="593"/>
      <c r="I12" s="615"/>
      <c r="J12" s="593"/>
      <c r="K12" s="593"/>
      <c r="L12" s="690"/>
      <c r="N12" s="315"/>
      <c r="O12" s="315"/>
      <c r="P12" s="315"/>
      <c r="Q12" s="315"/>
      <c r="R12" s="315"/>
      <c r="S12" s="315"/>
      <c r="T12" s="315"/>
    </row>
    <row r="13" spans="1:20" ht="21" customHeight="1">
      <c r="B13" s="1914"/>
      <c r="C13" s="1914"/>
      <c r="D13" s="1915"/>
      <c r="E13" s="593"/>
      <c r="F13" s="676"/>
      <c r="G13" s="593"/>
      <c r="H13" s="593"/>
      <c r="I13" s="615"/>
      <c r="J13" s="593"/>
      <c r="K13" s="593"/>
      <c r="L13" s="690"/>
      <c r="N13" s="315"/>
      <c r="O13" s="315"/>
      <c r="P13" s="315"/>
      <c r="Q13" s="315"/>
      <c r="R13" s="315"/>
      <c r="S13" s="315"/>
      <c r="T13" s="315"/>
    </row>
    <row r="14" spans="1:20" ht="21" customHeight="1">
      <c r="B14" s="1914"/>
      <c r="C14" s="1914"/>
      <c r="D14" s="1915"/>
      <c r="E14" s="596"/>
      <c r="F14" s="677"/>
      <c r="G14" s="596"/>
      <c r="H14" s="596"/>
      <c r="I14" s="618"/>
      <c r="J14" s="593"/>
      <c r="K14" s="593"/>
      <c r="L14" s="690"/>
      <c r="N14" s="315"/>
      <c r="O14" s="315"/>
      <c r="P14" s="315"/>
      <c r="Q14" s="315"/>
      <c r="R14" s="315"/>
      <c r="S14" s="315"/>
      <c r="T14" s="315"/>
    </row>
    <row r="15" spans="1:20" ht="21" customHeight="1">
      <c r="A15" s="1830" t="s">
        <v>3227</v>
      </c>
      <c r="B15" s="1914"/>
      <c r="C15" s="1914"/>
      <c r="D15" s="1915"/>
      <c r="E15" s="593"/>
      <c r="F15" s="676"/>
      <c r="G15" s="593"/>
      <c r="H15" s="593"/>
      <c r="I15" s="615"/>
      <c r="J15" s="593"/>
      <c r="K15" s="593"/>
      <c r="L15" s="690"/>
      <c r="N15" s="315"/>
      <c r="O15" s="315"/>
      <c r="P15" s="315"/>
      <c r="Q15" s="315"/>
      <c r="R15" s="315"/>
      <c r="S15" s="315"/>
      <c r="T15" s="315"/>
    </row>
    <row r="16" spans="1:20" ht="21" customHeight="1">
      <c r="A16" s="1830"/>
      <c r="B16" s="1914"/>
      <c r="C16" s="1914"/>
      <c r="D16" s="1915"/>
      <c r="E16" s="593"/>
      <c r="F16" s="676"/>
      <c r="G16" s="593"/>
      <c r="H16" s="593"/>
      <c r="I16" s="615"/>
      <c r="J16" s="593"/>
      <c r="K16" s="593"/>
      <c r="L16" s="690"/>
      <c r="N16" s="315"/>
      <c r="O16" s="315"/>
      <c r="P16" s="315"/>
      <c r="Q16" s="315"/>
      <c r="R16" s="315"/>
      <c r="S16" s="315"/>
      <c r="T16" s="315"/>
    </row>
    <row r="17" spans="1:20" ht="21" customHeight="1">
      <c r="A17" s="1830"/>
      <c r="B17" s="1914"/>
      <c r="C17" s="1914"/>
      <c r="D17" s="1915"/>
      <c r="E17" s="593"/>
      <c r="F17" s="676"/>
      <c r="G17" s="593"/>
      <c r="H17" s="593"/>
      <c r="I17" s="615"/>
      <c r="J17" s="593"/>
      <c r="K17" s="593"/>
      <c r="L17" s="690"/>
      <c r="N17" s="315"/>
      <c r="O17" s="315"/>
      <c r="P17" s="315"/>
      <c r="Q17" s="315"/>
      <c r="R17" s="315"/>
      <c r="S17" s="315"/>
      <c r="T17" s="315"/>
    </row>
    <row r="18" spans="1:20" ht="21" customHeight="1">
      <c r="A18" s="538"/>
      <c r="B18" s="1914"/>
      <c r="C18" s="1914"/>
      <c r="D18" s="1915"/>
      <c r="E18" s="593"/>
      <c r="F18" s="676"/>
      <c r="G18" s="593"/>
      <c r="H18" s="593"/>
      <c r="I18" s="615"/>
      <c r="J18" s="593"/>
      <c r="K18" s="593"/>
      <c r="L18" s="690"/>
      <c r="N18" s="315"/>
      <c r="O18" s="315"/>
      <c r="P18" s="315"/>
      <c r="Q18" s="315"/>
      <c r="R18" s="315"/>
      <c r="S18" s="315"/>
      <c r="T18" s="315"/>
    </row>
    <row r="19" spans="1:20" ht="21" customHeight="1">
      <c r="B19" s="1914"/>
      <c r="C19" s="1914"/>
      <c r="D19" s="1915"/>
      <c r="E19" s="593"/>
      <c r="F19" s="676"/>
      <c r="G19" s="593"/>
      <c r="H19" s="593"/>
      <c r="I19" s="615"/>
      <c r="J19" s="593"/>
      <c r="K19" s="593"/>
      <c r="L19" s="690"/>
      <c r="N19" s="315"/>
      <c r="O19" s="315"/>
      <c r="P19" s="315"/>
      <c r="Q19" s="315"/>
      <c r="R19" s="315"/>
      <c r="S19" s="315"/>
      <c r="T19" s="315"/>
    </row>
    <row r="20" spans="1:20" ht="21" customHeight="1">
      <c r="B20" s="1914"/>
      <c r="C20" s="1914"/>
      <c r="D20" s="1915"/>
      <c r="E20" s="593"/>
      <c r="F20" s="676"/>
      <c r="G20" s="593"/>
      <c r="H20" s="593"/>
      <c r="I20" s="615"/>
      <c r="J20" s="593"/>
      <c r="K20" s="593"/>
      <c r="L20" s="690"/>
      <c r="N20" s="315"/>
      <c r="O20" s="315"/>
      <c r="P20" s="315"/>
      <c r="Q20" s="315"/>
      <c r="R20" s="315"/>
      <c r="S20" s="315"/>
      <c r="T20" s="315"/>
    </row>
    <row r="21" spans="1:20" ht="21" customHeight="1">
      <c r="B21" s="1914"/>
      <c r="C21" s="1914"/>
      <c r="D21" s="1915"/>
      <c r="E21" s="593"/>
      <c r="F21" s="676"/>
      <c r="G21" s="593"/>
      <c r="H21" s="593"/>
      <c r="I21" s="615"/>
      <c r="J21" s="593"/>
      <c r="K21" s="593"/>
      <c r="L21" s="690"/>
      <c r="N21" s="315"/>
      <c r="O21" s="315"/>
      <c r="P21" s="315"/>
      <c r="Q21" s="315"/>
      <c r="R21" s="315"/>
      <c r="S21" s="315"/>
      <c r="T21" s="315"/>
    </row>
    <row r="22" spans="1:20" ht="21" customHeight="1">
      <c r="B22" s="1914"/>
      <c r="C22" s="1914"/>
      <c r="D22" s="1915"/>
      <c r="E22" s="593"/>
      <c r="F22" s="676"/>
      <c r="G22" s="593"/>
      <c r="H22" s="593"/>
      <c r="I22" s="615"/>
      <c r="J22" s="593"/>
      <c r="K22" s="593"/>
      <c r="L22" s="690"/>
      <c r="N22" s="315"/>
      <c r="O22" s="315"/>
      <c r="P22" s="315"/>
      <c r="Q22" s="315"/>
      <c r="R22" s="315"/>
      <c r="S22" s="315"/>
      <c r="T22" s="315"/>
    </row>
    <row r="23" spans="1:20" ht="21" customHeight="1" thickBot="1">
      <c r="B23" s="1354"/>
      <c r="C23" s="1214"/>
      <c r="D23" s="1239"/>
      <c r="E23" s="1113">
        <f>SUM(E9:E22)</f>
        <v>0</v>
      </c>
      <c r="F23" s="1228"/>
      <c r="G23" s="1113">
        <f>SUM(G9:G22)</f>
        <v>0</v>
      </c>
      <c r="H23" s="1113"/>
      <c r="I23" s="1113"/>
      <c r="J23" s="1113">
        <f>SUM(J9:J22)</f>
        <v>0</v>
      </c>
      <c r="K23" s="1113">
        <f>SUM(K9:K22)</f>
        <v>0</v>
      </c>
      <c r="L23" s="1240"/>
      <c r="N23" s="315"/>
      <c r="O23" s="315"/>
      <c r="P23" s="315"/>
      <c r="Q23" s="315"/>
      <c r="R23" s="315"/>
      <c r="S23" s="315"/>
      <c r="T23" s="315"/>
    </row>
    <row r="24" spans="1:20" ht="13.5" customHeight="1" thickTop="1">
      <c r="B24" s="1348" t="s">
        <v>44</v>
      </c>
      <c r="C24" s="1349"/>
      <c r="D24" s="1350"/>
      <c r="E24" s="1128"/>
      <c r="F24" s="1128"/>
      <c r="G24" s="1128"/>
      <c r="H24" s="1128"/>
      <c r="I24" s="1128"/>
      <c r="J24" s="1351"/>
      <c r="K24" s="1351"/>
      <c r="L24" s="1128"/>
    </row>
    <row r="25" spans="1:20" ht="13.5" customHeight="1">
      <c r="B25" s="1348" t="s">
        <v>579</v>
      </c>
      <c r="C25" s="1349"/>
      <c r="D25" s="1350"/>
      <c r="E25" s="1128"/>
      <c r="F25" s="1128"/>
      <c r="G25" s="1128"/>
      <c r="H25" s="1128"/>
      <c r="I25" s="1128"/>
      <c r="J25" s="1128"/>
      <c r="K25" s="1128"/>
      <c r="L25" s="1128"/>
    </row>
    <row r="26" spans="1:20" ht="13.5" customHeight="1">
      <c r="B26" s="1348"/>
      <c r="C26" s="1349" t="str">
        <f>"Utility Assessment Notes with an original date of issue of December 31, "&amp;'KEY INPUTS'!D33-3&amp;" or prior must be appropriated in full in the "&amp;TEXT('KEY INPUTS'!D34+1,"0")&amp;" Dedicated Utility Assessment Budget or written intent of"</f>
        <v>Utility Assessment Notes with an original date of issue of December 31, 2018 or prior must be appropriated in full in the 2021 Dedicated Utility Assessment Budget or written intent of</v>
      </c>
      <c r="D26" s="1350"/>
      <c r="E26" s="1128"/>
      <c r="F26" s="1128"/>
      <c r="G26" s="1128"/>
      <c r="H26" s="1128"/>
      <c r="I26" s="1128"/>
      <c r="J26" s="1128"/>
      <c r="K26" s="1128"/>
      <c r="L26" s="1128"/>
    </row>
    <row r="27" spans="1:20" ht="13.5" customHeight="1">
      <c r="B27" s="1348"/>
      <c r="C27" s="1349"/>
      <c r="D27" s="1352" t="s">
        <v>532</v>
      </c>
      <c r="E27" s="1128"/>
      <c r="F27" s="1128"/>
      <c r="G27" s="1128"/>
      <c r="H27" s="1128"/>
      <c r="I27" s="1128"/>
      <c r="J27" s="1128"/>
      <c r="K27" s="1128"/>
      <c r="L27" s="1128"/>
    </row>
    <row r="28" spans="1:20" ht="13.5" customHeight="1">
      <c r="B28" s="1348"/>
      <c r="C28" s="1349" t="s">
        <v>318</v>
      </c>
      <c r="D28" s="1350"/>
      <c r="E28" s="1128"/>
      <c r="F28" s="1128"/>
      <c r="G28" s="1128"/>
      <c r="H28" s="1128"/>
      <c r="I28" s="1128"/>
      <c r="J28" s="1353"/>
      <c r="K28" s="1128"/>
      <c r="L28" s="1128"/>
    </row>
    <row r="29" spans="1:20">
      <c r="B29" s="534"/>
      <c r="C29" s="404"/>
      <c r="D29" s="404"/>
    </row>
  </sheetData>
  <sheetProtection algorithmName="SHA-512" hashValue="1oN+nFqgGOuT7pM51UvVlGx3B5pmEQTnEW8KyGX18bGFv8blufzwclPTnUsdwZrSvv0Facwsu0dTfYMzlyr5rA==" saltValue="14zOA00ps+IgjGoxKkOmOA==" spinCount="100000" sheet="1" objects="1" scenarios="1"/>
  <mergeCells count="20">
    <mergeCell ref="A15:A17"/>
    <mergeCell ref="B2:L2"/>
    <mergeCell ref="B3:L3"/>
    <mergeCell ref="B4:D4"/>
    <mergeCell ref="J5:K6"/>
    <mergeCell ref="C6:D6"/>
    <mergeCell ref="B9:D9"/>
    <mergeCell ref="B10:D10"/>
    <mergeCell ref="B16:D16"/>
    <mergeCell ref="B17:D17"/>
    <mergeCell ref="B11:D11"/>
    <mergeCell ref="B12:D12"/>
    <mergeCell ref="B13:D13"/>
    <mergeCell ref="B14:D14"/>
    <mergeCell ref="B15:D15"/>
    <mergeCell ref="B21:D21"/>
    <mergeCell ref="B22:D22"/>
    <mergeCell ref="B18:D18"/>
    <mergeCell ref="B19:D19"/>
    <mergeCell ref="B20:D20"/>
  </mergeCells>
  <pageMargins left="0.25" right="0.25" top="0.5" bottom="0.5" header="0.25" footer="0.25"/>
  <pageSetup paperSize="5" orientation="landscape" r:id="rId1"/>
  <headerFooter alignWithMargins="0"/>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3">
    <tabColor theme="3" tint="0.39997558519241921"/>
  </sheetPr>
  <dimension ref="A2:R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5.88671875" style="324" customWidth="1"/>
    <col min="5" max="6" width="15.6640625" style="324" customWidth="1"/>
    <col min="7" max="9" width="30.6640625" style="324" customWidth="1"/>
    <col min="10" max="16384" width="9.109375" style="324"/>
  </cols>
  <sheetData>
    <row r="2" spans="1:18" ht="20.399999999999999">
      <c r="B2" s="1826" t="str">
        <f>"SCHEDULE  OF  CAPITAL  LEASE  PROGRAM  OBLIGATIONS "&amp;UPPER('KEY INPUTS'!D53)&amp;"  UTILITY"</f>
        <v>SCHEDULE  OF  CAPITAL  LEASE  PROGRAM  OBLIGATIONS   UTILITY</v>
      </c>
      <c r="C2" s="1826"/>
      <c r="D2" s="1826"/>
      <c r="E2" s="1826"/>
      <c r="F2" s="1826"/>
      <c r="G2" s="1826"/>
      <c r="H2" s="1826"/>
      <c r="I2" s="1826"/>
    </row>
    <row r="3" spans="1:18" ht="21" thickBot="1">
      <c r="B3" s="1916"/>
      <c r="C3" s="1916"/>
      <c r="D3" s="1916"/>
      <c r="E3" s="1916"/>
      <c r="F3" s="1916"/>
      <c r="G3" s="1916"/>
      <c r="H3" s="1916"/>
      <c r="I3" s="1916"/>
    </row>
    <row r="4" spans="1:18" ht="13.5" customHeight="1" thickTop="1">
      <c r="B4" s="1987"/>
      <c r="C4" s="1987"/>
      <c r="D4" s="1987"/>
      <c r="E4" s="1987"/>
      <c r="F4" s="1988"/>
      <c r="G4" s="1248"/>
      <c r="H4" s="1124"/>
      <c r="I4" s="1249"/>
    </row>
    <row r="5" spans="1:18" ht="13.5" customHeight="1">
      <c r="B5" s="1128"/>
      <c r="C5" s="1128"/>
      <c r="D5" s="1128"/>
      <c r="E5" s="1123"/>
      <c r="F5" s="1123"/>
      <c r="G5" s="1133" t="s">
        <v>441</v>
      </c>
      <c r="H5" s="1989" t="str">
        <f>'KEY INPUTS'!D34+1&amp;" Budget Requirements"</f>
        <v>2021 Budget Requirements</v>
      </c>
      <c r="I5" s="1990"/>
      <c r="J5" s="765"/>
    </row>
    <row r="6" spans="1:18" ht="13.5" customHeight="1">
      <c r="B6" s="1128"/>
      <c r="C6" s="1825" t="s">
        <v>440</v>
      </c>
      <c r="D6" s="1825"/>
      <c r="E6" s="1123"/>
      <c r="F6" s="1123"/>
      <c r="G6" s="1133" t="s">
        <v>457</v>
      </c>
      <c r="H6" s="1991"/>
      <c r="I6" s="1992"/>
      <c r="J6" s="765"/>
    </row>
    <row r="7" spans="1:18" ht="13.5" customHeight="1">
      <c r="B7" s="1128"/>
      <c r="C7" s="1128"/>
      <c r="D7" s="1128"/>
      <c r="E7" s="1123"/>
      <c r="F7" s="1253"/>
      <c r="G7" s="1254" t="str">
        <f>'KEY INPUTS'!D46</f>
        <v>Dec. 31, 2020</v>
      </c>
      <c r="H7" s="1129" t="s">
        <v>3229</v>
      </c>
      <c r="I7" s="1131" t="s">
        <v>458</v>
      </c>
      <c r="L7" s="315"/>
      <c r="M7" s="315"/>
      <c r="N7" s="315"/>
      <c r="O7" s="315"/>
      <c r="P7" s="315"/>
      <c r="Q7" s="315"/>
      <c r="R7" s="315"/>
    </row>
    <row r="8" spans="1:18" ht="13.5" customHeight="1" thickBot="1">
      <c r="B8" s="1135"/>
      <c r="C8" s="1135"/>
      <c r="D8" s="1135"/>
      <c r="E8" s="1135"/>
      <c r="F8" s="1255"/>
      <c r="G8" s="1256"/>
      <c r="H8" s="1137"/>
      <c r="I8" s="1257"/>
      <c r="L8" s="315"/>
      <c r="M8" s="315"/>
      <c r="N8" s="315"/>
      <c r="O8" s="315"/>
      <c r="P8" s="315"/>
      <c r="Q8" s="315"/>
      <c r="R8" s="315"/>
    </row>
    <row r="9" spans="1:18" ht="21" customHeight="1" thickTop="1">
      <c r="B9" s="1920"/>
      <c r="C9" s="1920"/>
      <c r="D9" s="1920"/>
      <c r="E9" s="1920"/>
      <c r="F9" s="1921"/>
      <c r="G9" s="792"/>
      <c r="H9" s="597"/>
      <c r="I9" s="793"/>
      <c r="L9" s="370"/>
      <c r="M9" s="315"/>
      <c r="N9" s="315"/>
      <c r="O9" s="315"/>
      <c r="P9" s="315"/>
      <c r="Q9" s="315"/>
      <c r="R9" s="315"/>
    </row>
    <row r="10" spans="1:18" ht="21" customHeight="1">
      <c r="B10" s="1914"/>
      <c r="C10" s="1914"/>
      <c r="D10" s="1914"/>
      <c r="E10" s="1914"/>
      <c r="F10" s="1915"/>
      <c r="G10" s="623"/>
      <c r="H10" s="593"/>
      <c r="I10" s="594"/>
      <c r="L10" s="315"/>
      <c r="M10" s="315"/>
      <c r="N10" s="315"/>
      <c r="O10" s="315"/>
      <c r="P10" s="315"/>
      <c r="Q10" s="315"/>
      <c r="R10" s="315"/>
    </row>
    <row r="11" spans="1:18" ht="21" customHeight="1">
      <c r="B11" s="1914"/>
      <c r="C11" s="1914"/>
      <c r="D11" s="1914"/>
      <c r="E11" s="1914"/>
      <c r="F11" s="1915"/>
      <c r="G11" s="623"/>
      <c r="H11" s="593"/>
      <c r="I11" s="594"/>
      <c r="L11" s="315"/>
      <c r="M11" s="315"/>
      <c r="N11" s="315"/>
      <c r="O11" s="315"/>
      <c r="P11" s="315"/>
      <c r="Q11" s="315"/>
      <c r="R11" s="315"/>
    </row>
    <row r="12" spans="1:18" ht="21" customHeight="1">
      <c r="B12" s="1914"/>
      <c r="C12" s="1914"/>
      <c r="D12" s="1914"/>
      <c r="E12" s="1914"/>
      <c r="F12" s="1915"/>
      <c r="G12" s="623"/>
      <c r="H12" s="593"/>
      <c r="I12" s="594"/>
      <c r="L12" s="315"/>
      <c r="M12" s="315"/>
      <c r="N12" s="315"/>
      <c r="O12" s="315"/>
      <c r="P12" s="315"/>
      <c r="Q12" s="315"/>
      <c r="R12" s="315"/>
    </row>
    <row r="13" spans="1:18" ht="21" customHeight="1">
      <c r="B13" s="1914"/>
      <c r="C13" s="1914"/>
      <c r="D13" s="1914"/>
      <c r="E13" s="1914"/>
      <c r="F13" s="1915"/>
      <c r="G13" s="623"/>
      <c r="H13" s="593"/>
      <c r="I13" s="594"/>
      <c r="L13" s="315"/>
      <c r="M13" s="315"/>
      <c r="N13" s="315"/>
      <c r="O13" s="315"/>
      <c r="P13" s="315"/>
      <c r="Q13" s="315"/>
      <c r="R13" s="315"/>
    </row>
    <row r="14" spans="1:18" ht="21" customHeight="1">
      <c r="B14" s="1914"/>
      <c r="C14" s="1914"/>
      <c r="D14" s="1914"/>
      <c r="E14" s="1914"/>
      <c r="F14" s="1915"/>
      <c r="G14" s="624"/>
      <c r="H14" s="593"/>
      <c r="I14" s="594"/>
      <c r="L14" s="315"/>
      <c r="M14" s="315"/>
      <c r="N14" s="315"/>
      <c r="O14" s="315"/>
      <c r="P14" s="315"/>
      <c r="Q14" s="315"/>
      <c r="R14" s="315"/>
    </row>
    <row r="15" spans="1:18" ht="21" customHeight="1">
      <c r="A15" s="1830" t="s">
        <v>3228</v>
      </c>
      <c r="B15" s="1914"/>
      <c r="C15" s="1914"/>
      <c r="D15" s="1914"/>
      <c r="E15" s="1914"/>
      <c r="F15" s="1915"/>
      <c r="G15" s="623"/>
      <c r="H15" s="593"/>
      <c r="I15" s="594"/>
      <c r="L15" s="315"/>
      <c r="M15" s="315"/>
      <c r="N15" s="315"/>
      <c r="O15" s="315"/>
      <c r="P15" s="315"/>
      <c r="Q15" s="315"/>
      <c r="R15" s="315"/>
    </row>
    <row r="16" spans="1:18" ht="21" customHeight="1">
      <c r="A16" s="1830"/>
      <c r="B16" s="1914"/>
      <c r="C16" s="1914"/>
      <c r="D16" s="1914"/>
      <c r="E16" s="1914"/>
      <c r="F16" s="1915"/>
      <c r="G16" s="623"/>
      <c r="H16" s="593"/>
      <c r="I16" s="594"/>
      <c r="L16" s="315"/>
      <c r="M16" s="315"/>
      <c r="N16" s="315"/>
      <c r="O16" s="315"/>
      <c r="P16" s="315"/>
      <c r="Q16" s="315"/>
      <c r="R16" s="315"/>
    </row>
    <row r="17" spans="1:18" ht="21" customHeight="1">
      <c r="A17" s="1830"/>
      <c r="B17" s="1914"/>
      <c r="C17" s="1914"/>
      <c r="D17" s="1914"/>
      <c r="E17" s="1914"/>
      <c r="F17" s="1915"/>
      <c r="G17" s="623"/>
      <c r="H17" s="593"/>
      <c r="I17" s="594"/>
      <c r="L17" s="315"/>
      <c r="M17" s="315"/>
      <c r="N17" s="315"/>
      <c r="O17" s="315"/>
      <c r="P17" s="315"/>
      <c r="Q17" s="315"/>
      <c r="R17" s="315"/>
    </row>
    <row r="18" spans="1:18" ht="21" customHeight="1">
      <c r="A18" s="538"/>
      <c r="B18" s="1914"/>
      <c r="C18" s="1914"/>
      <c r="D18" s="1914"/>
      <c r="E18" s="1914"/>
      <c r="F18" s="1915"/>
      <c r="G18" s="623"/>
      <c r="H18" s="593"/>
      <c r="I18" s="594"/>
      <c r="L18" s="315"/>
      <c r="M18" s="315"/>
      <c r="N18" s="315"/>
      <c r="O18" s="315"/>
      <c r="P18" s="315"/>
      <c r="Q18" s="315"/>
      <c r="R18" s="315"/>
    </row>
    <row r="19" spans="1:18" ht="21" customHeight="1">
      <c r="B19" s="1914"/>
      <c r="C19" s="1914"/>
      <c r="D19" s="1914"/>
      <c r="E19" s="1914"/>
      <c r="F19" s="1915"/>
      <c r="G19" s="623"/>
      <c r="H19" s="593"/>
      <c r="I19" s="594"/>
      <c r="L19" s="315"/>
      <c r="M19" s="315"/>
      <c r="N19" s="315"/>
      <c r="O19" s="315"/>
      <c r="P19" s="315"/>
      <c r="Q19" s="315"/>
      <c r="R19" s="315"/>
    </row>
    <row r="20" spans="1:18" ht="21" customHeight="1">
      <c r="B20" s="1914"/>
      <c r="C20" s="1914"/>
      <c r="D20" s="1914"/>
      <c r="E20" s="1914"/>
      <c r="F20" s="1915"/>
      <c r="G20" s="623"/>
      <c r="H20" s="593"/>
      <c r="I20" s="594"/>
      <c r="L20" s="315"/>
      <c r="M20" s="315"/>
      <c r="N20" s="315"/>
      <c r="O20" s="315"/>
      <c r="P20" s="315"/>
      <c r="Q20" s="315"/>
      <c r="R20" s="315"/>
    </row>
    <row r="21" spans="1:18" ht="21" customHeight="1">
      <c r="B21" s="1914"/>
      <c r="C21" s="1914"/>
      <c r="D21" s="1914"/>
      <c r="E21" s="1914"/>
      <c r="F21" s="1915"/>
      <c r="G21" s="623"/>
      <c r="H21" s="593"/>
      <c r="I21" s="594"/>
      <c r="L21" s="315"/>
      <c r="M21" s="315"/>
      <c r="N21" s="315"/>
      <c r="O21" s="315"/>
      <c r="P21" s="315"/>
      <c r="Q21" s="315"/>
      <c r="R21" s="315"/>
    </row>
    <row r="22" spans="1:18" ht="21" customHeight="1" thickBot="1">
      <c r="B22" s="1914"/>
      <c r="C22" s="1914"/>
      <c r="D22" s="1914"/>
      <c r="E22" s="1914"/>
      <c r="F22" s="1915"/>
      <c r="G22" s="625"/>
      <c r="H22" s="619"/>
      <c r="I22" s="626"/>
      <c r="L22" s="315"/>
      <c r="M22" s="315"/>
      <c r="N22" s="315"/>
      <c r="O22" s="315"/>
      <c r="P22" s="315"/>
      <c r="Q22" s="315"/>
      <c r="R22" s="315"/>
    </row>
    <row r="23" spans="1:18" ht="21" customHeight="1" thickTop="1" thickBot="1">
      <c r="B23" s="1238"/>
      <c r="C23" s="1144"/>
      <c r="D23" s="1355" t="s">
        <v>142</v>
      </c>
      <c r="E23" s="1044"/>
      <c r="F23" s="1255"/>
      <c r="G23" s="1356">
        <f>SUM(G9:G22)</f>
        <v>0</v>
      </c>
      <c r="H23" s="1065">
        <f>SUM(H9:H22)</f>
        <v>0</v>
      </c>
      <c r="I23" s="1143">
        <f>SUM(I9:I22)</f>
        <v>0</v>
      </c>
      <c r="L23" s="315"/>
      <c r="M23" s="315"/>
      <c r="N23" s="315"/>
      <c r="O23" s="315"/>
      <c r="P23" s="315"/>
      <c r="Q23" s="315"/>
      <c r="R23" s="315"/>
    </row>
    <row r="24" spans="1:18" ht="13.5" customHeight="1" thickTop="1">
      <c r="B24" s="794"/>
      <c r="C24" s="404"/>
      <c r="D24" s="795"/>
      <c r="H24" s="497"/>
      <c r="I24" s="497"/>
    </row>
    <row r="25" spans="1:18" ht="13.5" customHeight="1">
      <c r="B25" s="794"/>
      <c r="C25" s="404"/>
      <c r="D25" s="795"/>
    </row>
    <row r="26" spans="1:18" ht="13.5" customHeight="1">
      <c r="B26" s="794"/>
      <c r="C26" s="404"/>
      <c r="D26" s="795"/>
      <c r="H26" s="791"/>
    </row>
    <row r="27" spans="1:18">
      <c r="B27" s="534"/>
      <c r="C27" s="404"/>
      <c r="D27" s="404"/>
    </row>
  </sheetData>
  <sheetProtection algorithmName="SHA-512" hashValue="qQhB53Sxo984DEbpZdvS12q+gn4dhZgM7VbMjX+pEJlGWM7EwNgfA16SBoSqkq37v9QK+tX3G3gyUvP8EDtBwg==" saltValue="RISz5bUwL4nnRNTH4qqkIg=="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4">
    <tabColor theme="3"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INPUTS'!D53)&amp;"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692"/>
      <c r="C9" s="664"/>
      <c r="D9" s="667"/>
      <c r="E9" s="610"/>
      <c r="F9" s="610"/>
      <c r="G9" s="610"/>
      <c r="H9" s="610"/>
      <c r="I9" s="610"/>
      <c r="J9" s="610"/>
      <c r="K9" s="610"/>
      <c r="L9" s="622"/>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3230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583</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5">
    <tabColor theme="3"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 &amp;UPPER('KEY INPUTS'!D53)&amp;"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+'52-Utility2'!E27</f>
        <v>0</v>
      </c>
      <c r="F9" s="1259">
        <f>+'52-Utility2'!F27</f>
        <v>0</v>
      </c>
      <c r="G9" s="1259">
        <f>+'52-Utility2'!G27</f>
        <v>0</v>
      </c>
      <c r="H9" s="1259">
        <f>+'52-Utility2'!H27</f>
        <v>0</v>
      </c>
      <c r="I9" s="1259">
        <f>+'52-Utility2'!I27</f>
        <v>0</v>
      </c>
      <c r="J9" s="1259">
        <f>+'52-Utility2'!J27</f>
        <v>0</v>
      </c>
      <c r="K9" s="1259">
        <f>+'52-Utility2'!K27</f>
        <v>0</v>
      </c>
      <c r="L9" s="1263">
        <f>+'52-Utility2'!L27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6">
    <tabColor theme="3"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 &amp;UPPER('KEY INPUTS'!D53)&amp;"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+'52.1-Utility2'!E27</f>
        <v>0</v>
      </c>
      <c r="F9" s="1259">
        <f>+'52.1-Utility2'!F27</f>
        <v>0</v>
      </c>
      <c r="G9" s="1259">
        <f>+'52.1-Utility2'!G27</f>
        <v>0</v>
      </c>
      <c r="H9" s="1259">
        <f>+'52.1-Utility2'!H27</f>
        <v>0</v>
      </c>
      <c r="I9" s="1259">
        <f>+'52.1-Utility2'!I27</f>
        <v>0</v>
      </c>
      <c r="J9" s="1259">
        <f>+'52.1-Utility2'!J27</f>
        <v>0</v>
      </c>
      <c r="K9" s="1259">
        <f>+'52.1-Utility2'!K27</f>
        <v>0</v>
      </c>
      <c r="L9" s="1263">
        <f>+'52.1-Utility2'!L27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3421</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7">
    <tabColor theme="3"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 &amp;UPPER('KEY INPUTS'!D53)&amp;"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+'52.2-Utility2'!E27</f>
        <v>0</v>
      </c>
      <c r="F9" s="1259">
        <f>+'52.2-Utility2'!F27</f>
        <v>0</v>
      </c>
      <c r="G9" s="1259">
        <f>+'52.2-Utility2'!G27</f>
        <v>0</v>
      </c>
      <c r="H9" s="1259">
        <f>+'52.2-Utility2'!H27</f>
        <v>0</v>
      </c>
      <c r="I9" s="1259">
        <f>+'52.2-Utility2'!I27</f>
        <v>0</v>
      </c>
      <c r="J9" s="1259">
        <f>+'52.2-Utility2'!J27</f>
        <v>0</v>
      </c>
      <c r="K9" s="1259">
        <f>+'52.2-Utility2'!K27</f>
        <v>0</v>
      </c>
      <c r="L9" s="1263">
        <f>+'52.2-Utility2'!L27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3422</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8">
    <tabColor theme="3"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 &amp;UPPER('KEY INPUTS'!D53)&amp;"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+'52.2-Utility2'!E27</f>
        <v>0</v>
      </c>
      <c r="F9" s="1259">
        <f>+'52.2-Utility2'!F27</f>
        <v>0</v>
      </c>
      <c r="G9" s="1259">
        <f>+'52.2-Utility2'!G27</f>
        <v>0</v>
      </c>
      <c r="H9" s="1259">
        <f>+'52.2-Utility2'!H27</f>
        <v>0</v>
      </c>
      <c r="I9" s="1259">
        <f>+'52.2-Utility2'!I27</f>
        <v>0</v>
      </c>
      <c r="J9" s="1259">
        <f>+'52.2-Utility2'!J27</f>
        <v>0</v>
      </c>
      <c r="K9" s="1259">
        <f>+'52.2-Utility2'!K27</f>
        <v>0</v>
      </c>
      <c r="L9" s="1263">
        <f>+'52.2-Utility2'!L27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3425</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847</v>
      </c>
      <c r="E27" s="135">
        <f t="shared" ref="E27:L27" si="0">SUM(E9:E26)</f>
        <v>0</v>
      </c>
      <c r="F27" s="135">
        <f t="shared" si="0"/>
        <v>0</v>
      </c>
      <c r="G27" s="135">
        <f t="shared" si="0"/>
        <v>0</v>
      </c>
      <c r="H27" s="135">
        <f t="shared" si="0"/>
        <v>0</v>
      </c>
      <c r="I27" s="135">
        <f t="shared" si="0"/>
        <v>0</v>
      </c>
      <c r="J27" s="135">
        <f t="shared" si="0"/>
        <v>0</v>
      </c>
      <c r="K27" s="135">
        <f t="shared" si="0"/>
        <v>0</v>
      </c>
      <c r="L27" s="155">
        <f t="shared" si="0"/>
        <v>0</v>
      </c>
    </row>
    <row r="28" spans="1:21" ht="13.5" customHeight="1" thickTop="1">
      <c r="B28" s="542"/>
      <c r="C28" s="541" t="s">
        <v>551</v>
      </c>
      <c r="D28" s="540"/>
      <c r="E28" s="503"/>
      <c r="F28" s="503"/>
      <c r="G28" s="503"/>
      <c r="H28" s="503"/>
      <c r="I28" s="503"/>
      <c r="J28" s="503"/>
      <c r="K28" s="536"/>
      <c r="L28" s="536"/>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9">
    <tabColor theme="3" tint="0.39997558519241921"/>
  </sheetPr>
  <dimension ref="B1:S54"/>
  <sheetViews>
    <sheetView zoomScaleNormal="100" zoomScaleSheetLayoutView="80" workbookViewId="0">
      <selection activeCell="B1" sqref="B1"/>
    </sheetView>
  </sheetViews>
  <sheetFormatPr defaultColWidth="9.109375" defaultRowHeight="13.2"/>
  <cols>
    <col min="1" max="3" width="4.6640625" style="324" customWidth="1"/>
    <col min="4" max="4" width="4.5546875" style="324" customWidth="1"/>
    <col min="5" max="6" width="9.109375" style="324"/>
    <col min="7" max="7" width="14.44140625" style="324" customWidth="1"/>
    <col min="8" max="8" width="15" style="324" customWidth="1"/>
    <col min="9" max="10" width="16.6640625" style="324" customWidth="1"/>
    <col min="11" max="16384" width="9.109375" style="324"/>
  </cols>
  <sheetData>
    <row r="1" spans="2:19">
      <c r="B1" s="1128"/>
      <c r="C1" s="1128"/>
      <c r="D1" s="1128"/>
      <c r="E1" s="1128"/>
      <c r="F1" s="1128"/>
      <c r="G1" s="1128"/>
      <c r="H1" s="1128"/>
      <c r="I1" s="1128"/>
      <c r="J1" s="1128"/>
    </row>
    <row r="2" spans="2:19">
      <c r="B2" s="1128"/>
      <c r="C2" s="1128"/>
      <c r="D2" s="1128"/>
      <c r="E2" s="1128"/>
      <c r="F2" s="1128"/>
      <c r="G2" s="1128"/>
      <c r="H2" s="1128"/>
      <c r="I2" s="1128"/>
      <c r="J2" s="1128"/>
    </row>
    <row r="3" spans="2:19" ht="22.8">
      <c r="B3" s="1804" t="str">
        <f>UPPER('KEY INPUTS'!D$53)&amp;" UTILITY  CAPITAL  FUND"</f>
        <v xml:space="preserve"> UTILITY  CAPITAL  FUND</v>
      </c>
      <c r="C3" s="1804"/>
      <c r="D3" s="1804"/>
      <c r="E3" s="1804"/>
      <c r="F3" s="1804"/>
      <c r="G3" s="1804"/>
      <c r="H3" s="1804"/>
      <c r="I3" s="1804"/>
      <c r="J3" s="1804"/>
    </row>
    <row r="4" spans="2:19">
      <c r="B4" s="1128"/>
      <c r="C4" s="1128"/>
      <c r="D4" s="1128"/>
      <c r="E4" s="1128"/>
      <c r="F4" s="1128"/>
      <c r="G4" s="1128"/>
      <c r="H4" s="1128"/>
      <c r="I4" s="1128"/>
      <c r="J4" s="1128"/>
    </row>
    <row r="5" spans="2:19" ht="15.6">
      <c r="B5" s="1821" t="s">
        <v>555</v>
      </c>
      <c r="C5" s="1821"/>
      <c r="D5" s="1821"/>
      <c r="E5" s="1821"/>
      <c r="F5" s="1821"/>
      <c r="G5" s="1821"/>
      <c r="H5" s="1821"/>
      <c r="I5" s="1821"/>
      <c r="J5" s="1821"/>
    </row>
    <row r="6" spans="2:19" ht="13.8" thickBot="1">
      <c r="B6" s="1128"/>
      <c r="C6" s="1128"/>
      <c r="D6" s="1128"/>
      <c r="E6" s="1128"/>
      <c r="F6" s="1128"/>
      <c r="G6" s="1128"/>
      <c r="H6" s="1128"/>
      <c r="I6" s="1128"/>
      <c r="J6" s="1128"/>
    </row>
    <row r="7" spans="2:19" ht="28.5" customHeight="1" thickTop="1" thickBot="1">
      <c r="B7" s="1370"/>
      <c r="C7" s="1370"/>
      <c r="D7" s="1370"/>
      <c r="E7" s="1370"/>
      <c r="F7" s="1370"/>
      <c r="G7" s="1370"/>
      <c r="H7" s="1370"/>
      <c r="I7" s="1116" t="s">
        <v>101</v>
      </c>
      <c r="J7" s="1117" t="s">
        <v>102</v>
      </c>
    </row>
    <row r="8" spans="2:19" ht="21" customHeight="1" thickTop="1">
      <c r="B8" s="1140" t="str">
        <f>'KEY INPUTS'!D25</f>
        <v>Balance - January 1, 2020</v>
      </c>
      <c r="C8" s="1140"/>
      <c r="D8" s="1140"/>
      <c r="E8" s="1140"/>
      <c r="F8" s="1140"/>
      <c r="G8" s="1140"/>
      <c r="H8" s="1382"/>
      <c r="I8" s="1070" t="s">
        <v>662</v>
      </c>
      <c r="J8" s="630"/>
    </row>
    <row r="9" spans="2:19" ht="21" customHeight="1">
      <c r="B9" s="1121" t="str">
        <f>"Received from "&amp;'KEY INPUTS'!D34&amp;" Budget Appropriation"</f>
        <v>Received from 2020 Budget Appropriation</v>
      </c>
      <c r="C9" s="1121"/>
      <c r="D9" s="1121"/>
      <c r="E9" s="1121"/>
      <c r="F9" s="1121"/>
      <c r="G9" s="1121"/>
      <c r="H9" s="1383"/>
      <c r="I9" s="963" t="s">
        <v>662</v>
      </c>
      <c r="J9" s="601"/>
      <c r="M9" s="315"/>
      <c r="N9" s="315"/>
      <c r="O9" s="315"/>
      <c r="P9" s="315"/>
      <c r="Q9" s="315"/>
      <c r="R9" s="315"/>
      <c r="S9" s="315"/>
    </row>
    <row r="10" spans="2:19" ht="21" customHeight="1">
      <c r="B10" s="639"/>
      <c r="C10" s="639"/>
      <c r="D10" s="639"/>
      <c r="E10" s="639"/>
      <c r="F10" s="639"/>
      <c r="G10" s="639"/>
      <c r="H10" s="639"/>
      <c r="I10" s="963" t="s">
        <v>662</v>
      </c>
      <c r="J10" s="601"/>
      <c r="M10" s="315"/>
      <c r="N10" s="315"/>
      <c r="O10" s="315"/>
      <c r="P10" s="315"/>
      <c r="Q10" s="315"/>
      <c r="R10" s="315"/>
      <c r="S10" s="315"/>
    </row>
    <row r="11" spans="2:19" ht="11.25" customHeight="1">
      <c r="B11" s="1384" t="s">
        <v>183</v>
      </c>
      <c r="C11" s="1385"/>
      <c r="D11" s="1385"/>
      <c r="E11" s="1385"/>
      <c r="F11" s="1385"/>
      <c r="G11" s="1385"/>
      <c r="H11" s="1386"/>
      <c r="I11" s="1950" t="s">
        <v>662</v>
      </c>
      <c r="J11" s="1948"/>
      <c r="M11" s="370"/>
      <c r="N11" s="315"/>
      <c r="O11" s="315"/>
      <c r="P11" s="315"/>
      <c r="Q11" s="315"/>
      <c r="R11" s="315"/>
      <c r="S11" s="315"/>
    </row>
    <row r="12" spans="2:19" ht="12.75" customHeight="1">
      <c r="B12" s="1373"/>
      <c r="C12" s="1387" t="s">
        <v>184</v>
      </c>
      <c r="D12" s="1373"/>
      <c r="E12" s="1373"/>
      <c r="F12" s="1373"/>
      <c r="G12" s="1373"/>
      <c r="H12" s="1388"/>
      <c r="I12" s="1951"/>
      <c r="J12" s="1949"/>
      <c r="M12" s="315"/>
      <c r="N12" s="315"/>
      <c r="O12" s="315"/>
      <c r="P12" s="315"/>
      <c r="Q12" s="315"/>
      <c r="R12" s="315"/>
      <c r="S12" s="315"/>
    </row>
    <row r="13" spans="2:19" ht="21" customHeight="1">
      <c r="B13" s="659"/>
      <c r="C13" s="1264"/>
      <c r="D13" s="659"/>
      <c r="E13" s="659"/>
      <c r="F13" s="659"/>
      <c r="G13" s="659"/>
      <c r="H13" s="659"/>
      <c r="I13" s="674"/>
      <c r="J13" s="369"/>
      <c r="M13" s="315"/>
      <c r="N13" s="315"/>
      <c r="O13" s="315"/>
      <c r="P13" s="315"/>
      <c r="Q13" s="315"/>
      <c r="R13" s="315"/>
      <c r="S13" s="315"/>
    </row>
    <row r="14" spans="2:19" ht="21" customHeight="1">
      <c r="B14" s="1121" t="s">
        <v>185</v>
      </c>
      <c r="C14" s="1121"/>
      <c r="D14" s="1121"/>
      <c r="E14" s="1121"/>
      <c r="F14" s="1121"/>
      <c r="G14" s="1121"/>
      <c r="H14" s="1121"/>
      <c r="I14" s="963" t="s">
        <v>662</v>
      </c>
      <c r="J14" s="967" t="s">
        <v>662</v>
      </c>
      <c r="M14" s="315"/>
      <c r="N14" s="315"/>
      <c r="O14" s="315"/>
      <c r="P14" s="315"/>
      <c r="Q14" s="315"/>
      <c r="R14" s="315"/>
      <c r="S14" s="315"/>
    </row>
    <row r="15" spans="2:19" ht="21" customHeight="1">
      <c r="B15" s="639"/>
      <c r="C15" s="639"/>
      <c r="D15" s="639"/>
      <c r="E15" s="639"/>
      <c r="F15" s="639"/>
      <c r="G15" s="639"/>
      <c r="H15" s="639"/>
      <c r="I15" s="593"/>
      <c r="J15" s="967" t="s">
        <v>662</v>
      </c>
      <c r="M15" s="315"/>
      <c r="N15" s="315"/>
      <c r="O15" s="315"/>
      <c r="P15" s="315"/>
      <c r="Q15" s="315"/>
      <c r="R15" s="315"/>
      <c r="S15" s="315"/>
    </row>
    <row r="16" spans="2:19" ht="21" customHeight="1">
      <c r="B16" s="639"/>
      <c r="C16" s="639"/>
      <c r="D16" s="639"/>
      <c r="E16" s="639"/>
      <c r="F16" s="639"/>
      <c r="G16" s="639"/>
      <c r="H16" s="639"/>
      <c r="I16" s="593"/>
      <c r="J16" s="967" t="s">
        <v>662</v>
      </c>
      <c r="M16" s="315"/>
      <c r="N16" s="315"/>
      <c r="O16" s="315"/>
      <c r="P16" s="315"/>
      <c r="Q16" s="315"/>
      <c r="R16" s="315"/>
      <c r="S16" s="315"/>
    </row>
    <row r="17" spans="2:19" ht="21" customHeight="1">
      <c r="B17" s="639"/>
      <c r="C17" s="639"/>
      <c r="D17" s="639"/>
      <c r="E17" s="639"/>
      <c r="F17" s="639"/>
      <c r="G17" s="639"/>
      <c r="H17" s="639"/>
      <c r="I17" s="593"/>
      <c r="J17" s="967" t="s">
        <v>662</v>
      </c>
      <c r="M17" s="315"/>
      <c r="N17" s="315"/>
      <c r="O17" s="315"/>
      <c r="P17" s="315"/>
      <c r="Q17" s="315"/>
      <c r="R17" s="315"/>
      <c r="S17" s="315"/>
    </row>
    <row r="18" spans="2:19" ht="21" customHeight="1">
      <c r="B18" s="639"/>
      <c r="C18" s="639"/>
      <c r="D18" s="639"/>
      <c r="E18" s="639"/>
      <c r="F18" s="639"/>
      <c r="G18" s="639"/>
      <c r="H18" s="639"/>
      <c r="I18" s="593"/>
      <c r="J18" s="967" t="s">
        <v>662</v>
      </c>
      <c r="M18" s="315"/>
      <c r="N18" s="315"/>
      <c r="O18" s="315"/>
      <c r="P18" s="315"/>
      <c r="Q18" s="315"/>
      <c r="R18" s="315"/>
      <c r="S18" s="315"/>
    </row>
    <row r="19" spans="2:19" ht="21" customHeight="1">
      <c r="B19" s="639"/>
      <c r="C19" s="639"/>
      <c r="D19" s="639"/>
      <c r="E19" s="639"/>
      <c r="F19" s="639"/>
      <c r="G19" s="639"/>
      <c r="H19" s="639"/>
      <c r="I19" s="593"/>
      <c r="J19" s="967" t="s">
        <v>662</v>
      </c>
      <c r="M19" s="315"/>
      <c r="N19" s="315"/>
      <c r="O19" s="315"/>
      <c r="P19" s="315"/>
      <c r="Q19" s="315"/>
      <c r="R19" s="315"/>
      <c r="S19" s="315"/>
    </row>
    <row r="20" spans="2:19" ht="21" customHeight="1">
      <c r="B20" s="639"/>
      <c r="C20" s="639"/>
      <c r="D20" s="639"/>
      <c r="E20" s="639"/>
      <c r="F20" s="639"/>
      <c r="G20" s="639"/>
      <c r="H20" s="639"/>
      <c r="I20" s="593"/>
      <c r="J20" s="967" t="s">
        <v>662</v>
      </c>
      <c r="M20" s="315"/>
      <c r="N20" s="315"/>
      <c r="O20" s="315"/>
      <c r="P20" s="315"/>
      <c r="Q20" s="315"/>
      <c r="R20" s="315"/>
      <c r="S20" s="315"/>
    </row>
    <row r="21" spans="2:19" ht="21" customHeight="1">
      <c r="B21" s="639"/>
      <c r="C21" s="639"/>
      <c r="D21" s="639"/>
      <c r="E21" s="639"/>
      <c r="F21" s="639"/>
      <c r="G21" s="639"/>
      <c r="H21" s="639"/>
      <c r="I21" s="593"/>
      <c r="J21" s="967" t="s">
        <v>662</v>
      </c>
      <c r="M21" s="315"/>
      <c r="N21" s="315"/>
      <c r="O21" s="315"/>
      <c r="P21" s="315"/>
      <c r="Q21" s="315"/>
      <c r="R21" s="315"/>
      <c r="S21" s="315"/>
    </row>
    <row r="22" spans="2:19" ht="21" customHeight="1">
      <c r="B22" s="1121" t="s">
        <v>186</v>
      </c>
      <c r="C22" s="1121"/>
      <c r="D22" s="1121"/>
      <c r="E22" s="1121"/>
      <c r="F22" s="1121"/>
      <c r="G22" s="1121"/>
      <c r="H22" s="1383"/>
      <c r="I22" s="593"/>
      <c r="J22" s="967" t="s">
        <v>662</v>
      </c>
      <c r="M22" s="315"/>
      <c r="N22" s="315"/>
      <c r="O22" s="315"/>
      <c r="P22" s="315"/>
      <c r="Q22" s="315"/>
      <c r="R22" s="315"/>
      <c r="S22" s="315"/>
    </row>
    <row r="23" spans="2:19" ht="21" customHeight="1">
      <c r="B23" s="639"/>
      <c r="C23" s="639"/>
      <c r="D23" s="639"/>
      <c r="E23" s="639"/>
      <c r="F23" s="639"/>
      <c r="G23" s="639"/>
      <c r="H23" s="639"/>
      <c r="I23" s="593"/>
      <c r="J23" s="967" t="s">
        <v>662</v>
      </c>
      <c r="M23" s="315"/>
      <c r="N23" s="315"/>
      <c r="O23" s="315"/>
      <c r="P23" s="315"/>
      <c r="Q23" s="315"/>
      <c r="R23" s="315"/>
      <c r="S23" s="315"/>
    </row>
    <row r="24" spans="2:19" ht="21" customHeight="1" thickBot="1">
      <c r="B24" s="1121" t="str">
        <f>'KEY INPUTS'!D26</f>
        <v>Balance - December 31, 2020</v>
      </c>
      <c r="C24" s="1121"/>
      <c r="D24" s="1121"/>
      <c r="E24" s="1121"/>
      <c r="F24" s="1121"/>
      <c r="G24" s="1121"/>
      <c r="H24" s="1383"/>
      <c r="I24" s="1088">
        <f>+SUM(J8:J13)-SUM(I13:I23)</f>
        <v>0</v>
      </c>
      <c r="J24" s="1086" t="s">
        <v>662</v>
      </c>
      <c r="M24" s="315"/>
      <c r="N24" s="315"/>
      <c r="O24" s="315"/>
      <c r="P24" s="315"/>
      <c r="Q24" s="315"/>
      <c r="R24" s="315"/>
      <c r="S24" s="315"/>
    </row>
    <row r="25" spans="2:19" ht="21" customHeight="1" thickTop="1" thickBot="1">
      <c r="B25" s="1128"/>
      <c r="C25" s="1128"/>
      <c r="D25" s="1128"/>
      <c r="E25" s="1128"/>
      <c r="F25" s="1128"/>
      <c r="G25" s="1128"/>
      <c r="H25" s="1128"/>
      <c r="I25" s="1046">
        <f>SUM(I8:I24)</f>
        <v>0</v>
      </c>
      <c r="J25" s="1089">
        <f>SUM(J8:J24)</f>
        <v>0</v>
      </c>
      <c r="M25" s="315"/>
      <c r="N25" s="315"/>
      <c r="O25" s="315"/>
      <c r="P25" s="315"/>
      <c r="Q25" s="315"/>
      <c r="R25" s="315"/>
      <c r="S25" s="315"/>
    </row>
    <row r="26" spans="2:19" ht="13.8" thickTop="1"/>
    <row r="30" spans="2:19" ht="22.8">
      <c r="B30" s="1804" t="str">
        <f>UPPER('KEY INPUTS'!D$53)&amp;" UTILITY  CAPITAL  FUND"</f>
        <v xml:space="preserve"> UTILITY  CAPITAL  FUND</v>
      </c>
      <c r="C30" s="1804"/>
      <c r="D30" s="1804"/>
      <c r="E30" s="1804"/>
      <c r="F30" s="1804"/>
      <c r="G30" s="1804"/>
      <c r="H30" s="1804"/>
      <c r="I30" s="1804"/>
      <c r="J30" s="1804"/>
    </row>
    <row r="31" spans="2:19" ht="7.5" customHeight="1">
      <c r="B31" s="1128"/>
      <c r="C31" s="1128"/>
      <c r="D31" s="1128"/>
      <c r="E31" s="1128"/>
      <c r="F31" s="1128"/>
      <c r="G31" s="1128"/>
      <c r="H31" s="1128"/>
      <c r="I31" s="1128"/>
      <c r="J31" s="1128"/>
    </row>
    <row r="32" spans="2:19" ht="15.6">
      <c r="B32" s="1821" t="s">
        <v>188</v>
      </c>
      <c r="C32" s="1821"/>
      <c r="D32" s="1821"/>
      <c r="E32" s="1821"/>
      <c r="F32" s="1821"/>
      <c r="G32" s="1821"/>
      <c r="H32" s="1821"/>
      <c r="I32" s="1821"/>
      <c r="J32" s="1821"/>
    </row>
    <row r="33" spans="2:10" ht="13.8" thickBot="1">
      <c r="B33" s="1128"/>
      <c r="C33" s="1128"/>
      <c r="D33" s="1128"/>
      <c r="E33" s="1128"/>
      <c r="F33" s="1128"/>
      <c r="G33" s="1128"/>
      <c r="H33" s="1128"/>
      <c r="I33" s="1128"/>
      <c r="J33" s="1128"/>
    </row>
    <row r="34" spans="2:10" ht="26.25" customHeight="1" thickTop="1" thickBot="1">
      <c r="B34" s="1370"/>
      <c r="C34" s="1370"/>
      <c r="D34" s="1370"/>
      <c r="E34" s="1370"/>
      <c r="F34" s="1370"/>
      <c r="G34" s="1370"/>
      <c r="H34" s="1370"/>
      <c r="I34" s="1116" t="s">
        <v>101</v>
      </c>
      <c r="J34" s="1117" t="s">
        <v>102</v>
      </c>
    </row>
    <row r="35" spans="2:10" ht="21" customHeight="1" thickTop="1">
      <c r="B35" s="1140" t="str">
        <f>'KEY INPUTS'!D25</f>
        <v>Balance - January 1, 2020</v>
      </c>
      <c r="C35" s="1140"/>
      <c r="D35" s="1140"/>
      <c r="E35" s="1140"/>
      <c r="F35" s="1140"/>
      <c r="G35" s="1140"/>
      <c r="H35" s="1382"/>
      <c r="I35" s="1070" t="s">
        <v>662</v>
      </c>
      <c r="J35" s="630"/>
    </row>
    <row r="36" spans="2:10" ht="21" customHeight="1">
      <c r="B36" s="1121" t="str">
        <f>"Received from "&amp;TEXT('KEY INPUTS'!D34,"0")&amp;" Budget Appropriation *"</f>
        <v>Received from 2020 Budget Appropriation *</v>
      </c>
      <c r="C36" s="1121"/>
      <c r="D36" s="1121"/>
      <c r="E36" s="1121"/>
      <c r="F36" s="1121"/>
      <c r="G36" s="1121"/>
      <c r="H36" s="1383"/>
      <c r="I36" s="963" t="s">
        <v>662</v>
      </c>
      <c r="J36" s="601"/>
    </row>
    <row r="37" spans="2:10" ht="21" customHeight="1">
      <c r="B37" s="1121" t="str">
        <f>"Received from "&amp;TEXT('KEY INPUTS'!D34,"0")&amp;" Emergency Appropriation *"</f>
        <v>Received from 2020 Emergency Appropriation *</v>
      </c>
      <c r="C37" s="1121"/>
      <c r="D37" s="1121"/>
      <c r="E37" s="1121"/>
      <c r="F37" s="1121"/>
      <c r="G37" s="1121"/>
      <c r="H37" s="1383"/>
      <c r="I37" s="963" t="s">
        <v>662</v>
      </c>
      <c r="J37" s="601"/>
    </row>
    <row r="38" spans="2:10" ht="21" customHeight="1">
      <c r="B38" s="659"/>
      <c r="C38" s="1264"/>
      <c r="D38" s="659"/>
      <c r="E38" s="1373"/>
      <c r="F38" s="1373"/>
      <c r="G38" s="1373"/>
      <c r="H38" s="1373"/>
      <c r="I38" s="674"/>
      <c r="J38" s="369"/>
    </row>
    <row r="39" spans="2:10" ht="21" customHeight="1">
      <c r="B39" s="1121" t="s">
        <v>186</v>
      </c>
      <c r="C39" s="1121"/>
      <c r="D39" s="1121"/>
      <c r="E39" s="1121"/>
      <c r="F39" s="1121"/>
      <c r="G39" s="1121"/>
      <c r="H39" s="1383"/>
      <c r="I39" s="593"/>
      <c r="J39" s="967" t="s">
        <v>662</v>
      </c>
    </row>
    <row r="40" spans="2:10" ht="21" customHeight="1">
      <c r="B40" s="639"/>
      <c r="C40" s="639"/>
      <c r="D40" s="639"/>
      <c r="E40" s="1121"/>
      <c r="F40" s="1121"/>
      <c r="G40" s="1121"/>
      <c r="H40" s="1121"/>
      <c r="I40" s="593"/>
      <c r="J40" s="967" t="s">
        <v>662</v>
      </c>
    </row>
    <row r="41" spans="2:10" ht="21" customHeight="1" thickBot="1">
      <c r="B41" s="1121" t="str">
        <f>'KEY INPUTS'!D26</f>
        <v>Balance - December 31, 2020</v>
      </c>
      <c r="C41" s="1121"/>
      <c r="D41" s="1121"/>
      <c r="E41" s="1121"/>
      <c r="F41" s="1121"/>
      <c r="G41" s="1121"/>
      <c r="H41" s="1383"/>
      <c r="I41" s="1265">
        <f>SUM(J35:J38)-SUM(I38:I40)</f>
        <v>0</v>
      </c>
      <c r="J41" s="1086" t="s">
        <v>662</v>
      </c>
    </row>
    <row r="42" spans="2:10" ht="21" customHeight="1" thickTop="1" thickBot="1">
      <c r="B42" s="1128"/>
      <c r="C42" s="1128"/>
      <c r="D42" s="1128"/>
      <c r="E42" s="1128"/>
      <c r="F42" s="1128"/>
      <c r="G42" s="1128"/>
      <c r="H42" s="1128"/>
      <c r="I42" s="1046">
        <f>SUM(I35:I41)</f>
        <v>0</v>
      </c>
      <c r="J42" s="1089">
        <f>SUM(J35:J41)</f>
        <v>0</v>
      </c>
    </row>
    <row r="43" spans="2:10" ht="21" customHeight="1" thickTop="1">
      <c r="I43" s="189"/>
      <c r="J43" s="189"/>
    </row>
    <row r="44" spans="2:10" ht="21" customHeight="1"/>
    <row r="45" spans="2:10" ht="13.5" customHeight="1">
      <c r="B45" s="547" t="str">
        <f>"*The full amount of the "&amp;TEXT('KEY INPUTS'!D34,"0")&amp;"  budget appropriation should be transferred to this account unless the balance of the"</f>
        <v>*The full amount of the 2020  budget appropriation should be transferred to this account unless the balance of the</v>
      </c>
      <c r="C45" s="547"/>
    </row>
    <row r="46" spans="2:10" ht="13.5" customHeight="1">
      <c r="B46" s="547"/>
      <c r="C46" s="547" t="s">
        <v>187</v>
      </c>
    </row>
    <row r="47" spans="2:10" ht="13.5" customHeight="1">
      <c r="B47" s="547"/>
      <c r="C47" s="547"/>
    </row>
    <row r="48" spans="2:10" ht="13.5" customHeight="1">
      <c r="B48" s="547"/>
      <c r="C48" s="547"/>
    </row>
    <row r="49" spans="2:10" ht="13.5" customHeight="1">
      <c r="B49" s="547"/>
      <c r="C49" s="547"/>
    </row>
    <row r="50" spans="2:10" ht="13.5" customHeight="1">
      <c r="B50" s="547"/>
      <c r="C50" s="547"/>
    </row>
    <row r="51" spans="2:10" ht="13.5" customHeight="1">
      <c r="B51" s="547"/>
      <c r="C51" s="547"/>
    </row>
    <row r="52" spans="2:10" ht="13.5" customHeight="1">
      <c r="B52" s="547"/>
      <c r="C52" s="547"/>
    </row>
    <row r="53" spans="2:10" ht="13.5" customHeight="1">
      <c r="B53" s="547"/>
      <c r="C53" s="547"/>
    </row>
    <row r="54" spans="2:10" ht="13.8">
      <c r="B54" s="1850" t="s">
        <v>3231</v>
      </c>
      <c r="C54" s="1850"/>
      <c r="D54" s="1850"/>
      <c r="E54" s="1850"/>
      <c r="F54" s="1850"/>
      <c r="G54" s="1850"/>
      <c r="H54" s="1850"/>
      <c r="I54" s="1850"/>
      <c r="J54" s="1850"/>
    </row>
  </sheetData>
  <sheetProtection algorithmName="SHA-512" hashValue="nLmjRVbKoABvcTakxT9rNKMyXva+duts2ZqzP6YH34U37DiopO40JKJz7Z2AW3a5HICGrrdSebjyL8Ppmwn5IQ==" saltValue="eX7jxGZ7uKwyWXmLV+CpQw==" spinCount="100000" sheet="1" objects="1" scenarios="1"/>
  <mergeCells count="7">
    <mergeCell ref="B3:J3"/>
    <mergeCell ref="B5:J5"/>
    <mergeCell ref="B30:J30"/>
    <mergeCell ref="B32:J32"/>
    <mergeCell ref="B54:J54"/>
    <mergeCell ref="J11:J12"/>
    <mergeCell ref="I11:I12"/>
  </mergeCells>
  <pageMargins left="0.25" right="0.25" top="0.5" bottom="0.5" header="0.25" footer="0.25"/>
  <pageSetup paperSize="5" orientation="portrait" r:id="rId1"/>
  <headerFooter alignWithMargins="0"/>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0">
    <tabColor theme="3" tint="0.39997558519241921"/>
  </sheetPr>
  <dimension ref="B1:AC52"/>
  <sheetViews>
    <sheetView zoomScale="80" zoomScaleNormal="80" zoomScaleSheetLayoutView="80" workbookViewId="0">
      <selection activeCell="B1" sqref="B1"/>
    </sheetView>
  </sheetViews>
  <sheetFormatPr defaultColWidth="8.88671875" defaultRowHeight="13.2"/>
  <cols>
    <col min="1" max="3" width="4.6640625" style="391" customWidth="1"/>
    <col min="4" max="4" width="4.5546875" style="391" customWidth="1"/>
    <col min="5" max="5" width="8.88671875" style="391"/>
    <col min="6" max="6" width="6.6640625" style="391" customWidth="1"/>
    <col min="7" max="10" width="16.6640625" style="391" customWidth="1"/>
    <col min="11" max="20" width="8.88671875" style="391"/>
    <col min="21" max="23" width="4.6640625" style="315" customWidth="1"/>
    <col min="24" max="24" width="8.88671875" style="315"/>
    <col min="25" max="25" width="6.6640625" style="315" customWidth="1"/>
    <col min="26" max="29" width="16.6640625" style="315" customWidth="1"/>
    <col min="30" max="16384" width="8.88671875" style="391"/>
  </cols>
  <sheetData>
    <row r="1" spans="2:19">
      <c r="B1" s="1096"/>
      <c r="C1" s="1096"/>
      <c r="D1" s="1204"/>
      <c r="E1" s="1204"/>
      <c r="F1" s="1096"/>
      <c r="G1" s="1096"/>
      <c r="H1" s="1096"/>
      <c r="I1" s="1096"/>
      <c r="J1" s="1096"/>
    </row>
    <row r="2" spans="2:19">
      <c r="B2" s="1096"/>
      <c r="C2" s="1096"/>
      <c r="D2" s="1204"/>
      <c r="E2" s="1204"/>
      <c r="F2" s="1096"/>
      <c r="G2" s="1096"/>
      <c r="H2" s="1096"/>
      <c r="I2" s="1096"/>
      <c r="J2" s="1096"/>
    </row>
    <row r="3" spans="2:19" ht="24.6">
      <c r="B3" s="1993" t="str">
        <f>UPPER('KEY INPUTS'!D$53)&amp;" UTILITY  CAPITAL  FUND"</f>
        <v xml:space="preserve"> UTILITY  CAPITAL  FUND</v>
      </c>
      <c r="C3" s="1993"/>
      <c r="D3" s="1993"/>
      <c r="E3" s="1993"/>
      <c r="F3" s="1993"/>
      <c r="G3" s="1993"/>
      <c r="H3" s="1993"/>
      <c r="I3" s="1993"/>
      <c r="J3" s="1993"/>
    </row>
    <row r="4" spans="2:19">
      <c r="B4" s="1096"/>
      <c r="C4" s="1096"/>
      <c r="D4" s="1096"/>
      <c r="E4" s="1096"/>
      <c r="F4" s="1096"/>
      <c r="G4" s="1096"/>
      <c r="H4" s="1096"/>
      <c r="I4" s="1096"/>
      <c r="J4" s="1096"/>
    </row>
    <row r="5" spans="2:19" ht="17.399999999999999">
      <c r="B5" s="1843" t="str">
        <f>"CAPITAL  IMPROVEMENTS  AUTHORIZED  IN "&amp;TEXT('KEY INPUTS'!D34,"0")&amp;""</f>
        <v>CAPITAL  IMPROVEMENTS  AUTHORIZED  IN 2020</v>
      </c>
      <c r="C5" s="1843"/>
      <c r="D5" s="1843"/>
      <c r="E5" s="1843"/>
      <c r="F5" s="1843"/>
      <c r="G5" s="1843"/>
      <c r="H5" s="1843"/>
      <c r="I5" s="1843"/>
      <c r="J5" s="1843"/>
    </row>
    <row r="6" spans="2:19" ht="17.399999999999999">
      <c r="B6" s="1843" t="s">
        <v>210</v>
      </c>
      <c r="C6" s="1843"/>
      <c r="D6" s="1843"/>
      <c r="E6" s="1843"/>
      <c r="F6" s="1843"/>
      <c r="G6" s="1843"/>
      <c r="H6" s="1843"/>
      <c r="I6" s="1843"/>
      <c r="J6" s="1843"/>
    </row>
    <row r="7" spans="2:19" ht="13.8" thickBot="1">
      <c r="B7" s="1096"/>
      <c r="C7" s="1096"/>
      <c r="D7" s="1096"/>
      <c r="E7" s="1096"/>
      <c r="F7" s="1096"/>
      <c r="G7" s="1096"/>
      <c r="H7" s="1096"/>
      <c r="I7" s="1096"/>
      <c r="J7" s="1096"/>
    </row>
    <row r="8" spans="2:19" ht="13.8" thickTop="1">
      <c r="B8" s="1219"/>
      <c r="C8" s="1219"/>
      <c r="D8" s="1219"/>
      <c r="E8" s="1219"/>
      <c r="F8" s="1219"/>
      <c r="G8" s="1220"/>
      <c r="H8" s="1220"/>
      <c r="I8" s="1220"/>
      <c r="J8" s="1284" t="s">
        <v>251</v>
      </c>
    </row>
    <row r="9" spans="2:19">
      <c r="B9" s="1096"/>
      <c r="C9" s="1908" t="s">
        <v>440</v>
      </c>
      <c r="D9" s="1908"/>
      <c r="E9" s="1908"/>
      <c r="F9" s="1096"/>
      <c r="G9" s="1223" t="s">
        <v>441</v>
      </c>
      <c r="H9" s="1223" t="s">
        <v>209</v>
      </c>
      <c r="I9" s="1223" t="s">
        <v>213</v>
      </c>
      <c r="J9" s="1281" t="s">
        <v>252</v>
      </c>
    </row>
    <row r="10" spans="2:19">
      <c r="B10" s="1096"/>
      <c r="C10" s="1096"/>
      <c r="D10" s="1096"/>
      <c r="E10" s="1096"/>
      <c r="F10" s="1096"/>
      <c r="G10" s="1223" t="s">
        <v>211</v>
      </c>
      <c r="H10" s="1223" t="s">
        <v>212</v>
      </c>
      <c r="I10" s="1223" t="s">
        <v>214</v>
      </c>
      <c r="J10" s="1389" t="str">
        <f>"of " &amp;TEXT('KEY INPUTS'!D34,"0")&amp;" or Prior"</f>
        <v>of 2020 or Prior</v>
      </c>
    </row>
    <row r="11" spans="2:19" ht="13.8" thickBot="1">
      <c r="B11" s="1151"/>
      <c r="C11" s="1151"/>
      <c r="D11" s="1151"/>
      <c r="E11" s="1151"/>
      <c r="F11" s="1151"/>
      <c r="G11" s="1230"/>
      <c r="H11" s="1230" t="s">
        <v>468</v>
      </c>
      <c r="I11" s="1230" t="s">
        <v>250</v>
      </c>
      <c r="J11" s="1390" t="s">
        <v>253</v>
      </c>
      <c r="M11" s="315"/>
      <c r="N11" s="315"/>
      <c r="O11" s="315"/>
      <c r="P11" s="315"/>
      <c r="Q11" s="315"/>
      <c r="R11" s="315"/>
      <c r="S11" s="315"/>
    </row>
    <row r="12" spans="2:19" ht="21" customHeight="1" thickTop="1">
      <c r="B12" s="664"/>
      <c r="C12" s="664"/>
      <c r="D12" s="664"/>
      <c r="E12" s="664"/>
      <c r="F12" s="664"/>
      <c r="G12" s="597"/>
      <c r="H12" s="597"/>
      <c r="I12" s="597"/>
      <c r="J12" s="630"/>
      <c r="M12" s="315"/>
      <c r="N12" s="315"/>
      <c r="O12" s="315"/>
      <c r="P12" s="315"/>
      <c r="Q12" s="315"/>
      <c r="R12" s="315"/>
      <c r="S12" s="315"/>
    </row>
    <row r="13" spans="2:19" ht="21" customHeight="1">
      <c r="B13" s="639"/>
      <c r="C13" s="639"/>
      <c r="D13" s="639"/>
      <c r="E13" s="639"/>
      <c r="F13" s="639"/>
      <c r="G13" s="593"/>
      <c r="H13" s="593"/>
      <c r="I13" s="593"/>
      <c r="J13" s="601"/>
      <c r="M13" s="370"/>
      <c r="N13" s="315"/>
      <c r="O13" s="315"/>
      <c r="P13" s="315"/>
      <c r="Q13" s="315"/>
      <c r="R13" s="315"/>
      <c r="S13" s="315"/>
    </row>
    <row r="14" spans="2:19" ht="21" customHeight="1">
      <c r="B14" s="639"/>
      <c r="C14" s="639"/>
      <c r="D14" s="639"/>
      <c r="E14" s="639"/>
      <c r="F14" s="639"/>
      <c r="G14" s="593"/>
      <c r="H14" s="593"/>
      <c r="I14" s="593"/>
      <c r="J14" s="601"/>
      <c r="M14" s="315"/>
      <c r="N14" s="315"/>
      <c r="O14" s="315"/>
      <c r="P14" s="315"/>
      <c r="Q14" s="315"/>
      <c r="R14" s="315"/>
      <c r="S14" s="315"/>
    </row>
    <row r="15" spans="2:19" ht="21" customHeight="1">
      <c r="B15" s="639"/>
      <c r="C15" s="639"/>
      <c r="D15" s="639"/>
      <c r="E15" s="639"/>
      <c r="F15" s="639"/>
      <c r="G15" s="593"/>
      <c r="H15" s="593"/>
      <c r="I15" s="593"/>
      <c r="J15" s="601"/>
      <c r="M15" s="315"/>
      <c r="N15" s="315"/>
      <c r="O15" s="315"/>
      <c r="P15" s="315"/>
      <c r="Q15" s="315"/>
      <c r="R15" s="315"/>
      <c r="S15" s="315"/>
    </row>
    <row r="16" spans="2:19" ht="21" customHeight="1">
      <c r="B16" s="639"/>
      <c r="C16" s="639"/>
      <c r="D16" s="639"/>
      <c r="E16" s="639"/>
      <c r="F16" s="639"/>
      <c r="G16" s="593"/>
      <c r="H16" s="593"/>
      <c r="I16" s="593"/>
      <c r="J16" s="601"/>
      <c r="M16" s="315"/>
      <c r="N16" s="315"/>
      <c r="O16" s="315"/>
      <c r="P16" s="315"/>
      <c r="Q16" s="315"/>
      <c r="R16" s="315"/>
      <c r="S16" s="315"/>
    </row>
    <row r="17" spans="2:19" ht="21" customHeight="1">
      <c r="B17" s="639"/>
      <c r="C17" s="639"/>
      <c r="D17" s="639"/>
      <c r="E17" s="639"/>
      <c r="F17" s="639"/>
      <c r="G17" s="593"/>
      <c r="H17" s="593"/>
      <c r="I17" s="593"/>
      <c r="J17" s="601"/>
      <c r="M17" s="315"/>
      <c r="N17" s="315"/>
      <c r="O17" s="315"/>
      <c r="P17" s="315"/>
      <c r="Q17" s="315"/>
      <c r="R17" s="315"/>
      <c r="S17" s="315"/>
    </row>
    <row r="18" spans="2:19" ht="21" customHeight="1">
      <c r="B18" s="639"/>
      <c r="C18" s="639"/>
      <c r="D18" s="639"/>
      <c r="E18" s="639"/>
      <c r="F18" s="639"/>
      <c r="G18" s="593"/>
      <c r="H18" s="593"/>
      <c r="I18" s="593"/>
      <c r="J18" s="601"/>
      <c r="M18" s="315"/>
      <c r="N18" s="315"/>
      <c r="O18" s="315"/>
      <c r="P18" s="315"/>
      <c r="Q18" s="315"/>
      <c r="R18" s="315"/>
      <c r="S18" s="315"/>
    </row>
    <row r="19" spans="2:19" ht="21" customHeight="1">
      <c r="B19" s="639"/>
      <c r="C19" s="639"/>
      <c r="D19" s="639"/>
      <c r="E19" s="639"/>
      <c r="F19" s="639"/>
      <c r="G19" s="593"/>
      <c r="H19" s="593"/>
      <c r="I19" s="593"/>
      <c r="J19" s="601"/>
      <c r="M19" s="315"/>
      <c r="N19" s="315"/>
      <c r="O19" s="315"/>
      <c r="P19" s="315"/>
      <c r="Q19" s="315"/>
      <c r="R19" s="315"/>
      <c r="S19" s="315"/>
    </row>
    <row r="20" spans="2:19" ht="21" customHeight="1">
      <c r="B20" s="639"/>
      <c r="C20" s="639"/>
      <c r="D20" s="639"/>
      <c r="E20" s="639"/>
      <c r="F20" s="639"/>
      <c r="G20" s="593"/>
      <c r="H20" s="593"/>
      <c r="I20" s="593"/>
      <c r="J20" s="601"/>
      <c r="M20" s="315"/>
      <c r="N20" s="315"/>
      <c r="O20" s="315"/>
      <c r="P20" s="315"/>
      <c r="Q20" s="315"/>
      <c r="R20" s="315"/>
      <c r="S20" s="315"/>
    </row>
    <row r="21" spans="2:19" ht="21" customHeight="1" thickBot="1">
      <c r="B21" s="639"/>
      <c r="C21" s="639"/>
      <c r="D21" s="639"/>
      <c r="E21" s="639"/>
      <c r="F21" s="639"/>
      <c r="G21" s="619"/>
      <c r="H21" s="619"/>
      <c r="I21" s="619"/>
      <c r="J21" s="662"/>
      <c r="M21" s="315"/>
      <c r="N21" s="315"/>
      <c r="O21" s="315"/>
      <c r="P21" s="315"/>
      <c r="Q21" s="315"/>
      <c r="R21" s="315"/>
      <c r="S21" s="315"/>
    </row>
    <row r="22" spans="2:19" ht="21" customHeight="1" thickTop="1" thickBot="1">
      <c r="B22" s="1151"/>
      <c r="C22" s="1151"/>
      <c r="D22" s="1151"/>
      <c r="E22" s="1151"/>
      <c r="F22" s="1151"/>
      <c r="G22" s="1113">
        <f>SUM(G12:G21)</f>
        <v>0</v>
      </c>
      <c r="H22" s="1113">
        <f>SUM(H12:H21)</f>
        <v>0</v>
      </c>
      <c r="I22" s="1113">
        <f>SUM(I12:I21)</f>
        <v>0</v>
      </c>
      <c r="J22" s="1391">
        <f>SUM(J12:J21)</f>
        <v>0</v>
      </c>
      <c r="M22" s="315"/>
      <c r="N22" s="315"/>
      <c r="O22" s="315"/>
      <c r="P22" s="315"/>
      <c r="Q22" s="315"/>
      <c r="R22" s="315"/>
      <c r="S22" s="315"/>
    </row>
    <row r="23" spans="2:19" ht="13.8" thickTop="1">
      <c r="B23" s="1096"/>
      <c r="C23" s="1096"/>
      <c r="D23" s="1096"/>
      <c r="E23" s="1096"/>
      <c r="F23" s="1096"/>
      <c r="G23" s="1096"/>
      <c r="H23" s="1096"/>
      <c r="I23" s="1096"/>
      <c r="J23" s="1096"/>
      <c r="M23" s="315"/>
      <c r="N23" s="315"/>
      <c r="O23" s="315"/>
      <c r="P23" s="315"/>
      <c r="Q23" s="315"/>
      <c r="R23" s="315"/>
      <c r="S23" s="315"/>
    </row>
    <row r="24" spans="2:19">
      <c r="B24" s="1096"/>
      <c r="C24" s="1096"/>
      <c r="D24" s="1096"/>
      <c r="E24" s="1096"/>
      <c r="F24" s="1096"/>
      <c r="G24" s="1096"/>
      <c r="H24" s="1096"/>
      <c r="I24" s="1096"/>
      <c r="J24" s="1096"/>
      <c r="M24" s="315"/>
      <c r="N24" s="315"/>
      <c r="O24" s="315"/>
      <c r="P24" s="315"/>
      <c r="Q24" s="315"/>
      <c r="R24" s="315"/>
      <c r="S24" s="315"/>
    </row>
    <row r="25" spans="2:19">
      <c r="B25" s="1096"/>
      <c r="C25" s="1096"/>
      <c r="D25" s="1096"/>
      <c r="E25" s="1096"/>
      <c r="F25" s="1096"/>
      <c r="G25" s="1096"/>
      <c r="H25" s="1096"/>
      <c r="I25" s="1096"/>
      <c r="J25" s="1096"/>
      <c r="M25" s="315"/>
      <c r="N25" s="315"/>
      <c r="O25" s="315"/>
      <c r="P25" s="315"/>
      <c r="Q25" s="315"/>
      <c r="R25" s="315"/>
      <c r="S25" s="315"/>
    </row>
    <row r="26" spans="2:19">
      <c r="B26" s="1096"/>
      <c r="C26" s="1096"/>
      <c r="D26" s="1096"/>
      <c r="E26" s="1096"/>
      <c r="F26" s="1096"/>
      <c r="G26" s="1096"/>
      <c r="H26" s="1096"/>
      <c r="I26" s="1096"/>
      <c r="J26" s="1096"/>
      <c r="M26" s="315"/>
      <c r="N26" s="315"/>
      <c r="O26" s="315"/>
      <c r="P26" s="315"/>
      <c r="Q26" s="315"/>
      <c r="R26" s="315"/>
      <c r="S26" s="315"/>
    </row>
    <row r="27" spans="2:19">
      <c r="B27" s="1096"/>
      <c r="C27" s="1096"/>
      <c r="D27" s="1096"/>
      <c r="E27" s="1096"/>
      <c r="F27" s="1096"/>
      <c r="G27" s="1096"/>
      <c r="H27" s="1096"/>
      <c r="I27" s="1096"/>
      <c r="J27" s="1096"/>
      <c r="M27" s="315"/>
      <c r="N27" s="315"/>
      <c r="O27" s="315"/>
      <c r="P27" s="315"/>
      <c r="Q27" s="315"/>
      <c r="R27" s="315"/>
      <c r="S27" s="315"/>
    </row>
    <row r="28" spans="2:19" ht="22.8">
      <c r="B28" s="1804" t="str">
        <f>UPPER('KEY INPUTS'!D$53)&amp;" UTILITY  FUND"</f>
        <v xml:space="preserve"> UTILITY  FUND</v>
      </c>
      <c r="C28" s="1804"/>
      <c r="D28" s="1804"/>
      <c r="E28" s="1804"/>
      <c r="F28" s="1804"/>
      <c r="G28" s="1804"/>
      <c r="H28" s="1804"/>
      <c r="I28" s="1804"/>
      <c r="J28" s="1804"/>
    </row>
    <row r="29" spans="2:19" ht="22.8">
      <c r="B29" s="1804" t="s">
        <v>160</v>
      </c>
      <c r="C29" s="1804"/>
      <c r="D29" s="1804"/>
      <c r="E29" s="1804"/>
      <c r="F29" s="1804"/>
      <c r="G29" s="1804"/>
      <c r="H29" s="1804"/>
      <c r="I29" s="1804"/>
      <c r="J29" s="1804"/>
    </row>
    <row r="30" spans="2:19">
      <c r="B30" s="1096"/>
      <c r="C30" s="1096"/>
      <c r="D30" s="1096"/>
      <c r="E30" s="1096"/>
      <c r="F30" s="1096"/>
      <c r="G30" s="1096"/>
      <c r="H30" s="1096"/>
      <c r="I30" s="1096"/>
      <c r="J30" s="1096"/>
    </row>
    <row r="31" spans="2:19" ht="15.6">
      <c r="B31" s="1800" t="str">
        <f>"YEAR  "&amp;TEXT('KEY INPUTS'!D34,"0")&amp;""</f>
        <v>YEAR  2020</v>
      </c>
      <c r="C31" s="1800"/>
      <c r="D31" s="1800"/>
      <c r="E31" s="1800"/>
      <c r="F31" s="1800"/>
      <c r="G31" s="1800"/>
      <c r="H31" s="1800"/>
      <c r="I31" s="1800"/>
      <c r="J31" s="1800"/>
    </row>
    <row r="32" spans="2:19" ht="13.8" thickBot="1">
      <c r="B32" s="1096"/>
      <c r="C32" s="1096"/>
      <c r="D32" s="1096"/>
      <c r="E32" s="1096"/>
      <c r="F32" s="1096"/>
      <c r="G32" s="1096"/>
      <c r="H32" s="1096"/>
      <c r="I32" s="1096"/>
      <c r="J32" s="1096"/>
    </row>
    <row r="33" spans="2:10" ht="28.5" customHeight="1" thickTop="1" thickBot="1">
      <c r="B33" s="1315"/>
      <c r="C33" s="1315"/>
      <c r="D33" s="1315"/>
      <c r="E33" s="1315"/>
      <c r="F33" s="1315"/>
      <c r="G33" s="1315"/>
      <c r="H33" s="1315"/>
      <c r="I33" s="1097" t="s">
        <v>101</v>
      </c>
      <c r="J33" s="1098" t="s">
        <v>102</v>
      </c>
    </row>
    <row r="34" spans="2:10" ht="21" customHeight="1" thickTop="1">
      <c r="B34" s="1392" t="str">
        <f>'KEY INPUTS'!D25</f>
        <v>Balance - January 1, 2020</v>
      </c>
      <c r="C34" s="1152"/>
      <c r="D34" s="1152"/>
      <c r="E34" s="1152"/>
      <c r="F34" s="1152"/>
      <c r="G34" s="1152"/>
      <c r="H34" s="1152"/>
      <c r="I34" s="1153" t="s">
        <v>662</v>
      </c>
      <c r="J34" s="629"/>
    </row>
    <row r="35" spans="2:10" ht="21" customHeight="1">
      <c r="B35" s="681" t="s">
        <v>161</v>
      </c>
      <c r="C35" s="681"/>
      <c r="D35" s="681"/>
      <c r="E35" s="681"/>
      <c r="F35" s="681"/>
      <c r="G35" s="681"/>
      <c r="H35" s="681"/>
      <c r="I35" s="1156" t="s">
        <v>662</v>
      </c>
      <c r="J35" s="571"/>
    </row>
    <row r="36" spans="2:10" ht="21" customHeight="1">
      <c r="B36" s="681" t="s">
        <v>162</v>
      </c>
      <c r="C36" s="681"/>
      <c r="D36" s="681"/>
      <c r="E36" s="681"/>
      <c r="F36" s="681"/>
      <c r="G36" s="681"/>
      <c r="H36" s="681"/>
      <c r="I36" s="1156" t="s">
        <v>662</v>
      </c>
      <c r="J36" s="571"/>
    </row>
    <row r="37" spans="2:10" ht="21" customHeight="1">
      <c r="B37" s="639" t="s">
        <v>3273</v>
      </c>
      <c r="C37" s="639"/>
      <c r="D37" s="639"/>
      <c r="E37" s="639"/>
      <c r="F37" s="639"/>
      <c r="G37" s="639"/>
      <c r="H37" s="681"/>
      <c r="I37" s="367"/>
      <c r="J37" s="571"/>
    </row>
    <row r="38" spans="2:10" ht="21" customHeight="1">
      <c r="B38" s="639"/>
      <c r="C38" s="639"/>
      <c r="D38" s="639"/>
      <c r="E38" s="639"/>
      <c r="F38" s="639"/>
      <c r="G38" s="639"/>
      <c r="H38" s="681"/>
      <c r="I38" s="367"/>
      <c r="J38" s="571"/>
    </row>
    <row r="39" spans="2:10" ht="21" customHeight="1">
      <c r="B39" s="639"/>
      <c r="C39" s="639"/>
      <c r="D39" s="639"/>
      <c r="E39" s="639"/>
      <c r="F39" s="639"/>
      <c r="G39" s="639"/>
      <c r="H39" s="681"/>
      <c r="I39" s="367"/>
      <c r="J39" s="571"/>
    </row>
    <row r="40" spans="2:10" ht="21" customHeight="1">
      <c r="B40" s="681" t="s">
        <v>3233</v>
      </c>
      <c r="C40" s="681"/>
      <c r="D40" s="681"/>
      <c r="E40" s="681"/>
      <c r="F40" s="681"/>
      <c r="G40" s="681"/>
      <c r="H40" s="681"/>
      <c r="I40" s="367"/>
      <c r="J40" s="1282" t="s">
        <v>662</v>
      </c>
    </row>
    <row r="41" spans="2:10" ht="21" customHeight="1">
      <c r="B41" s="905" t="str">
        <f>"Appropriation to "&amp;'KEY INPUTS'!D34&amp;" Budget Reserve"</f>
        <v>Appropriation to 2020 Budget Reserve</v>
      </c>
      <c r="C41" s="681"/>
      <c r="D41" s="681"/>
      <c r="E41" s="681"/>
      <c r="F41" s="681"/>
      <c r="G41" s="1393"/>
      <c r="H41" s="681"/>
      <c r="I41" s="568"/>
      <c r="J41" s="1282" t="s">
        <v>662</v>
      </c>
    </row>
    <row r="42" spans="2:10" ht="21" customHeight="1">
      <c r="B42" s="681" t="str">
        <f>'KEY INPUTS'!D26</f>
        <v>Balance - December 31, 2020</v>
      </c>
      <c r="C42" s="681"/>
      <c r="D42" s="681"/>
      <c r="E42" s="681"/>
      <c r="F42" s="681"/>
      <c r="G42" s="681"/>
      <c r="H42" s="681"/>
      <c r="I42" s="833">
        <f>SUM(J34:J39)-SUM(I37:I41)</f>
        <v>0</v>
      </c>
      <c r="J42" s="1282" t="s">
        <v>662</v>
      </c>
    </row>
    <row r="43" spans="2:10" ht="21" customHeight="1" thickBot="1">
      <c r="B43" s="1096"/>
      <c r="C43" s="1096"/>
      <c r="D43" s="1096"/>
      <c r="E43" s="1096"/>
      <c r="F43" s="1096"/>
      <c r="G43" s="1096"/>
      <c r="H43" s="1096"/>
      <c r="I43" s="1091">
        <f>SUM(I34:I42)</f>
        <v>0</v>
      </c>
      <c r="J43" s="1394">
        <f>SUM(J34:J42)</f>
        <v>0</v>
      </c>
    </row>
    <row r="44" spans="2:10" ht="21" customHeight="1" thickTop="1"/>
    <row r="45" spans="2:10" ht="21" customHeight="1"/>
    <row r="46" spans="2:10" ht="21" customHeight="1"/>
    <row r="47" spans="2:10" ht="21" customHeight="1"/>
    <row r="48" spans="2:10" ht="21" customHeight="1"/>
    <row r="49" spans="2:10" ht="21" customHeight="1"/>
    <row r="52" spans="2:10" ht="13.8">
      <c r="B52" s="1799" t="s">
        <v>3232</v>
      </c>
      <c r="C52" s="1799"/>
      <c r="D52" s="1799"/>
      <c r="E52" s="1799"/>
      <c r="F52" s="1799"/>
      <c r="G52" s="1799"/>
      <c r="H52" s="1799"/>
      <c r="I52" s="1799"/>
      <c r="J52" s="1799"/>
    </row>
  </sheetData>
  <sheetProtection password="CAF9"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1">
    <tabColor theme="5" tint="0.59999389629810485"/>
  </sheetPr>
  <dimension ref="B1:R57"/>
  <sheetViews>
    <sheetView topLeftCell="A16" zoomScaleNormal="100" zoomScaleSheetLayoutView="80" workbookViewId="0">
      <selection activeCell="H26" sqref="H26"/>
    </sheetView>
  </sheetViews>
  <sheetFormatPr defaultColWidth="8.88671875" defaultRowHeight="13.2"/>
  <cols>
    <col min="1" max="1" width="4.6640625" style="391" customWidth="1"/>
    <col min="2" max="2" width="4.88671875" style="391" customWidth="1"/>
    <col min="3" max="4" width="4.6640625" style="391" customWidth="1"/>
    <col min="5" max="5" width="30.6640625" style="391" customWidth="1"/>
    <col min="6" max="6" width="15.6640625" style="391" customWidth="1"/>
    <col min="7" max="8" width="16.6640625" style="391" customWidth="1"/>
    <col min="9" max="9" width="3.6640625" style="391" bestFit="1" customWidth="1"/>
    <col min="10" max="10" width="13.5546875" style="391" bestFit="1" customWidth="1"/>
    <col min="11" max="16384" width="8.88671875" style="391"/>
  </cols>
  <sheetData>
    <row r="1" spans="2:18">
      <c r="B1" s="1096"/>
      <c r="C1" s="1096"/>
      <c r="D1" s="1096"/>
      <c r="E1" s="1096"/>
      <c r="F1" s="1096"/>
      <c r="G1" s="1096"/>
      <c r="H1" s="1096"/>
    </row>
    <row r="2" spans="2:18">
      <c r="B2" s="1803" t="s">
        <v>37</v>
      </c>
      <c r="C2" s="1803"/>
      <c r="D2" s="1803"/>
      <c r="E2" s="1803"/>
      <c r="F2" s="1803"/>
      <c r="G2" s="1803"/>
      <c r="H2" s="1803"/>
    </row>
    <row r="3" spans="2:18">
      <c r="B3" s="1803" t="s">
        <v>476</v>
      </c>
      <c r="C3" s="1803"/>
      <c r="D3" s="1803"/>
      <c r="E3" s="1803"/>
      <c r="F3" s="1803"/>
      <c r="G3" s="1803"/>
      <c r="H3" s="1803"/>
    </row>
    <row r="4" spans="2:18">
      <c r="B4" s="1096"/>
      <c r="C4" s="1096"/>
      <c r="D4" s="1096"/>
      <c r="E4" s="1096"/>
      <c r="F4" s="1096"/>
      <c r="G4" s="1096"/>
      <c r="H4" s="1096"/>
    </row>
    <row r="5" spans="2:18" ht="22.8">
      <c r="B5" s="1804" t="s">
        <v>451</v>
      </c>
      <c r="C5" s="1804"/>
      <c r="D5" s="1804"/>
      <c r="E5" s="1804"/>
      <c r="F5" s="1804"/>
      <c r="G5" s="1804"/>
      <c r="H5" s="1804"/>
    </row>
    <row r="6" spans="2:18" ht="22.8">
      <c r="B6" s="1804" t="str">
        <f>"TRIAL  BALANCE - "&amp;UPPER('KEY INPUTS'!D54)&amp;"  UTILITY  FUND"</f>
        <v>TRIAL  BALANCE -   UTILITY  FUND</v>
      </c>
      <c r="C6" s="1804"/>
      <c r="D6" s="1804"/>
      <c r="E6" s="1804"/>
      <c r="F6" s="1804"/>
      <c r="G6" s="1804"/>
      <c r="H6" s="1804"/>
    </row>
    <row r="7" spans="2:18" ht="15.6">
      <c r="B7" s="1805" t="str">
        <f>'KEY INPUTS'!D44</f>
        <v>AS  AT  DECEMBER  31, 2020</v>
      </c>
      <c r="C7" s="1806"/>
      <c r="D7" s="1806"/>
      <c r="E7" s="1806"/>
      <c r="F7" s="1806"/>
      <c r="G7" s="1806"/>
      <c r="H7" s="1806"/>
    </row>
    <row r="8" spans="2:18" ht="15.6">
      <c r="B8" s="1800" t="s">
        <v>477</v>
      </c>
      <c r="C8" s="1800"/>
      <c r="D8" s="1800"/>
      <c r="E8" s="1800"/>
      <c r="F8" s="1800"/>
      <c r="G8" s="1800"/>
      <c r="H8" s="1800"/>
    </row>
    <row r="9" spans="2:18">
      <c r="B9" s="1801" t="s">
        <v>75</v>
      </c>
      <c r="C9" s="1801"/>
      <c r="D9" s="1801"/>
      <c r="E9" s="1801"/>
      <c r="F9" s="1801"/>
      <c r="G9" s="1801"/>
      <c r="H9" s="1801"/>
    </row>
    <row r="10" spans="2:18" ht="15" customHeight="1" thickBot="1">
      <c r="B10" s="1802" t="s">
        <v>76</v>
      </c>
      <c r="C10" s="1802"/>
      <c r="D10" s="1802"/>
      <c r="E10" s="1802"/>
      <c r="F10" s="1802"/>
      <c r="G10" s="1802"/>
      <c r="H10" s="1802"/>
    </row>
    <row r="11" spans="2:18" ht="36" customHeight="1" thickTop="1" thickBot="1">
      <c r="B11" s="1796" t="s">
        <v>100</v>
      </c>
      <c r="C11" s="1796"/>
      <c r="D11" s="1796"/>
      <c r="E11" s="1796"/>
      <c r="F11" s="1797"/>
      <c r="G11" s="1097" t="s">
        <v>101</v>
      </c>
      <c r="H11" s="1098" t="s">
        <v>102</v>
      </c>
      <c r="L11" s="315"/>
      <c r="M11" s="315"/>
      <c r="N11" s="315"/>
      <c r="O11" s="315"/>
      <c r="P11" s="315"/>
      <c r="Q11" s="315"/>
      <c r="R11" s="315"/>
    </row>
    <row r="12" spans="2:18" ht="21" customHeight="1" thickTop="1">
      <c r="B12" s="1096"/>
      <c r="C12" s="1096"/>
      <c r="D12" s="1096"/>
      <c r="E12" s="1096"/>
      <c r="F12" s="1096"/>
      <c r="G12" s="1099"/>
      <c r="H12" s="1100"/>
      <c r="L12" s="315"/>
      <c r="M12" s="315"/>
      <c r="N12" s="315"/>
      <c r="O12" s="315"/>
      <c r="P12" s="315"/>
      <c r="Q12" s="315"/>
      <c r="R12" s="315"/>
    </row>
    <row r="13" spans="2:18" ht="21" customHeight="1">
      <c r="B13" s="681" t="s">
        <v>202</v>
      </c>
      <c r="C13" s="681"/>
      <c r="D13" s="681"/>
      <c r="E13" s="681"/>
      <c r="F13" s="681"/>
      <c r="G13" s="593"/>
      <c r="H13" s="601"/>
      <c r="J13" s="730"/>
      <c r="L13" s="370"/>
      <c r="M13" s="315"/>
      <c r="N13" s="315"/>
      <c r="O13" s="315"/>
      <c r="P13" s="315"/>
      <c r="Q13" s="315"/>
      <c r="R13" s="315"/>
    </row>
    <row r="14" spans="2:18" ht="21" customHeight="1">
      <c r="B14" s="639" t="s">
        <v>335</v>
      </c>
      <c r="C14" s="639"/>
      <c r="D14" s="639"/>
      <c r="E14" s="639"/>
      <c r="F14" s="643"/>
      <c r="G14" s="593"/>
      <c r="H14" s="601"/>
      <c r="J14" s="730"/>
      <c r="L14" s="315"/>
      <c r="M14" s="315"/>
      <c r="N14" s="315"/>
      <c r="O14" s="315"/>
      <c r="P14" s="315"/>
      <c r="Q14" s="315"/>
      <c r="R14" s="315"/>
    </row>
    <row r="15" spans="2:18" ht="21" customHeight="1">
      <c r="B15" s="640"/>
      <c r="C15" s="640"/>
      <c r="D15" s="640"/>
      <c r="E15" s="640"/>
      <c r="F15" s="640"/>
      <c r="G15" s="593"/>
      <c r="H15" s="601"/>
      <c r="L15" s="315"/>
      <c r="M15" s="315"/>
      <c r="N15" s="315"/>
      <c r="O15" s="315"/>
      <c r="P15" s="315"/>
      <c r="Q15" s="315"/>
      <c r="R15" s="315"/>
    </row>
    <row r="16" spans="2:18" ht="21" customHeight="1">
      <c r="B16" s="639" t="s">
        <v>3274</v>
      </c>
      <c r="C16" s="639"/>
      <c r="D16" s="639"/>
      <c r="E16" s="639"/>
      <c r="F16" s="639"/>
      <c r="G16" s="1093"/>
      <c r="H16" s="1093"/>
      <c r="L16" s="315"/>
      <c r="M16" s="315"/>
      <c r="N16" s="315"/>
      <c r="O16" s="315"/>
      <c r="P16" s="315"/>
      <c r="Q16" s="315"/>
      <c r="R16" s="315"/>
    </row>
    <row r="17" spans="2:18" ht="21" customHeight="1">
      <c r="B17" s="639" t="s">
        <v>3274</v>
      </c>
      <c r="C17" s="639"/>
      <c r="D17" s="639"/>
      <c r="E17" s="639"/>
      <c r="F17" s="639"/>
      <c r="G17" s="1093"/>
      <c r="H17" s="1093"/>
      <c r="L17" s="315"/>
      <c r="M17" s="315"/>
      <c r="N17" s="315"/>
      <c r="O17" s="315"/>
      <c r="P17" s="315"/>
      <c r="Q17" s="315"/>
      <c r="R17" s="315"/>
    </row>
    <row r="18" spans="2:18" ht="21" customHeight="1">
      <c r="B18" s="639"/>
      <c r="C18" s="639"/>
      <c r="D18" s="639"/>
      <c r="E18" s="639"/>
      <c r="F18" s="639"/>
      <c r="G18" s="1093"/>
      <c r="H18" s="1093"/>
      <c r="L18" s="315"/>
      <c r="M18" s="315"/>
      <c r="N18" s="315"/>
      <c r="O18" s="315"/>
      <c r="P18" s="315"/>
      <c r="Q18" s="315"/>
      <c r="R18" s="315"/>
    </row>
    <row r="19" spans="2:18" ht="21" customHeight="1">
      <c r="B19" s="1101" t="s">
        <v>3263</v>
      </c>
      <c r="C19" s="1096"/>
      <c r="D19" s="1096"/>
      <c r="E19" s="1096"/>
      <c r="F19" s="1096"/>
      <c r="G19" s="1102"/>
      <c r="H19" s="1103"/>
      <c r="L19" s="315"/>
      <c r="M19" s="315"/>
      <c r="N19" s="315"/>
      <c r="O19" s="315"/>
      <c r="P19" s="315"/>
      <c r="Q19" s="315"/>
      <c r="R19" s="315"/>
    </row>
    <row r="20" spans="2:18" ht="21" customHeight="1">
      <c r="B20" s="681" t="s">
        <v>3264</v>
      </c>
      <c r="C20" s="681"/>
      <c r="D20" s="681"/>
      <c r="E20" s="681"/>
      <c r="F20" s="681"/>
      <c r="G20" s="1104">
        <f>+'47-Utility3'!L24</f>
        <v>0</v>
      </c>
      <c r="H20" s="1105"/>
      <c r="L20" s="315"/>
      <c r="M20" s="315"/>
      <c r="N20" s="315"/>
      <c r="O20" s="315"/>
      <c r="P20" s="315"/>
      <c r="Q20" s="315"/>
      <c r="R20" s="315"/>
    </row>
    <row r="21" spans="2:18" ht="21" customHeight="1">
      <c r="B21" s="681" t="s">
        <v>3265</v>
      </c>
      <c r="C21" s="681"/>
      <c r="D21" s="681"/>
      <c r="E21" s="681"/>
      <c r="F21" s="681"/>
      <c r="G21" s="680">
        <f>+'47-Utility3'!L54</f>
        <v>0</v>
      </c>
      <c r="H21" s="1096"/>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J23" s="730"/>
      <c r="L23" s="315"/>
      <c r="M23" s="315"/>
      <c r="N23" s="315"/>
      <c r="O23" s="315"/>
      <c r="P23" s="315"/>
      <c r="Q23" s="315"/>
      <c r="R23" s="315"/>
    </row>
    <row r="24" spans="2:18" ht="21" customHeight="1">
      <c r="B24" s="639"/>
      <c r="C24" s="639"/>
      <c r="D24" s="639"/>
      <c r="E24" s="639"/>
      <c r="F24" s="639"/>
      <c r="G24" s="593"/>
      <c r="H24" s="601"/>
      <c r="J24" s="730"/>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81" t="s">
        <v>3266</v>
      </c>
      <c r="C26" s="681"/>
      <c r="D26" s="681"/>
      <c r="E26" s="681"/>
      <c r="F26" s="681"/>
      <c r="G26" s="680"/>
      <c r="H26" s="1106"/>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1107" t="s">
        <v>3267</v>
      </c>
      <c r="C30" s="681"/>
      <c r="D30" s="681"/>
      <c r="E30" s="681"/>
      <c r="F30" s="681"/>
      <c r="G30" s="680"/>
      <c r="H30" s="1106"/>
    </row>
    <row r="31" spans="2:18" ht="21" customHeight="1">
      <c r="B31" s="681" t="s">
        <v>3194</v>
      </c>
      <c r="C31" s="681"/>
      <c r="D31" s="681"/>
      <c r="E31" s="681"/>
      <c r="F31" s="681"/>
      <c r="G31" s="593"/>
      <c r="H31" s="1106">
        <f>+'44-Utility3'!I37</f>
        <v>0</v>
      </c>
      <c r="J31" s="730"/>
    </row>
    <row r="32" spans="2:18" ht="21" customHeight="1">
      <c r="B32" s="681" t="s">
        <v>3193</v>
      </c>
      <c r="C32" s="681"/>
      <c r="D32" s="681"/>
      <c r="E32" s="681"/>
      <c r="F32" s="681"/>
      <c r="G32" s="593"/>
      <c r="H32" s="601"/>
    </row>
    <row r="33" spans="2:18" ht="21" customHeight="1">
      <c r="B33" s="681" t="s">
        <v>3192</v>
      </c>
      <c r="C33" s="681"/>
      <c r="D33" s="681"/>
      <c r="E33" s="681"/>
      <c r="F33" s="681"/>
      <c r="G33" s="593"/>
      <c r="H33" s="1108">
        <f>+'49-Utility3'!I29+'49a-Utility3'!I29+'50.1-Utility3'!M24+'49a.1-Utility3'!I29</f>
        <v>0</v>
      </c>
      <c r="J33" s="730"/>
    </row>
    <row r="34" spans="2:18" ht="21" customHeight="1">
      <c r="B34" s="639" t="s">
        <v>3275</v>
      </c>
      <c r="C34" s="639"/>
      <c r="D34" s="639"/>
      <c r="E34" s="639"/>
      <c r="F34" s="643"/>
      <c r="G34" s="593"/>
      <c r="H34" s="601"/>
    </row>
    <row r="35" spans="2:18" ht="21" customHeight="1">
      <c r="B35" s="639"/>
      <c r="C35" s="639"/>
      <c r="D35" s="639"/>
      <c r="E35" s="639"/>
      <c r="F35" s="639"/>
      <c r="G35" s="593"/>
      <c r="H35" s="601"/>
      <c r="L35" s="315"/>
      <c r="M35" s="315"/>
      <c r="N35" s="315"/>
      <c r="O35" s="315"/>
      <c r="P35" s="315"/>
      <c r="Q35" s="315"/>
      <c r="R35" s="315"/>
    </row>
    <row r="36" spans="2:18" ht="21" customHeight="1">
      <c r="B36" s="639"/>
      <c r="C36" s="639"/>
      <c r="D36" s="639"/>
      <c r="E36" s="639"/>
      <c r="F36" s="639"/>
      <c r="G36" s="593"/>
      <c r="H36" s="601"/>
      <c r="J36" s="730"/>
      <c r="L36" s="315"/>
      <c r="M36" s="315"/>
      <c r="N36" s="315"/>
      <c r="O36" s="315"/>
      <c r="P36" s="315"/>
      <c r="Q36" s="315"/>
      <c r="R36" s="315"/>
    </row>
    <row r="37" spans="2:18" ht="21" customHeight="1">
      <c r="B37" s="639"/>
      <c r="C37" s="639"/>
      <c r="D37" s="639"/>
      <c r="E37" s="639"/>
      <c r="F37" s="639"/>
      <c r="G37" s="593"/>
      <c r="H37" s="601"/>
      <c r="J37" s="730"/>
      <c r="L37" s="315"/>
      <c r="M37" s="315"/>
      <c r="N37" s="315"/>
      <c r="O37" s="315"/>
      <c r="P37" s="315"/>
      <c r="Q37" s="315"/>
      <c r="R37" s="315"/>
    </row>
    <row r="38" spans="2:18" ht="21" customHeight="1" thickBot="1">
      <c r="B38" s="639"/>
      <c r="C38" s="639"/>
      <c r="D38" s="639"/>
      <c r="E38" s="639"/>
      <c r="F38" s="639"/>
      <c r="G38" s="593"/>
      <c r="H38" s="625"/>
      <c r="L38" s="315"/>
      <c r="M38" s="315"/>
      <c r="N38" s="315"/>
      <c r="O38" s="315"/>
      <c r="P38" s="315"/>
      <c r="Q38" s="315"/>
      <c r="R38" s="315"/>
    </row>
    <row r="39" spans="2:18" ht="21" customHeight="1" thickTop="1">
      <c r="B39" s="681"/>
      <c r="C39" s="681" t="s">
        <v>3191</v>
      </c>
      <c r="D39" s="681"/>
      <c r="E39" s="681"/>
      <c r="F39" s="1266"/>
      <c r="G39" s="1267"/>
      <c r="H39" s="1198">
        <f>SUM(H30:H38)</f>
        <v>0</v>
      </c>
      <c r="I39" s="391" t="s">
        <v>844</v>
      </c>
    </row>
    <row r="40" spans="2:18" ht="21" customHeight="1">
      <c r="B40" s="1110" t="s">
        <v>3276</v>
      </c>
      <c r="C40" s="1110"/>
      <c r="D40" s="1110"/>
      <c r="E40" s="1110"/>
      <c r="F40" s="1110"/>
      <c r="G40" s="1105"/>
      <c r="H40" s="623"/>
    </row>
    <row r="41" spans="2:18" ht="21" customHeight="1">
      <c r="B41" s="681"/>
      <c r="C41" s="681"/>
      <c r="D41" s="681"/>
      <c r="E41" s="681"/>
      <c r="F41" s="681"/>
      <c r="G41" s="680"/>
      <c r="H41" s="1106"/>
    </row>
    <row r="42" spans="2:18" ht="21" customHeight="1">
      <c r="B42" s="681" t="s">
        <v>652</v>
      </c>
      <c r="C42" s="681"/>
      <c r="D42" s="681"/>
      <c r="E42" s="681"/>
      <c r="F42" s="681"/>
      <c r="G42" s="680"/>
      <c r="H42" s="1106">
        <f>+'46-Utility3'!K27</f>
        <v>0</v>
      </c>
    </row>
    <row r="43" spans="2:18" ht="21" customHeight="1" thickBot="1">
      <c r="B43" s="681"/>
      <c r="C43" s="681"/>
      <c r="D43" s="681"/>
      <c r="E43" s="681"/>
      <c r="F43" s="681"/>
      <c r="G43" s="1111"/>
      <c r="H43" s="1112"/>
    </row>
    <row r="44" spans="2:18" ht="21" customHeight="1" thickBot="1">
      <c r="B44" s="681" t="s">
        <v>3277</v>
      </c>
      <c r="C44" s="681"/>
      <c r="D44" s="681"/>
      <c r="E44" s="681"/>
      <c r="F44" s="681"/>
      <c r="G44" s="1113">
        <f>SUM(G12:G43)</f>
        <v>0</v>
      </c>
      <c r="H44" s="1114">
        <f>SUM(H39:H43)</f>
        <v>0</v>
      </c>
      <c r="J44" s="392">
        <f>G44-H44</f>
        <v>0</v>
      </c>
    </row>
    <row r="45" spans="2:18" ht="13.8" thickTop="1">
      <c r="B45" s="1908" t="s">
        <v>103</v>
      </c>
      <c r="C45" s="1908"/>
      <c r="D45" s="1908"/>
      <c r="E45" s="1908"/>
      <c r="F45" s="1908"/>
      <c r="G45" s="1908"/>
      <c r="H45" s="1908"/>
    </row>
    <row r="46" spans="2:18">
      <c r="B46" s="1281"/>
      <c r="C46" s="1281"/>
      <c r="D46" s="1281"/>
      <c r="E46" s="1281"/>
      <c r="F46" s="1281"/>
      <c r="G46" s="1281"/>
      <c r="H46" s="1281"/>
    </row>
    <row r="47" spans="2:18">
      <c r="B47" s="1281"/>
      <c r="C47" s="1281"/>
      <c r="D47" s="1281"/>
      <c r="E47" s="1281"/>
      <c r="F47" s="1281"/>
      <c r="G47" s="1281"/>
      <c r="H47" s="1281"/>
    </row>
    <row r="48" spans="2:18">
      <c r="B48" s="1281"/>
      <c r="C48" s="1281"/>
      <c r="D48" s="1281"/>
      <c r="E48" s="1281"/>
      <c r="F48" s="1281"/>
      <c r="G48" s="1281"/>
      <c r="H48" s="1281"/>
    </row>
    <row r="49" spans="2:8">
      <c r="B49" s="1281"/>
      <c r="C49" s="1281"/>
      <c r="D49" s="1281"/>
      <c r="E49" s="1281"/>
      <c r="F49" s="1281"/>
      <c r="G49" s="1281"/>
      <c r="H49" s="1281"/>
    </row>
    <row r="50" spans="2:8" ht="13.8">
      <c r="B50" s="1994" t="s">
        <v>3189</v>
      </c>
      <c r="C50" s="1994"/>
      <c r="D50" s="1994"/>
      <c r="E50" s="1994"/>
      <c r="F50" s="1994"/>
      <c r="G50" s="1994"/>
      <c r="H50" s="1994"/>
    </row>
    <row r="54" spans="2:8">
      <c r="H54" s="392"/>
    </row>
    <row r="57" spans="2:8">
      <c r="H57" s="392">
        <f>+H44-G44</f>
        <v>0</v>
      </c>
    </row>
  </sheetData>
  <sheetProtection algorithmName="SHA-512" hashValue="5nj6FqLZW3vGciits4NnLnXoY9V0Fhg+NSyZx34wVyj2xIQC3yb2CtFj/ll7s5wFs4TrntMjZTWXgWEZPto4dQ==" saltValue="GuH1DKBV5mY7umrxGLSx/Q=="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2">
    <tabColor theme="5" tint="0.59999389629810485"/>
  </sheetPr>
  <dimension ref="B1:Q55"/>
  <sheetViews>
    <sheetView zoomScaleNormal="100" zoomScaleSheetLayoutView="80" workbookViewId="0">
      <selection activeCell="B1" sqref="B1"/>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INPUTS'!D54)&amp;"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1096"/>
      <c r="C12" s="1096"/>
      <c r="D12" s="1096"/>
      <c r="E12" s="1096"/>
      <c r="F12" s="1096"/>
      <c r="G12" s="1099"/>
      <c r="H12" s="1100"/>
    </row>
    <row r="13" spans="2:17" ht="21" customHeight="1">
      <c r="B13" s="1107" t="s">
        <v>677</v>
      </c>
      <c r="C13" s="681"/>
      <c r="D13" s="681"/>
      <c r="E13" s="681"/>
      <c r="F13" s="681"/>
      <c r="G13" s="680"/>
      <c r="H13" s="1106"/>
      <c r="K13" s="315"/>
      <c r="L13" s="315"/>
      <c r="M13" s="315"/>
      <c r="N13" s="315"/>
      <c r="O13" s="315"/>
      <c r="P13" s="315"/>
      <c r="Q13" s="315"/>
    </row>
    <row r="14" spans="2:17" ht="21" customHeight="1">
      <c r="B14" s="681"/>
      <c r="C14" s="681"/>
      <c r="D14" s="681"/>
      <c r="E14" s="681"/>
      <c r="F14" s="681"/>
      <c r="G14" s="680"/>
      <c r="H14" s="1106"/>
      <c r="K14" s="315"/>
      <c r="L14" s="315"/>
      <c r="M14" s="315"/>
      <c r="N14" s="315"/>
      <c r="O14" s="315"/>
      <c r="P14" s="315"/>
      <c r="Q14" s="315"/>
    </row>
    <row r="15" spans="2:17" ht="21" customHeight="1">
      <c r="B15" s="1096" t="s">
        <v>200</v>
      </c>
      <c r="C15" s="681"/>
      <c r="D15" s="681"/>
      <c r="E15" s="681"/>
      <c r="F15" s="681"/>
      <c r="G15" s="365"/>
      <c r="H15" s="1282" t="s">
        <v>662</v>
      </c>
      <c r="K15" s="370"/>
      <c r="L15" s="315"/>
      <c r="M15" s="315"/>
      <c r="N15" s="315"/>
      <c r="O15" s="315"/>
      <c r="P15" s="315"/>
      <c r="Q15" s="315"/>
    </row>
    <row r="16" spans="2:17" ht="21" customHeight="1">
      <c r="B16" s="681" t="s">
        <v>201</v>
      </c>
      <c r="C16" s="681"/>
      <c r="D16" s="681"/>
      <c r="E16" s="681"/>
      <c r="F16" s="681"/>
      <c r="G16" s="1156" t="s">
        <v>662</v>
      </c>
      <c r="H16" s="904">
        <f>+G15</f>
        <v>0</v>
      </c>
      <c r="K16" s="315"/>
      <c r="L16" s="315"/>
      <c r="M16" s="315"/>
      <c r="N16" s="315"/>
      <c r="O16" s="315"/>
      <c r="P16" s="315"/>
      <c r="Q16" s="315"/>
    </row>
    <row r="17" spans="2:17" ht="21" customHeight="1">
      <c r="B17" s="681"/>
      <c r="C17" s="681"/>
      <c r="D17" s="681"/>
      <c r="E17" s="681"/>
      <c r="F17" s="681"/>
      <c r="G17" s="897"/>
      <c r="H17" s="904"/>
      <c r="K17" s="315"/>
      <c r="L17" s="315"/>
      <c r="M17" s="315"/>
      <c r="N17" s="315"/>
      <c r="O17" s="315"/>
      <c r="P17" s="315"/>
      <c r="Q17" s="315"/>
    </row>
    <row r="18" spans="2:17" ht="21" customHeight="1">
      <c r="B18" s="681"/>
      <c r="C18" s="681" t="s">
        <v>375</v>
      </c>
      <c r="D18" s="681"/>
      <c r="E18" s="681"/>
      <c r="F18" s="681"/>
      <c r="G18" s="365"/>
      <c r="H18" s="561"/>
      <c r="K18" s="315"/>
      <c r="L18" s="315"/>
      <c r="M18" s="315"/>
      <c r="N18" s="315"/>
      <c r="O18" s="315"/>
      <c r="P18" s="315"/>
      <c r="Q18" s="315"/>
    </row>
    <row r="19" spans="2:17" ht="21" customHeight="1">
      <c r="B19" s="681"/>
      <c r="C19" s="639"/>
      <c r="D19" s="639"/>
      <c r="E19" s="639"/>
      <c r="F19" s="639"/>
      <c r="G19" s="365"/>
      <c r="H19" s="561"/>
      <c r="K19" s="315"/>
      <c r="L19" s="315"/>
      <c r="M19" s="315"/>
      <c r="N19" s="315"/>
      <c r="O19" s="315"/>
      <c r="P19" s="315"/>
      <c r="Q19" s="315"/>
    </row>
    <row r="20" spans="2:17" ht="21" customHeight="1">
      <c r="B20" s="681"/>
      <c r="C20" s="681" t="s">
        <v>942</v>
      </c>
      <c r="D20" s="681"/>
      <c r="E20" s="681"/>
      <c r="F20" s="681"/>
      <c r="G20" s="365"/>
      <c r="H20" s="561"/>
      <c r="K20" s="315"/>
      <c r="L20" s="315"/>
      <c r="M20" s="315"/>
      <c r="N20" s="315"/>
      <c r="O20" s="315"/>
      <c r="P20" s="315"/>
      <c r="Q20" s="315"/>
    </row>
    <row r="21" spans="2:17" ht="21" customHeight="1">
      <c r="B21" s="681"/>
      <c r="C21" s="681" t="s">
        <v>678</v>
      </c>
      <c r="D21" s="681"/>
      <c r="E21" s="681"/>
      <c r="F21" s="681"/>
      <c r="G21" s="897"/>
      <c r="H21" s="898"/>
      <c r="K21" s="315"/>
      <c r="L21" s="315"/>
      <c r="M21" s="315"/>
      <c r="N21" s="315"/>
      <c r="O21" s="315"/>
      <c r="P21" s="315"/>
      <c r="Q21" s="315"/>
    </row>
    <row r="22" spans="2:17" ht="21" customHeight="1">
      <c r="B22" s="681"/>
      <c r="C22" s="681"/>
      <c r="D22" s="681" t="s">
        <v>92</v>
      </c>
      <c r="E22" s="681"/>
      <c r="F22" s="681"/>
      <c r="G22" s="365"/>
      <c r="H22" s="561"/>
      <c r="K22" s="315"/>
      <c r="L22" s="315"/>
      <c r="M22" s="315"/>
      <c r="N22" s="315"/>
      <c r="O22" s="315"/>
      <c r="P22" s="315"/>
      <c r="Q22" s="315"/>
    </row>
    <row r="23" spans="2:17" ht="21" customHeight="1">
      <c r="B23" s="681"/>
      <c r="C23" s="681"/>
      <c r="D23" s="681" t="s">
        <v>706</v>
      </c>
      <c r="E23" s="681"/>
      <c r="F23" s="681"/>
      <c r="G23" s="365"/>
      <c r="H23" s="561"/>
      <c r="K23" s="315"/>
      <c r="L23" s="315"/>
      <c r="M23" s="315"/>
      <c r="N23" s="315"/>
      <c r="O23" s="315"/>
      <c r="P23" s="315"/>
      <c r="Q23" s="315"/>
    </row>
    <row r="24" spans="2:17" ht="21" customHeight="1">
      <c r="B24" s="395"/>
      <c r="C24" s="639"/>
      <c r="D24" s="639" t="s">
        <v>3190</v>
      </c>
      <c r="E24" s="639"/>
      <c r="F24" s="639"/>
      <c r="G24" s="365"/>
      <c r="H24" s="581"/>
      <c r="K24" s="315"/>
      <c r="L24" s="315"/>
      <c r="M24" s="315"/>
      <c r="N24" s="315"/>
      <c r="O24" s="315"/>
      <c r="P24" s="315"/>
      <c r="Q24" s="315"/>
    </row>
    <row r="25" spans="2:17" ht="21" customHeight="1">
      <c r="B25" s="395"/>
      <c r="C25" s="639"/>
      <c r="D25" s="639" t="s">
        <v>3190</v>
      </c>
      <c r="E25" s="639"/>
      <c r="F25" s="639"/>
      <c r="G25" s="365"/>
      <c r="H25" s="581" t="s">
        <v>3190</v>
      </c>
    </row>
    <row r="26" spans="2:17" ht="21" customHeight="1">
      <c r="B26" s="395"/>
      <c r="C26" s="640"/>
      <c r="D26" s="639"/>
      <c r="E26" s="639"/>
      <c r="F26" s="639"/>
      <c r="G26" s="365"/>
      <c r="H26" s="642"/>
    </row>
    <row r="27" spans="2:17" ht="21" customHeight="1">
      <c r="B27" s="395"/>
      <c r="C27" s="639" t="s">
        <v>3190</v>
      </c>
      <c r="D27" s="639"/>
      <c r="E27" s="639"/>
      <c r="F27" s="639"/>
      <c r="G27" s="365"/>
      <c r="H27" s="581" t="s">
        <v>3190</v>
      </c>
    </row>
    <row r="28" spans="2:17" ht="21" customHeight="1">
      <c r="B28" s="395"/>
      <c r="C28" s="639"/>
      <c r="D28" s="639"/>
      <c r="E28" s="639"/>
      <c r="F28" s="639"/>
      <c r="G28" s="365"/>
      <c r="H28" s="581"/>
    </row>
    <row r="29" spans="2:17" ht="21" customHeight="1">
      <c r="B29" s="395"/>
      <c r="C29" s="639"/>
      <c r="D29" s="639" t="s">
        <v>3190</v>
      </c>
      <c r="E29" s="639"/>
      <c r="F29" s="639"/>
      <c r="G29" s="365"/>
      <c r="H29" s="581"/>
      <c r="K29" s="315"/>
      <c r="L29" s="315"/>
      <c r="M29" s="315"/>
      <c r="N29" s="315"/>
      <c r="O29" s="315"/>
      <c r="P29" s="315"/>
      <c r="Q29" s="315"/>
    </row>
    <row r="30" spans="2:17" ht="21" customHeight="1">
      <c r="B30" s="395"/>
      <c r="C30" s="639"/>
      <c r="D30" s="639" t="s">
        <v>3190</v>
      </c>
      <c r="E30" s="639"/>
      <c r="F30" s="639"/>
      <c r="G30" s="365"/>
      <c r="H30" s="581"/>
      <c r="K30" s="315"/>
      <c r="L30" s="315"/>
      <c r="M30" s="315"/>
      <c r="N30" s="315"/>
      <c r="O30" s="315"/>
      <c r="P30" s="315"/>
      <c r="Q30" s="315"/>
    </row>
    <row r="31" spans="2:17" ht="21" customHeight="1">
      <c r="B31" s="395"/>
      <c r="C31" s="639"/>
      <c r="D31" s="639" t="s">
        <v>3190</v>
      </c>
      <c r="E31" s="639"/>
      <c r="F31" s="639"/>
      <c r="G31" s="365"/>
      <c r="H31" s="581" t="s">
        <v>3190</v>
      </c>
    </row>
    <row r="32" spans="2:17" ht="21" customHeight="1">
      <c r="B32" s="395"/>
      <c r="C32" s="640"/>
      <c r="D32" s="639"/>
      <c r="E32" s="639"/>
      <c r="F32" s="639"/>
      <c r="G32" s="365"/>
      <c r="H32" s="642"/>
    </row>
    <row r="33" spans="2:17" ht="21" customHeight="1">
      <c r="B33" s="395"/>
      <c r="C33" s="639" t="s">
        <v>3190</v>
      </c>
      <c r="D33" s="639"/>
      <c r="E33" s="639"/>
      <c r="F33" s="639"/>
      <c r="G33" s="365"/>
      <c r="H33" s="581" t="s">
        <v>3190</v>
      </c>
    </row>
    <row r="34" spans="2:17" ht="21" customHeight="1">
      <c r="B34" s="395"/>
      <c r="C34" s="639"/>
      <c r="D34" s="639"/>
      <c r="E34" s="639"/>
      <c r="F34" s="639"/>
      <c r="G34" s="365"/>
      <c r="H34" s="581"/>
    </row>
    <row r="35" spans="2:17" ht="21" customHeight="1">
      <c r="B35" s="395"/>
      <c r="C35" s="639"/>
      <c r="D35" s="639" t="s">
        <v>3190</v>
      </c>
      <c r="E35" s="639"/>
      <c r="F35" s="639"/>
      <c r="G35" s="365"/>
      <c r="H35" s="581"/>
      <c r="K35" s="315"/>
      <c r="L35" s="315"/>
      <c r="M35" s="315"/>
      <c r="N35" s="315"/>
      <c r="O35" s="315"/>
      <c r="P35" s="315"/>
      <c r="Q35" s="315"/>
    </row>
    <row r="36" spans="2:17" ht="21" customHeight="1">
      <c r="B36" s="395"/>
      <c r="C36" s="639"/>
      <c r="D36" s="639" t="s">
        <v>3190</v>
      </c>
      <c r="E36" s="639"/>
      <c r="F36" s="639"/>
      <c r="G36" s="365"/>
      <c r="H36" s="581" t="s">
        <v>3190</v>
      </c>
    </row>
    <row r="37" spans="2:17" ht="21" customHeight="1">
      <c r="B37" s="395"/>
      <c r="C37" s="640"/>
      <c r="D37" s="639"/>
      <c r="E37" s="639"/>
      <c r="F37" s="639"/>
      <c r="G37" s="365"/>
      <c r="H37" s="642"/>
    </row>
    <row r="38" spans="2:17" ht="21" customHeight="1">
      <c r="B38" s="395"/>
      <c r="C38" s="639" t="s">
        <v>3190</v>
      </c>
      <c r="D38" s="639"/>
      <c r="E38" s="639"/>
      <c r="F38" s="639"/>
      <c r="G38" s="365"/>
      <c r="H38" s="581" t="s">
        <v>3190</v>
      </c>
    </row>
    <row r="39" spans="2:17" ht="21" customHeight="1">
      <c r="B39" s="395"/>
      <c r="C39" s="639"/>
      <c r="D39" s="639"/>
      <c r="E39" s="639"/>
      <c r="F39" s="639"/>
      <c r="G39" s="365"/>
      <c r="H39" s="581"/>
    </row>
    <row r="40" spans="2:17" ht="21" customHeight="1">
      <c r="B40" s="395"/>
      <c r="C40" s="639"/>
      <c r="D40" s="639"/>
      <c r="E40" s="639"/>
      <c r="F40" s="639"/>
      <c r="G40" s="365"/>
      <c r="H40" s="581"/>
    </row>
    <row r="41" spans="2:17" ht="21" customHeight="1">
      <c r="B41" s="395"/>
      <c r="C41" s="639" t="s">
        <v>3190</v>
      </c>
      <c r="D41" s="639"/>
      <c r="E41" s="639"/>
      <c r="F41" s="639"/>
      <c r="G41" s="365"/>
      <c r="H41" s="581" t="s">
        <v>3190</v>
      </c>
    </row>
    <row r="42" spans="2:17" ht="21" customHeight="1">
      <c r="B42" s="395"/>
      <c r="C42" s="639" t="s">
        <v>3190</v>
      </c>
      <c r="D42" s="639"/>
      <c r="E42" s="639"/>
      <c r="F42" s="639"/>
      <c r="G42" s="365"/>
      <c r="H42" s="581" t="s">
        <v>3190</v>
      </c>
    </row>
    <row r="43" spans="2:17" ht="21" customHeight="1" thickBot="1">
      <c r="B43" s="681"/>
      <c r="C43" s="681"/>
      <c r="D43" s="681"/>
      <c r="E43" s="681"/>
      <c r="F43" s="681"/>
      <c r="G43" s="1276"/>
      <c r="H43" s="1277"/>
      <c r="I43" s="392"/>
      <c r="M43" s="392"/>
    </row>
    <row r="44" spans="2:17" ht="21" customHeight="1" thickBot="1">
      <c r="B44" s="681"/>
      <c r="C44" s="681" t="s">
        <v>3323</v>
      </c>
      <c r="D44" s="681"/>
      <c r="E44" s="681"/>
      <c r="F44" s="681"/>
      <c r="G44" s="1278">
        <f>SUM(G15:G42)</f>
        <v>0</v>
      </c>
      <c r="H44" s="1279">
        <f>SUM(H15:H43)</f>
        <v>0</v>
      </c>
      <c r="I44" s="392"/>
      <c r="K44" s="392"/>
    </row>
    <row r="45" spans="2:17" ht="13.8" thickTop="1">
      <c r="B45" s="1961" t="s">
        <v>103</v>
      </c>
      <c r="C45" s="1961"/>
      <c r="D45" s="1961"/>
      <c r="E45" s="1961"/>
      <c r="F45" s="1961"/>
      <c r="G45" s="1962"/>
      <c r="H45" s="1962"/>
    </row>
    <row r="46" spans="2:17">
      <c r="B46" s="1281"/>
      <c r="C46" s="1281"/>
      <c r="D46" s="1281"/>
      <c r="E46" s="1281"/>
      <c r="F46" s="1281"/>
      <c r="G46" s="1281"/>
      <c r="H46" s="1281"/>
    </row>
    <row r="47" spans="2:17">
      <c r="B47" s="1281"/>
      <c r="C47" s="1281"/>
      <c r="D47" s="1281"/>
      <c r="E47" s="1281"/>
      <c r="F47" s="1281"/>
      <c r="G47" s="1281"/>
      <c r="H47" s="1281"/>
    </row>
    <row r="48" spans="2:17">
      <c r="B48" s="1281"/>
      <c r="C48" s="1281"/>
      <c r="D48" s="1281"/>
      <c r="E48" s="1281"/>
      <c r="F48" s="1281"/>
      <c r="G48" s="1281"/>
      <c r="H48" s="1281"/>
    </row>
    <row r="49" spans="2:8">
      <c r="B49" s="1281"/>
      <c r="C49" s="1281"/>
      <c r="D49" s="1281"/>
      <c r="E49" s="1281"/>
      <c r="F49" s="1281"/>
      <c r="G49" s="1281"/>
      <c r="H49" s="1281"/>
    </row>
    <row r="50" spans="2:8" ht="13.8">
      <c r="B50" s="1994" t="s">
        <v>3195</v>
      </c>
      <c r="C50" s="1994"/>
      <c r="D50" s="1994"/>
      <c r="E50" s="1994"/>
      <c r="F50" s="1994"/>
      <c r="G50" s="1994"/>
      <c r="H50" s="1994"/>
    </row>
    <row r="55" spans="2:8">
      <c r="H55" s="392"/>
    </row>
  </sheetData>
  <sheetProtection algorithmName="SHA-512" hashValue="nYGNTUAYTkSM/d3/sWFc0rXP5hJyH6keHpbqmGY16EJCtbF/F2bsAIQ+Dw4us36Q5w1C+GczmC6cJcryt/I64w==" saltValue="gXIzFVe8rOszp3O4tWogmQ=="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3">
    <tabColor theme="5" tint="0.59999389629810485"/>
  </sheetPr>
  <dimension ref="B1:Q55"/>
  <sheetViews>
    <sheetView topLeftCell="A7" zoomScaleNormal="100" zoomScaleSheetLayoutView="80" workbookViewId="0">
      <selection activeCell="H18" sqref="H18"/>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INPUTS'!D54)&amp;"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681"/>
      <c r="C12" s="681" t="s">
        <v>3324</v>
      </c>
      <c r="D12" s="681"/>
      <c r="E12" s="681"/>
      <c r="F12" s="681"/>
      <c r="G12" s="897">
        <f>'41a-Utility3'!G44</f>
        <v>0</v>
      </c>
      <c r="H12" s="904">
        <f>'41a-Utility3'!H44</f>
        <v>0</v>
      </c>
    </row>
    <row r="13" spans="2:17" ht="21" customHeight="1">
      <c r="C13" s="640"/>
      <c r="D13" s="640"/>
      <c r="E13" s="640"/>
      <c r="F13" s="640"/>
      <c r="G13" s="593"/>
      <c r="H13" s="642"/>
    </row>
    <row r="14" spans="2:17" ht="21" customHeight="1">
      <c r="B14" s="400"/>
      <c r="C14" s="639"/>
      <c r="D14" s="639"/>
      <c r="E14" s="639"/>
      <c r="F14" s="639"/>
      <c r="G14" s="593"/>
      <c r="H14" s="601"/>
      <c r="K14" s="315"/>
      <c r="L14" s="315"/>
      <c r="M14" s="315"/>
      <c r="N14" s="315"/>
      <c r="O14" s="315"/>
      <c r="P14" s="315"/>
      <c r="Q14" s="315"/>
    </row>
    <row r="15" spans="2:17" ht="21" customHeight="1">
      <c r="B15" s="395"/>
      <c r="C15" s="639"/>
      <c r="D15" s="639"/>
      <c r="E15" s="639"/>
      <c r="F15" s="639"/>
      <c r="G15" s="593"/>
      <c r="H15" s="601"/>
      <c r="K15" s="315"/>
      <c r="L15" s="315"/>
      <c r="M15" s="315"/>
      <c r="N15" s="315"/>
      <c r="O15" s="315"/>
      <c r="P15" s="315"/>
      <c r="Q15" s="315"/>
    </row>
    <row r="16" spans="2:17" ht="21" customHeight="1">
      <c r="B16" s="395"/>
      <c r="C16" s="639"/>
      <c r="D16" s="639"/>
      <c r="E16" s="639"/>
      <c r="F16" s="639"/>
      <c r="G16" s="365"/>
      <c r="H16" s="581"/>
      <c r="K16" s="315"/>
      <c r="L16" s="315"/>
      <c r="M16" s="315"/>
      <c r="N16" s="315"/>
      <c r="O16" s="315"/>
      <c r="P16" s="315"/>
      <c r="Q16" s="315"/>
    </row>
    <row r="17" spans="2:17" ht="21" customHeight="1">
      <c r="B17" s="681"/>
      <c r="C17" s="681" t="s">
        <v>3198</v>
      </c>
      <c r="D17" s="681"/>
      <c r="E17" s="681"/>
      <c r="F17" s="681"/>
      <c r="G17" s="897"/>
      <c r="H17" s="904">
        <f>+'49-Utility3'!G22</f>
        <v>0</v>
      </c>
      <c r="K17" s="315"/>
      <c r="L17" s="315"/>
      <c r="M17" s="315"/>
      <c r="N17" s="315"/>
      <c r="O17" s="315"/>
      <c r="P17" s="315"/>
      <c r="Q17" s="315"/>
    </row>
    <row r="18" spans="2:17" ht="21" customHeight="1">
      <c r="B18" s="681"/>
      <c r="C18" s="681" t="s">
        <v>3447</v>
      </c>
      <c r="D18" s="681"/>
      <c r="E18" s="681"/>
      <c r="F18" s="681"/>
      <c r="G18" s="897"/>
      <c r="H18" s="904">
        <f>'49a-Utility3'!G11+'49a-Utility3'!G22+'49a.1-Utility3'!G11+'49a.1-Utility3'!G22</f>
        <v>0</v>
      </c>
    </row>
    <row r="19" spans="2:17" ht="21" customHeight="1">
      <c r="B19" s="681"/>
      <c r="C19" s="681" t="s">
        <v>3457</v>
      </c>
      <c r="D19" s="681"/>
      <c r="E19" s="681"/>
      <c r="F19" s="681"/>
      <c r="G19" s="897"/>
      <c r="H19" s="904">
        <f>+'51a-Utility3'!G23</f>
        <v>0</v>
      </c>
      <c r="K19" s="315"/>
      <c r="L19" s="315"/>
      <c r="M19" s="315"/>
      <c r="N19" s="315"/>
      <c r="O19" s="315"/>
      <c r="P19" s="315"/>
      <c r="Q19" s="315"/>
    </row>
    <row r="20" spans="2:17" ht="21" customHeight="1">
      <c r="B20" s="681"/>
      <c r="C20" s="905" t="s">
        <v>3197</v>
      </c>
      <c r="D20" s="681"/>
      <c r="E20" s="681"/>
      <c r="F20" s="681"/>
      <c r="G20" s="897"/>
      <c r="H20" s="904">
        <f>+'50.1-Utility3'!G18</f>
        <v>0</v>
      </c>
      <c r="K20" s="315"/>
      <c r="L20" s="315"/>
      <c r="M20" s="315"/>
      <c r="N20" s="315"/>
      <c r="O20" s="315"/>
      <c r="P20" s="315"/>
      <c r="Q20" s="315"/>
    </row>
    <row r="21" spans="2:17" ht="21" customHeight="1">
      <c r="B21" s="681"/>
      <c r="C21" s="681" t="s">
        <v>851</v>
      </c>
      <c r="D21" s="681"/>
      <c r="E21" s="681"/>
      <c r="F21" s="681"/>
      <c r="G21" s="897"/>
      <c r="H21" s="904" t="s">
        <v>3190</v>
      </c>
      <c r="K21" s="315"/>
      <c r="L21" s="315"/>
      <c r="M21" s="315"/>
      <c r="N21" s="315"/>
      <c r="O21" s="315"/>
      <c r="P21" s="315"/>
      <c r="Q21" s="315"/>
    </row>
    <row r="22" spans="2:17" ht="21" customHeight="1">
      <c r="B22" s="681"/>
      <c r="C22" s="681"/>
      <c r="D22" s="681" t="s">
        <v>848</v>
      </c>
      <c r="E22" s="681"/>
      <c r="F22" s="681"/>
      <c r="G22" s="897"/>
      <c r="H22" s="904">
        <f>+'52-Utility3'!K27</f>
        <v>0</v>
      </c>
      <c r="J22" s="392"/>
      <c r="K22" s="315"/>
      <c r="L22" s="315"/>
      <c r="M22" s="315"/>
      <c r="N22" s="315"/>
      <c r="O22" s="315"/>
      <c r="P22" s="315"/>
      <c r="Q22" s="315"/>
    </row>
    <row r="23" spans="2:17" ht="21" customHeight="1">
      <c r="B23" s="681"/>
      <c r="C23" s="681"/>
      <c r="D23" s="681" t="s">
        <v>849</v>
      </c>
      <c r="E23" s="681"/>
      <c r="F23" s="681"/>
      <c r="G23" s="897"/>
      <c r="H23" s="904">
        <f>+'52-Utility3'!L27</f>
        <v>0</v>
      </c>
      <c r="J23" s="392"/>
      <c r="K23" s="315"/>
      <c r="L23" s="315"/>
      <c r="M23" s="315"/>
      <c r="N23" s="315"/>
      <c r="O23" s="315"/>
      <c r="P23" s="315"/>
      <c r="Q23" s="315"/>
    </row>
    <row r="24" spans="2:17" ht="21" customHeight="1">
      <c r="B24" s="395"/>
      <c r="C24" s="639" t="s">
        <v>3196</v>
      </c>
      <c r="D24" s="639"/>
      <c r="E24" s="639"/>
      <c r="F24" s="639"/>
      <c r="G24" s="365"/>
      <c r="H24" s="561"/>
    </row>
    <row r="25" spans="2:17" ht="21" customHeight="1">
      <c r="B25" s="395"/>
      <c r="C25" s="639" t="s">
        <v>709</v>
      </c>
      <c r="D25" s="639"/>
      <c r="E25" s="639"/>
      <c r="F25" s="639"/>
      <c r="G25" s="365"/>
      <c r="H25" s="561"/>
    </row>
    <row r="26" spans="2:17" ht="21" customHeight="1">
      <c r="B26" s="395"/>
      <c r="C26" s="639" t="str">
        <f>"DUE TO "&amp;UPPER('KEY INPUTS'!D52)&amp;" OPERATING"</f>
        <v>DUE TO WATER/SEWER UTILITY OPERATING</v>
      </c>
      <c r="D26" s="639"/>
      <c r="E26" s="639"/>
      <c r="F26" s="639"/>
      <c r="G26" s="365"/>
      <c r="H26" s="561"/>
    </row>
    <row r="27" spans="2:17" ht="21" customHeight="1">
      <c r="B27" s="395"/>
      <c r="C27" s="639" t="s">
        <v>708</v>
      </c>
      <c r="D27" s="639"/>
      <c r="E27" s="639"/>
      <c r="F27" s="639"/>
      <c r="G27" s="365"/>
      <c r="H27" s="561"/>
    </row>
    <row r="28" spans="2:17" ht="21" customHeight="1">
      <c r="B28" s="395"/>
      <c r="C28" s="639" t="s">
        <v>707</v>
      </c>
      <c r="D28" s="639"/>
      <c r="E28" s="639"/>
      <c r="F28" s="639"/>
      <c r="G28" s="365"/>
      <c r="H28" s="561"/>
    </row>
    <row r="29" spans="2:17" ht="21" customHeight="1">
      <c r="B29" s="395"/>
      <c r="C29" s="639" t="s">
        <v>303</v>
      </c>
      <c r="D29" s="639"/>
      <c r="E29" s="639"/>
      <c r="F29" s="639"/>
      <c r="G29" s="365"/>
      <c r="H29" s="561"/>
    </row>
    <row r="30" spans="2:17" ht="21" customHeight="1">
      <c r="B30" s="395"/>
      <c r="C30" s="639"/>
      <c r="D30" s="639"/>
      <c r="E30" s="639"/>
      <c r="F30" s="639"/>
      <c r="G30" s="365"/>
      <c r="H30" s="581" t="s">
        <v>3190</v>
      </c>
    </row>
    <row r="31" spans="2:17" ht="21" customHeight="1">
      <c r="B31" s="395"/>
      <c r="C31" s="639"/>
      <c r="D31" s="639"/>
      <c r="E31" s="639"/>
      <c r="F31" s="639"/>
      <c r="G31" s="365"/>
      <c r="H31" s="581" t="s">
        <v>3190</v>
      </c>
    </row>
    <row r="32" spans="2:17" ht="21" customHeight="1">
      <c r="B32" s="395"/>
      <c r="C32" s="639"/>
      <c r="D32" s="639"/>
      <c r="E32" s="639"/>
      <c r="F32" s="639"/>
      <c r="G32" s="365"/>
      <c r="H32" s="642"/>
    </row>
    <row r="33" spans="2:13" ht="21" customHeight="1">
      <c r="B33" s="395"/>
      <c r="C33" s="639"/>
      <c r="D33" s="639"/>
      <c r="E33" s="639"/>
      <c r="F33" s="639"/>
      <c r="G33" s="365"/>
      <c r="H33" s="581" t="s">
        <v>3190</v>
      </c>
    </row>
    <row r="34" spans="2:13" ht="21" customHeight="1">
      <c r="B34" s="395"/>
      <c r="C34" s="639"/>
      <c r="D34" s="639"/>
      <c r="E34" s="639"/>
      <c r="F34" s="639"/>
      <c r="G34" s="365"/>
      <c r="H34" s="581"/>
    </row>
    <row r="35" spans="2:13" ht="21" customHeight="1">
      <c r="B35" s="395"/>
      <c r="C35" s="639"/>
      <c r="D35" s="639"/>
      <c r="E35" s="639"/>
      <c r="F35" s="639"/>
      <c r="G35" s="365"/>
      <c r="H35" s="581"/>
    </row>
    <row r="36" spans="2:13" ht="21" customHeight="1">
      <c r="B36" s="395"/>
      <c r="C36" s="639"/>
      <c r="D36" s="639"/>
      <c r="E36" s="639"/>
      <c r="F36" s="639"/>
      <c r="G36" s="365"/>
      <c r="H36" s="581" t="s">
        <v>3190</v>
      </c>
    </row>
    <row r="37" spans="2:13" ht="21" customHeight="1">
      <c r="B37" s="395"/>
      <c r="C37" s="639"/>
      <c r="D37" s="639"/>
      <c r="E37" s="639"/>
      <c r="F37" s="639"/>
      <c r="G37" s="365"/>
      <c r="H37" s="642"/>
    </row>
    <row r="38" spans="2:13" ht="21" customHeight="1">
      <c r="B38" s="395"/>
      <c r="C38" s="639"/>
      <c r="D38" s="639"/>
      <c r="E38" s="639"/>
      <c r="F38" s="639"/>
      <c r="G38" s="365"/>
      <c r="H38" s="581" t="s">
        <v>3190</v>
      </c>
    </row>
    <row r="39" spans="2:13" ht="21" customHeight="1">
      <c r="B39" s="395"/>
      <c r="C39" s="639"/>
      <c r="D39" s="639"/>
      <c r="E39" s="639"/>
      <c r="F39" s="639"/>
      <c r="G39" s="365"/>
      <c r="H39" s="581"/>
    </row>
    <row r="40" spans="2:13" ht="21" customHeight="1">
      <c r="B40" s="395"/>
      <c r="C40" s="395" t="s">
        <v>3260</v>
      </c>
      <c r="D40" s="395"/>
      <c r="E40" s="395"/>
      <c r="F40" s="395"/>
      <c r="G40" s="330"/>
      <c r="H40" s="304">
        <f>+'53-Utility3'!I41</f>
        <v>0</v>
      </c>
    </row>
    <row r="41" spans="2:13" ht="21" customHeight="1">
      <c r="B41" s="395"/>
      <c r="C41" s="395" t="s">
        <v>852</v>
      </c>
      <c r="D41" s="395"/>
      <c r="E41" s="395"/>
      <c r="F41" s="395"/>
      <c r="G41" s="330"/>
      <c r="H41" s="304">
        <f>+'53-Utility3'!I24</f>
        <v>0</v>
      </c>
    </row>
    <row r="42" spans="2:13" ht="21" customHeight="1">
      <c r="B42" s="395"/>
      <c r="C42" s="395" t="s">
        <v>676</v>
      </c>
      <c r="D42" s="395"/>
      <c r="E42" s="395"/>
      <c r="F42" s="395"/>
      <c r="G42" s="330"/>
      <c r="H42" s="304">
        <f>+'54-Utility3'!I42</f>
        <v>0</v>
      </c>
    </row>
    <row r="43" spans="2:13" ht="21" customHeight="1" thickBot="1">
      <c r="B43" s="395"/>
      <c r="C43" s="395"/>
      <c r="D43" s="395"/>
      <c r="E43" s="395"/>
      <c r="F43" s="395"/>
      <c r="G43" s="307"/>
      <c r="H43" s="398"/>
      <c r="I43" s="392"/>
      <c r="M43" s="392"/>
    </row>
    <row r="44" spans="2:13" ht="21" customHeight="1" thickBot="1">
      <c r="B44" s="395"/>
      <c r="C44" s="395" t="s">
        <v>847</v>
      </c>
      <c r="D44" s="395"/>
      <c r="E44" s="395"/>
      <c r="F44" s="395"/>
      <c r="G44" s="336">
        <f>SUM(G12:G42)</f>
        <v>0</v>
      </c>
      <c r="H44" s="397">
        <f>SUM(H12:H43)</f>
        <v>0</v>
      </c>
      <c r="I44" s="392"/>
      <c r="K44" s="392"/>
    </row>
    <row r="45" spans="2:13" ht="13.8" thickTop="1">
      <c r="B45" s="1812" t="s">
        <v>103</v>
      </c>
      <c r="C45" s="1812"/>
      <c r="D45" s="1812"/>
      <c r="E45" s="1812"/>
      <c r="F45" s="1812"/>
      <c r="G45" s="1813"/>
      <c r="H45" s="1813"/>
    </row>
    <row r="46" spans="2:13">
      <c r="B46" s="998"/>
      <c r="C46" s="998"/>
      <c r="D46" s="998"/>
      <c r="E46" s="998"/>
      <c r="F46" s="998"/>
      <c r="G46" s="998"/>
      <c r="H46" s="998"/>
    </row>
    <row r="47" spans="2:13">
      <c r="B47" s="998"/>
      <c r="C47" s="998"/>
      <c r="D47" s="998"/>
      <c r="E47" s="998"/>
      <c r="F47" s="998"/>
      <c r="G47" s="998"/>
      <c r="H47" s="998"/>
    </row>
    <row r="48" spans="2:13">
      <c r="B48" s="998"/>
      <c r="C48" s="998"/>
      <c r="D48" s="998"/>
      <c r="E48" s="998"/>
      <c r="F48" s="998"/>
      <c r="G48" s="998"/>
      <c r="H48" s="998"/>
    </row>
    <row r="49" spans="2:8">
      <c r="B49" s="998"/>
      <c r="C49" s="998"/>
      <c r="D49" s="998"/>
      <c r="E49" s="998"/>
      <c r="F49" s="998"/>
      <c r="G49" s="998"/>
      <c r="H49" s="998"/>
    </row>
    <row r="50" spans="2:8" ht="13.8">
      <c r="B50" s="1799" t="s">
        <v>3459</v>
      </c>
      <c r="C50" s="1799"/>
      <c r="D50" s="1799"/>
      <c r="E50" s="1799"/>
      <c r="F50" s="1799"/>
      <c r="G50" s="1799"/>
      <c r="H50" s="1799"/>
    </row>
    <row r="55" spans="2:8">
      <c r="H55" s="392"/>
    </row>
  </sheetData>
  <sheetProtection password="CAF9"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4">
    <tabColor theme="5" tint="0.59999389629810485"/>
  </sheetPr>
  <dimension ref="B1:R49"/>
  <sheetViews>
    <sheetView topLeftCell="A25" zoomScaleNormal="100" zoomScaleSheetLayoutView="80" workbookViewId="0">
      <selection activeCell="H38" sqref="H38:H40"/>
    </sheetView>
  </sheetViews>
  <sheetFormatPr defaultColWidth="9.109375" defaultRowHeight="13.2"/>
  <cols>
    <col min="1" max="1" width="4.6640625" style="324" customWidth="1"/>
    <col min="2" max="2" width="4.88671875" style="324" customWidth="1"/>
    <col min="3" max="4" width="4.6640625" style="324" customWidth="1"/>
    <col min="5" max="5" width="30.6640625" style="324" customWidth="1"/>
    <col min="6" max="6" width="15.6640625" style="324" customWidth="1"/>
    <col min="7" max="8" width="16.6640625" style="324" customWidth="1"/>
    <col min="9" max="16384" width="9.109375" style="324"/>
  </cols>
  <sheetData>
    <row r="1" spans="2:18">
      <c r="B1" s="1128"/>
      <c r="C1" s="1128"/>
      <c r="D1" s="1128"/>
      <c r="E1" s="1128"/>
      <c r="F1" s="1128"/>
      <c r="G1" s="1128"/>
      <c r="H1" s="1128"/>
    </row>
    <row r="2" spans="2:18">
      <c r="B2" s="1128"/>
      <c r="C2" s="1128"/>
      <c r="D2" s="1128"/>
      <c r="E2" s="1128"/>
      <c r="F2" s="1128"/>
      <c r="G2" s="1128"/>
      <c r="H2" s="1128"/>
    </row>
    <row r="3" spans="2:18" ht="22.8">
      <c r="B3" s="1820" t="s">
        <v>873</v>
      </c>
      <c r="C3" s="1820"/>
      <c r="D3" s="1820"/>
      <c r="E3" s="1820"/>
      <c r="F3" s="1820"/>
      <c r="G3" s="1820"/>
      <c r="H3" s="1820"/>
    </row>
    <row r="4" spans="2:18" ht="22.8">
      <c r="B4" s="1820" t="s">
        <v>874</v>
      </c>
      <c r="C4" s="1820"/>
      <c r="D4" s="1820"/>
      <c r="E4" s="1820"/>
      <c r="F4" s="1820"/>
      <c r="G4" s="1820"/>
      <c r="H4" s="1820"/>
    </row>
    <row r="5" spans="2:18" ht="15.6">
      <c r="B5" s="1821"/>
      <c r="C5" s="1821"/>
      <c r="D5" s="1821"/>
      <c r="E5" s="1821"/>
      <c r="F5" s="1821"/>
      <c r="G5" s="1821"/>
      <c r="H5" s="1821"/>
    </row>
    <row r="6" spans="2:18" ht="13.8">
      <c r="B6" s="1819" t="s">
        <v>875</v>
      </c>
      <c r="C6" s="1819"/>
      <c r="D6" s="1819"/>
      <c r="E6" s="1819"/>
      <c r="F6" s="1819"/>
      <c r="G6" s="1819"/>
      <c r="H6" s="1819"/>
    </row>
    <row r="7" spans="2:18" ht="13.8">
      <c r="B7" s="1819" t="s">
        <v>879</v>
      </c>
      <c r="C7" s="1819"/>
      <c r="D7" s="1819"/>
      <c r="E7" s="1819"/>
      <c r="F7" s="1819"/>
      <c r="G7" s="1819"/>
      <c r="H7" s="1819"/>
    </row>
    <row r="8" spans="2:18" ht="13.8">
      <c r="B8" s="1115"/>
      <c r="C8" s="1115"/>
      <c r="D8" s="1115"/>
      <c r="E8" s="1115"/>
      <c r="F8" s="1115"/>
      <c r="G8" s="1115"/>
      <c r="H8" s="1115"/>
    </row>
    <row r="9" spans="2:18" ht="15" customHeight="1" thickBot="1">
      <c r="B9" s="1822" t="str">
        <f>'KEY INPUTS'!D44</f>
        <v>AS  AT  DECEMBER  31, 2020</v>
      </c>
      <c r="C9" s="1821"/>
      <c r="D9" s="1821"/>
      <c r="E9" s="1821"/>
      <c r="F9" s="1821"/>
      <c r="G9" s="1821"/>
      <c r="H9" s="1821"/>
    </row>
    <row r="10" spans="2:18" ht="36" customHeight="1" thickTop="1" thickBot="1">
      <c r="B10" s="1823" t="s">
        <v>100</v>
      </c>
      <c r="C10" s="1823"/>
      <c r="D10" s="1823"/>
      <c r="E10" s="1823"/>
      <c r="F10" s="1824"/>
      <c r="G10" s="1116" t="s">
        <v>101</v>
      </c>
      <c r="H10" s="1117" t="s">
        <v>102</v>
      </c>
    </row>
    <row r="11" spans="2:18" ht="21" customHeight="1" thickTop="1">
      <c r="B11" s="1118" t="s">
        <v>375</v>
      </c>
      <c r="C11" s="1118"/>
      <c r="D11" s="1118"/>
      <c r="E11" s="1118"/>
      <c r="F11" s="1118"/>
      <c r="G11" s="641"/>
      <c r="H11" s="642"/>
      <c r="L11" s="315"/>
      <c r="M11" s="315"/>
      <c r="N11" s="315"/>
      <c r="O11" s="315"/>
      <c r="P11" s="315"/>
      <c r="Q11" s="315"/>
      <c r="R11" s="315"/>
    </row>
    <row r="12" spans="2:18" ht="21" customHeight="1">
      <c r="B12" s="639"/>
      <c r="C12" s="639"/>
      <c r="D12" s="639"/>
      <c r="E12" s="639"/>
      <c r="F12" s="639"/>
      <c r="G12" s="593"/>
      <c r="H12" s="601"/>
      <c r="L12" s="315"/>
      <c r="M12" s="315"/>
      <c r="N12" s="315"/>
      <c r="O12" s="315"/>
      <c r="P12" s="315"/>
      <c r="Q12" s="315"/>
      <c r="R12" s="315"/>
    </row>
    <row r="13" spans="2:18" ht="21" customHeight="1">
      <c r="B13" s="639"/>
      <c r="C13" s="639"/>
      <c r="D13" s="639"/>
      <c r="E13" s="639"/>
      <c r="F13" s="639"/>
      <c r="G13" s="593"/>
      <c r="H13" s="601"/>
      <c r="L13" s="370"/>
      <c r="M13" s="315"/>
      <c r="N13" s="315"/>
      <c r="O13" s="315"/>
      <c r="P13" s="315"/>
      <c r="Q13" s="315"/>
      <c r="R13" s="315"/>
    </row>
    <row r="14" spans="2:18" ht="21" customHeight="1">
      <c r="B14" s="639"/>
      <c r="C14" s="639"/>
      <c r="D14" s="639"/>
      <c r="E14" s="639"/>
      <c r="F14" s="639"/>
      <c r="G14" s="593"/>
      <c r="H14" s="601"/>
      <c r="L14" s="315"/>
      <c r="M14" s="315"/>
      <c r="N14" s="315"/>
      <c r="O14" s="315"/>
      <c r="P14" s="315"/>
      <c r="Q14" s="315"/>
      <c r="R14" s="315"/>
    </row>
    <row r="15" spans="2:18" ht="21" customHeight="1">
      <c r="B15" s="639"/>
      <c r="C15" s="639"/>
      <c r="D15" s="639"/>
      <c r="E15" s="639"/>
      <c r="F15" s="639"/>
      <c r="G15" s="593"/>
      <c r="H15" s="601"/>
      <c r="L15" s="315"/>
      <c r="M15" s="315"/>
      <c r="N15" s="315"/>
      <c r="O15" s="315"/>
      <c r="P15" s="315"/>
      <c r="Q15" s="315"/>
      <c r="R15" s="315"/>
    </row>
    <row r="16" spans="2:18" ht="21" customHeight="1">
      <c r="B16" s="639"/>
      <c r="C16" s="639"/>
      <c r="D16" s="639"/>
      <c r="E16" s="639"/>
      <c r="F16" s="639"/>
      <c r="G16" s="593"/>
      <c r="H16" s="601"/>
      <c r="L16" s="315"/>
      <c r="M16" s="315"/>
      <c r="N16" s="315"/>
      <c r="O16" s="315"/>
      <c r="P16" s="315"/>
      <c r="Q16" s="315"/>
      <c r="R16" s="315"/>
    </row>
    <row r="17" spans="2:18" ht="21" customHeight="1">
      <c r="B17" s="639"/>
      <c r="C17" s="639"/>
      <c r="D17" s="639"/>
      <c r="E17" s="639"/>
      <c r="F17" s="639"/>
      <c r="G17" s="593"/>
      <c r="H17" s="601"/>
      <c r="L17" s="315"/>
      <c r="M17" s="315"/>
      <c r="N17" s="315"/>
      <c r="O17" s="315"/>
      <c r="P17" s="315"/>
      <c r="Q17" s="315"/>
      <c r="R17" s="315"/>
    </row>
    <row r="18" spans="2:18" ht="21" customHeight="1">
      <c r="B18" s="639"/>
      <c r="C18" s="639"/>
      <c r="D18" s="639"/>
      <c r="E18" s="639"/>
      <c r="F18" s="639"/>
      <c r="G18" s="593"/>
      <c r="H18" s="601"/>
      <c r="L18" s="315"/>
      <c r="M18" s="315"/>
      <c r="N18" s="315"/>
      <c r="O18" s="315"/>
      <c r="P18" s="315"/>
      <c r="Q18" s="315"/>
      <c r="R18" s="315"/>
    </row>
    <row r="19" spans="2:18" ht="21" customHeight="1">
      <c r="B19" s="639"/>
      <c r="C19" s="639"/>
      <c r="D19" s="639"/>
      <c r="E19" s="639"/>
      <c r="F19" s="639"/>
      <c r="G19" s="593"/>
      <c r="H19" s="601"/>
      <c r="L19" s="315"/>
      <c r="M19" s="315"/>
      <c r="N19" s="315"/>
      <c r="O19" s="315"/>
      <c r="P19" s="315"/>
      <c r="Q19" s="315"/>
      <c r="R19" s="315"/>
    </row>
    <row r="20" spans="2:18" ht="21" customHeight="1">
      <c r="B20" s="639"/>
      <c r="C20" s="639"/>
      <c r="D20" s="639"/>
      <c r="E20" s="639"/>
      <c r="F20" s="639"/>
      <c r="G20" s="593"/>
      <c r="H20" s="601"/>
      <c r="L20" s="315"/>
      <c r="M20" s="315"/>
      <c r="N20" s="315"/>
      <c r="O20" s="315"/>
      <c r="P20" s="315"/>
      <c r="Q20" s="315"/>
      <c r="R20" s="315"/>
    </row>
    <row r="21" spans="2:18" ht="21" customHeight="1">
      <c r="B21" s="639"/>
      <c r="C21" s="639"/>
      <c r="D21" s="639"/>
      <c r="E21" s="639"/>
      <c r="F21" s="639"/>
      <c r="G21" s="593"/>
      <c r="H21" s="601"/>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L23" s="315"/>
      <c r="M23" s="315"/>
      <c r="N23" s="315"/>
      <c r="O23" s="315"/>
      <c r="P23" s="315"/>
      <c r="Q23" s="315"/>
      <c r="R23" s="315"/>
    </row>
    <row r="24" spans="2:18" ht="21" customHeight="1">
      <c r="B24" s="639"/>
      <c r="C24" s="639"/>
      <c r="D24" s="639"/>
      <c r="E24" s="639"/>
      <c r="F24" s="639"/>
      <c r="G24" s="593"/>
      <c r="H24" s="601"/>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39"/>
      <c r="C26" s="639"/>
      <c r="D26" s="639"/>
      <c r="E26" s="639"/>
      <c r="F26" s="639"/>
      <c r="G26" s="593"/>
      <c r="H26" s="601"/>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639"/>
      <c r="C30" s="639"/>
      <c r="D30" s="639"/>
      <c r="E30" s="639"/>
      <c r="F30" s="639"/>
      <c r="G30" s="593"/>
      <c r="H30" s="601"/>
    </row>
    <row r="31" spans="2:18" ht="21" customHeight="1">
      <c r="B31" s="639"/>
      <c r="C31" s="639"/>
      <c r="D31" s="639"/>
      <c r="E31" s="639"/>
      <c r="F31" s="639"/>
      <c r="G31" s="593"/>
      <c r="H31" s="601"/>
    </row>
    <row r="32" spans="2:18" ht="21" customHeight="1">
      <c r="B32" s="639"/>
      <c r="C32" s="639"/>
      <c r="D32" s="639"/>
      <c r="E32" s="639"/>
      <c r="F32" s="639"/>
      <c r="G32" s="593"/>
      <c r="H32" s="601"/>
    </row>
    <row r="33" spans="2:8" ht="21" customHeight="1">
      <c r="B33" s="639"/>
      <c r="C33" s="639"/>
      <c r="D33" s="639"/>
      <c r="E33" s="639"/>
      <c r="F33" s="639"/>
      <c r="G33" s="593"/>
      <c r="H33" s="601"/>
    </row>
    <row r="34" spans="2:8" ht="21" customHeight="1">
      <c r="B34" s="639"/>
      <c r="C34" s="639"/>
      <c r="D34" s="639"/>
      <c r="E34" s="639"/>
      <c r="F34" s="639"/>
      <c r="G34" s="593"/>
      <c r="H34" s="601"/>
    </row>
    <row r="35" spans="2:8" ht="21" customHeight="1">
      <c r="B35" s="639"/>
      <c r="C35" s="639"/>
      <c r="D35" s="639"/>
      <c r="E35" s="639"/>
      <c r="F35" s="639"/>
      <c r="G35" s="593"/>
      <c r="H35" s="601"/>
    </row>
    <row r="36" spans="2:8" ht="21" customHeight="1">
      <c r="B36" s="639"/>
      <c r="C36" s="639"/>
      <c r="D36" s="639"/>
      <c r="E36" s="639"/>
      <c r="F36" s="639"/>
      <c r="G36" s="593"/>
      <c r="H36" s="601"/>
    </row>
    <row r="37" spans="2:8" ht="21" customHeight="1">
      <c r="B37" s="639"/>
      <c r="C37" s="639"/>
      <c r="D37" s="639"/>
      <c r="E37" s="639"/>
      <c r="F37" s="639"/>
      <c r="G37" s="593"/>
      <c r="H37" s="601"/>
    </row>
    <row r="38" spans="2:8" ht="21" customHeight="1">
      <c r="B38" s="1119" t="s">
        <v>3261</v>
      </c>
      <c r="C38" s="1119"/>
      <c r="D38" s="1119"/>
      <c r="E38" s="1119"/>
      <c r="F38" s="1119"/>
      <c r="G38" s="593"/>
      <c r="H38" s="1108">
        <f>+'51-Utility3'!G23</f>
        <v>0</v>
      </c>
    </row>
    <row r="39" spans="2:8" ht="21" customHeight="1">
      <c r="B39" s="1119" t="s">
        <v>3262</v>
      </c>
      <c r="C39" s="1119"/>
      <c r="D39" s="1119"/>
      <c r="E39" s="1119"/>
      <c r="F39" s="1119"/>
      <c r="G39" s="593"/>
      <c r="H39" s="1108">
        <f>+'49-Utility3'!G11</f>
        <v>0</v>
      </c>
    </row>
    <row r="40" spans="2:8" ht="21" customHeight="1">
      <c r="B40" s="1119" t="s">
        <v>846</v>
      </c>
      <c r="C40" s="1119"/>
      <c r="D40" s="1119"/>
      <c r="E40" s="1119"/>
      <c r="F40" s="1119"/>
      <c r="G40" s="593"/>
      <c r="H40" s="1108">
        <f>'43-Utility3'!L20</f>
        <v>0</v>
      </c>
    </row>
    <row r="41" spans="2:8" ht="21" customHeight="1">
      <c r="B41" s="639"/>
      <c r="C41" s="639"/>
      <c r="D41" s="639"/>
      <c r="E41" s="639"/>
      <c r="F41" s="639"/>
      <c r="G41" s="593"/>
      <c r="H41" s="601"/>
    </row>
    <row r="42" spans="2:8" ht="21" customHeight="1">
      <c r="B42" s="639"/>
      <c r="C42" s="639"/>
      <c r="D42" s="639"/>
      <c r="E42" s="639"/>
      <c r="F42" s="639"/>
      <c r="G42" s="593"/>
      <c r="H42" s="601"/>
    </row>
    <row r="43" spans="2:8" ht="21" customHeight="1">
      <c r="B43" s="1121"/>
      <c r="C43" s="1121"/>
      <c r="D43" s="1121"/>
      <c r="E43" s="1121"/>
      <c r="F43" s="1121"/>
      <c r="G43" s="1087">
        <f>SUM(G11:G42)</f>
        <v>0</v>
      </c>
      <c r="H43" s="1122">
        <f>SUM(H11:H42)</f>
        <v>0</v>
      </c>
    </row>
    <row r="44" spans="2:8">
      <c r="B44" s="1825" t="s">
        <v>103</v>
      </c>
      <c r="C44" s="1825"/>
      <c r="D44" s="1825"/>
      <c r="E44" s="1825"/>
      <c r="F44" s="1825"/>
      <c r="G44" s="1825"/>
      <c r="H44" s="1825"/>
    </row>
    <row r="45" spans="2:8">
      <c r="B45" s="775"/>
      <c r="C45" s="775"/>
      <c r="D45" s="775"/>
      <c r="E45" s="775"/>
      <c r="F45" s="775"/>
      <c r="G45" s="775"/>
      <c r="H45" s="775"/>
    </row>
    <row r="46" spans="2:8">
      <c r="B46" s="775"/>
      <c r="C46" s="775"/>
      <c r="D46" s="775"/>
      <c r="E46" s="775"/>
      <c r="F46" s="775"/>
      <c r="G46" s="775"/>
      <c r="H46" s="775"/>
    </row>
    <row r="47" spans="2:8">
      <c r="B47" s="775"/>
      <c r="C47" s="775"/>
      <c r="D47" s="775"/>
      <c r="E47" s="775"/>
      <c r="F47" s="775"/>
      <c r="G47" s="775"/>
      <c r="H47" s="775"/>
    </row>
    <row r="48" spans="2:8">
      <c r="B48" s="775"/>
      <c r="C48" s="775"/>
      <c r="D48" s="775"/>
      <c r="E48" s="775"/>
      <c r="F48" s="775"/>
      <c r="G48" s="775"/>
      <c r="H48" s="775"/>
    </row>
    <row r="49" spans="2:8" ht="13.8">
      <c r="B49" s="1850" t="s">
        <v>3199</v>
      </c>
      <c r="C49" s="1850"/>
      <c r="D49" s="1850"/>
      <c r="E49" s="1850"/>
      <c r="F49" s="1850"/>
      <c r="G49" s="1850"/>
      <c r="H49" s="1850"/>
    </row>
  </sheetData>
  <sheetProtection algorithmName="SHA-512" hashValue="huCkln216ZsVE8jcfxH7ixQzhShy6xyQLF/XHLluEZwoRTWWvl8fKfzhCjY0NRhepLiPUv6dozNg8kCVWjNFyg==" saltValue="0sdk3TXO5nTRgFIazniANQ==" spinCount="100000" sheet="1" objects="1" scenarios="1"/>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5">
    <tabColor theme="5" tint="0.59999389629810485"/>
  </sheetPr>
  <dimension ref="A2:V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0.6640625" style="324" customWidth="1"/>
    <col min="5" max="12" width="15.6640625" style="324" customWidth="1"/>
    <col min="13" max="16384" width="9.109375" style="324"/>
  </cols>
  <sheetData>
    <row r="2" spans="1:22" ht="20.399999999999999">
      <c r="B2" s="1826" t="str">
        <f>"ANALYSIS  OF "&amp;UPPER('KEY INPUTS'!D54)&amp;" UTILITY  ASSESSMENT  TRUST  CASH  AND  INVESTMENTS"</f>
        <v>ANALYSIS  OF  UTILITY  ASSESSMENT  TRUST  CASH  AND  INVESTMENTS</v>
      </c>
      <c r="C2" s="1826"/>
      <c r="D2" s="1826"/>
      <c r="E2" s="1826"/>
      <c r="F2" s="1826"/>
      <c r="G2" s="1826"/>
      <c r="H2" s="1826"/>
      <c r="I2" s="1826"/>
      <c r="J2" s="1826"/>
      <c r="K2" s="1826"/>
      <c r="L2" s="1826"/>
    </row>
    <row r="3" spans="1:22" ht="21" thickBot="1">
      <c r="B3" s="1826" t="s">
        <v>880</v>
      </c>
      <c r="C3" s="1826"/>
      <c r="D3" s="1826"/>
      <c r="E3" s="1826"/>
      <c r="F3" s="1826"/>
      <c r="G3" s="1826"/>
      <c r="H3" s="1826"/>
      <c r="I3" s="1826"/>
      <c r="J3" s="1826"/>
      <c r="K3" s="1826"/>
      <c r="L3" s="1826"/>
    </row>
    <row r="4" spans="1:22" ht="13.8" thickTop="1">
      <c r="B4" s="1124"/>
      <c r="C4" s="1124"/>
      <c r="D4" s="1124"/>
      <c r="E4" s="1125" t="s">
        <v>558</v>
      </c>
      <c r="F4" s="1124"/>
      <c r="G4" s="1124"/>
      <c r="H4" s="1124"/>
      <c r="I4" s="1124"/>
      <c r="J4" s="1126"/>
      <c r="K4" s="1124"/>
      <c r="L4" s="1127"/>
    </row>
    <row r="5" spans="1:22" ht="15.6">
      <c r="B5" s="1128"/>
      <c r="C5" s="1128" t="s">
        <v>566</v>
      </c>
      <c r="D5" s="1128"/>
      <c r="E5" s="1129" t="s">
        <v>559</v>
      </c>
      <c r="F5" s="1827" t="s">
        <v>560</v>
      </c>
      <c r="G5" s="1828"/>
      <c r="H5" s="1828"/>
      <c r="I5" s="1829"/>
      <c r="J5" s="1130"/>
      <c r="K5" s="1128"/>
      <c r="L5" s="1131" t="s">
        <v>559</v>
      </c>
    </row>
    <row r="6" spans="1:22">
      <c r="B6" s="1128"/>
      <c r="C6" s="1128" t="s">
        <v>567</v>
      </c>
      <c r="D6" s="1128"/>
      <c r="E6" s="1132" t="str">
        <f>'KEY INPUTS'!D45</f>
        <v>Dec. 31, 2019</v>
      </c>
      <c r="F6" s="1129" t="s">
        <v>561</v>
      </c>
      <c r="G6" s="1129" t="s">
        <v>262</v>
      </c>
      <c r="H6" s="1130"/>
      <c r="I6" s="1130"/>
      <c r="J6" s="1130"/>
      <c r="K6" s="1133" t="s">
        <v>565</v>
      </c>
      <c r="L6" s="1134" t="str">
        <f>'KEY INPUTS'!D46</f>
        <v>Dec. 31, 2020</v>
      </c>
    </row>
    <row r="7" spans="1:22" ht="13.8" thickBot="1">
      <c r="B7" s="1135"/>
      <c r="C7" s="1135"/>
      <c r="D7" s="1135"/>
      <c r="E7" s="1136"/>
      <c r="F7" s="1137" t="s">
        <v>562</v>
      </c>
      <c r="G7" s="1137" t="s">
        <v>564</v>
      </c>
      <c r="H7" s="1136"/>
      <c r="I7" s="1136"/>
      <c r="J7" s="1136"/>
      <c r="K7" s="1138"/>
      <c r="L7" s="1139"/>
    </row>
    <row r="8" spans="1:22" ht="21" customHeight="1" thickTop="1">
      <c r="B8" s="1140" t="s">
        <v>656</v>
      </c>
      <c r="C8" s="1140"/>
      <c r="D8" s="1141"/>
      <c r="E8" s="1070" t="s">
        <v>662</v>
      </c>
      <c r="F8" s="1070" t="s">
        <v>662</v>
      </c>
      <c r="G8" s="1070" t="s">
        <v>662</v>
      </c>
      <c r="H8" s="1070" t="s">
        <v>662</v>
      </c>
      <c r="I8" s="1070" t="s">
        <v>662</v>
      </c>
      <c r="J8" s="1070" t="s">
        <v>662</v>
      </c>
      <c r="K8" s="1070" t="s">
        <v>662</v>
      </c>
      <c r="L8" s="858" t="s">
        <v>662</v>
      </c>
      <c r="P8" s="315"/>
      <c r="Q8" s="315"/>
      <c r="R8" s="315"/>
      <c r="S8" s="315"/>
      <c r="T8" s="315"/>
      <c r="U8" s="315"/>
      <c r="V8" s="315"/>
    </row>
    <row r="9" spans="1:22" ht="21" customHeight="1">
      <c r="B9" s="639"/>
      <c r="C9" s="639"/>
      <c r="D9" s="643"/>
      <c r="E9" s="593"/>
      <c r="F9" s="593"/>
      <c r="G9" s="593"/>
      <c r="H9" s="593"/>
      <c r="I9" s="593"/>
      <c r="J9" s="593"/>
      <c r="K9" s="593"/>
      <c r="L9" s="1063">
        <f>+E9+F9+G9+H9+I9+J9-K9</f>
        <v>0</v>
      </c>
      <c r="P9" s="315"/>
      <c r="Q9" s="315"/>
      <c r="R9" s="315"/>
      <c r="S9" s="315"/>
      <c r="T9" s="315"/>
      <c r="U9" s="315"/>
      <c r="V9" s="315"/>
    </row>
    <row r="10" spans="1:22" ht="21" customHeight="1">
      <c r="B10" s="639"/>
      <c r="C10" s="639"/>
      <c r="D10" s="643"/>
      <c r="E10" s="593"/>
      <c r="F10" s="593"/>
      <c r="G10" s="593"/>
      <c r="H10" s="593"/>
      <c r="I10" s="593"/>
      <c r="J10" s="593"/>
      <c r="K10" s="593"/>
      <c r="L10" s="1063">
        <f t="shared" ref="L10:L25" si="0">+E10+F10+G10+H10+I10+J10-K10</f>
        <v>0</v>
      </c>
      <c r="P10" s="370"/>
      <c r="Q10" s="315"/>
      <c r="R10" s="315"/>
      <c r="S10" s="315"/>
      <c r="T10" s="315"/>
      <c r="U10" s="315"/>
      <c r="V10" s="315"/>
    </row>
    <row r="11" spans="1:22" ht="21" customHeight="1">
      <c r="B11" s="639"/>
      <c r="C11" s="639"/>
      <c r="D11" s="643"/>
      <c r="E11" s="593"/>
      <c r="F11" s="593"/>
      <c r="G11" s="593"/>
      <c r="H11" s="593"/>
      <c r="I11" s="593"/>
      <c r="J11" s="593"/>
      <c r="K11" s="593"/>
      <c r="L11" s="1063">
        <f t="shared" si="0"/>
        <v>0</v>
      </c>
      <c r="P11" s="315"/>
      <c r="Q11" s="315"/>
      <c r="R11" s="315"/>
      <c r="S11" s="315"/>
      <c r="T11" s="315"/>
      <c r="U11" s="315"/>
      <c r="V11" s="315"/>
    </row>
    <row r="12" spans="1:22" ht="21" customHeight="1">
      <c r="B12" s="639"/>
      <c r="C12" s="639"/>
      <c r="D12" s="643"/>
      <c r="E12" s="593"/>
      <c r="F12" s="593"/>
      <c r="G12" s="593"/>
      <c r="H12" s="593"/>
      <c r="I12" s="593"/>
      <c r="J12" s="593"/>
      <c r="K12" s="593"/>
      <c r="L12" s="1063">
        <f t="shared" si="0"/>
        <v>0</v>
      </c>
      <c r="P12" s="315"/>
      <c r="Q12" s="315"/>
      <c r="R12" s="315"/>
      <c r="S12" s="315"/>
      <c r="T12" s="315"/>
      <c r="U12" s="315"/>
      <c r="V12" s="315"/>
    </row>
    <row r="13" spans="1:22" ht="21" customHeight="1">
      <c r="B13" s="639"/>
      <c r="C13" s="639"/>
      <c r="D13" s="643"/>
      <c r="E13" s="596"/>
      <c r="F13" s="593"/>
      <c r="G13" s="593"/>
      <c r="H13" s="593"/>
      <c r="I13" s="593"/>
      <c r="J13" s="593"/>
      <c r="K13" s="593"/>
      <c r="L13" s="1063">
        <f t="shared" si="0"/>
        <v>0</v>
      </c>
      <c r="P13" s="315"/>
      <c r="Q13" s="315"/>
      <c r="R13" s="315"/>
      <c r="S13" s="315"/>
      <c r="T13" s="315"/>
      <c r="U13" s="315"/>
      <c r="V13" s="315"/>
    </row>
    <row r="14" spans="1:22" ht="21" customHeight="1">
      <c r="B14" s="1121" t="s">
        <v>657</v>
      </c>
      <c r="C14" s="1121"/>
      <c r="D14" s="1147"/>
      <c r="E14" s="963" t="s">
        <v>662</v>
      </c>
      <c r="F14" s="963" t="s">
        <v>662</v>
      </c>
      <c r="G14" s="963" t="s">
        <v>662</v>
      </c>
      <c r="H14" s="963" t="s">
        <v>662</v>
      </c>
      <c r="I14" s="963" t="s">
        <v>662</v>
      </c>
      <c r="J14" s="963" t="s">
        <v>662</v>
      </c>
      <c r="K14" s="963" t="s">
        <v>662</v>
      </c>
      <c r="L14" s="860" t="s">
        <v>662</v>
      </c>
      <c r="P14" s="315"/>
      <c r="Q14" s="315"/>
      <c r="R14" s="315"/>
      <c r="S14" s="315"/>
      <c r="T14" s="315"/>
      <c r="U14" s="315"/>
      <c r="V14" s="315"/>
    </row>
    <row r="15" spans="1:22" ht="21" customHeight="1">
      <c r="A15" s="1830" t="s">
        <v>3200</v>
      </c>
      <c r="B15" s="639"/>
      <c r="C15" s="639"/>
      <c r="D15" s="643"/>
      <c r="E15" s="593"/>
      <c r="F15" s="593"/>
      <c r="G15" s="593"/>
      <c r="H15" s="593"/>
      <c r="I15" s="593"/>
      <c r="J15" s="593"/>
      <c r="K15" s="593"/>
      <c r="L15" s="1063">
        <f t="shared" si="0"/>
        <v>0</v>
      </c>
      <c r="P15" s="315"/>
      <c r="Q15" s="315"/>
      <c r="R15" s="315"/>
      <c r="S15" s="315"/>
      <c r="T15" s="315"/>
      <c r="U15" s="315"/>
      <c r="V15" s="315"/>
    </row>
    <row r="16" spans="1:22" ht="21" customHeight="1">
      <c r="A16" s="1830"/>
      <c r="B16" s="639"/>
      <c r="C16" s="639"/>
      <c r="D16" s="643"/>
      <c r="E16" s="593"/>
      <c r="F16" s="593"/>
      <c r="G16" s="593"/>
      <c r="H16" s="593"/>
      <c r="I16" s="593"/>
      <c r="J16" s="593"/>
      <c r="K16" s="593"/>
      <c r="L16" s="1063">
        <f t="shared" si="0"/>
        <v>0</v>
      </c>
      <c r="P16" s="315"/>
      <c r="Q16" s="315"/>
      <c r="R16" s="315"/>
      <c r="S16" s="315"/>
      <c r="T16" s="315"/>
      <c r="U16" s="315"/>
      <c r="V16" s="315"/>
    </row>
    <row r="17" spans="1:22" ht="21" customHeight="1">
      <c r="A17" s="1830"/>
      <c r="B17" s="639"/>
      <c r="C17" s="639"/>
      <c r="D17" s="643"/>
      <c r="E17" s="593"/>
      <c r="F17" s="593"/>
      <c r="G17" s="593"/>
      <c r="H17" s="593"/>
      <c r="I17" s="593"/>
      <c r="J17" s="593"/>
      <c r="K17" s="593"/>
      <c r="L17" s="1063">
        <f t="shared" si="0"/>
        <v>0</v>
      </c>
      <c r="P17" s="315"/>
      <c r="Q17" s="315"/>
      <c r="R17" s="315"/>
      <c r="S17" s="315"/>
      <c r="T17" s="315"/>
      <c r="U17" s="315"/>
      <c r="V17" s="315"/>
    </row>
    <row r="18" spans="1:22" ht="21" customHeight="1">
      <c r="B18" s="639"/>
      <c r="C18" s="639"/>
      <c r="D18" s="643"/>
      <c r="E18" s="593"/>
      <c r="F18" s="593"/>
      <c r="G18" s="593"/>
      <c r="H18" s="593"/>
      <c r="I18" s="593"/>
      <c r="J18" s="593"/>
      <c r="K18" s="593"/>
      <c r="L18" s="1063">
        <f t="shared" si="0"/>
        <v>0</v>
      </c>
      <c r="P18" s="315"/>
      <c r="Q18" s="315"/>
      <c r="R18" s="315"/>
      <c r="S18" s="315"/>
      <c r="T18" s="315"/>
      <c r="U18" s="315"/>
      <c r="V18" s="315"/>
    </row>
    <row r="19" spans="1:22" ht="21" customHeight="1">
      <c r="B19" s="1121" t="s">
        <v>658</v>
      </c>
      <c r="C19" s="1121"/>
      <c r="D19" s="1147"/>
      <c r="E19" s="593"/>
      <c r="F19" s="593"/>
      <c r="G19" s="593"/>
      <c r="H19" s="593"/>
      <c r="I19" s="593"/>
      <c r="J19" s="593"/>
      <c r="K19" s="593"/>
      <c r="L19" s="1063">
        <f t="shared" si="0"/>
        <v>0</v>
      </c>
      <c r="P19" s="315"/>
      <c r="Q19" s="315"/>
      <c r="R19" s="315"/>
      <c r="S19" s="315"/>
      <c r="T19" s="315"/>
      <c r="U19" s="315"/>
      <c r="V19" s="315"/>
    </row>
    <row r="20" spans="1:22" ht="21" customHeight="1">
      <c r="B20" s="1121" t="s">
        <v>659</v>
      </c>
      <c r="C20" s="1121"/>
      <c r="D20" s="1147"/>
      <c r="E20" s="593"/>
      <c r="F20" s="593"/>
      <c r="G20" s="593"/>
      <c r="H20" s="593"/>
      <c r="I20" s="593"/>
      <c r="J20" s="593"/>
      <c r="K20" s="593"/>
      <c r="L20" s="1063">
        <f t="shared" si="0"/>
        <v>0</v>
      </c>
      <c r="P20" s="315"/>
      <c r="Q20" s="315"/>
      <c r="R20" s="315"/>
      <c r="S20" s="315"/>
      <c r="T20" s="315"/>
      <c r="U20" s="315"/>
      <c r="V20" s="315"/>
    </row>
    <row r="21" spans="1:22" ht="21" customHeight="1">
      <c r="B21" s="1121" t="s">
        <v>263</v>
      </c>
      <c r="C21" s="1121"/>
      <c r="D21" s="1147"/>
      <c r="E21" s="963" t="s">
        <v>662</v>
      </c>
      <c r="F21" s="963" t="s">
        <v>662</v>
      </c>
      <c r="G21" s="963" t="s">
        <v>662</v>
      </c>
      <c r="H21" s="963" t="s">
        <v>662</v>
      </c>
      <c r="I21" s="963" t="s">
        <v>662</v>
      </c>
      <c r="J21" s="963" t="s">
        <v>662</v>
      </c>
      <c r="K21" s="963" t="s">
        <v>662</v>
      </c>
      <c r="L21" s="860" t="s">
        <v>662</v>
      </c>
      <c r="P21" s="315"/>
      <c r="Q21" s="315"/>
      <c r="R21" s="315"/>
      <c r="S21" s="315"/>
      <c r="T21" s="315"/>
      <c r="U21" s="315"/>
      <c r="V21" s="315"/>
    </row>
    <row r="22" spans="1:22" ht="21" customHeight="1">
      <c r="B22" s="639"/>
      <c r="C22" s="639"/>
      <c r="D22" s="643"/>
      <c r="E22" s="593"/>
      <c r="F22" s="593"/>
      <c r="G22" s="593"/>
      <c r="H22" s="593"/>
      <c r="I22" s="593"/>
      <c r="J22" s="593"/>
      <c r="K22" s="593"/>
      <c r="L22" s="1063">
        <f t="shared" si="0"/>
        <v>0</v>
      </c>
      <c r="P22" s="315"/>
      <c r="Q22" s="315"/>
      <c r="R22" s="315"/>
      <c r="S22" s="315"/>
      <c r="T22" s="315"/>
      <c r="U22" s="315"/>
      <c r="V22" s="315"/>
    </row>
    <row r="23" spans="1:22" ht="21" customHeight="1">
      <c r="B23" s="639"/>
      <c r="C23" s="639"/>
      <c r="D23" s="643"/>
      <c r="E23" s="593"/>
      <c r="F23" s="593"/>
      <c r="G23" s="593"/>
      <c r="H23" s="593"/>
      <c r="I23" s="593"/>
      <c r="J23" s="593"/>
      <c r="K23" s="593"/>
      <c r="L23" s="1063">
        <f t="shared" si="0"/>
        <v>0</v>
      </c>
      <c r="P23" s="315"/>
      <c r="Q23" s="315"/>
      <c r="R23" s="315"/>
      <c r="S23" s="315"/>
      <c r="T23" s="315"/>
      <c r="U23" s="315"/>
      <c r="V23" s="315"/>
    </row>
    <row r="24" spans="1:22" ht="21" customHeight="1">
      <c r="B24" s="639"/>
      <c r="C24" s="639"/>
      <c r="D24" s="643"/>
      <c r="E24" s="593"/>
      <c r="F24" s="593"/>
      <c r="G24" s="593"/>
      <c r="H24" s="593"/>
      <c r="I24" s="593"/>
      <c r="J24" s="593"/>
      <c r="K24" s="593"/>
      <c r="L24" s="1063">
        <f t="shared" si="0"/>
        <v>0</v>
      </c>
      <c r="P24" s="315"/>
      <c r="Q24" s="315"/>
      <c r="R24" s="315"/>
      <c r="S24" s="315"/>
      <c r="T24" s="315"/>
      <c r="U24" s="315"/>
      <c r="V24" s="315"/>
    </row>
    <row r="25" spans="1:22" ht="21" customHeight="1" thickBot="1">
      <c r="B25" s="639"/>
      <c r="C25" s="639"/>
      <c r="D25" s="643"/>
      <c r="E25" s="619"/>
      <c r="F25" s="619"/>
      <c r="G25" s="619"/>
      <c r="H25" s="619"/>
      <c r="I25" s="619"/>
      <c r="J25" s="619"/>
      <c r="K25" s="619"/>
      <c r="L25" s="1142">
        <f t="shared" si="0"/>
        <v>0</v>
      </c>
    </row>
    <row r="26" spans="1:22" ht="21" customHeight="1" thickTop="1" thickBot="1">
      <c r="B26" s="1144"/>
      <c r="C26" s="1144"/>
      <c r="D26" s="1145"/>
      <c r="E26" s="1065">
        <f t="shared" ref="E26:K26" si="1">SUM(E9:E25)</f>
        <v>0</v>
      </c>
      <c r="F26" s="1065">
        <f t="shared" si="1"/>
        <v>0</v>
      </c>
      <c r="G26" s="1065">
        <f t="shared" si="1"/>
        <v>0</v>
      </c>
      <c r="H26" s="1065">
        <f t="shared" si="1"/>
        <v>0</v>
      </c>
      <c r="I26" s="1065">
        <f t="shared" si="1"/>
        <v>0</v>
      </c>
      <c r="J26" s="1065">
        <f t="shared" si="1"/>
        <v>0</v>
      </c>
      <c r="K26" s="1065">
        <f t="shared" si="1"/>
        <v>0</v>
      </c>
      <c r="L26" s="1143">
        <f>SUM(L9:L25)</f>
        <v>0</v>
      </c>
    </row>
    <row r="27" spans="1:22" ht="13.8" thickTop="1">
      <c r="B27" s="1146" t="s">
        <v>661</v>
      </c>
      <c r="C27" s="1128"/>
      <c r="D27" s="1128"/>
      <c r="E27" s="1128"/>
      <c r="F27" s="1128"/>
      <c r="G27" s="1128"/>
      <c r="H27" s="1128"/>
      <c r="I27" s="1128"/>
      <c r="J27" s="1128"/>
      <c r="K27" s="1128"/>
      <c r="L27" s="1128"/>
    </row>
  </sheetData>
  <sheetProtection password="CAF9"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6">
    <tabColor theme="5" tint="0.59999389629810485"/>
  </sheetPr>
  <dimension ref="B1:T55"/>
  <sheetViews>
    <sheetView zoomScaleNormal="100" zoomScaleSheetLayoutView="80" workbookViewId="0">
      <selection activeCell="H20" sqref="H20"/>
    </sheetView>
  </sheetViews>
  <sheetFormatPr defaultColWidth="8.88671875" defaultRowHeight="13.2"/>
  <cols>
    <col min="1" max="1" width="4.6640625" style="391" customWidth="1"/>
    <col min="2" max="3" width="3.6640625" style="391" customWidth="1"/>
    <col min="4" max="4" width="4.6640625" style="391" customWidth="1"/>
    <col min="5" max="5" width="8.88671875" style="391"/>
    <col min="6" max="6" width="16.6640625" style="391" customWidth="1"/>
    <col min="7" max="7" width="8.6640625" style="391" customWidth="1"/>
    <col min="8" max="10" width="16.6640625" style="391" customWidth="1"/>
    <col min="11" max="11" width="8.88671875" style="391"/>
    <col min="12" max="12" width="11.33203125" style="391" bestFit="1" customWidth="1"/>
    <col min="13" max="16384" width="8.88671875" style="391"/>
  </cols>
  <sheetData>
    <row r="1" spans="2:20">
      <c r="B1" s="1096"/>
      <c r="C1" s="1096"/>
      <c r="D1" s="1096"/>
      <c r="E1" s="1096"/>
      <c r="F1" s="1096"/>
      <c r="G1" s="1096"/>
      <c r="H1" s="1096"/>
      <c r="I1" s="1096"/>
      <c r="J1" s="1096"/>
    </row>
    <row r="2" spans="2:20" ht="22.8">
      <c r="B2" s="1804" t="str">
        <f>"SCHEDULE  OF "&amp;UPPER('KEY INPUTS'!D54)&amp;" UTILITY  BUDGET  -  "&amp;TEXT('KEY INPUTS'!D34,"0")&amp;""</f>
        <v>SCHEDULE  OF  UTILITY  BUDGET  -  2020</v>
      </c>
      <c r="C2" s="1804"/>
      <c r="D2" s="1804"/>
      <c r="E2" s="1804"/>
      <c r="F2" s="1804"/>
      <c r="G2" s="1804"/>
      <c r="H2" s="1804"/>
      <c r="I2" s="1804"/>
      <c r="J2" s="1804"/>
    </row>
    <row r="3" spans="2:20" ht="12" customHeight="1">
      <c r="B3" s="1283"/>
      <c r="C3" s="1283"/>
      <c r="D3" s="1283"/>
      <c r="E3" s="1283"/>
      <c r="F3" s="1283"/>
      <c r="G3" s="1283"/>
      <c r="H3" s="1283"/>
      <c r="I3" s="1283"/>
      <c r="J3" s="1283"/>
    </row>
    <row r="4" spans="2:20" ht="17.25" customHeight="1" thickBot="1">
      <c r="B4" s="1963" t="s">
        <v>881</v>
      </c>
      <c r="C4" s="1963"/>
      <c r="D4" s="1963"/>
      <c r="E4" s="1963"/>
      <c r="F4" s="1963"/>
      <c r="G4" s="1963"/>
      <c r="H4" s="1963"/>
      <c r="I4" s="1963"/>
      <c r="J4" s="1963"/>
    </row>
    <row r="5" spans="2:20" ht="13.8" thickTop="1">
      <c r="B5" s="1964" t="s">
        <v>172</v>
      </c>
      <c r="C5" s="1964"/>
      <c r="D5" s="1964"/>
      <c r="E5" s="1964"/>
      <c r="F5" s="1964"/>
      <c r="G5" s="1929"/>
      <c r="H5" s="1220" t="s">
        <v>564</v>
      </c>
      <c r="I5" s="1220" t="s">
        <v>672</v>
      </c>
      <c r="J5" s="1284" t="s">
        <v>340</v>
      </c>
    </row>
    <row r="6" spans="2:20" ht="13.8" thickBot="1">
      <c r="B6" s="1965"/>
      <c r="C6" s="1965"/>
      <c r="D6" s="1965"/>
      <c r="E6" s="1965"/>
      <c r="F6" s="1965"/>
      <c r="G6" s="1966"/>
      <c r="H6" s="1285"/>
      <c r="I6" s="1285" t="s">
        <v>339</v>
      </c>
      <c r="J6" s="1286" t="s">
        <v>341</v>
      </c>
    </row>
    <row r="7" spans="2:20" ht="21" customHeight="1" thickTop="1">
      <c r="B7" s="1152" t="s">
        <v>3213</v>
      </c>
      <c r="C7" s="1152"/>
      <c r="D7" s="1152"/>
      <c r="E7" s="1152"/>
      <c r="F7" s="1152"/>
      <c r="G7" s="1287"/>
      <c r="H7" s="597"/>
      <c r="I7" s="1291">
        <f>H7</f>
        <v>0</v>
      </c>
      <c r="J7" s="1185">
        <f>+I7-H7</f>
        <v>0</v>
      </c>
    </row>
    <row r="8" spans="2:20" ht="10.5" customHeight="1">
      <c r="B8" s="1191" t="s">
        <v>3212</v>
      </c>
      <c r="C8" s="1096"/>
      <c r="D8" s="1096"/>
      <c r="E8" s="1096"/>
      <c r="F8" s="1096"/>
      <c r="G8" s="1288"/>
      <c r="H8" s="1290"/>
      <c r="I8" s="1290"/>
      <c r="J8" s="1100"/>
    </row>
    <row r="9" spans="2:20">
      <c r="B9" s="1110" t="s">
        <v>175</v>
      </c>
      <c r="C9" s="1110"/>
      <c r="D9" s="1110"/>
      <c r="E9" s="1110"/>
      <c r="F9" s="1110"/>
      <c r="G9" s="1289"/>
      <c r="H9" s="644"/>
      <c r="I9" s="644"/>
      <c r="J9" s="849">
        <f t="shared" ref="J9:J15" si="0">+I9-H9</f>
        <v>0</v>
      </c>
    </row>
    <row r="10" spans="2:20" ht="21" customHeight="1">
      <c r="B10" s="639"/>
      <c r="C10" s="639"/>
      <c r="D10" s="639"/>
      <c r="E10" s="639"/>
      <c r="F10" s="639"/>
      <c r="G10" s="1148"/>
      <c r="H10" s="771"/>
      <c r="I10" s="771"/>
      <c r="J10" s="1292">
        <f t="shared" si="0"/>
        <v>0</v>
      </c>
      <c r="N10" s="315"/>
      <c r="O10" s="315"/>
      <c r="P10" s="315"/>
      <c r="Q10" s="315"/>
      <c r="R10" s="315"/>
      <c r="S10" s="315"/>
      <c r="T10" s="315"/>
    </row>
    <row r="11" spans="2:20" ht="21" customHeight="1">
      <c r="B11" s="639"/>
      <c r="C11" s="639"/>
      <c r="D11" s="639"/>
      <c r="E11" s="639"/>
      <c r="F11" s="639"/>
      <c r="G11" s="1148"/>
      <c r="H11" s="771"/>
      <c r="I11" s="771"/>
      <c r="J11" s="1106">
        <f t="shared" si="0"/>
        <v>0</v>
      </c>
      <c r="N11" s="315"/>
      <c r="O11" s="315"/>
      <c r="P11" s="315"/>
      <c r="Q11" s="315"/>
      <c r="R11" s="315"/>
      <c r="S11" s="315"/>
      <c r="T11" s="315"/>
    </row>
    <row r="12" spans="2:20" ht="21" customHeight="1">
      <c r="B12" s="639"/>
      <c r="C12" s="639"/>
      <c r="D12" s="639"/>
      <c r="E12" s="639"/>
      <c r="F12" s="639"/>
      <c r="G12" s="1148"/>
      <c r="H12" s="771"/>
      <c r="I12" s="771"/>
      <c r="J12" s="1106">
        <f t="shared" si="0"/>
        <v>0</v>
      </c>
      <c r="N12" s="370"/>
      <c r="O12" s="315"/>
      <c r="P12" s="315"/>
      <c r="Q12" s="315"/>
      <c r="R12" s="315"/>
      <c r="S12" s="315"/>
      <c r="T12" s="315"/>
    </row>
    <row r="13" spans="2:20" ht="21" customHeight="1">
      <c r="B13" s="639"/>
      <c r="C13" s="639"/>
      <c r="D13" s="639"/>
      <c r="E13" s="639"/>
      <c r="F13" s="639"/>
      <c r="G13" s="1148"/>
      <c r="H13" s="771"/>
      <c r="I13" s="771"/>
      <c r="J13" s="1106">
        <f t="shared" si="0"/>
        <v>0</v>
      </c>
      <c r="N13" s="315"/>
      <c r="O13" s="315"/>
      <c r="P13" s="315"/>
      <c r="Q13" s="315"/>
      <c r="R13" s="315"/>
      <c r="S13" s="315"/>
      <c r="T13" s="315"/>
    </row>
    <row r="14" spans="2:20" ht="21" customHeight="1">
      <c r="B14" s="639"/>
      <c r="C14" s="639"/>
      <c r="D14" s="639"/>
      <c r="E14" s="639"/>
      <c r="F14" s="639"/>
      <c r="G14" s="1148"/>
      <c r="H14" s="771"/>
      <c r="I14" s="771"/>
      <c r="J14" s="1106">
        <f t="shared" si="0"/>
        <v>0</v>
      </c>
      <c r="N14" s="315"/>
      <c r="O14" s="315"/>
      <c r="P14" s="315"/>
      <c r="Q14" s="315"/>
      <c r="R14" s="315"/>
      <c r="S14" s="315"/>
      <c r="T14" s="315"/>
    </row>
    <row r="15" spans="2:20" ht="21" customHeight="1">
      <c r="B15" s="681" t="s">
        <v>3211</v>
      </c>
      <c r="C15" s="681"/>
      <c r="D15" s="681"/>
      <c r="E15" s="681"/>
      <c r="F15" s="681"/>
      <c r="G15" s="1289"/>
      <c r="H15" s="771"/>
      <c r="I15" s="771"/>
      <c r="J15" s="1106">
        <f t="shared" si="0"/>
        <v>0</v>
      </c>
      <c r="N15" s="315"/>
      <c r="O15" s="315"/>
      <c r="P15" s="315"/>
      <c r="Q15" s="315"/>
      <c r="R15" s="315"/>
      <c r="S15" s="315"/>
      <c r="T15" s="315"/>
    </row>
    <row r="16" spans="2:20" ht="21" customHeight="1">
      <c r="B16" s="681" t="s">
        <v>3210</v>
      </c>
      <c r="C16" s="681"/>
      <c r="D16" s="681"/>
      <c r="E16" s="681"/>
      <c r="F16" s="681"/>
      <c r="G16" s="1289"/>
      <c r="H16" s="771"/>
      <c r="I16" s="771"/>
      <c r="J16" s="1106"/>
      <c r="N16" s="315"/>
      <c r="O16" s="315"/>
      <c r="P16" s="315"/>
      <c r="Q16" s="315"/>
      <c r="R16" s="315"/>
      <c r="S16" s="315"/>
      <c r="T16" s="315"/>
    </row>
    <row r="17" spans="2:20" ht="21" customHeight="1">
      <c r="B17" s="681" t="s">
        <v>338</v>
      </c>
      <c r="C17" s="681"/>
      <c r="D17" s="681"/>
      <c r="E17" s="681"/>
      <c r="F17" s="681"/>
      <c r="G17" s="1289"/>
      <c r="H17" s="1156" t="s">
        <v>662</v>
      </c>
      <c r="I17" s="1156" t="s">
        <v>662</v>
      </c>
      <c r="J17" s="1282" t="s">
        <v>662</v>
      </c>
      <c r="N17" s="315"/>
      <c r="O17" s="315"/>
      <c r="P17" s="315"/>
      <c r="Q17" s="315"/>
      <c r="R17" s="315"/>
      <c r="S17" s="315"/>
      <c r="T17" s="315"/>
    </row>
    <row r="18" spans="2:20" ht="21" customHeight="1">
      <c r="B18" s="639"/>
      <c r="C18" s="639"/>
      <c r="D18" s="639"/>
      <c r="E18" s="639"/>
      <c r="F18" s="639"/>
      <c r="G18" s="639"/>
      <c r="H18" s="593"/>
      <c r="I18" s="593"/>
      <c r="J18" s="1106">
        <f>I18-H18</f>
        <v>0</v>
      </c>
      <c r="N18" s="315"/>
      <c r="O18" s="315"/>
      <c r="P18" s="315"/>
      <c r="Q18" s="315"/>
      <c r="R18" s="315"/>
      <c r="S18" s="315"/>
      <c r="T18" s="315"/>
    </row>
    <row r="19" spans="2:20" ht="21" customHeight="1" thickBot="1">
      <c r="B19" s="639"/>
      <c r="C19" s="639"/>
      <c r="D19" s="639"/>
      <c r="E19" s="639"/>
      <c r="F19" s="639"/>
      <c r="G19" s="639"/>
      <c r="H19" s="619"/>
      <c r="I19" s="619"/>
      <c r="J19" s="1523">
        <f>I19-H19</f>
        <v>0</v>
      </c>
      <c r="N19" s="315"/>
      <c r="O19" s="315"/>
      <c r="P19" s="315"/>
      <c r="Q19" s="315"/>
      <c r="R19" s="315"/>
      <c r="S19" s="315"/>
      <c r="T19" s="315"/>
    </row>
    <row r="20" spans="2:20" ht="21" customHeight="1" thickTop="1">
      <c r="B20" s="681"/>
      <c r="C20" s="681"/>
      <c r="D20" s="681" t="s">
        <v>337</v>
      </c>
      <c r="E20" s="681"/>
      <c r="F20" s="681"/>
      <c r="G20" s="1294"/>
      <c r="H20" s="1297">
        <f>SUM(H7:H19)</f>
        <v>0</v>
      </c>
      <c r="I20" s="1297">
        <f>SUM(I7:I19)</f>
        <v>0</v>
      </c>
      <c r="J20" s="849">
        <f>SUM(J7:J19)</f>
        <v>0</v>
      </c>
      <c r="N20" s="315"/>
      <c r="O20" s="315"/>
      <c r="P20" s="315"/>
      <c r="Q20" s="315"/>
      <c r="R20" s="315"/>
      <c r="S20" s="315"/>
      <c r="T20" s="315"/>
    </row>
    <row r="21" spans="2:20" ht="21" customHeight="1" thickBot="1">
      <c r="B21" s="681" t="s">
        <v>3209</v>
      </c>
      <c r="C21" s="1295"/>
      <c r="D21" s="1295"/>
      <c r="E21" s="681"/>
      <c r="F21" s="681"/>
      <c r="G21" s="1289"/>
      <c r="H21" s="645"/>
      <c r="I21" s="645"/>
      <c r="J21" s="1100">
        <f>I21-H21</f>
        <v>0</v>
      </c>
      <c r="N21" s="315"/>
      <c r="O21" s="315"/>
      <c r="P21" s="315"/>
      <c r="Q21" s="315"/>
      <c r="R21" s="315"/>
      <c r="S21" s="315"/>
      <c r="T21" s="315"/>
    </row>
    <row r="22" spans="2:20" ht="21" customHeight="1" thickTop="1" thickBot="1">
      <c r="B22" s="1096"/>
      <c r="C22" s="1096"/>
      <c r="D22" s="1096"/>
      <c r="E22" s="1096"/>
      <c r="F22" s="1096"/>
      <c r="G22" s="1296"/>
      <c r="H22" s="1298">
        <f>+H20+H21</f>
        <v>0</v>
      </c>
      <c r="I22" s="1298">
        <f>+I20+I21</f>
        <v>0</v>
      </c>
      <c r="J22" s="1293">
        <f>+J20+J21</f>
        <v>0</v>
      </c>
      <c r="L22" s="392" t="s">
        <v>3190</v>
      </c>
      <c r="N22" s="315"/>
      <c r="O22" s="315"/>
      <c r="P22" s="315"/>
      <c r="Q22" s="315"/>
      <c r="R22" s="315"/>
      <c r="S22" s="315"/>
      <c r="T22" s="315"/>
    </row>
    <row r="23" spans="2:20" ht="13.8" thickTop="1">
      <c r="B23" s="420" t="s">
        <v>3208</v>
      </c>
      <c r="N23" s="315"/>
      <c r="O23" s="315"/>
      <c r="P23" s="315"/>
      <c r="Q23" s="315"/>
      <c r="R23" s="315"/>
      <c r="S23" s="315"/>
      <c r="T23" s="315"/>
    </row>
    <row r="24" spans="2:20">
      <c r="B24" s="420" t="s">
        <v>3207</v>
      </c>
      <c r="N24" s="315"/>
      <c r="O24" s="315"/>
      <c r="P24" s="315"/>
      <c r="Q24" s="315"/>
      <c r="R24" s="315"/>
      <c r="S24" s="315"/>
      <c r="T24" s="315"/>
    </row>
    <row r="25" spans="2:20">
      <c r="N25" s="315"/>
      <c r="O25" s="315"/>
      <c r="P25" s="315"/>
      <c r="Q25" s="315"/>
      <c r="R25" s="315"/>
      <c r="S25" s="315"/>
      <c r="T25" s="315"/>
    </row>
    <row r="26" spans="2:20">
      <c r="N26" s="315"/>
      <c r="O26" s="315"/>
      <c r="P26" s="315"/>
      <c r="Q26" s="315"/>
      <c r="R26" s="315"/>
      <c r="S26" s="315"/>
      <c r="T26" s="315"/>
    </row>
    <row r="27" spans="2:20" ht="17.25" customHeight="1" thickBot="1">
      <c r="B27" s="1963" t="s">
        <v>342</v>
      </c>
      <c r="C27" s="1963"/>
      <c r="D27" s="1963"/>
      <c r="E27" s="1963"/>
      <c r="F27" s="1963"/>
      <c r="G27" s="1963"/>
      <c r="H27" s="1963"/>
      <c r="I27" s="1963"/>
      <c r="J27" s="1963"/>
    </row>
    <row r="28" spans="2:20" ht="21" customHeight="1" thickTop="1">
      <c r="B28" s="1299" t="s">
        <v>343</v>
      </c>
      <c r="C28" s="1300"/>
      <c r="D28" s="1300"/>
      <c r="E28" s="1300"/>
      <c r="F28" s="1300"/>
      <c r="G28" s="1300"/>
      <c r="H28" s="1300"/>
      <c r="I28" s="1301"/>
      <c r="J28" s="1302" t="s">
        <v>662</v>
      </c>
    </row>
    <row r="29" spans="2:20" ht="21" customHeight="1">
      <c r="B29" s="1303"/>
      <c r="C29" s="1304" t="s">
        <v>181</v>
      </c>
      <c r="D29" s="1304"/>
      <c r="E29" s="1304"/>
      <c r="F29" s="1304"/>
      <c r="G29" s="1304"/>
      <c r="H29" s="1304"/>
      <c r="I29" s="1305"/>
      <c r="J29" s="646"/>
    </row>
    <row r="30" spans="2:20" ht="21" customHeight="1">
      <c r="B30" s="1303"/>
      <c r="C30" s="1304" t="s">
        <v>344</v>
      </c>
      <c r="D30" s="1304"/>
      <c r="E30" s="1304"/>
      <c r="F30" s="1304"/>
      <c r="G30" s="1304"/>
      <c r="H30" s="1304"/>
      <c r="I30" s="1305"/>
      <c r="J30" s="646"/>
    </row>
    <row r="31" spans="2:20" ht="21" customHeight="1" thickBot="1">
      <c r="B31" s="1303"/>
      <c r="C31" s="1304" t="s">
        <v>345</v>
      </c>
      <c r="D31" s="1304"/>
      <c r="E31" s="1304"/>
      <c r="F31" s="1304"/>
      <c r="G31" s="1304"/>
      <c r="H31" s="1304"/>
      <c r="I31" s="1305"/>
      <c r="J31" s="648"/>
    </row>
    <row r="32" spans="2:20" ht="21" customHeight="1" thickTop="1">
      <c r="B32" s="1303" t="s">
        <v>346</v>
      </c>
      <c r="C32" s="1304"/>
      <c r="D32" s="1304"/>
      <c r="E32" s="1304"/>
      <c r="F32" s="1304"/>
      <c r="G32" s="1304"/>
      <c r="H32" s="1304"/>
      <c r="I32" s="1306"/>
      <c r="J32" s="1307">
        <f>SUM(J29:J31)</f>
        <v>0</v>
      </c>
    </row>
    <row r="33" spans="2:13" ht="21" customHeight="1" thickBot="1">
      <c r="B33" s="1303" t="s">
        <v>347</v>
      </c>
      <c r="C33" s="1304"/>
      <c r="D33" s="1304"/>
      <c r="E33" s="1304"/>
      <c r="F33" s="1304"/>
      <c r="G33" s="1304"/>
      <c r="H33" s="1304"/>
      <c r="I33" s="1306"/>
      <c r="J33" s="648"/>
    </row>
    <row r="34" spans="2:13" ht="21" customHeight="1" thickTop="1">
      <c r="B34" s="1303" t="s">
        <v>766</v>
      </c>
      <c r="C34" s="1304"/>
      <c r="D34" s="1304"/>
      <c r="E34" s="1304"/>
      <c r="F34" s="1304"/>
      <c r="G34" s="1304"/>
      <c r="H34" s="1304"/>
      <c r="I34" s="1306"/>
      <c r="J34" s="1307">
        <f>+J32+J33</f>
        <v>0</v>
      </c>
    </row>
    <row r="35" spans="2:13" ht="21" customHeight="1">
      <c r="B35" s="1303" t="s">
        <v>348</v>
      </c>
      <c r="C35" s="1304"/>
      <c r="D35" s="1304"/>
      <c r="E35" s="1304"/>
      <c r="F35" s="1304"/>
      <c r="G35" s="1304"/>
      <c r="H35" s="1304"/>
      <c r="I35" s="1306"/>
      <c r="J35" s="1308"/>
    </row>
    <row r="36" spans="2:13" ht="21" customHeight="1">
      <c r="B36" s="1310"/>
      <c r="C36" s="1310" t="s">
        <v>628</v>
      </c>
      <c r="D36" s="1310"/>
      <c r="E36" s="1310"/>
      <c r="F36" s="1310"/>
      <c r="G36" s="1310"/>
      <c r="H36" s="1310"/>
      <c r="I36" s="649"/>
      <c r="J36" s="1309"/>
    </row>
    <row r="37" spans="2:13" ht="21" customHeight="1">
      <c r="B37" s="1310"/>
      <c r="C37" s="1310" t="s">
        <v>770</v>
      </c>
      <c r="D37" s="1310"/>
      <c r="E37" s="1310"/>
      <c r="F37" s="1310"/>
      <c r="G37" s="1310"/>
      <c r="H37" s="1310"/>
      <c r="I37" s="649"/>
      <c r="J37" s="1309"/>
    </row>
    <row r="38" spans="2:13" ht="21" customHeight="1" thickBot="1">
      <c r="B38" s="1310" t="s">
        <v>349</v>
      </c>
      <c r="C38" s="1310"/>
      <c r="D38" s="1310"/>
      <c r="E38" s="1310"/>
      <c r="F38" s="1310"/>
      <c r="G38" s="1310"/>
      <c r="H38" s="1310"/>
      <c r="I38" s="650"/>
      <c r="J38" s="646"/>
      <c r="M38" s="392"/>
    </row>
    <row r="39" spans="2:13" ht="21" customHeight="1" thickTop="1" thickBot="1">
      <c r="B39" s="1310" t="s">
        <v>771</v>
      </c>
      <c r="C39" s="1310"/>
      <c r="D39" s="1310"/>
      <c r="E39" s="1310"/>
      <c r="F39" s="1310"/>
      <c r="G39" s="1310"/>
      <c r="H39" s="1310"/>
      <c r="I39" s="1311"/>
      <c r="J39" s="1313">
        <f>SUM(I36:I38)</f>
        <v>0</v>
      </c>
    </row>
    <row r="40" spans="2:13" ht="21" customHeight="1" thickTop="1" thickBot="1">
      <c r="B40" s="1310" t="s">
        <v>350</v>
      </c>
      <c r="C40" s="1310"/>
      <c r="D40" s="1310"/>
      <c r="E40" s="1310"/>
      <c r="F40" s="1310"/>
      <c r="G40" s="1310"/>
      <c r="H40" s="1310"/>
      <c r="I40" s="1312"/>
      <c r="J40" s="1314">
        <f>+J34-J39</f>
        <v>0</v>
      </c>
      <c r="K40" s="392"/>
    </row>
    <row r="41" spans="2:13" ht="13.8" thickTop="1"/>
    <row r="42" spans="2:13">
      <c r="B42" s="420" t="s">
        <v>3206</v>
      </c>
      <c r="C42" s="420"/>
      <c r="D42" s="420"/>
      <c r="E42" s="420"/>
      <c r="F42" s="420"/>
    </row>
    <row r="43" spans="2:13">
      <c r="B43" s="420"/>
      <c r="C43" s="420" t="s">
        <v>3205</v>
      </c>
      <c r="D43" s="420"/>
      <c r="E43" s="420"/>
      <c r="F43" s="420"/>
    </row>
    <row r="44" spans="2:13">
      <c r="B44" s="420"/>
      <c r="C44" s="420"/>
      <c r="D44" s="420" t="s">
        <v>3204</v>
      </c>
      <c r="E44" s="420"/>
      <c r="F44" s="420"/>
      <c r="M44" s="392"/>
    </row>
    <row r="45" spans="2:13">
      <c r="B45" s="420"/>
      <c r="C45" s="420" t="s">
        <v>43</v>
      </c>
      <c r="D45" s="420"/>
      <c r="E45" s="420"/>
      <c r="F45" s="420"/>
    </row>
    <row r="46" spans="2:13">
      <c r="B46" s="420"/>
      <c r="C46" s="420" t="s">
        <v>3203</v>
      </c>
      <c r="D46" s="420"/>
      <c r="E46" s="420"/>
      <c r="F46" s="420"/>
    </row>
    <row r="47" spans="2:13">
      <c r="B47" s="420"/>
      <c r="C47" s="420"/>
      <c r="D47" s="420" t="s">
        <v>3202</v>
      </c>
      <c r="E47" s="420"/>
      <c r="F47" s="420"/>
    </row>
    <row r="48" spans="2:13">
      <c r="B48" s="420"/>
      <c r="C48" s="420"/>
      <c r="D48" s="420"/>
      <c r="E48" s="420"/>
      <c r="F48" s="420"/>
    </row>
    <row r="55" spans="2:10" ht="13.8">
      <c r="B55" s="1799" t="s">
        <v>3201</v>
      </c>
      <c r="C55" s="1799"/>
      <c r="D55" s="1799"/>
      <c r="E55" s="1799"/>
      <c r="F55" s="1799"/>
      <c r="G55" s="1799"/>
      <c r="H55" s="1799"/>
      <c r="I55" s="1799"/>
      <c r="J55" s="1799"/>
    </row>
  </sheetData>
  <sheetProtection algorithmName="SHA-512" hashValue="elVUja1QP50eYf2SPX6oWmRHStFRnyNM47FURvrvm+tH29+1ZE75pSVAPc5ZoiJDU92dX4uDogL7Oo5fXqr/PQ==" saltValue="IhJqBzWWroo7uD7y+JCPyA=="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7">
    <tabColor theme="5" tint="0.59999389629810485"/>
  </sheetPr>
  <dimension ref="B1:T57"/>
  <sheetViews>
    <sheetView topLeftCell="A25" zoomScaleNormal="100" zoomScaleSheetLayoutView="80" workbookViewId="0">
      <selection activeCell="M43" sqref="M43"/>
    </sheetView>
  </sheetViews>
  <sheetFormatPr defaultColWidth="8.88671875" defaultRowHeight="13.2"/>
  <cols>
    <col min="1" max="1" width="4.6640625" style="391" customWidth="1"/>
    <col min="2" max="2" width="6.109375" style="391" customWidth="1"/>
    <col min="3" max="3" width="3.33203125" style="391" customWidth="1"/>
    <col min="4" max="4" width="2.6640625" style="391" customWidth="1"/>
    <col min="5" max="5" width="8.88671875" style="391"/>
    <col min="6" max="6" width="5.88671875" style="391" customWidth="1"/>
    <col min="7" max="7" width="8.88671875" style="391"/>
    <col min="8" max="8" width="16" style="391" customWidth="1"/>
    <col min="9" max="9" width="8.88671875" style="391"/>
    <col min="10" max="11" width="16.6640625" style="391" customWidth="1"/>
    <col min="12" max="12" width="8.88671875" style="391"/>
    <col min="13" max="13" width="11.33203125" style="391" customWidth="1"/>
    <col min="14" max="16384" width="8.88671875" style="391"/>
  </cols>
  <sheetData>
    <row r="1" spans="2:20">
      <c r="B1" s="1096"/>
      <c r="C1" s="1096"/>
      <c r="D1" s="1096"/>
      <c r="E1" s="1096"/>
      <c r="F1" s="1096"/>
      <c r="G1" s="1096"/>
      <c r="H1" s="1096"/>
      <c r="I1" s="1096"/>
      <c r="J1" s="1096"/>
      <c r="K1" s="1096"/>
    </row>
    <row r="2" spans="2:20">
      <c r="B2" s="1096"/>
      <c r="C2" s="1096"/>
      <c r="D2" s="1096"/>
      <c r="E2" s="1096"/>
      <c r="F2" s="1096"/>
      <c r="G2" s="1096"/>
      <c r="H2" s="1096"/>
      <c r="I2" s="1096"/>
      <c r="J2" s="1096"/>
      <c r="K2" s="1096"/>
    </row>
    <row r="3" spans="2:20" ht="22.8">
      <c r="B3" s="1804" t="str">
        <f>"STATEMENT  OF  "&amp;TEXT('KEY INPUTS'!D34,"0")&amp;"  OPERATION"</f>
        <v>STATEMENT  OF  2020  OPERATION</v>
      </c>
      <c r="C3" s="1804"/>
      <c r="D3" s="1804"/>
      <c r="E3" s="1804"/>
      <c r="F3" s="1804"/>
      <c r="G3" s="1804"/>
      <c r="H3" s="1804"/>
      <c r="I3" s="1804"/>
      <c r="J3" s="1804"/>
      <c r="K3" s="1804"/>
    </row>
    <row r="4" spans="2:20">
      <c r="B4" s="1096"/>
      <c r="C4" s="1096"/>
      <c r="D4" s="1096"/>
      <c r="E4" s="1096"/>
      <c r="F4" s="1096"/>
      <c r="G4" s="1096"/>
      <c r="H4" s="1096"/>
      <c r="I4" s="1096"/>
      <c r="J4" s="1096"/>
      <c r="K4" s="1096"/>
    </row>
    <row r="5" spans="2:20" ht="20.399999999999999">
      <c r="B5" s="1826" t="str">
        <f>UPPER('KEY INPUTS'!D54)&amp;" UTILITY"</f>
        <v xml:space="preserve"> UTILITY</v>
      </c>
      <c r="C5" s="1826"/>
      <c r="D5" s="1826"/>
      <c r="E5" s="1826"/>
      <c r="F5" s="1826"/>
      <c r="G5" s="1826"/>
      <c r="H5" s="1826"/>
      <c r="I5" s="1826"/>
      <c r="J5" s="1826"/>
      <c r="K5" s="1826"/>
    </row>
    <row r="6" spans="2:20">
      <c r="B6" s="1096"/>
      <c r="C6" s="1096"/>
      <c r="D6" s="1096"/>
      <c r="E6" s="1096"/>
      <c r="F6" s="1096"/>
      <c r="G6" s="1096"/>
      <c r="H6" s="1096"/>
      <c r="I6" s="1096"/>
      <c r="J6" s="1096"/>
      <c r="K6" s="1096"/>
    </row>
    <row r="7" spans="2:20">
      <c r="B7" s="1096"/>
      <c r="C7" s="1096"/>
      <c r="D7" s="1096"/>
      <c r="E7" s="1096"/>
      <c r="F7" s="1096"/>
      <c r="G7" s="1096"/>
      <c r="H7" s="1096"/>
      <c r="I7" s="1096"/>
      <c r="J7" s="1096"/>
      <c r="K7" s="1096"/>
    </row>
    <row r="8" spans="2:20">
      <c r="B8" s="1096" t="s">
        <v>332</v>
      </c>
      <c r="C8" s="1171" t="str">
        <f>"Section 1 of this sheet is required to be filled out ONLY IF the "&amp;TEXT('KEY INPUTS'!D34,"0")&amp;" "&amp;PROPER('KEY INPUTS'!D54)&amp;" Utility Budget contained"</f>
        <v>Section 1 of this sheet is required to be filled out ONLY IF the 2020  Utility Budget contained</v>
      </c>
      <c r="D8" s="1096"/>
      <c r="E8" s="1096"/>
      <c r="F8" s="1096"/>
      <c r="G8" s="1096"/>
      <c r="H8" s="1096"/>
      <c r="I8" s="1096"/>
      <c r="J8" s="1096"/>
      <c r="K8" s="1096"/>
    </row>
    <row r="9" spans="2:20">
      <c r="B9" s="1096"/>
      <c r="C9" s="1096" t="s">
        <v>351</v>
      </c>
      <c r="D9" s="1096"/>
      <c r="E9" s="1096"/>
      <c r="F9" s="1096"/>
      <c r="G9" s="1096"/>
      <c r="H9" s="1096"/>
      <c r="I9" s="1096"/>
      <c r="J9" s="1096"/>
      <c r="K9" s="1096"/>
    </row>
    <row r="10" spans="2:20">
      <c r="B10" s="1096"/>
      <c r="C10" s="1096" t="s">
        <v>352</v>
      </c>
      <c r="D10" s="1096"/>
      <c r="E10" s="1096"/>
      <c r="F10" s="1096"/>
      <c r="G10" s="1096"/>
      <c r="H10" s="1096"/>
      <c r="I10" s="1096"/>
      <c r="J10" s="1096"/>
      <c r="K10" s="1096"/>
    </row>
    <row r="11" spans="2:20">
      <c r="B11" s="1096"/>
      <c r="C11" s="1149" t="s">
        <v>3217</v>
      </c>
      <c r="D11" s="1096"/>
      <c r="E11" s="1096"/>
      <c r="F11" s="1096"/>
      <c r="G11" s="1096"/>
      <c r="H11" s="1096"/>
      <c r="I11" s="1096"/>
      <c r="J11" s="1096"/>
      <c r="K11" s="1096"/>
    </row>
    <row r="12" spans="2:20">
      <c r="B12" s="1096"/>
      <c r="C12" s="1096"/>
      <c r="D12" s="1096"/>
      <c r="E12" s="1096"/>
      <c r="F12" s="1096"/>
      <c r="G12" s="1096"/>
      <c r="H12" s="1096"/>
      <c r="I12" s="1096"/>
      <c r="J12" s="1096"/>
      <c r="K12" s="1096"/>
    </row>
    <row r="13" spans="2:20" ht="17.399999999999999">
      <c r="B13" s="1150" t="s">
        <v>353</v>
      </c>
      <c r="C13" s="1096"/>
      <c r="D13" s="1096"/>
      <c r="E13" s="1096"/>
      <c r="F13" s="1096"/>
      <c r="G13" s="1096"/>
      <c r="H13" s="1096"/>
      <c r="I13" s="1096"/>
      <c r="J13" s="1096"/>
      <c r="K13" s="1096"/>
    </row>
    <row r="14" spans="2:20" ht="13.8" thickBot="1">
      <c r="B14" s="1151"/>
      <c r="C14" s="1151"/>
      <c r="D14" s="1151"/>
      <c r="E14" s="1151"/>
      <c r="F14" s="1151"/>
      <c r="G14" s="1151"/>
      <c r="H14" s="1151"/>
      <c r="I14" s="1151"/>
      <c r="J14" s="1151"/>
      <c r="K14" s="1151"/>
    </row>
    <row r="15" spans="2:20" ht="21" customHeight="1" thickTop="1">
      <c r="B15" s="1152" t="s">
        <v>354</v>
      </c>
      <c r="C15" s="1152"/>
      <c r="D15" s="1152"/>
      <c r="E15" s="1152"/>
      <c r="F15" s="1152"/>
      <c r="G15" s="1152"/>
      <c r="H15" s="1152"/>
      <c r="I15" s="1152"/>
      <c r="J15" s="1153" t="s">
        <v>662</v>
      </c>
      <c r="K15" s="832"/>
      <c r="N15" s="315"/>
      <c r="O15" s="315"/>
      <c r="P15" s="315"/>
      <c r="Q15" s="315"/>
      <c r="R15" s="315"/>
      <c r="S15" s="315"/>
      <c r="T15" s="315"/>
    </row>
    <row r="16" spans="2:20" ht="21" customHeight="1">
      <c r="B16" s="681"/>
      <c r="C16" s="681" t="s">
        <v>355</v>
      </c>
      <c r="D16" s="681"/>
      <c r="E16" s="681"/>
      <c r="F16" s="681"/>
      <c r="G16" s="681"/>
      <c r="H16" s="681"/>
      <c r="I16" s="681"/>
      <c r="J16" s="833">
        <f>+'44-Utility3'!I20</f>
        <v>0</v>
      </c>
      <c r="K16" s="832"/>
      <c r="N16" s="315"/>
      <c r="O16" s="315"/>
      <c r="P16" s="315"/>
      <c r="Q16" s="315"/>
      <c r="R16" s="315"/>
      <c r="S16" s="315"/>
      <c r="T16" s="315"/>
    </row>
    <row r="17" spans="2:20" ht="21" customHeight="1">
      <c r="B17" s="681"/>
      <c r="C17" s="681" t="s">
        <v>356</v>
      </c>
      <c r="D17" s="681"/>
      <c r="E17" s="681"/>
      <c r="F17" s="681"/>
      <c r="G17" s="681"/>
      <c r="H17" s="681"/>
      <c r="I17" s="681"/>
      <c r="J17" s="568"/>
      <c r="K17" s="832"/>
      <c r="N17" s="370"/>
      <c r="O17" s="315"/>
      <c r="P17" s="315"/>
      <c r="Q17" s="315"/>
      <c r="R17" s="315"/>
      <c r="S17" s="315"/>
      <c r="T17" s="315"/>
    </row>
    <row r="18" spans="2:20" ht="21" customHeight="1">
      <c r="B18" s="681"/>
      <c r="C18" s="905" t="str">
        <f>TEXT('KEY INPUTS'!D35,"0")&amp;" Appropriation Reserves Canceled in "&amp;TEXT('KEY INPUTS'!D34,0)</f>
        <v>2019 Appropriation Reserves Canceled in 2020</v>
      </c>
      <c r="D18" s="1154"/>
      <c r="E18" s="1154"/>
      <c r="F18" s="1154"/>
      <c r="G18" s="1154"/>
      <c r="H18" s="681"/>
      <c r="I18" s="681"/>
      <c r="J18" s="367"/>
      <c r="K18" s="832"/>
      <c r="N18" s="315"/>
      <c r="O18" s="315"/>
      <c r="P18" s="315"/>
      <c r="Q18" s="315"/>
      <c r="R18" s="315"/>
      <c r="S18" s="315"/>
      <c r="T18" s="315"/>
    </row>
    <row r="19" spans="2:20" ht="21" customHeight="1">
      <c r="B19" s="681"/>
      <c r="C19" s="639"/>
      <c r="D19" s="639"/>
      <c r="E19" s="639"/>
      <c r="F19" s="639"/>
      <c r="G19" s="639"/>
      <c r="H19" s="639"/>
      <c r="I19" s="639"/>
      <c r="J19" s="367"/>
      <c r="K19" s="832"/>
      <c r="N19" s="315"/>
      <c r="O19" s="315"/>
      <c r="P19" s="315"/>
      <c r="Q19" s="315"/>
      <c r="R19" s="315"/>
      <c r="S19" s="315"/>
      <c r="T19" s="315"/>
    </row>
    <row r="20" spans="2:20" ht="21" customHeight="1">
      <c r="B20" s="681"/>
      <c r="C20" s="639"/>
      <c r="D20" s="639"/>
      <c r="E20" s="639"/>
      <c r="F20" s="639"/>
      <c r="G20" s="639"/>
      <c r="H20" s="639"/>
      <c r="I20" s="639"/>
      <c r="J20" s="367"/>
      <c r="K20" s="832"/>
      <c r="N20" s="315"/>
      <c r="O20" s="315"/>
      <c r="P20" s="315"/>
      <c r="Q20" s="315"/>
      <c r="R20" s="315"/>
      <c r="S20" s="315"/>
      <c r="T20" s="315"/>
    </row>
    <row r="21" spans="2:20" ht="21" customHeight="1">
      <c r="B21" s="681"/>
      <c r="C21" s="681" t="s">
        <v>357</v>
      </c>
      <c r="D21" s="681"/>
      <c r="E21" s="681"/>
      <c r="F21" s="681"/>
      <c r="G21" s="681"/>
      <c r="H21" s="681"/>
      <c r="I21" s="681"/>
      <c r="J21" s="568"/>
      <c r="K21" s="842">
        <f>SUM(J16:J20)</f>
        <v>0</v>
      </c>
      <c r="N21" s="315"/>
      <c r="O21" s="315"/>
      <c r="P21" s="315"/>
      <c r="Q21" s="315"/>
      <c r="R21" s="315"/>
      <c r="S21" s="315"/>
      <c r="T21" s="315"/>
    </row>
    <row r="22" spans="2:20" ht="21" customHeight="1">
      <c r="B22" s="681" t="s">
        <v>358</v>
      </c>
      <c r="C22" s="681"/>
      <c r="D22" s="681"/>
      <c r="E22" s="681"/>
      <c r="F22" s="681"/>
      <c r="G22" s="681"/>
      <c r="H22" s="681"/>
      <c r="I22" s="681"/>
      <c r="J22" s="1156" t="s">
        <v>662</v>
      </c>
      <c r="K22" s="832"/>
      <c r="N22" s="315"/>
      <c r="O22" s="315"/>
      <c r="P22" s="315"/>
      <c r="Q22" s="315"/>
      <c r="R22" s="315"/>
      <c r="S22" s="315"/>
      <c r="T22" s="315"/>
    </row>
    <row r="23" spans="2:20" ht="21" customHeight="1">
      <c r="B23" s="681"/>
      <c r="C23" s="681" t="s">
        <v>359</v>
      </c>
      <c r="D23" s="681"/>
      <c r="E23" s="681"/>
      <c r="F23" s="681"/>
      <c r="G23" s="681"/>
      <c r="H23" s="681"/>
      <c r="I23" s="681"/>
      <c r="J23" s="1156" t="s">
        <v>662</v>
      </c>
      <c r="K23" s="832"/>
      <c r="N23" s="315"/>
      <c r="O23" s="315"/>
      <c r="P23" s="315"/>
      <c r="Q23" s="315"/>
      <c r="R23" s="315"/>
      <c r="S23" s="315"/>
      <c r="T23" s="315"/>
    </row>
    <row r="24" spans="2:20" ht="21" customHeight="1">
      <c r="B24" s="681"/>
      <c r="C24" s="681"/>
      <c r="D24" s="681" t="s">
        <v>628</v>
      </c>
      <c r="E24" s="681"/>
      <c r="F24" s="681"/>
      <c r="G24" s="681"/>
      <c r="H24" s="681"/>
      <c r="I24" s="681"/>
      <c r="J24" s="833">
        <f>+'44-Utility3'!I36</f>
        <v>0</v>
      </c>
      <c r="K24" s="832"/>
      <c r="N24" s="315"/>
      <c r="O24" s="315"/>
      <c r="P24" s="315"/>
      <c r="Q24" s="315"/>
      <c r="R24" s="315"/>
      <c r="S24" s="315"/>
      <c r="T24" s="315"/>
    </row>
    <row r="25" spans="2:20" ht="21" customHeight="1">
      <c r="B25" s="681"/>
      <c r="C25" s="681"/>
      <c r="D25" s="681" t="s">
        <v>770</v>
      </c>
      <c r="E25" s="681"/>
      <c r="F25" s="681"/>
      <c r="G25" s="681"/>
      <c r="H25" s="681"/>
      <c r="I25" s="681"/>
      <c r="J25" s="833">
        <f>+'44-Utility3'!I37</f>
        <v>0</v>
      </c>
      <c r="K25" s="832"/>
      <c r="N25" s="315"/>
      <c r="O25" s="315"/>
      <c r="P25" s="315"/>
      <c r="Q25" s="315"/>
      <c r="R25" s="315"/>
      <c r="S25" s="315"/>
      <c r="T25" s="315"/>
    </row>
    <row r="26" spans="2:20" ht="21" customHeight="1">
      <c r="B26" s="681"/>
      <c r="C26" s="681" t="s">
        <v>360</v>
      </c>
      <c r="D26" s="681"/>
      <c r="E26" s="681"/>
      <c r="F26" s="681"/>
      <c r="G26" s="681"/>
      <c r="H26" s="681"/>
      <c r="I26" s="681"/>
      <c r="J26" s="568"/>
      <c r="K26" s="832"/>
      <c r="N26" s="315"/>
      <c r="O26" s="315"/>
      <c r="P26" s="315"/>
      <c r="Q26" s="315"/>
      <c r="R26" s="315"/>
      <c r="S26" s="315"/>
      <c r="T26" s="315"/>
    </row>
    <row r="27" spans="2:20" ht="21" customHeight="1">
      <c r="B27" s="681"/>
      <c r="C27" s="681" t="s">
        <v>361</v>
      </c>
      <c r="D27" s="681"/>
      <c r="E27" s="681"/>
      <c r="F27" s="681"/>
      <c r="G27" s="681"/>
      <c r="H27" s="681"/>
      <c r="I27" s="681"/>
      <c r="J27" s="568"/>
      <c r="K27" s="832"/>
      <c r="N27" s="315"/>
      <c r="O27" s="315"/>
      <c r="P27" s="315"/>
      <c r="Q27" s="315"/>
      <c r="R27" s="315"/>
      <c r="S27" s="315"/>
      <c r="T27" s="315"/>
    </row>
    <row r="28" spans="2:20" ht="21" customHeight="1" thickBot="1">
      <c r="B28" s="681"/>
      <c r="C28" s="639"/>
      <c r="D28" s="639"/>
      <c r="E28" s="639"/>
      <c r="F28" s="639"/>
      <c r="G28" s="639"/>
      <c r="H28" s="639"/>
      <c r="I28" s="639"/>
      <c r="J28" s="1007"/>
      <c r="K28" s="832"/>
      <c r="N28" s="315"/>
      <c r="O28" s="315"/>
      <c r="P28" s="315"/>
      <c r="Q28" s="315"/>
      <c r="R28" s="315"/>
      <c r="S28" s="315"/>
      <c r="T28" s="315"/>
    </row>
    <row r="29" spans="2:20" ht="21" customHeight="1">
      <c r="B29" s="681"/>
      <c r="C29" s="681"/>
      <c r="D29" s="681"/>
      <c r="E29" s="681"/>
      <c r="F29" s="681" t="s">
        <v>771</v>
      </c>
      <c r="G29" s="681"/>
      <c r="H29" s="681"/>
      <c r="I29" s="681"/>
      <c r="J29" s="839">
        <f>SUM(J24:J28)</f>
        <v>0</v>
      </c>
      <c r="K29" s="832"/>
      <c r="N29" s="315"/>
      <c r="O29" s="315"/>
      <c r="P29" s="315"/>
      <c r="Q29" s="315"/>
      <c r="R29" s="315"/>
      <c r="S29" s="315"/>
      <c r="T29" s="315"/>
    </row>
    <row r="30" spans="2:20" ht="11.25" customHeight="1">
      <c r="B30" s="1096"/>
      <c r="C30" s="1096"/>
      <c r="D30" s="1096"/>
      <c r="E30" s="1096"/>
      <c r="F30" s="1096" t="s">
        <v>799</v>
      </c>
      <c r="G30" s="1096" t="s">
        <v>800</v>
      </c>
      <c r="H30" s="1096"/>
      <c r="I30" s="1096"/>
      <c r="J30" s="1159"/>
      <c r="K30" s="832"/>
      <c r="N30" s="315"/>
      <c r="O30" s="315"/>
      <c r="P30" s="315"/>
      <c r="Q30" s="315"/>
      <c r="R30" s="315"/>
      <c r="S30" s="315"/>
      <c r="T30" s="315"/>
    </row>
    <row r="31" spans="2:20" ht="13.5" customHeight="1">
      <c r="B31" s="1110"/>
      <c r="C31" s="1110"/>
      <c r="D31" s="1110"/>
      <c r="E31" s="1110"/>
      <c r="F31" s="1110"/>
      <c r="G31" s="1110" t="s">
        <v>801</v>
      </c>
      <c r="H31" s="1110"/>
      <c r="I31" s="1160"/>
      <c r="J31" s="1471"/>
      <c r="K31" s="1157"/>
      <c r="N31" s="315"/>
      <c r="O31" s="315"/>
      <c r="P31" s="315"/>
      <c r="Q31" s="315"/>
      <c r="R31" s="315"/>
      <c r="S31" s="315"/>
      <c r="T31" s="315"/>
    </row>
    <row r="32" spans="2:20" ht="21" customHeight="1" thickBot="1">
      <c r="B32" s="1162"/>
      <c r="C32" s="1162"/>
      <c r="D32" s="1162" t="s">
        <v>802</v>
      </c>
      <c r="E32" s="1162"/>
      <c r="F32" s="1162"/>
      <c r="G32" s="1162"/>
      <c r="H32" s="1162"/>
      <c r="I32" s="1162"/>
      <c r="J32" s="1163"/>
      <c r="K32" s="1158">
        <f>+J29-J31</f>
        <v>0</v>
      </c>
    </row>
    <row r="33" spans="2:15" ht="21" customHeight="1" thickTop="1" thickBot="1">
      <c r="B33" s="1164" t="s">
        <v>803</v>
      </c>
      <c r="C33" s="1164"/>
      <c r="D33" s="1164"/>
      <c r="E33" s="1164"/>
      <c r="F33" s="1164"/>
      <c r="G33" s="1164"/>
      <c r="H33" s="1164"/>
      <c r="I33" s="1164"/>
      <c r="J33" s="1165"/>
      <c r="K33" s="1166">
        <f>IF(M33&gt;0,M33,0)</f>
        <v>0</v>
      </c>
      <c r="M33" s="392">
        <f>+K21-K32</f>
        <v>0</v>
      </c>
      <c r="N33" s="701" t="s">
        <v>3270</v>
      </c>
    </row>
    <row r="34" spans="2:15" ht="21" customHeight="1">
      <c r="B34" s="681" t="s">
        <v>804</v>
      </c>
      <c r="C34" s="681"/>
      <c r="D34" s="681"/>
      <c r="E34" s="681"/>
      <c r="F34" s="681"/>
      <c r="G34" s="681"/>
      <c r="H34" s="681"/>
      <c r="I34" s="681"/>
      <c r="J34" s="568"/>
      <c r="K34" s="832"/>
    </row>
    <row r="35" spans="2:15" ht="11.25" customHeight="1">
      <c r="B35" s="1838" t="s">
        <v>805</v>
      </c>
      <c r="C35" s="1838"/>
      <c r="D35" s="1838"/>
      <c r="E35" s="1171" t="str">
        <f>"Balance of Results of "&amp;TEXT('KEY INPUTS'!D34,"0")&amp;" Operation"</f>
        <v>Balance of Results of 2020 Operation</v>
      </c>
      <c r="F35" s="1096"/>
      <c r="G35" s="1096"/>
      <c r="H35" s="1096"/>
      <c r="I35" s="1096"/>
      <c r="J35" s="940"/>
      <c r="K35" s="832"/>
    </row>
    <row r="36" spans="2:15" ht="12.75" customHeight="1" thickBot="1">
      <c r="B36" s="1839"/>
      <c r="C36" s="1839"/>
      <c r="D36" s="1839"/>
      <c r="E36" s="1110" t="s">
        <v>3549</v>
      </c>
      <c r="F36" s="1110"/>
      <c r="G36" s="1110"/>
      <c r="H36" s="1110"/>
      <c r="I36" s="1110"/>
      <c r="J36" s="1161">
        <f>+K33-J34</f>
        <v>0</v>
      </c>
      <c r="K36" s="832"/>
    </row>
    <row r="37" spans="2:15" ht="21" customHeight="1" thickBot="1">
      <c r="B37" s="1172"/>
      <c r="C37" s="1172"/>
      <c r="D37" s="1172"/>
      <c r="E37" s="1172"/>
      <c r="F37" s="1172"/>
      <c r="G37" s="1172"/>
      <c r="H37" s="1172"/>
      <c r="I37" s="1172"/>
      <c r="J37" s="1175"/>
      <c r="K37" s="1167"/>
    </row>
    <row r="38" spans="2:15" ht="21" customHeight="1" thickBot="1">
      <c r="B38" s="1173" t="s">
        <v>806</v>
      </c>
      <c r="C38" s="1173"/>
      <c r="D38" s="1173"/>
      <c r="E38" s="1173"/>
      <c r="F38" s="1173"/>
      <c r="G38" s="1173"/>
      <c r="H38" s="1173"/>
      <c r="I38" s="1173"/>
      <c r="J38" s="1176"/>
      <c r="K38" s="1168">
        <f>IF(+M33&gt;0,0,+M33*-1)</f>
        <v>0</v>
      </c>
    </row>
    <row r="39" spans="2:15" ht="21" customHeight="1">
      <c r="B39" s="681" t="s">
        <v>807</v>
      </c>
      <c r="C39" s="681"/>
      <c r="D39" s="681"/>
      <c r="E39" s="681"/>
      <c r="F39" s="681"/>
      <c r="G39" s="681"/>
      <c r="H39" s="681"/>
      <c r="I39" s="681"/>
      <c r="J39" s="1176">
        <f>+'44-Utility3'!I21</f>
        <v>0</v>
      </c>
      <c r="K39" s="832"/>
    </row>
    <row r="40" spans="2:15">
      <c r="B40" s="1840" t="s">
        <v>805</v>
      </c>
      <c r="C40" s="1840"/>
      <c r="D40" s="1840"/>
      <c r="E40" s="1171" t="str">
        <f>"Balance of Results of "&amp;TEXT('KEY INPUTS'!D34,"0")&amp;" Operation"</f>
        <v>Balance of Results of 2020 Operation</v>
      </c>
      <c r="F40" s="1174"/>
      <c r="G40" s="1174"/>
      <c r="H40" s="1174"/>
      <c r="I40" s="1174"/>
      <c r="J40" s="1159"/>
      <c r="K40" s="1169"/>
    </row>
    <row r="41" spans="2:15" ht="13.8" thickBot="1">
      <c r="B41" s="1841"/>
      <c r="C41" s="1841"/>
      <c r="D41" s="1841"/>
      <c r="E41" s="1151" t="s">
        <v>3216</v>
      </c>
      <c r="F41" s="1151"/>
      <c r="G41" s="1151"/>
      <c r="H41" s="1151"/>
      <c r="I41" s="1151"/>
      <c r="J41" s="1177">
        <f>+K38-J39</f>
        <v>0</v>
      </c>
      <c r="K41" s="1170"/>
      <c r="L41" s="730"/>
      <c r="O41" s="392"/>
    </row>
    <row r="42" spans="2:15" ht="13.8" thickTop="1">
      <c r="B42" s="1096"/>
      <c r="C42" s="1096"/>
      <c r="D42" s="1096"/>
      <c r="E42" s="1096"/>
      <c r="F42" s="1096"/>
      <c r="G42" s="1096"/>
      <c r="H42" s="1096"/>
      <c r="I42" s="1096"/>
      <c r="J42" s="832"/>
      <c r="K42" s="832"/>
    </row>
    <row r="43" spans="2:15" ht="17.399999999999999">
      <c r="B43" s="1150" t="s">
        <v>808</v>
      </c>
      <c r="C43" s="1096"/>
      <c r="D43" s="1096"/>
      <c r="E43" s="1096"/>
      <c r="F43" s="1096"/>
      <c r="G43" s="1096"/>
      <c r="H43" s="1096"/>
      <c r="I43" s="1096"/>
      <c r="J43" s="832"/>
      <c r="K43" s="832"/>
    </row>
    <row r="44" spans="2:15">
      <c r="B44" s="1171" t="str">
        <f>"The following Item of '"&amp;TEXT('KEY INPUTS'!D35,"0")&amp;" Appropriation Reserves Canceled in "&amp;TEXT('KEY INPUTS'!D34,"0")&amp;"' is Due to the Current Fund TO THE"</f>
        <v>The following Item of '2019 Appropriation Reserves Canceled in 2020' is Due to the Current Fund TO THE</v>
      </c>
      <c r="C44" s="1096"/>
      <c r="D44" s="1096"/>
      <c r="E44" s="1096"/>
      <c r="F44" s="1096"/>
      <c r="G44" s="1096"/>
      <c r="H44" s="1096"/>
      <c r="I44" s="1096"/>
      <c r="J44" s="832"/>
      <c r="K44" s="832"/>
    </row>
    <row r="45" spans="2:15">
      <c r="B45" s="1171" t="str">
        <f>"EXTENT OF the amount received and Due from the General Budget of "&amp;TEXT('KEY INPUTS'!D35,"0")&amp;" for an Anticipated Deficit in the"</f>
        <v>EXTENT OF the amount received and Due from the General Budget of 2019 for an Anticipated Deficit in the</v>
      </c>
      <c r="C45" s="1096"/>
      <c r="D45" s="1096"/>
      <c r="E45" s="1096"/>
      <c r="F45" s="1096"/>
      <c r="G45" s="1096"/>
      <c r="H45" s="1096"/>
      <c r="I45" s="1096"/>
      <c r="J45" s="832"/>
      <c r="K45" s="832"/>
    </row>
    <row r="46" spans="2:15">
      <c r="B46" s="1171" t="str">
        <f>PROPER('KEY INPUTS'!D54)&amp;" Utility for "&amp;TEXT('KEY INPUTS'!D35,"0")&amp;""</f>
        <v xml:space="preserve"> Utility for 2019</v>
      </c>
      <c r="C46" s="1096"/>
      <c r="D46" s="1096"/>
      <c r="E46" s="1096"/>
      <c r="F46" s="1096"/>
      <c r="G46" s="1096"/>
      <c r="H46" s="1096"/>
      <c r="I46" s="1096"/>
      <c r="J46" s="832"/>
      <c r="K46" s="832"/>
      <c r="O46" s="315"/>
    </row>
    <row r="47" spans="2:15">
      <c r="B47" s="1096"/>
      <c r="C47" s="1096"/>
      <c r="D47" s="1096"/>
      <c r="E47" s="1096"/>
      <c r="F47" s="1096"/>
      <c r="G47" s="1096"/>
      <c r="H47" s="1096"/>
      <c r="I47" s="1096"/>
      <c r="J47" s="832"/>
      <c r="K47" s="832"/>
      <c r="O47" s="315"/>
    </row>
    <row r="48" spans="2:15" ht="21" customHeight="1">
      <c r="B48" s="905" t="str">
        <f>TEXT('KEY INPUTS'!D35,"0")&amp;" Appropriation Reserves Canceled in "&amp;TEXT('KEY INPUTS'!D34,0)</f>
        <v>2019 Appropriation Reserves Canceled in 2020</v>
      </c>
      <c r="C48" s="681"/>
      <c r="D48" s="681"/>
      <c r="E48" s="681"/>
      <c r="F48" s="681"/>
      <c r="G48" s="681"/>
      <c r="H48" s="681"/>
      <c r="I48" s="681"/>
      <c r="J48" s="367"/>
      <c r="K48" s="832"/>
      <c r="O48" s="315"/>
    </row>
    <row r="49" spans="2:15" ht="24" customHeight="1">
      <c r="B49" s="681"/>
      <c r="C49" s="1178" t="s">
        <v>799</v>
      </c>
      <c r="D49" s="681"/>
      <c r="E49" s="1836" t="str">
        <f>"Anticipated Deficit in "&amp;TEXT('KEY INPUTS'!D35,"0")&amp;" Budget - Amount Received and Due from Current Fund - If none, enter 'None '"""</f>
        <v>Anticipated Deficit in 2019 Budget - Amount Received and Due from Current Fund - If none, enter 'None '"</v>
      </c>
      <c r="F49" s="1836"/>
      <c r="G49" s="1836"/>
      <c r="H49" s="1836"/>
      <c r="I49" s="1837"/>
      <c r="J49" s="568"/>
      <c r="K49" s="832"/>
      <c r="O49" s="315"/>
    </row>
    <row r="50" spans="2:15" ht="21" customHeight="1">
      <c r="B50" s="681" t="s">
        <v>809</v>
      </c>
      <c r="C50" s="681"/>
      <c r="D50" s="681"/>
      <c r="E50" s="681"/>
      <c r="F50" s="681"/>
      <c r="G50" s="681"/>
      <c r="H50" s="681"/>
      <c r="I50" s="681"/>
      <c r="J50" s="654"/>
      <c r="K50" s="842">
        <f>+MAX(0,J48-J49)</f>
        <v>0</v>
      </c>
    </row>
    <row r="52" spans="2:15">
      <c r="B52" s="456" t="s">
        <v>3215</v>
      </c>
    </row>
    <row r="53" spans="2:15">
      <c r="B53" s="456"/>
    </row>
    <row r="54" spans="2:15">
      <c r="B54" s="456"/>
    </row>
    <row r="55" spans="2:15">
      <c r="B55" s="456"/>
    </row>
    <row r="56" spans="2:15">
      <c r="B56" s="456"/>
    </row>
    <row r="57" spans="2:15" ht="13.8">
      <c r="B57" s="1799" t="s">
        <v>3214</v>
      </c>
      <c r="C57" s="1799"/>
      <c r="D57" s="1799"/>
      <c r="E57" s="1799"/>
      <c r="F57" s="1799"/>
      <c r="G57" s="1799"/>
      <c r="H57" s="1799"/>
      <c r="I57" s="1799"/>
      <c r="J57" s="1799"/>
      <c r="K57" s="1799"/>
    </row>
  </sheetData>
  <sheetProtection algorithmName="SHA-512" hashValue="5NaUZXl46XyxIk4fq7Ujzh6oVO0C1MsT0HRKxqSCDV8vKkUvOtjnBEoYVAMWekSBBLNTmQWYWLn61jy6ExkBPw==" saltValue="NiUlgeAYsmWPG+kbniRsPg=="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8">
    <tabColor theme="5" tint="0.59999389629810485"/>
  </sheetPr>
  <dimension ref="B1:Z52"/>
  <sheetViews>
    <sheetView zoomScaleNormal="100" zoomScaleSheetLayoutView="80" workbookViewId="0">
      <selection activeCell="K11" sqref="K11"/>
    </sheetView>
  </sheetViews>
  <sheetFormatPr defaultColWidth="8.88671875" defaultRowHeight="13.2"/>
  <cols>
    <col min="1" max="5" width="4.6640625" style="391" customWidth="1"/>
    <col min="6" max="8" width="8.88671875" style="391"/>
    <col min="9" max="9" width="6.33203125" style="391" customWidth="1"/>
    <col min="10" max="10" width="8.88671875" style="391"/>
    <col min="11" max="12" width="16.6640625" style="391" customWidth="1"/>
    <col min="13" max="13" width="13.5546875" style="391" bestFit="1" customWidth="1"/>
    <col min="14" max="14" width="11.88671875" style="391" bestFit="1" customWidth="1"/>
    <col min="15" max="16384" width="8.88671875" style="391"/>
  </cols>
  <sheetData>
    <row r="1" spans="2:26">
      <c r="B1" s="1096"/>
      <c r="C1" s="1096"/>
      <c r="D1" s="1096"/>
      <c r="E1" s="1096"/>
      <c r="F1" s="1096"/>
      <c r="G1" s="1096"/>
      <c r="H1" s="1096"/>
      <c r="I1" s="1096"/>
      <c r="J1" s="1096"/>
      <c r="K1" s="1096"/>
      <c r="L1" s="1096"/>
    </row>
    <row r="2" spans="2:26" ht="20.399999999999999">
      <c r="B2" s="1826" t="str">
        <f>"RESULTS  OF  "&amp;TEXT('KEY INPUTS'!D34,"0")&amp;"  OPERATIONS  - "&amp;UPPER('KEY INPUTS'!D54)&amp;" UTILITY"</f>
        <v>RESULTS  OF  2020  OPERATIONS  -  UTILITY</v>
      </c>
      <c r="C2" s="1826"/>
      <c r="D2" s="1826"/>
      <c r="E2" s="1826"/>
      <c r="F2" s="1826"/>
      <c r="G2" s="1826"/>
      <c r="H2" s="1826"/>
      <c r="I2" s="1826"/>
      <c r="J2" s="1826"/>
      <c r="K2" s="1826"/>
      <c r="L2" s="1826"/>
    </row>
    <row r="3" spans="2:26" ht="13.8" thickBot="1">
      <c r="B3" s="1096"/>
      <c r="C3" s="1096"/>
      <c r="D3" s="1096"/>
      <c r="E3" s="1096"/>
      <c r="F3" s="1096"/>
      <c r="G3" s="1096"/>
      <c r="H3" s="1096"/>
      <c r="I3" s="1096"/>
      <c r="J3" s="1096"/>
      <c r="K3" s="1096"/>
      <c r="L3" s="1096"/>
    </row>
    <row r="4" spans="2:26" ht="21" customHeight="1" thickTop="1" thickBot="1">
      <c r="B4" s="1315"/>
      <c r="C4" s="1315"/>
      <c r="D4" s="1315"/>
      <c r="E4" s="1315"/>
      <c r="F4" s="1315"/>
      <c r="G4" s="1315"/>
      <c r="H4" s="1315"/>
      <c r="I4" s="1315"/>
      <c r="J4" s="1315"/>
      <c r="K4" s="1097" t="s">
        <v>101</v>
      </c>
      <c r="L4" s="1098" t="s">
        <v>102</v>
      </c>
    </row>
    <row r="5" spans="2:26" ht="21" customHeight="1" thickTop="1">
      <c r="B5" s="1192" t="s">
        <v>218</v>
      </c>
      <c r="C5" s="1152"/>
      <c r="D5" s="1152"/>
      <c r="E5" s="1152"/>
      <c r="F5" s="1152"/>
      <c r="G5" s="1152"/>
      <c r="H5" s="1152"/>
      <c r="I5" s="1152"/>
      <c r="J5" s="1152"/>
      <c r="K5" s="1184" t="s">
        <v>662</v>
      </c>
      <c r="L5" s="1185">
        <f>IF(+'44-Utility3'!J22&gt;0,+'44-Utility3'!J22,0)</f>
        <v>0</v>
      </c>
      <c r="N5" s="315"/>
      <c r="O5" s="315"/>
      <c r="P5" s="315"/>
      <c r="Q5" s="315"/>
      <c r="R5" s="315"/>
      <c r="S5" s="315"/>
      <c r="T5" s="315"/>
    </row>
    <row r="6" spans="2:26" ht="21" customHeight="1">
      <c r="B6" s="687" t="s">
        <v>219</v>
      </c>
      <c r="C6" s="681"/>
      <c r="D6" s="681"/>
      <c r="E6" s="681"/>
      <c r="F6" s="681"/>
      <c r="G6" s="681"/>
      <c r="H6" s="681"/>
      <c r="I6" s="681"/>
      <c r="J6" s="681"/>
      <c r="K6" s="1186" t="s">
        <v>662</v>
      </c>
      <c r="L6" s="1106">
        <f>+'44-Utility3'!J40</f>
        <v>0</v>
      </c>
      <c r="M6" s="730"/>
      <c r="N6" s="315"/>
      <c r="O6" s="315"/>
      <c r="P6" s="315"/>
      <c r="Q6" s="315"/>
      <c r="R6" s="315"/>
      <c r="S6" s="315"/>
      <c r="T6" s="315"/>
    </row>
    <row r="7" spans="2:26" ht="21" customHeight="1">
      <c r="B7" s="687" t="s">
        <v>220</v>
      </c>
      <c r="C7" s="681"/>
      <c r="D7" s="681"/>
      <c r="E7" s="681"/>
      <c r="F7" s="681"/>
      <c r="G7" s="681"/>
      <c r="H7" s="681"/>
      <c r="I7" s="681"/>
      <c r="J7" s="681"/>
      <c r="K7" s="1186" t="s">
        <v>662</v>
      </c>
      <c r="L7" s="1106">
        <f>'45-Utility3'!J17</f>
        <v>0</v>
      </c>
      <c r="N7" s="370"/>
      <c r="O7" s="315"/>
      <c r="P7" s="315"/>
      <c r="Q7" s="315"/>
      <c r="R7" s="315"/>
      <c r="S7" s="315"/>
      <c r="T7" s="315"/>
    </row>
    <row r="8" spans="2:26" ht="21" customHeight="1">
      <c r="B8" s="1096" t="str">
        <f>"Unexpended Balances of "&amp;TEXT('KEY INPUTS'!D35,"0")&amp;" Appropriations*"</f>
        <v>Unexpended Balances of 2019 Appropriations*</v>
      </c>
      <c r="C8" s="681"/>
      <c r="D8" s="681"/>
      <c r="E8" s="681"/>
      <c r="F8" s="681"/>
      <c r="G8" s="681"/>
      <c r="H8" s="681"/>
      <c r="I8" s="681"/>
      <c r="J8" s="681"/>
      <c r="K8" s="1186" t="s">
        <v>662</v>
      </c>
      <c r="L8" s="1106">
        <f>+'45-Utility3'!K50</f>
        <v>0</v>
      </c>
      <c r="N8" s="315"/>
      <c r="O8" s="315"/>
      <c r="P8" s="315"/>
      <c r="Q8" s="315"/>
      <c r="R8" s="315"/>
      <c r="S8" s="315"/>
      <c r="T8" s="315"/>
    </row>
    <row r="9" spans="2:26" ht="21" customHeight="1">
      <c r="B9" s="696"/>
      <c r="C9" s="639"/>
      <c r="D9" s="639"/>
      <c r="E9" s="639"/>
      <c r="F9" s="639"/>
      <c r="G9" s="639"/>
      <c r="H9" s="639"/>
      <c r="I9" s="681"/>
      <c r="J9" s="681"/>
      <c r="K9" s="649"/>
      <c r="L9" s="601"/>
      <c r="N9" s="315"/>
      <c r="O9" s="315"/>
      <c r="P9" s="315"/>
      <c r="Q9" s="315"/>
      <c r="R9" s="315"/>
      <c r="S9" s="315"/>
      <c r="T9" s="315"/>
    </row>
    <row r="10" spans="2:26" ht="21" customHeight="1">
      <c r="B10" s="1096" t="s">
        <v>3221</v>
      </c>
      <c r="C10" s="1096"/>
      <c r="D10" s="1096"/>
      <c r="E10" s="1096"/>
      <c r="F10" s="1096"/>
      <c r="G10" s="1096"/>
      <c r="H10" s="1096"/>
      <c r="I10" s="1096"/>
      <c r="J10" s="1096"/>
      <c r="K10" s="680">
        <f>IF(+'44-Utility3'!J22&lt;0,-'44-Utility3'!J22,0)</f>
        <v>0</v>
      </c>
      <c r="L10" s="1188" t="s">
        <v>662</v>
      </c>
      <c r="M10" s="392">
        <f>+L9+L8+L7+L6+L5-K11-K10-K9</f>
        <v>0</v>
      </c>
      <c r="N10" s="701" t="s">
        <v>3435</v>
      </c>
      <c r="O10" s="315"/>
      <c r="P10" s="315"/>
      <c r="Q10" s="315"/>
      <c r="R10" s="315"/>
      <c r="S10" s="315"/>
      <c r="T10" s="315"/>
      <c r="V10" s="470">
        <f>-'44-Utility3'!U22</f>
        <v>0</v>
      </c>
    </row>
    <row r="11" spans="2:26" ht="21" customHeight="1">
      <c r="B11" s="693"/>
      <c r="C11" s="1181"/>
      <c r="D11" s="639"/>
      <c r="E11" s="639"/>
      <c r="F11" s="639"/>
      <c r="G11" s="639"/>
      <c r="H11" s="639"/>
      <c r="I11" s="681"/>
      <c r="J11" s="681"/>
      <c r="K11" s="593"/>
      <c r="L11" s="1188" t="s">
        <v>662</v>
      </c>
      <c r="N11" s="315"/>
      <c r="O11" s="315"/>
      <c r="P11" s="315"/>
      <c r="Q11" s="315"/>
      <c r="R11" s="315"/>
      <c r="S11" s="315"/>
      <c r="T11" s="315"/>
      <c r="U11" s="315"/>
      <c r="V11" s="315"/>
      <c r="W11" s="315"/>
      <c r="X11" s="315"/>
      <c r="Y11" s="315"/>
      <c r="Z11" s="315"/>
    </row>
    <row r="12" spans="2:26" ht="21" customHeight="1">
      <c r="B12" s="687" t="s">
        <v>221</v>
      </c>
      <c r="C12" s="1154"/>
      <c r="D12" s="681"/>
      <c r="E12" s="681"/>
      <c r="F12" s="681"/>
      <c r="G12" s="681"/>
      <c r="H12" s="681"/>
      <c r="I12" s="681"/>
      <c r="J12" s="681"/>
      <c r="K12" s="1186" t="s">
        <v>662</v>
      </c>
      <c r="L12" s="1187">
        <f>IF(M10&gt;0,0,M10*-1)</f>
        <v>0</v>
      </c>
      <c r="N12" s="315"/>
      <c r="O12" s="315"/>
      <c r="P12" s="315"/>
      <c r="Q12" s="315"/>
      <c r="R12" s="315"/>
      <c r="S12" s="315"/>
      <c r="T12" s="315"/>
      <c r="U12" s="315"/>
      <c r="V12" s="315"/>
      <c r="W12" s="315"/>
      <c r="X12" s="315"/>
      <c r="Y12" s="315"/>
      <c r="Z12" s="315"/>
    </row>
    <row r="13" spans="2:26" ht="21" customHeight="1" thickBot="1">
      <c r="B13" s="687" t="s">
        <v>222</v>
      </c>
      <c r="C13" s="1154"/>
      <c r="D13" s="681"/>
      <c r="E13" s="681"/>
      <c r="F13" s="681"/>
      <c r="G13" s="681"/>
      <c r="H13" s="681"/>
      <c r="I13" s="681"/>
      <c r="J13" s="681"/>
      <c r="K13" s="680">
        <f>IF(M10&gt;0,M10,0)</f>
        <v>0</v>
      </c>
      <c r="L13" s="1189" t="s">
        <v>662</v>
      </c>
      <c r="M13" s="392"/>
      <c r="N13" s="315"/>
      <c r="O13" s="315"/>
      <c r="P13" s="315"/>
      <c r="Q13" s="315"/>
      <c r="R13" s="315"/>
      <c r="S13" s="315"/>
      <c r="T13" s="315"/>
      <c r="U13" s="315"/>
      <c r="V13" s="469">
        <f>U11</f>
        <v>0</v>
      </c>
      <c r="W13" s="315"/>
      <c r="X13" s="315"/>
      <c r="Y13" s="315"/>
      <c r="Z13" s="315"/>
    </row>
    <row r="14" spans="2:26" ht="21" customHeight="1" thickBot="1">
      <c r="B14" s="1191" t="s">
        <v>3220</v>
      </c>
      <c r="C14" s="1096"/>
      <c r="D14" s="1096"/>
      <c r="E14" s="1096"/>
      <c r="F14" s="1096"/>
      <c r="G14" s="1096"/>
      <c r="H14" s="1096"/>
      <c r="I14" s="1096"/>
      <c r="J14" s="1096"/>
      <c r="K14" s="1113">
        <f>SUM(K5:K13)</f>
        <v>0</v>
      </c>
      <c r="L14" s="1114">
        <f>SUM(L5:L13)</f>
        <v>0</v>
      </c>
      <c r="M14" s="392">
        <f>L14-K14</f>
        <v>0</v>
      </c>
      <c r="N14" s="701" t="s">
        <v>3435</v>
      </c>
      <c r="O14" s="315"/>
      <c r="P14" s="315"/>
      <c r="Q14" s="315"/>
      <c r="R14" s="315"/>
      <c r="S14" s="315"/>
      <c r="T14" s="315"/>
      <c r="U14" s="315"/>
      <c r="V14" s="315"/>
      <c r="W14" s="315"/>
      <c r="X14" s="315"/>
      <c r="Y14" s="315"/>
      <c r="Z14" s="315"/>
    </row>
    <row r="15" spans="2:26" ht="18.75" customHeight="1" thickTop="1">
      <c r="N15" s="315"/>
      <c r="O15" s="315"/>
      <c r="P15" s="315"/>
      <c r="Q15" s="315"/>
      <c r="R15" s="315"/>
      <c r="S15" s="315"/>
      <c r="T15" s="315"/>
    </row>
    <row r="16" spans="2:26" ht="18.75" customHeight="1">
      <c r="K16" s="392"/>
      <c r="N16" s="315"/>
      <c r="O16" s="315"/>
      <c r="P16" s="315"/>
      <c r="Q16" s="315"/>
      <c r="R16" s="315"/>
      <c r="S16" s="315"/>
      <c r="T16" s="315"/>
    </row>
    <row r="17" spans="2:20" ht="22.8">
      <c r="B17" s="1804" t="str">
        <f>"OPERATING  SURPLUS  - "&amp;UPPER('KEY INPUTS'!D54)&amp;" UTILITY"</f>
        <v>OPERATING  SURPLUS  -  UTILITY</v>
      </c>
      <c r="C17" s="1804"/>
      <c r="D17" s="1804"/>
      <c r="E17" s="1804"/>
      <c r="F17" s="1804"/>
      <c r="G17" s="1804"/>
      <c r="H17" s="1804"/>
      <c r="I17" s="1804"/>
      <c r="J17" s="1804"/>
      <c r="K17" s="1804"/>
      <c r="L17" s="1804"/>
      <c r="N17" s="315"/>
      <c r="O17" s="315"/>
      <c r="P17" s="315"/>
      <c r="Q17" s="315"/>
      <c r="R17" s="315"/>
      <c r="S17" s="315"/>
      <c r="T17" s="315"/>
    </row>
    <row r="18" spans="2:20" ht="6.75" customHeight="1" thickBot="1">
      <c r="B18" s="1096"/>
      <c r="C18" s="1096"/>
      <c r="D18" s="1096"/>
      <c r="E18" s="1096"/>
      <c r="F18" s="1096"/>
      <c r="G18" s="1096"/>
      <c r="H18" s="1096"/>
      <c r="I18" s="1096"/>
      <c r="J18" s="1096"/>
      <c r="K18" s="1096"/>
      <c r="L18" s="1096"/>
      <c r="N18" s="315"/>
      <c r="O18" s="315"/>
      <c r="P18" s="315"/>
      <c r="Q18" s="315"/>
      <c r="R18" s="315"/>
      <c r="S18" s="315"/>
      <c r="T18" s="315"/>
    </row>
    <row r="19" spans="2:20" ht="25.5" customHeight="1" thickTop="1" thickBot="1">
      <c r="B19" s="1315"/>
      <c r="C19" s="1315"/>
      <c r="D19" s="1315"/>
      <c r="E19" s="1315"/>
      <c r="F19" s="1315"/>
      <c r="G19" s="1315"/>
      <c r="H19" s="1315"/>
      <c r="I19" s="1315"/>
      <c r="J19" s="1315"/>
      <c r="K19" s="1097" t="s">
        <v>101</v>
      </c>
      <c r="L19" s="1098" t="s">
        <v>102</v>
      </c>
      <c r="N19" s="315"/>
      <c r="O19" s="315"/>
      <c r="P19" s="315"/>
      <c r="Q19" s="315"/>
      <c r="R19" s="315"/>
      <c r="S19" s="315"/>
      <c r="T19" s="315"/>
    </row>
    <row r="20" spans="2:20" ht="21" customHeight="1" thickTop="1">
      <c r="B20" s="1193" t="str">
        <f>'KEY INPUTS'!D25</f>
        <v>Balance - January 1, 2020</v>
      </c>
      <c r="C20" s="1152"/>
      <c r="D20" s="1152"/>
      <c r="E20" s="1152"/>
      <c r="F20" s="1152"/>
      <c r="G20" s="1152"/>
      <c r="H20" s="1152"/>
      <c r="I20" s="1152"/>
      <c r="J20" s="1152"/>
      <c r="K20" s="1317" t="s">
        <v>662</v>
      </c>
      <c r="L20" s="915"/>
      <c r="N20" s="315"/>
      <c r="O20" s="315"/>
      <c r="P20" s="315"/>
      <c r="Q20" s="315"/>
      <c r="R20" s="315"/>
      <c r="S20" s="315"/>
      <c r="T20" s="315"/>
    </row>
    <row r="21" spans="2:20" ht="21" customHeight="1">
      <c r="B21" s="1182"/>
      <c r="C21" s="639"/>
      <c r="D21" s="639"/>
      <c r="E21" s="639"/>
      <c r="F21" s="639"/>
      <c r="G21" s="639"/>
      <c r="H21" s="639"/>
      <c r="I21" s="639"/>
      <c r="J21" s="639"/>
      <c r="K21" s="1180"/>
      <c r="L21" s="913"/>
      <c r="N21" s="315"/>
      <c r="O21" s="315"/>
      <c r="P21" s="315"/>
      <c r="Q21" s="315"/>
      <c r="R21" s="315"/>
      <c r="S21" s="315"/>
      <c r="T21" s="315"/>
    </row>
    <row r="22" spans="2:20" ht="21" customHeight="1">
      <c r="B22" s="905" t="str">
        <f>"Excess in Results of "&amp;TEXT('KEY INPUTS'!D34,"0")&amp;" Operations"</f>
        <v>Excess in Results of 2020 Operations</v>
      </c>
      <c r="C22" s="681"/>
      <c r="D22" s="681"/>
      <c r="E22" s="681"/>
      <c r="F22" s="681"/>
      <c r="G22" s="681"/>
      <c r="H22" s="681"/>
      <c r="I22" s="681"/>
      <c r="J22" s="681"/>
      <c r="K22" s="1318" t="s">
        <v>662</v>
      </c>
      <c r="L22" s="1319">
        <f>+K13</f>
        <v>0</v>
      </c>
    </row>
    <row r="23" spans="2:20" ht="21" customHeight="1">
      <c r="B23" s="905" t="str">
        <f>"Amount Appropriated in the "&amp;TEXT('KEY INPUTS'!D34,"0")&amp;" Budget - Cash"</f>
        <v>Amount Appropriated in the 2020 Budget - Cash</v>
      </c>
      <c r="C23" s="681"/>
      <c r="D23" s="681"/>
      <c r="E23" s="681"/>
      <c r="F23" s="681"/>
      <c r="G23" s="681"/>
      <c r="H23" s="681"/>
      <c r="I23" s="681"/>
      <c r="J23" s="681"/>
      <c r="K23" s="1320">
        <f>'44-Utility3'!I7</f>
        <v>0</v>
      </c>
      <c r="L23" s="1321" t="s">
        <v>662</v>
      </c>
    </row>
    <row r="24" spans="2:20" ht="11.25" customHeight="1">
      <c r="B24" s="1171" t="str">
        <f>"Amount Appropriated in "&amp;TEXT('KEY INPUTS'!D34,"0")&amp;" Budget with Prior Written"</f>
        <v>Amount Appropriated in 2020 Budget with Prior Written</v>
      </c>
      <c r="C24" s="1096"/>
      <c r="D24" s="1096"/>
      <c r="E24" s="1096"/>
      <c r="F24" s="1096"/>
      <c r="G24" s="1096"/>
      <c r="H24" s="1096"/>
      <c r="I24" s="1096"/>
      <c r="J24" s="1096"/>
      <c r="K24" s="1969"/>
      <c r="L24" s="1967" t="s">
        <v>662</v>
      </c>
    </row>
    <row r="25" spans="2:20" ht="12.75" customHeight="1">
      <c r="B25" s="1110" t="s">
        <v>891</v>
      </c>
      <c r="C25" s="1110"/>
      <c r="D25" s="1110"/>
      <c r="E25" s="1110"/>
      <c r="F25" s="1110"/>
      <c r="G25" s="1110"/>
      <c r="H25" s="1110"/>
      <c r="I25" s="1110"/>
      <c r="J25" s="1110"/>
      <c r="K25" s="1970"/>
      <c r="L25" s="1968"/>
    </row>
    <row r="26" spans="2:20" ht="21" customHeight="1">
      <c r="B26" s="1182"/>
      <c r="C26" s="639"/>
      <c r="D26" s="639"/>
      <c r="E26" s="639"/>
      <c r="F26" s="639"/>
      <c r="G26" s="639"/>
      <c r="H26" s="639"/>
      <c r="I26" s="639"/>
      <c r="J26" s="639"/>
      <c r="K26" s="914"/>
      <c r="L26" s="1183"/>
    </row>
    <row r="27" spans="2:20" ht="21" customHeight="1" thickBot="1">
      <c r="B27" s="681" t="str">
        <f>'KEY INPUTS'!D26</f>
        <v>Balance - December 31, 2020</v>
      </c>
      <c r="C27" s="681"/>
      <c r="D27" s="681"/>
      <c r="E27" s="681"/>
      <c r="F27" s="681"/>
      <c r="G27" s="681"/>
      <c r="H27" s="681"/>
      <c r="I27" s="681"/>
      <c r="J27" s="681"/>
      <c r="K27" s="1322">
        <f>+SUM(L20:L26)-SUM(K21:K26)</f>
        <v>0</v>
      </c>
      <c r="L27" s="1323" t="s">
        <v>662</v>
      </c>
      <c r="N27" s="767" t="s">
        <v>3307</v>
      </c>
    </row>
    <row r="28" spans="2:20" ht="21" customHeight="1" thickBot="1">
      <c r="B28" s="1096"/>
      <c r="C28" s="1096"/>
      <c r="D28" s="1096"/>
      <c r="E28" s="1096"/>
      <c r="F28" s="1096"/>
      <c r="G28" s="1096"/>
      <c r="H28" s="1096"/>
      <c r="I28" s="1096"/>
      <c r="J28" s="1096"/>
      <c r="K28" s="1113">
        <f>SUM(K21:K27)</f>
        <v>0</v>
      </c>
      <c r="L28" s="1114">
        <f>SUM(L20:L27)</f>
        <v>0</v>
      </c>
    </row>
    <row r="29" spans="2:20" ht="13.8" thickTop="1"/>
    <row r="32" spans="2:20" ht="17.399999999999999">
      <c r="B32" s="1843" t="str">
        <f>"ANALYSIS  OF  BALANCE  DECEMBER 31, "&amp;TEXT('KEY INPUTS'!D34,"0")&amp;""</f>
        <v>ANALYSIS  OF  BALANCE  DECEMBER 31, 2020</v>
      </c>
      <c r="C32" s="1843"/>
      <c r="D32" s="1843"/>
      <c r="E32" s="1843"/>
      <c r="F32" s="1843"/>
      <c r="G32" s="1843"/>
      <c r="H32" s="1843"/>
      <c r="I32" s="1843"/>
      <c r="J32" s="1843"/>
      <c r="K32" s="1843"/>
      <c r="L32" s="1843"/>
    </row>
    <row r="33" spans="2:14" ht="17.399999999999999">
      <c r="B33" s="1843" t="str">
        <f>"(FROM "&amp;UPPER('KEY INPUTS'!D54)&amp;" UTILITY  -  TRIAL  BALANCE)"</f>
        <v>(FROM  UTILITY  -  TRIAL  BALANCE)</v>
      </c>
      <c r="C33" s="1843"/>
      <c r="D33" s="1843"/>
      <c r="E33" s="1843"/>
      <c r="F33" s="1843"/>
      <c r="G33" s="1843"/>
      <c r="H33" s="1843"/>
      <c r="I33" s="1843"/>
      <c r="J33" s="1843"/>
      <c r="K33" s="1843"/>
      <c r="L33" s="1843"/>
    </row>
    <row r="34" spans="2:14" ht="13.8" thickBot="1">
      <c r="B34" s="1096"/>
      <c r="C34" s="1096"/>
      <c r="D34" s="1096"/>
      <c r="E34" s="1096"/>
      <c r="F34" s="1096"/>
      <c r="G34" s="1096"/>
      <c r="H34" s="1096"/>
      <c r="I34" s="1096"/>
      <c r="J34" s="1096"/>
      <c r="K34" s="1096"/>
      <c r="L34" s="1096"/>
    </row>
    <row r="35" spans="2:14" ht="21" customHeight="1" thickTop="1">
      <c r="B35" s="1152" t="s">
        <v>202</v>
      </c>
      <c r="C35" s="1152"/>
      <c r="D35" s="1152"/>
      <c r="E35" s="1152"/>
      <c r="F35" s="1152"/>
      <c r="G35" s="1152"/>
      <c r="H35" s="1152"/>
      <c r="I35" s="1152"/>
      <c r="J35" s="1152"/>
      <c r="K35" s="1196"/>
      <c r="L35" s="1195">
        <f>+'41-Utility3'!G13</f>
        <v>0</v>
      </c>
    </row>
    <row r="36" spans="2:14" ht="21" customHeight="1">
      <c r="B36" s="681" t="s">
        <v>335</v>
      </c>
      <c r="C36" s="681"/>
      <c r="D36" s="681"/>
      <c r="E36" s="681"/>
      <c r="F36" s="681"/>
      <c r="G36" s="681"/>
      <c r="H36" s="681"/>
      <c r="I36" s="681"/>
      <c r="J36" s="681"/>
      <c r="K36" s="1197"/>
      <c r="L36" s="623"/>
    </row>
    <row r="37" spans="2:14" ht="21" customHeight="1" thickBot="1">
      <c r="B37" s="681" t="s">
        <v>698</v>
      </c>
      <c r="C37" s="681"/>
      <c r="D37" s="681"/>
      <c r="E37" s="681"/>
      <c r="F37" s="681"/>
      <c r="G37" s="681"/>
      <c r="H37" s="681"/>
      <c r="I37" s="681"/>
      <c r="J37" s="681"/>
      <c r="K37" s="1197"/>
      <c r="L37" s="625"/>
    </row>
    <row r="38" spans="2:14" ht="21" customHeight="1" thickTop="1">
      <c r="B38" s="681"/>
      <c r="C38" s="681"/>
      <c r="D38" s="681" t="s">
        <v>337</v>
      </c>
      <c r="E38" s="681"/>
      <c r="F38" s="681"/>
      <c r="G38" s="681"/>
      <c r="H38" s="681"/>
      <c r="I38" s="681"/>
      <c r="J38" s="681"/>
      <c r="K38" s="1197"/>
      <c r="L38" s="1198">
        <f>SUM(L35:L37)</f>
        <v>0</v>
      </c>
    </row>
    <row r="39" spans="2:14" ht="21" customHeight="1" thickBot="1">
      <c r="B39" s="681" t="s">
        <v>386</v>
      </c>
      <c r="C39" s="681"/>
      <c r="D39" s="681"/>
      <c r="E39" s="681"/>
      <c r="F39" s="681"/>
      <c r="G39" s="681"/>
      <c r="H39" s="681"/>
      <c r="I39" s="681"/>
      <c r="J39" s="681"/>
      <c r="K39" s="1197"/>
      <c r="L39" s="1199">
        <f>+'41-Utility3'!H39</f>
        <v>0</v>
      </c>
    </row>
    <row r="40" spans="2:14" ht="21" customHeight="1" thickTop="1">
      <c r="B40" s="681"/>
      <c r="C40" s="681"/>
      <c r="D40" s="681" t="s">
        <v>216</v>
      </c>
      <c r="E40" s="681"/>
      <c r="F40" s="681"/>
      <c r="G40" s="681"/>
      <c r="H40" s="681"/>
      <c r="I40" s="681"/>
      <c r="J40" s="681"/>
      <c r="K40" s="1197"/>
      <c r="L40" s="1198">
        <f>+L38-L39</f>
        <v>0</v>
      </c>
    </row>
    <row r="41" spans="2:14" ht="21" customHeight="1">
      <c r="B41" s="681" t="s">
        <v>393</v>
      </c>
      <c r="C41" s="681"/>
      <c r="D41" s="681"/>
      <c r="E41" s="681"/>
      <c r="F41" s="681"/>
      <c r="G41" s="681"/>
      <c r="H41" s="681"/>
      <c r="I41" s="681"/>
      <c r="J41" s="681"/>
      <c r="K41" s="682"/>
      <c r="L41" s="1102"/>
    </row>
    <row r="42" spans="2:14" ht="22.5" customHeight="1">
      <c r="B42" s="681"/>
      <c r="C42" s="1842" t="s">
        <v>389</v>
      </c>
      <c r="D42" s="1842"/>
      <c r="E42" s="1842"/>
      <c r="F42" s="1842"/>
      <c r="G42" s="1842"/>
      <c r="H42" s="1205"/>
      <c r="I42" s="681"/>
      <c r="J42" s="681"/>
      <c r="K42" s="593"/>
      <c r="L42" s="1102"/>
    </row>
    <row r="43" spans="2:14" ht="21" customHeight="1">
      <c r="B43" s="681"/>
      <c r="C43" s="681" t="s">
        <v>217</v>
      </c>
      <c r="D43" s="681"/>
      <c r="E43" s="681"/>
      <c r="F43" s="681"/>
      <c r="G43" s="681"/>
      <c r="H43" s="681"/>
      <c r="I43" s="681"/>
      <c r="J43" s="681"/>
      <c r="K43" s="593"/>
      <c r="L43" s="1102"/>
      <c r="M43" s="392"/>
      <c r="N43" s="392"/>
    </row>
    <row r="44" spans="2:14" ht="21" customHeight="1" thickBot="1">
      <c r="B44" s="681"/>
      <c r="C44" s="681"/>
      <c r="D44" s="681" t="s">
        <v>391</v>
      </c>
      <c r="E44" s="681"/>
      <c r="F44" s="681"/>
      <c r="G44" s="681"/>
      <c r="H44" s="681"/>
      <c r="I44" s="681"/>
      <c r="J44" s="681"/>
      <c r="K44" s="1201"/>
      <c r="L44" s="1112">
        <f>SUM(K42:K43)</f>
        <v>0</v>
      </c>
    </row>
    <row r="45" spans="2:14" ht="21" customHeight="1" thickBot="1">
      <c r="B45" s="1202" t="str">
        <f>"# MAY NOT BE ANTICIPATED AS NON-CASH SURPLUS IN "&amp;TEXT('KEY INPUTS'!D34,"0")&amp;" BUDGET."</f>
        <v># MAY NOT BE ANTICIPATED AS NON-CASH SURPLUS IN 2020 BUDGET.</v>
      </c>
      <c r="C45" s="1096"/>
      <c r="D45" s="1096"/>
      <c r="E45" s="1096"/>
      <c r="F45" s="1096"/>
      <c r="G45" s="1096"/>
      <c r="H45" s="1096"/>
      <c r="I45" s="1096"/>
      <c r="J45" s="1096"/>
      <c r="K45" s="1203"/>
      <c r="L45" s="1200">
        <f>+L40+L44</f>
        <v>0</v>
      </c>
      <c r="M45" s="392"/>
      <c r="N45" s="767" t="s">
        <v>3307</v>
      </c>
    </row>
    <row r="46" spans="2:14" ht="13.8" thickTop="1">
      <c r="B46" s="463" t="s">
        <v>223</v>
      </c>
      <c r="C46" s="463"/>
    </row>
    <row r="47" spans="2:14">
      <c r="B47" s="463"/>
      <c r="C47" s="463" t="s">
        <v>3219</v>
      </c>
    </row>
    <row r="52" spans="2:12" ht="13.8">
      <c r="B52" s="1799" t="s">
        <v>3218</v>
      </c>
      <c r="C52" s="1799"/>
      <c r="D52" s="1799"/>
      <c r="E52" s="1799"/>
      <c r="F52" s="1799"/>
      <c r="G52" s="1799"/>
      <c r="H52" s="1799"/>
      <c r="I52" s="1799"/>
      <c r="J52" s="1799"/>
      <c r="K52" s="1799"/>
      <c r="L52" s="1799"/>
    </row>
  </sheetData>
  <sheetProtection algorithmName="SHA-512" hashValue="mYgH3QUAjo/Qa9KsSDEELjP9A0Ta8DS5S9WpBh6ac3Y6hoQHPDKwTB04Lm9Vh7bodmnOSsb0nDcjohSywNFIRQ==" saltValue="WoRpH/vgdRR+ILsP8yo88Q=="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9">
    <tabColor theme="5" tint="0.59999389629810485"/>
  </sheetPr>
  <dimension ref="B3:T69"/>
  <sheetViews>
    <sheetView zoomScaleNormal="100" zoomScaleSheetLayoutView="80" workbookViewId="0">
      <selection activeCell="B1" sqref="B1"/>
    </sheetView>
  </sheetViews>
  <sheetFormatPr defaultColWidth="9.109375" defaultRowHeight="13.2"/>
  <cols>
    <col min="1" max="4" width="4.6640625" style="324" customWidth="1"/>
    <col min="5" max="8" width="9.109375" style="324"/>
    <col min="9" max="9" width="1.6640625" style="324" customWidth="1"/>
    <col min="10" max="10" width="16.6640625" style="324" customWidth="1"/>
    <col min="11" max="11" width="1.6640625" style="324" customWidth="1"/>
    <col min="12" max="12" width="16.6640625" style="324" customWidth="1"/>
    <col min="13" max="16384" width="9.109375" style="324"/>
  </cols>
  <sheetData>
    <row r="3" spans="2:20" ht="17.399999999999999">
      <c r="B3" s="1849" t="str">
        <f>"SCHEDULE  OF "&amp;UPPER('KEY INPUTS'!D54&amp;"  UTILITY  ACCOUNTS  RECEIVABLE")</f>
        <v>SCHEDULE  OF   UTILITY  ACCOUNTS  RECEIVABLE</v>
      </c>
      <c r="C3" s="1849"/>
      <c r="D3" s="1849"/>
      <c r="E3" s="1849"/>
      <c r="F3" s="1849"/>
      <c r="G3" s="1849"/>
      <c r="H3" s="1849"/>
      <c r="I3" s="1849"/>
      <c r="J3" s="1849"/>
      <c r="K3" s="1849"/>
      <c r="L3" s="1849"/>
    </row>
    <row r="6" spans="2:20">
      <c r="B6" s="473" t="str">
        <f>"Balance December 31, "&amp;'KEY INPUTS'!D35</f>
        <v>Balance December 31, 2019</v>
      </c>
      <c r="J6" s="280"/>
      <c r="K6" s="324" t="s">
        <v>397</v>
      </c>
      <c r="L6" s="573"/>
      <c r="N6" s="315"/>
      <c r="O6" s="315"/>
      <c r="P6" s="315"/>
      <c r="Q6" s="315"/>
      <c r="R6" s="315"/>
      <c r="S6" s="315"/>
      <c r="T6" s="315"/>
    </row>
    <row r="7" spans="2:20">
      <c r="J7" s="280"/>
      <c r="K7" s="280"/>
      <c r="L7" s="280"/>
      <c r="N7" s="315"/>
      <c r="O7" s="315"/>
      <c r="P7" s="315"/>
      <c r="Q7" s="315"/>
      <c r="R7" s="315"/>
      <c r="S7" s="315"/>
      <c r="T7" s="315"/>
    </row>
    <row r="8" spans="2:20">
      <c r="J8" s="280"/>
      <c r="K8" s="280"/>
      <c r="L8" s="280"/>
      <c r="N8" s="370"/>
      <c r="O8" s="315"/>
      <c r="P8" s="315"/>
      <c r="Q8" s="315"/>
      <c r="R8" s="315"/>
      <c r="S8" s="315"/>
      <c r="T8" s="315"/>
    </row>
    <row r="9" spans="2:20">
      <c r="J9" s="280"/>
      <c r="K9" s="280"/>
      <c r="L9" s="280"/>
      <c r="N9" s="315"/>
      <c r="O9" s="315"/>
      <c r="P9" s="315"/>
      <c r="Q9" s="315"/>
      <c r="R9" s="315"/>
      <c r="S9" s="315"/>
      <c r="T9" s="315"/>
    </row>
    <row r="10" spans="2:20">
      <c r="B10" s="324" t="s">
        <v>224</v>
      </c>
      <c r="J10" s="280"/>
      <c r="K10" s="280"/>
      <c r="L10" s="280"/>
      <c r="N10" s="315"/>
      <c r="O10" s="315"/>
      <c r="P10" s="315"/>
      <c r="Q10" s="315"/>
      <c r="R10" s="315"/>
      <c r="S10" s="315"/>
      <c r="T10" s="315"/>
    </row>
    <row r="11" spans="2:20">
      <c r="D11" s="1174" t="s">
        <v>3550</v>
      </c>
      <c r="E11" s="1174"/>
      <c r="F11" s="1174"/>
      <c r="G11" s="1096"/>
      <c r="J11" s="280"/>
      <c r="K11" s="324" t="s">
        <v>397</v>
      </c>
      <c r="L11" s="573"/>
      <c r="N11" s="315"/>
      <c r="O11" s="315"/>
      <c r="P11" s="315"/>
      <c r="Q11" s="315"/>
      <c r="R11" s="315"/>
      <c r="S11" s="315"/>
      <c r="T11" s="315"/>
    </row>
    <row r="12" spans="2:20">
      <c r="J12" s="280"/>
      <c r="K12" s="280"/>
      <c r="L12" s="280"/>
      <c r="N12" s="315"/>
      <c r="O12" s="315"/>
      <c r="P12" s="315"/>
      <c r="Q12" s="315"/>
      <c r="R12" s="315"/>
      <c r="S12" s="315"/>
      <c r="T12" s="315"/>
    </row>
    <row r="13" spans="2:20">
      <c r="J13" s="280"/>
      <c r="K13" s="280"/>
      <c r="L13" s="280"/>
      <c r="N13" s="315"/>
      <c r="O13" s="315"/>
      <c r="P13" s="315"/>
      <c r="Q13" s="315"/>
      <c r="R13" s="315"/>
      <c r="S13" s="315"/>
      <c r="T13" s="315"/>
    </row>
    <row r="14" spans="2:20">
      <c r="J14" s="280"/>
      <c r="K14" s="280"/>
      <c r="L14" s="280"/>
      <c r="N14" s="315"/>
      <c r="O14" s="315"/>
      <c r="P14" s="315"/>
      <c r="Q14" s="315"/>
      <c r="R14" s="315"/>
      <c r="S14" s="315"/>
      <c r="T14" s="315"/>
    </row>
    <row r="15" spans="2:20">
      <c r="B15" s="324" t="s">
        <v>225</v>
      </c>
      <c r="J15" s="280"/>
      <c r="K15" s="280"/>
      <c r="L15" s="280"/>
      <c r="N15" s="315"/>
      <c r="O15" s="315"/>
      <c r="P15" s="315"/>
      <c r="Q15" s="315"/>
      <c r="R15" s="315"/>
      <c r="S15" s="315"/>
      <c r="T15" s="315"/>
    </row>
    <row r="16" spans="2:20" ht="21" customHeight="1">
      <c r="D16" s="324" t="s">
        <v>226</v>
      </c>
      <c r="I16" s="324" t="s">
        <v>397</v>
      </c>
      <c r="J16" s="573"/>
      <c r="K16" s="280"/>
      <c r="L16" s="280"/>
      <c r="N16" s="315"/>
      <c r="O16" s="315"/>
      <c r="P16" s="315"/>
      <c r="Q16" s="315"/>
      <c r="R16" s="315"/>
      <c r="S16" s="315"/>
      <c r="T16" s="315"/>
    </row>
    <row r="17" spans="2:20" ht="21" customHeight="1">
      <c r="D17" s="324" t="s">
        <v>227</v>
      </c>
      <c r="I17" s="324" t="s">
        <v>397</v>
      </c>
      <c r="J17" s="573"/>
      <c r="K17" s="280"/>
      <c r="L17" s="280"/>
      <c r="N17" s="315"/>
      <c r="O17" s="315"/>
      <c r="P17" s="315"/>
      <c r="Q17" s="315"/>
      <c r="R17" s="315"/>
      <c r="S17" s="315"/>
      <c r="T17" s="315"/>
    </row>
    <row r="18" spans="2:20" ht="21" customHeight="1">
      <c r="D18" s="1096" t="s">
        <v>3551</v>
      </c>
      <c r="E18" s="1096"/>
      <c r="F18" s="1174"/>
      <c r="G18" s="1174"/>
      <c r="I18" s="324" t="s">
        <v>397</v>
      </c>
      <c r="J18" s="573"/>
      <c r="K18" s="280"/>
      <c r="L18" s="280"/>
      <c r="N18" s="315"/>
      <c r="O18" s="315"/>
      <c r="P18" s="315"/>
      <c r="Q18" s="315"/>
      <c r="R18" s="315"/>
      <c r="S18" s="315"/>
      <c r="T18" s="315"/>
    </row>
    <row r="19" spans="2:20" ht="21" customHeight="1">
      <c r="D19" s="324" t="s">
        <v>228</v>
      </c>
      <c r="I19" s="324" t="s">
        <v>397</v>
      </c>
      <c r="J19" s="573"/>
      <c r="K19" s="280"/>
      <c r="L19" s="280"/>
      <c r="N19" s="315"/>
      <c r="O19" s="315"/>
      <c r="P19" s="315"/>
      <c r="Q19" s="315"/>
      <c r="R19" s="315"/>
      <c r="S19" s="315"/>
      <c r="T19" s="315"/>
    </row>
    <row r="20" spans="2:20">
      <c r="J20" s="280"/>
      <c r="K20" s="280"/>
      <c r="L20" s="280"/>
      <c r="N20" s="315"/>
      <c r="O20" s="315"/>
      <c r="P20" s="315"/>
      <c r="Q20" s="315"/>
      <c r="R20" s="315"/>
      <c r="S20" s="315"/>
      <c r="T20" s="315"/>
    </row>
    <row r="21" spans="2:20">
      <c r="J21" s="280"/>
      <c r="K21" s="324" t="s">
        <v>397</v>
      </c>
      <c r="L21" s="67">
        <f>SUM(J16:J19)</f>
        <v>0</v>
      </c>
      <c r="N21" s="315"/>
      <c r="O21" s="315"/>
      <c r="P21" s="315"/>
      <c r="Q21" s="315"/>
      <c r="R21" s="315"/>
      <c r="S21" s="315"/>
      <c r="T21" s="315"/>
    </row>
    <row r="22" spans="2:20">
      <c r="J22" s="280"/>
      <c r="K22" s="280"/>
      <c r="L22" s="280"/>
      <c r="N22" s="315"/>
      <c r="O22" s="315"/>
      <c r="P22" s="315"/>
      <c r="Q22" s="315"/>
      <c r="R22" s="315"/>
      <c r="S22" s="315"/>
      <c r="T22" s="315"/>
    </row>
    <row r="23" spans="2:20">
      <c r="J23" s="280"/>
      <c r="K23" s="280"/>
      <c r="L23" s="280"/>
    </row>
    <row r="24" spans="2:20" ht="13.8" thickBot="1">
      <c r="B24" s="471" t="str">
        <f>"Balance December 31, "&amp;'KEY INPUTS'!D34</f>
        <v>Balance December 31, 2020</v>
      </c>
      <c r="J24" s="280"/>
      <c r="K24" s="324" t="s">
        <v>397</v>
      </c>
      <c r="L24" s="84">
        <f>+L6+L11-L21</f>
        <v>0</v>
      </c>
    </row>
    <row r="25" spans="2:20" ht="13.8" thickTop="1"/>
    <row r="28" spans="2:20">
      <c r="B28" s="472"/>
      <c r="C28" s="472"/>
      <c r="D28" s="472"/>
      <c r="E28" s="472"/>
      <c r="F28" s="472"/>
      <c r="G28" s="472"/>
      <c r="H28" s="472"/>
      <c r="I28" s="472"/>
      <c r="J28" s="472"/>
      <c r="K28" s="472"/>
      <c r="L28" s="472"/>
    </row>
    <row r="29" spans="2:20" ht="4.5" customHeight="1">
      <c r="B29" s="472"/>
      <c r="C29" s="472"/>
      <c r="D29" s="472"/>
      <c r="E29" s="472"/>
      <c r="F29" s="472"/>
      <c r="G29" s="472"/>
      <c r="H29" s="472"/>
      <c r="I29" s="472"/>
      <c r="J29" s="472"/>
      <c r="K29" s="472"/>
      <c r="L29" s="472"/>
    </row>
    <row r="33" spans="2:12" ht="17.399999999999999">
      <c r="B33" s="1843" t="str">
        <f>"SCHEDULE  OF "&amp;UPPER('KEY INPUTS'!D54)&amp;" UTILITY  LIENS"</f>
        <v>SCHEDULE  OF  UTILITY  LIENS</v>
      </c>
      <c r="C33" s="1843"/>
      <c r="D33" s="1843"/>
      <c r="E33" s="1843"/>
      <c r="F33" s="1843"/>
      <c r="G33" s="1843"/>
      <c r="H33" s="1843"/>
      <c r="I33" s="1843"/>
      <c r="J33" s="1843"/>
      <c r="K33" s="1843"/>
      <c r="L33" s="1843"/>
    </row>
    <row r="36" spans="2:12">
      <c r="B36" s="471" t="str">
        <f>"Balance December 31, "&amp;'KEY INPUTS'!D35</f>
        <v>Balance December 31, 2019</v>
      </c>
      <c r="I36" s="280"/>
      <c r="J36" s="280"/>
      <c r="K36" s="280" t="s">
        <v>397</v>
      </c>
      <c r="L36" s="573"/>
    </row>
    <row r="37" spans="2:12">
      <c r="I37" s="280"/>
      <c r="J37" s="280"/>
      <c r="K37" s="280"/>
      <c r="L37" s="280"/>
    </row>
    <row r="38" spans="2:12">
      <c r="I38" s="280"/>
      <c r="J38" s="280"/>
      <c r="K38" s="280"/>
      <c r="L38" s="280"/>
    </row>
    <row r="39" spans="2:12">
      <c r="I39" s="280"/>
      <c r="J39" s="280"/>
      <c r="K39" s="280"/>
      <c r="L39" s="280"/>
    </row>
    <row r="40" spans="2:12">
      <c r="B40" s="324" t="s">
        <v>224</v>
      </c>
      <c r="I40" s="280"/>
      <c r="J40" s="280"/>
      <c r="K40" s="280"/>
      <c r="L40" s="280"/>
    </row>
    <row r="41" spans="2:12" ht="21" customHeight="1">
      <c r="D41" s="324" t="s">
        <v>229</v>
      </c>
      <c r="I41" s="324" t="s">
        <v>397</v>
      </c>
      <c r="J41" s="573"/>
      <c r="K41" s="280"/>
      <c r="L41" s="280"/>
    </row>
    <row r="42" spans="2:12" ht="21" customHeight="1">
      <c r="D42" s="324" t="s">
        <v>230</v>
      </c>
      <c r="I42" s="324" t="s">
        <v>397</v>
      </c>
      <c r="J42" s="573"/>
      <c r="K42" s="280"/>
      <c r="L42" s="280"/>
    </row>
    <row r="43" spans="2:12" ht="21" customHeight="1">
      <c r="D43" s="324" t="s">
        <v>228</v>
      </c>
      <c r="I43" s="324" t="s">
        <v>397</v>
      </c>
      <c r="J43" s="573"/>
      <c r="K43" s="123"/>
      <c r="L43" s="123"/>
    </row>
    <row r="44" spans="2:12">
      <c r="I44" s="280"/>
      <c r="J44" s="280"/>
      <c r="K44" s="280"/>
      <c r="L44" s="280"/>
    </row>
    <row r="45" spans="2:12">
      <c r="I45" s="280"/>
      <c r="J45" s="280"/>
      <c r="K45" s="324" t="s">
        <v>397</v>
      </c>
      <c r="L45" s="67">
        <f>SUM(J41:J43)</f>
        <v>0</v>
      </c>
    </row>
    <row r="46" spans="2:12">
      <c r="I46" s="280"/>
      <c r="J46" s="280"/>
      <c r="K46" s="280"/>
      <c r="L46" s="280"/>
    </row>
    <row r="47" spans="2:12">
      <c r="B47" s="324" t="s">
        <v>225</v>
      </c>
      <c r="I47" s="280"/>
      <c r="J47" s="280"/>
      <c r="K47" s="280"/>
      <c r="L47" s="280"/>
    </row>
    <row r="48" spans="2:12" ht="21" customHeight="1">
      <c r="D48" s="324" t="s">
        <v>226</v>
      </c>
      <c r="I48" s="324" t="s">
        <v>397</v>
      </c>
      <c r="J48" s="573"/>
      <c r="K48" s="280"/>
      <c r="L48" s="280"/>
    </row>
    <row r="49" spans="2:12" ht="21" customHeight="1">
      <c r="D49" s="324" t="s">
        <v>228</v>
      </c>
      <c r="I49" s="324" t="s">
        <v>397</v>
      </c>
      <c r="J49" s="573"/>
      <c r="K49" s="280"/>
      <c r="L49" s="280"/>
    </row>
    <row r="50" spans="2:12">
      <c r="I50" s="280"/>
      <c r="J50" s="280"/>
      <c r="K50" s="280"/>
      <c r="L50" s="280"/>
    </row>
    <row r="51" spans="2:12">
      <c r="I51" s="280"/>
      <c r="J51" s="280"/>
      <c r="K51" s="324" t="s">
        <v>397</v>
      </c>
      <c r="L51" s="67">
        <f>+J49+J48</f>
        <v>0</v>
      </c>
    </row>
    <row r="52" spans="2:12">
      <c r="I52" s="280"/>
      <c r="J52" s="280"/>
      <c r="K52" s="280"/>
      <c r="L52" s="280"/>
    </row>
    <row r="53" spans="2:12">
      <c r="I53" s="280"/>
      <c r="J53" s="280"/>
      <c r="K53" s="280"/>
      <c r="L53" s="280"/>
    </row>
    <row r="54" spans="2:12" ht="13.8" thickBot="1">
      <c r="B54" s="471" t="str">
        <f>"Balance December 31, "&amp;'KEY INPUTS'!D34</f>
        <v>Balance December 31, 2020</v>
      </c>
      <c r="I54" s="280"/>
      <c r="J54" s="280"/>
      <c r="K54" s="324" t="s">
        <v>397</v>
      </c>
      <c r="L54" s="84">
        <f>+L36+L45-L51</f>
        <v>0</v>
      </c>
    </row>
    <row r="55" spans="2:12" ht="13.8" thickTop="1">
      <c r="I55" s="280"/>
      <c r="J55" s="280"/>
      <c r="K55" s="280"/>
      <c r="L55" s="280"/>
    </row>
    <row r="69" spans="2:12" ht="13.8">
      <c r="B69" s="1850" t="s">
        <v>3222</v>
      </c>
      <c r="C69" s="1850"/>
      <c r="D69" s="1850"/>
      <c r="E69" s="1850"/>
      <c r="F69" s="1850"/>
      <c r="G69" s="1850"/>
      <c r="H69" s="1850"/>
      <c r="I69" s="1850"/>
      <c r="J69" s="1850"/>
      <c r="K69" s="1850"/>
      <c r="L69" s="1850"/>
    </row>
  </sheetData>
  <sheetProtection algorithmName="SHA-512" hashValue="lmHgY3MKRwijXamjq4E2TgSGVM1i+ZUnT/vumBwVvn9DDazKMAERoB9mLMtosAbD8Pr0GdQ07F8WTpoDjTc9Xg==" saltValue="zLMr7sWyxOPm284Ax8W5KQ=="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0">
    <tabColor theme="5" tint="0.59999389629810485"/>
  </sheetPr>
  <dimension ref="B1:W69"/>
  <sheetViews>
    <sheetView topLeftCell="A22" zoomScaleNormal="100" zoomScaleSheetLayoutView="80" workbookViewId="0"/>
  </sheetViews>
  <sheetFormatPr defaultColWidth="9.109375" defaultRowHeight="13.2"/>
  <cols>
    <col min="1" max="4" width="4.6640625" style="324" customWidth="1"/>
    <col min="5" max="6" width="9.109375" style="324"/>
    <col min="7" max="7" width="1.6640625" style="324" customWidth="1"/>
    <col min="8" max="8" width="14.6640625" style="324" customWidth="1"/>
    <col min="9" max="9" width="1.6640625" style="324" customWidth="1"/>
    <col min="10" max="10" width="14.6640625" style="324" customWidth="1"/>
    <col min="11" max="11" width="1.6640625" style="324" customWidth="1"/>
    <col min="12" max="12" width="14.6640625" style="324" customWidth="1"/>
    <col min="13" max="13" width="1.6640625" style="324" customWidth="1"/>
    <col min="14" max="14" width="14.6640625" style="324" customWidth="1"/>
    <col min="15" max="16384" width="9.109375" style="324"/>
  </cols>
  <sheetData>
    <row r="1" spans="2:23">
      <c r="B1" s="1128"/>
      <c r="C1" s="1128"/>
      <c r="D1" s="1128"/>
      <c r="E1" s="1128"/>
      <c r="F1" s="1128"/>
      <c r="G1" s="1128"/>
      <c r="H1" s="1128"/>
      <c r="I1" s="1128"/>
      <c r="J1" s="1128"/>
      <c r="K1" s="1128"/>
      <c r="L1" s="1128"/>
      <c r="M1" s="1128"/>
      <c r="N1" s="1128"/>
    </row>
    <row r="2" spans="2:23">
      <c r="B2" s="1128"/>
      <c r="C2" s="1128"/>
      <c r="D2" s="1128"/>
      <c r="E2" s="1128"/>
      <c r="F2" s="1128"/>
      <c r="G2" s="1128"/>
      <c r="H2" s="1128"/>
      <c r="I2" s="1128"/>
      <c r="J2" s="1128"/>
      <c r="K2" s="1128"/>
      <c r="L2" s="1128"/>
      <c r="M2" s="1128"/>
      <c r="N2" s="1128"/>
    </row>
    <row r="3" spans="2:23" ht="20.399999999999999">
      <c r="B3" s="1916" t="s">
        <v>918</v>
      </c>
      <c r="C3" s="1916"/>
      <c r="D3" s="1916"/>
      <c r="E3" s="1916"/>
      <c r="F3" s="1916"/>
      <c r="G3" s="1916"/>
      <c r="H3" s="1916"/>
      <c r="I3" s="1916"/>
      <c r="J3" s="1916"/>
      <c r="K3" s="1916"/>
      <c r="L3" s="1916"/>
      <c r="M3" s="1916"/>
      <c r="N3" s="1916"/>
    </row>
    <row r="4" spans="2:23" ht="15.6">
      <c r="B4" s="1974" t="s">
        <v>448</v>
      </c>
      <c r="C4" s="1974"/>
      <c r="D4" s="1974"/>
      <c r="E4" s="1974"/>
      <c r="F4" s="1974"/>
      <c r="G4" s="1974"/>
      <c r="H4" s="1974"/>
      <c r="I4" s="1974"/>
      <c r="J4" s="1974"/>
      <c r="K4" s="1974"/>
      <c r="L4" s="1974"/>
      <c r="M4" s="1974"/>
      <c r="N4" s="1974"/>
    </row>
    <row r="5" spans="2:23" ht="20.399999999999999">
      <c r="B5" s="1826" t="str">
        <f>UPPER('KEY INPUTS'!D54)&amp;" UTILITY  FUND"</f>
        <v xml:space="preserve"> UTILITY  FUND</v>
      </c>
      <c r="C5" s="1826"/>
      <c r="D5" s="1826"/>
      <c r="E5" s="1826"/>
      <c r="F5" s="1826"/>
      <c r="G5" s="1826"/>
      <c r="H5" s="1826"/>
      <c r="I5" s="1826"/>
      <c r="J5" s="1826"/>
      <c r="K5" s="1826"/>
      <c r="L5" s="1826"/>
      <c r="M5" s="1826"/>
      <c r="N5" s="1826"/>
    </row>
    <row r="6" spans="2:23">
      <c r="B6" s="1975" t="s">
        <v>231</v>
      </c>
      <c r="C6" s="1975"/>
      <c r="D6" s="1975"/>
      <c r="E6" s="1975"/>
      <c r="F6" s="1975"/>
      <c r="G6" s="1975"/>
      <c r="H6" s="1975"/>
      <c r="I6" s="1975"/>
      <c r="J6" s="1975"/>
      <c r="K6" s="1975"/>
      <c r="L6" s="1975"/>
      <c r="M6" s="1975"/>
      <c r="N6" s="1975"/>
    </row>
    <row r="7" spans="2:23">
      <c r="B7" s="1128"/>
      <c r="C7" s="1128"/>
      <c r="D7" s="1128"/>
      <c r="E7" s="1128"/>
      <c r="F7" s="1128"/>
      <c r="G7" s="1128"/>
      <c r="H7" s="1128"/>
      <c r="I7" s="1128"/>
      <c r="J7" s="1128"/>
      <c r="K7" s="1128"/>
      <c r="L7" s="1128"/>
      <c r="M7" s="1128"/>
      <c r="N7" s="1128"/>
    </row>
    <row r="8" spans="2:23">
      <c r="B8" s="1128"/>
      <c r="C8" s="1128"/>
      <c r="D8" s="1128"/>
      <c r="E8" s="1128"/>
      <c r="F8" s="1128"/>
      <c r="G8" s="1128"/>
      <c r="H8" s="1123" t="s">
        <v>441</v>
      </c>
      <c r="I8" s="1128"/>
      <c r="J8" s="1128"/>
      <c r="K8" s="1128"/>
      <c r="L8" s="1128"/>
      <c r="M8" s="1128"/>
      <c r="N8" s="1128"/>
    </row>
    <row r="9" spans="2:23">
      <c r="B9" s="1128"/>
      <c r="C9" s="1973" t="s">
        <v>461</v>
      </c>
      <c r="D9" s="1973"/>
      <c r="E9" s="1973"/>
      <c r="F9" s="1128"/>
      <c r="G9" s="1128"/>
      <c r="H9" s="1326" t="str">
        <f>'KEY INPUTS'!D45</f>
        <v>Dec. 31, 2019</v>
      </c>
      <c r="I9" s="1128"/>
      <c r="J9" s="1123" t="s">
        <v>462</v>
      </c>
      <c r="K9" s="1128"/>
      <c r="L9" s="1123" t="s">
        <v>441</v>
      </c>
      <c r="M9" s="1128"/>
      <c r="N9" s="1123" t="s">
        <v>559</v>
      </c>
    </row>
    <row r="10" spans="2:23">
      <c r="B10" s="1128"/>
      <c r="C10" s="1128"/>
      <c r="D10" s="1128"/>
      <c r="E10" s="1128"/>
      <c r="F10" s="1128"/>
      <c r="G10" s="1128"/>
      <c r="H10" s="1123" t="s">
        <v>460</v>
      </c>
      <c r="I10" s="1128"/>
      <c r="J10" s="1123">
        <f>'KEY INPUTS'!D34</f>
        <v>2020</v>
      </c>
      <c r="K10" s="1128"/>
      <c r="L10" s="1123" t="s">
        <v>463</v>
      </c>
      <c r="M10" s="1128"/>
      <c r="N10" s="1123" t="s">
        <v>464</v>
      </c>
    </row>
    <row r="11" spans="2:23">
      <c r="B11" s="1128"/>
      <c r="C11" s="1128"/>
      <c r="D11" s="1128"/>
      <c r="E11" s="1128"/>
      <c r="F11" s="1128"/>
      <c r="G11" s="1128"/>
      <c r="H11" s="1327" t="s">
        <v>459</v>
      </c>
      <c r="I11" s="1128"/>
      <c r="J11" s="1327" t="s">
        <v>564</v>
      </c>
      <c r="K11" s="1128"/>
      <c r="L11" s="1327">
        <f>'KEY INPUTS'!D34</f>
        <v>2020</v>
      </c>
      <c r="M11" s="1128"/>
      <c r="N11" s="1328" t="str">
        <f>'KEY INPUTS'!D46</f>
        <v>Dec. 31, 2020</v>
      </c>
      <c r="Q11" s="315"/>
      <c r="R11" s="315"/>
      <c r="S11" s="315"/>
      <c r="T11" s="315"/>
      <c r="U11" s="315"/>
      <c r="V11" s="315"/>
      <c r="W11" s="315"/>
    </row>
    <row r="12" spans="2:23">
      <c r="B12" s="1329" t="s">
        <v>308</v>
      </c>
      <c r="C12" s="1128" t="s">
        <v>919</v>
      </c>
      <c r="D12" s="1128"/>
      <c r="E12" s="1128"/>
      <c r="F12" s="1128"/>
      <c r="G12" s="1128"/>
      <c r="H12" s="1128"/>
      <c r="I12" s="1128"/>
      <c r="J12" s="1128"/>
      <c r="K12" s="1128"/>
      <c r="L12" s="1128"/>
      <c r="M12" s="1128"/>
      <c r="N12" s="1128"/>
      <c r="Q12" s="315"/>
      <c r="R12" s="315"/>
      <c r="S12" s="315"/>
      <c r="T12" s="315"/>
      <c r="U12" s="315"/>
      <c r="V12" s="315"/>
      <c r="W12" s="315"/>
    </row>
    <row r="13" spans="2:23">
      <c r="B13" s="474"/>
      <c r="D13" s="324" t="s">
        <v>920</v>
      </c>
      <c r="G13" s="324" t="s">
        <v>397</v>
      </c>
      <c r="H13" s="573"/>
      <c r="I13" s="324" t="s">
        <v>397</v>
      </c>
      <c r="J13" s="573"/>
      <c r="K13" s="324" t="s">
        <v>397</v>
      </c>
      <c r="L13" s="573"/>
      <c r="M13" s="324" t="s">
        <v>397</v>
      </c>
      <c r="N13" s="661">
        <f>+H13-J13+L13</f>
        <v>0</v>
      </c>
      <c r="Q13" s="370"/>
      <c r="R13" s="315"/>
      <c r="S13" s="315"/>
      <c r="T13" s="315"/>
      <c r="U13" s="315"/>
      <c r="V13" s="315"/>
      <c r="W13" s="315"/>
    </row>
    <row r="14" spans="2:23">
      <c r="B14" s="474"/>
      <c r="H14" s="280"/>
      <c r="J14" s="280"/>
      <c r="L14" s="280"/>
      <c r="Q14" s="315"/>
      <c r="R14" s="315"/>
      <c r="S14" s="315"/>
      <c r="T14" s="315"/>
      <c r="U14" s="315"/>
      <c r="V14" s="315"/>
      <c r="W14" s="315"/>
    </row>
    <row r="15" spans="2:23" ht="21" customHeight="1">
      <c r="B15" s="474" t="s">
        <v>309</v>
      </c>
      <c r="C15" s="660" t="s">
        <v>3190</v>
      </c>
      <c r="D15" s="659"/>
      <c r="E15" s="659"/>
      <c r="F15" s="659"/>
      <c r="G15" s="324" t="s">
        <v>397</v>
      </c>
      <c r="H15" s="573"/>
      <c r="I15" s="324" t="s">
        <v>397</v>
      </c>
      <c r="J15" s="573"/>
      <c r="K15" s="324" t="s">
        <v>397</v>
      </c>
      <c r="L15" s="573"/>
      <c r="M15" s="324" t="s">
        <v>397</v>
      </c>
      <c r="N15" s="1206">
        <f>+H15-J15+L15</f>
        <v>0</v>
      </c>
      <c r="Q15" s="315"/>
      <c r="R15" s="315"/>
      <c r="S15" s="315"/>
      <c r="T15" s="315"/>
      <c r="U15" s="315"/>
      <c r="V15" s="315"/>
      <c r="W15" s="315"/>
    </row>
    <row r="16" spans="2:23" ht="21" customHeight="1">
      <c r="B16" s="474" t="s">
        <v>310</v>
      </c>
      <c r="C16" s="659"/>
      <c r="D16" s="659"/>
      <c r="E16" s="659"/>
      <c r="F16" s="659"/>
      <c r="G16" s="324" t="s">
        <v>397</v>
      </c>
      <c r="H16" s="573"/>
      <c r="I16" s="324" t="s">
        <v>397</v>
      </c>
      <c r="J16" s="573"/>
      <c r="K16" s="324" t="s">
        <v>397</v>
      </c>
      <c r="L16" s="573"/>
      <c r="M16" s="324" t="s">
        <v>397</v>
      </c>
      <c r="N16" s="1206">
        <f>+H16-J16+L16</f>
        <v>0</v>
      </c>
      <c r="Q16" s="315"/>
      <c r="R16" s="315"/>
      <c r="S16" s="315"/>
      <c r="T16" s="315"/>
      <c r="U16" s="315"/>
      <c r="V16" s="315"/>
      <c r="W16" s="315"/>
    </row>
    <row r="17" spans="2:23" ht="21" customHeight="1">
      <c r="B17" s="474" t="s">
        <v>311</v>
      </c>
      <c r="C17" s="659"/>
      <c r="D17" s="659"/>
      <c r="E17" s="659"/>
      <c r="F17" s="659"/>
      <c r="G17" s="324" t="s">
        <v>397</v>
      </c>
      <c r="H17" s="573"/>
      <c r="I17" s="324" t="s">
        <v>397</v>
      </c>
      <c r="J17" s="573"/>
      <c r="K17" s="324" t="s">
        <v>397</v>
      </c>
      <c r="L17" s="573"/>
      <c r="M17" s="324" t="s">
        <v>397</v>
      </c>
      <c r="N17" s="1206">
        <f t="shared" ref="N17:N23" si="0">+H17-J17+L17</f>
        <v>0</v>
      </c>
      <c r="Q17" s="315"/>
      <c r="R17" s="315"/>
      <c r="S17" s="315"/>
      <c r="T17" s="315"/>
      <c r="U17" s="315"/>
      <c r="V17" s="315"/>
      <c r="W17" s="315"/>
    </row>
    <row r="18" spans="2:23" ht="21" customHeight="1">
      <c r="B18" s="474" t="s">
        <v>312</v>
      </c>
      <c r="C18" s="659"/>
      <c r="D18" s="659"/>
      <c r="E18" s="659"/>
      <c r="F18" s="659"/>
      <c r="G18" s="324" t="s">
        <v>397</v>
      </c>
      <c r="H18" s="573"/>
      <c r="I18" s="324" t="s">
        <v>397</v>
      </c>
      <c r="J18" s="573"/>
      <c r="K18" s="324" t="s">
        <v>397</v>
      </c>
      <c r="L18" s="573"/>
      <c r="M18" s="324" t="s">
        <v>397</v>
      </c>
      <c r="N18" s="1206">
        <f t="shared" si="0"/>
        <v>0</v>
      </c>
      <c r="Q18" s="315"/>
      <c r="R18" s="315"/>
      <c r="S18" s="315"/>
      <c r="T18" s="315"/>
      <c r="U18" s="315"/>
      <c r="V18" s="315"/>
      <c r="W18" s="315"/>
    </row>
    <row r="19" spans="2:23" ht="21" customHeight="1">
      <c r="B19" s="474"/>
      <c r="C19" s="1208" t="s">
        <v>3268</v>
      </c>
      <c r="D19" s="1208"/>
      <c r="E19" s="1208"/>
      <c r="F19" s="1208"/>
      <c r="G19" s="731" t="s">
        <v>397</v>
      </c>
      <c r="H19" s="573"/>
      <c r="I19" s="731" t="s">
        <v>397</v>
      </c>
      <c r="J19" s="573"/>
      <c r="K19" s="731" t="s">
        <v>397</v>
      </c>
      <c r="L19" s="573"/>
      <c r="M19" s="324" t="s">
        <v>397</v>
      </c>
      <c r="N19" s="1206">
        <f t="shared" si="0"/>
        <v>0</v>
      </c>
      <c r="Q19" s="315"/>
      <c r="R19" s="315"/>
      <c r="S19" s="315"/>
      <c r="T19" s="315"/>
      <c r="U19" s="315"/>
      <c r="V19" s="315"/>
      <c r="W19" s="315"/>
    </row>
    <row r="20" spans="2:23" ht="21" customHeight="1">
      <c r="B20" s="474"/>
      <c r="C20" s="1209" t="s">
        <v>3269</v>
      </c>
      <c r="D20" s="1110"/>
      <c r="E20" s="1208"/>
      <c r="F20" s="1208"/>
      <c r="G20" s="731" t="s">
        <v>397</v>
      </c>
      <c r="H20" s="1207">
        <f>H13+H15+H16+H17+H18+H19</f>
        <v>0</v>
      </c>
      <c r="I20" s="731" t="s">
        <v>397</v>
      </c>
      <c r="J20" s="1207">
        <f>J13+J15+J16+J17+J18+J19</f>
        <v>0</v>
      </c>
      <c r="K20" s="731" t="s">
        <v>397</v>
      </c>
      <c r="L20" s="1207">
        <f>L13+L15+L16+L17+L18+L19</f>
        <v>0</v>
      </c>
      <c r="M20" s="324" t="s">
        <v>397</v>
      </c>
      <c r="N20" s="1207">
        <f>N13+N15+N16+N17+N18+N19</f>
        <v>0</v>
      </c>
      <c r="Q20" s="315"/>
      <c r="R20" s="315"/>
      <c r="S20" s="315"/>
      <c r="T20" s="315"/>
      <c r="U20" s="315"/>
      <c r="V20" s="315"/>
      <c r="W20" s="315"/>
    </row>
    <row r="21" spans="2:23" ht="21" customHeight="1">
      <c r="B21" s="474" t="s">
        <v>313</v>
      </c>
      <c r="C21" s="659"/>
      <c r="D21" s="659"/>
      <c r="E21" s="659"/>
      <c r="F21" s="659"/>
      <c r="G21" s="324" t="s">
        <v>397</v>
      </c>
      <c r="H21" s="573"/>
      <c r="I21" s="324" t="s">
        <v>397</v>
      </c>
      <c r="J21" s="573"/>
      <c r="K21" s="324" t="s">
        <v>397</v>
      </c>
      <c r="L21" s="573"/>
      <c r="M21" s="324" t="s">
        <v>397</v>
      </c>
      <c r="N21" s="1206">
        <f t="shared" si="0"/>
        <v>0</v>
      </c>
      <c r="Q21" s="315"/>
      <c r="R21" s="315"/>
      <c r="S21" s="315"/>
      <c r="T21" s="315"/>
      <c r="U21" s="315"/>
      <c r="V21" s="315"/>
      <c r="W21" s="315"/>
    </row>
    <row r="22" spans="2:23" ht="21" customHeight="1">
      <c r="B22" s="474" t="s">
        <v>314</v>
      </c>
      <c r="C22" s="659"/>
      <c r="D22" s="659"/>
      <c r="E22" s="659"/>
      <c r="F22" s="659"/>
      <c r="G22" s="324" t="s">
        <v>397</v>
      </c>
      <c r="H22" s="573"/>
      <c r="I22" s="324" t="s">
        <v>397</v>
      </c>
      <c r="J22" s="573"/>
      <c r="K22" s="324" t="s">
        <v>397</v>
      </c>
      <c r="L22" s="573"/>
      <c r="M22" s="324" t="s">
        <v>397</v>
      </c>
      <c r="N22" s="1206">
        <f t="shared" si="0"/>
        <v>0</v>
      </c>
      <c r="Q22" s="315"/>
      <c r="R22" s="315"/>
      <c r="S22" s="315"/>
      <c r="T22" s="315"/>
      <c r="U22" s="315"/>
      <c r="V22" s="315"/>
      <c r="W22" s="315"/>
    </row>
    <row r="23" spans="2:23" ht="21" customHeight="1">
      <c r="B23" s="474"/>
      <c r="C23" s="1330" t="s">
        <v>3548</v>
      </c>
      <c r="D23" s="1208"/>
      <c r="E23" s="1208"/>
      <c r="F23" s="1208"/>
      <c r="G23" s="731" t="s">
        <v>397</v>
      </c>
      <c r="H23" s="1207">
        <f>H21+H22</f>
        <v>0</v>
      </c>
      <c r="I23" s="731" t="s">
        <v>397</v>
      </c>
      <c r="J23" s="1207">
        <f>J21+J22</f>
        <v>0</v>
      </c>
      <c r="K23" s="731" t="s">
        <v>397</v>
      </c>
      <c r="L23" s="1207">
        <f>L21+L22</f>
        <v>0</v>
      </c>
      <c r="M23" s="324" t="s">
        <v>397</v>
      </c>
      <c r="N23" s="1206">
        <f t="shared" si="0"/>
        <v>0</v>
      </c>
      <c r="Q23" s="315"/>
      <c r="R23" s="315"/>
      <c r="S23" s="315"/>
      <c r="T23" s="315"/>
      <c r="U23" s="315"/>
      <c r="V23" s="315"/>
      <c r="W23" s="315"/>
    </row>
    <row r="24" spans="2:23">
      <c r="B24" s="474"/>
      <c r="Q24" s="315"/>
      <c r="R24" s="315"/>
      <c r="S24" s="315"/>
      <c r="T24" s="315"/>
      <c r="U24" s="315"/>
      <c r="V24" s="315"/>
      <c r="W24" s="315"/>
    </row>
    <row r="25" spans="2:23">
      <c r="B25" s="1329"/>
      <c r="C25" s="1128" t="s">
        <v>922</v>
      </c>
      <c r="D25" s="1128"/>
      <c r="E25" s="1128"/>
      <c r="F25" s="1128"/>
      <c r="G25" s="1128"/>
      <c r="H25" s="1128"/>
      <c r="I25" s="1128"/>
      <c r="J25" s="1128"/>
      <c r="K25" s="1128"/>
      <c r="L25" s="1128"/>
      <c r="M25" s="1128"/>
      <c r="N25" s="1128"/>
      <c r="Q25" s="315"/>
      <c r="R25" s="315"/>
      <c r="S25" s="315"/>
      <c r="T25" s="315"/>
      <c r="U25" s="315"/>
      <c r="V25" s="315"/>
      <c r="W25" s="315"/>
    </row>
    <row r="26" spans="2:23">
      <c r="B26" s="1329"/>
      <c r="C26" s="1128"/>
      <c r="D26" s="1128"/>
      <c r="E26" s="1128"/>
      <c r="F26" s="1128"/>
      <c r="G26" s="1128"/>
      <c r="H26" s="1128"/>
      <c r="I26" s="1128"/>
      <c r="J26" s="1128"/>
      <c r="K26" s="1128"/>
      <c r="L26" s="1128"/>
      <c r="M26" s="1128"/>
      <c r="N26" s="1128"/>
      <c r="Q26" s="315"/>
      <c r="R26" s="315"/>
      <c r="S26" s="315"/>
      <c r="T26" s="315"/>
      <c r="U26" s="315"/>
      <c r="V26" s="315"/>
      <c r="W26" s="315"/>
    </row>
    <row r="27" spans="2:23">
      <c r="B27" s="1329"/>
      <c r="C27" s="1128"/>
      <c r="D27" s="1128"/>
      <c r="E27" s="1128"/>
      <c r="F27" s="1128"/>
      <c r="G27" s="1128"/>
      <c r="H27" s="1128"/>
      <c r="I27" s="1128"/>
      <c r="J27" s="1128"/>
      <c r="K27" s="1128"/>
      <c r="L27" s="1128"/>
      <c r="M27" s="1128"/>
      <c r="N27" s="1128"/>
      <c r="Q27" s="315"/>
      <c r="R27" s="315"/>
      <c r="S27" s="315"/>
      <c r="T27" s="315"/>
      <c r="U27" s="315"/>
      <c r="V27" s="315"/>
      <c r="W27" s="315"/>
    </row>
    <row r="28" spans="2:23" ht="15.6">
      <c r="B28" s="1971" t="s">
        <v>438</v>
      </c>
      <c r="C28" s="1971"/>
      <c r="D28" s="1971"/>
      <c r="E28" s="1971"/>
      <c r="F28" s="1971"/>
      <c r="G28" s="1971"/>
      <c r="H28" s="1971"/>
      <c r="I28" s="1971"/>
      <c r="J28" s="1971"/>
      <c r="K28" s="1971"/>
      <c r="L28" s="1971"/>
      <c r="M28" s="1971"/>
      <c r="N28" s="1971"/>
    </row>
    <row r="29" spans="2:23" ht="15.6">
      <c r="B29" s="1971" t="s">
        <v>439</v>
      </c>
      <c r="C29" s="1971"/>
      <c r="D29" s="1971"/>
      <c r="E29" s="1971"/>
      <c r="F29" s="1971"/>
      <c r="G29" s="1971"/>
      <c r="H29" s="1971"/>
      <c r="I29" s="1971"/>
      <c r="J29" s="1971"/>
      <c r="K29" s="1971"/>
      <c r="L29" s="1971"/>
      <c r="M29" s="1971"/>
      <c r="N29" s="1971"/>
    </row>
    <row r="30" spans="2:23" ht="6.75" customHeight="1">
      <c r="B30" s="1331"/>
      <c r="C30" s="1331"/>
      <c r="D30" s="1331"/>
      <c r="E30" s="1331"/>
      <c r="F30" s="1331"/>
      <c r="G30" s="1331"/>
      <c r="H30" s="1331"/>
      <c r="I30" s="1331"/>
      <c r="J30" s="1331"/>
      <c r="K30" s="1331"/>
      <c r="L30" s="1331"/>
      <c r="M30" s="1331"/>
      <c r="N30" s="1331"/>
    </row>
    <row r="31" spans="2:23" ht="18" customHeight="1">
      <c r="B31" s="1329"/>
      <c r="C31" s="1128"/>
      <c r="D31" s="1972" t="s">
        <v>18</v>
      </c>
      <c r="E31" s="1972"/>
      <c r="F31" s="1332"/>
      <c r="G31" s="1972" t="s">
        <v>440</v>
      </c>
      <c r="H31" s="1972"/>
      <c r="I31" s="1972"/>
      <c r="J31" s="1972"/>
      <c r="K31" s="1972"/>
      <c r="L31" s="1972"/>
      <c r="M31" s="1332"/>
      <c r="N31" s="1333" t="s">
        <v>441</v>
      </c>
    </row>
    <row r="32" spans="2:23" ht="21" customHeight="1">
      <c r="B32" s="474"/>
      <c r="C32" s="474" t="s">
        <v>308</v>
      </c>
      <c r="D32" s="659"/>
      <c r="E32" s="659"/>
      <c r="G32" s="659"/>
      <c r="H32" s="659"/>
      <c r="I32" s="659"/>
      <c r="J32" s="659"/>
      <c r="K32" s="659"/>
      <c r="L32" s="659"/>
      <c r="M32" s="324" t="s">
        <v>397</v>
      </c>
      <c r="N32" s="369"/>
    </row>
    <row r="33" spans="2:14" ht="21" customHeight="1">
      <c r="B33" s="474"/>
      <c r="C33" s="474" t="s">
        <v>309</v>
      </c>
      <c r="D33" s="659"/>
      <c r="E33" s="659"/>
      <c r="G33" s="659"/>
      <c r="H33" s="659"/>
      <c r="I33" s="659"/>
      <c r="J33" s="659"/>
      <c r="K33" s="659"/>
      <c r="L33" s="659"/>
      <c r="M33" s="324" t="s">
        <v>397</v>
      </c>
      <c r="N33" s="369"/>
    </row>
    <row r="34" spans="2:14" ht="21" customHeight="1">
      <c r="B34" s="474"/>
      <c r="C34" s="474" t="s">
        <v>310</v>
      </c>
      <c r="D34" s="659"/>
      <c r="E34" s="659"/>
      <c r="G34" s="659"/>
      <c r="H34" s="659"/>
      <c r="I34" s="659"/>
      <c r="J34" s="659"/>
      <c r="K34" s="659"/>
      <c r="L34" s="659"/>
      <c r="M34" s="324" t="s">
        <v>397</v>
      </c>
      <c r="N34" s="369"/>
    </row>
    <row r="35" spans="2:14" ht="21" customHeight="1">
      <c r="B35" s="474"/>
      <c r="C35" s="474" t="s">
        <v>311</v>
      </c>
      <c r="D35" s="659"/>
      <c r="E35" s="659"/>
      <c r="G35" s="659"/>
      <c r="H35" s="659"/>
      <c r="I35" s="659"/>
      <c r="J35" s="659"/>
      <c r="K35" s="659"/>
      <c r="L35" s="659"/>
      <c r="M35" s="324" t="s">
        <v>397</v>
      </c>
      <c r="N35" s="369"/>
    </row>
    <row r="36" spans="2:14" ht="21" customHeight="1">
      <c r="B36" s="474"/>
      <c r="C36" s="474" t="s">
        <v>312</v>
      </c>
      <c r="D36" s="659"/>
      <c r="E36" s="659"/>
      <c r="G36" s="659"/>
      <c r="H36" s="659"/>
      <c r="I36" s="659"/>
      <c r="J36" s="659"/>
      <c r="K36" s="659"/>
      <c r="L36" s="659"/>
      <c r="M36" s="324" t="s">
        <v>397</v>
      </c>
      <c r="N36" s="369"/>
    </row>
    <row r="37" spans="2:14">
      <c r="B37" s="474"/>
    </row>
    <row r="38" spans="2:14">
      <c r="B38" s="474"/>
    </row>
    <row r="39" spans="2:14">
      <c r="B39" s="1329"/>
      <c r="C39" s="1128"/>
      <c r="D39" s="1128"/>
      <c r="E39" s="1128"/>
      <c r="F39" s="1128"/>
      <c r="G39" s="1128"/>
      <c r="H39" s="1128"/>
      <c r="I39" s="1128"/>
      <c r="J39" s="1128"/>
      <c r="K39" s="1128"/>
      <c r="L39" s="1128"/>
      <c r="M39" s="1128"/>
      <c r="N39" s="1128"/>
    </row>
    <row r="40" spans="2:14" ht="15.6">
      <c r="B40" s="1971" t="s">
        <v>264</v>
      </c>
      <c r="C40" s="1971"/>
      <c r="D40" s="1971"/>
      <c r="E40" s="1971"/>
      <c r="F40" s="1971"/>
      <c r="G40" s="1971"/>
      <c r="H40" s="1971"/>
      <c r="I40" s="1971"/>
      <c r="J40" s="1971"/>
      <c r="K40" s="1971"/>
      <c r="L40" s="1971"/>
      <c r="M40" s="1971"/>
      <c r="N40" s="1971"/>
    </row>
    <row r="41" spans="2:14">
      <c r="B41" s="1329"/>
      <c r="C41" s="1128"/>
      <c r="D41" s="1128"/>
      <c r="E41" s="1128"/>
      <c r="F41" s="1128"/>
      <c r="G41" s="1128"/>
      <c r="H41" s="1128"/>
      <c r="I41" s="1128"/>
      <c r="J41" s="1128"/>
      <c r="K41" s="1128"/>
      <c r="L41" s="1128"/>
      <c r="M41" s="1128"/>
      <c r="N41" s="1128"/>
    </row>
    <row r="42" spans="2:14">
      <c r="B42" s="1329"/>
      <c r="C42" s="1128"/>
      <c r="D42" s="1128"/>
      <c r="E42" s="1128"/>
      <c r="F42" s="1128"/>
      <c r="G42" s="1128"/>
      <c r="H42" s="1128"/>
      <c r="I42" s="1128"/>
      <c r="J42" s="1128"/>
      <c r="K42" s="1128"/>
      <c r="L42" s="1128"/>
      <c r="M42" s="1128"/>
      <c r="N42" s="1123" t="s">
        <v>446</v>
      </c>
    </row>
    <row r="43" spans="2:14">
      <c r="B43" s="1329"/>
      <c r="C43" s="1128"/>
      <c r="D43" s="1128"/>
      <c r="E43" s="1128"/>
      <c r="F43" s="1128"/>
      <c r="G43" s="1128"/>
      <c r="H43" s="1128"/>
      <c r="I43" s="1128"/>
      <c r="J43" s="1128"/>
      <c r="K43" s="1128"/>
      <c r="L43" s="1128"/>
      <c r="M43" s="1128"/>
      <c r="N43" s="1123" t="s">
        <v>447</v>
      </c>
    </row>
    <row r="44" spans="2:14">
      <c r="B44" s="1329"/>
      <c r="C44" s="1128"/>
      <c r="D44" s="1973" t="s">
        <v>443</v>
      </c>
      <c r="E44" s="1973"/>
      <c r="F44" s="1128"/>
      <c r="G44" s="1128"/>
      <c r="H44" s="1973" t="s">
        <v>444</v>
      </c>
      <c r="I44" s="1973"/>
      <c r="J44" s="1327" t="s">
        <v>445</v>
      </c>
      <c r="K44" s="1128"/>
      <c r="L44" s="1327" t="s">
        <v>441</v>
      </c>
      <c r="M44" s="1128"/>
      <c r="N44" s="1327" t="str">
        <f>"Year "&amp;TEXT('KEY INPUTS'!D33,"0")&amp;""</f>
        <v>Year 2021</v>
      </c>
    </row>
    <row r="45" spans="2:14">
      <c r="B45" s="1329"/>
      <c r="C45" s="1128"/>
      <c r="D45" s="1128"/>
      <c r="E45" s="1128"/>
      <c r="F45" s="1128"/>
      <c r="G45" s="1128"/>
      <c r="H45" s="1128"/>
      <c r="I45" s="1128"/>
      <c r="J45" s="1128"/>
      <c r="K45" s="1128"/>
      <c r="L45" s="1128"/>
      <c r="M45" s="1128"/>
      <c r="N45" s="1128"/>
    </row>
    <row r="46" spans="2:14" ht="21" customHeight="1">
      <c r="B46" s="474"/>
      <c r="C46" s="474" t="s">
        <v>308</v>
      </c>
      <c r="D46" s="659"/>
      <c r="E46" s="659"/>
      <c r="F46" s="659"/>
      <c r="G46" s="659"/>
      <c r="H46" s="659"/>
      <c r="I46" s="659"/>
      <c r="J46" s="659"/>
      <c r="K46" s="324" t="s">
        <v>397</v>
      </c>
      <c r="L46" s="369"/>
      <c r="M46" s="658"/>
      <c r="N46" s="369"/>
    </row>
    <row r="47" spans="2:14" ht="21" customHeight="1">
      <c r="B47" s="474"/>
      <c r="C47" s="474" t="s">
        <v>309</v>
      </c>
      <c r="D47" s="659"/>
      <c r="E47" s="659"/>
      <c r="F47" s="659"/>
      <c r="G47" s="659"/>
      <c r="H47" s="659"/>
      <c r="I47" s="659"/>
      <c r="J47" s="659"/>
      <c r="K47" s="324" t="s">
        <v>397</v>
      </c>
      <c r="L47" s="369"/>
      <c r="M47" s="658"/>
      <c r="N47" s="369"/>
    </row>
    <row r="48" spans="2:14" ht="21" customHeight="1">
      <c r="B48" s="474"/>
      <c r="C48" s="474" t="s">
        <v>310</v>
      </c>
      <c r="D48" s="659"/>
      <c r="E48" s="659"/>
      <c r="F48" s="659"/>
      <c r="G48" s="659"/>
      <c r="H48" s="659"/>
      <c r="I48" s="659"/>
      <c r="J48" s="659"/>
      <c r="K48" s="324" t="s">
        <v>397</v>
      </c>
      <c r="L48" s="369"/>
      <c r="M48" s="658"/>
      <c r="N48" s="369"/>
    </row>
    <row r="49" spans="2:14" ht="21" customHeight="1">
      <c r="B49" s="474"/>
      <c r="C49" s="474" t="s">
        <v>311</v>
      </c>
      <c r="D49" s="659"/>
      <c r="E49" s="659"/>
      <c r="F49" s="659"/>
      <c r="G49" s="659"/>
      <c r="H49" s="659"/>
      <c r="I49" s="659"/>
      <c r="J49" s="659"/>
      <c r="K49" s="324" t="s">
        <v>397</v>
      </c>
      <c r="L49" s="369"/>
      <c r="M49" s="658"/>
      <c r="N49" s="369"/>
    </row>
    <row r="50" spans="2:14">
      <c r="B50" s="474"/>
    </row>
    <row r="51" spans="2:14">
      <c r="B51" s="474"/>
    </row>
    <row r="52" spans="2:14">
      <c r="B52" s="474"/>
    </row>
    <row r="53" spans="2:14">
      <c r="B53" s="474"/>
    </row>
    <row r="54" spans="2:14">
      <c r="B54" s="474"/>
    </row>
    <row r="55" spans="2:14">
      <c r="B55" s="474"/>
    </row>
    <row r="56" spans="2:14">
      <c r="B56" s="474"/>
    </row>
    <row r="57" spans="2:14">
      <c r="B57" s="474"/>
    </row>
    <row r="58" spans="2:14">
      <c r="B58" s="474"/>
    </row>
    <row r="59" spans="2:14">
      <c r="B59" s="474"/>
    </row>
    <row r="60" spans="2:14">
      <c r="B60" s="474"/>
    </row>
    <row r="61" spans="2:14" ht="13.8">
      <c r="B61" s="1851" t="s">
        <v>3223</v>
      </c>
      <c r="C61" s="1851"/>
      <c r="D61" s="1851"/>
      <c r="E61" s="1851"/>
      <c r="F61" s="1851"/>
      <c r="G61" s="1851"/>
      <c r="H61" s="1851"/>
      <c r="I61" s="1851"/>
      <c r="J61" s="1851"/>
      <c r="K61" s="1851"/>
      <c r="L61" s="1851"/>
      <c r="M61" s="1851"/>
      <c r="N61" s="1851"/>
    </row>
    <row r="62" spans="2:14">
      <c r="B62" s="474"/>
    </row>
    <row r="63" spans="2:14">
      <c r="B63" s="474"/>
    </row>
    <row r="64" spans="2:14">
      <c r="B64" s="474"/>
    </row>
    <row r="65" spans="2:2">
      <c r="B65" s="474"/>
    </row>
    <row r="66" spans="2:2">
      <c r="B66" s="474"/>
    </row>
    <row r="67" spans="2:2">
      <c r="B67" s="474"/>
    </row>
    <row r="68" spans="2:2">
      <c r="B68" s="474"/>
    </row>
    <row r="69" spans="2:2">
      <c r="B69" s="474"/>
    </row>
  </sheetData>
  <sheetProtection algorithmName="SHA-512" hashValue="ujGDwEjvxCtKyWKTTcLR1cO9BdHwG1MT/lyQ4fNesKzyojnXi8bJRSFdQudXmF5Jf2v4XcstivCtn/oujU0EVA==" saltValue="aaOslrdpXretUQY/3WAkng=="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2">
    <tabColor theme="5" tint="0.59999389629810485"/>
  </sheetPr>
  <dimension ref="A1:O36"/>
  <sheetViews>
    <sheetView zoomScaleNormal="100" workbookViewId="0">
      <selection activeCell="B31" sqref="B31"/>
    </sheetView>
  </sheetViews>
  <sheetFormatPr defaultColWidth="9.109375" defaultRowHeight="13.2"/>
  <cols>
    <col min="1" max="1" width="5.6640625" style="315" customWidth="1"/>
    <col min="2" max="4" width="4.88671875" style="315" customWidth="1"/>
    <col min="5" max="5" width="46.6640625" style="315" customWidth="1"/>
    <col min="6" max="6" width="7.6640625" style="315" customWidth="1"/>
    <col min="7" max="8" width="16.6640625" style="315" customWidth="1"/>
    <col min="9" max="12" width="15.6640625" style="315" customWidth="1"/>
    <col min="13" max="13" width="10.44140625" style="315" bestFit="1" customWidth="1"/>
    <col min="14" max="16384" width="9.109375" style="315"/>
  </cols>
  <sheetData>
    <row r="1" spans="1:15">
      <c r="B1" s="844"/>
      <c r="C1" s="844"/>
      <c r="D1" s="844"/>
      <c r="E1" s="844"/>
      <c r="F1" s="844"/>
      <c r="G1" s="844"/>
      <c r="H1" s="844"/>
      <c r="I1" s="844"/>
      <c r="J1" s="844"/>
      <c r="K1" s="844"/>
      <c r="L1" s="844"/>
    </row>
    <row r="2" spans="1:15" ht="17.399999999999999">
      <c r="B2" s="1602" t="s">
        <v>3599</v>
      </c>
      <c r="C2" s="1602"/>
      <c r="D2" s="1602"/>
      <c r="E2" s="1602"/>
      <c r="F2" s="1602"/>
      <c r="G2" s="1602"/>
      <c r="H2" s="1602"/>
      <c r="I2" s="1602"/>
      <c r="J2" s="1602"/>
      <c r="K2" s="1602"/>
      <c r="L2" s="1602"/>
    </row>
    <row r="3" spans="1:15">
      <c r="B3" s="844"/>
      <c r="C3" s="844"/>
      <c r="D3" s="844"/>
      <c r="E3" s="844"/>
      <c r="F3" s="844"/>
      <c r="G3" s="844"/>
      <c r="H3" s="844"/>
      <c r="I3" s="844"/>
      <c r="J3" s="844"/>
      <c r="K3" s="844"/>
      <c r="L3" s="844"/>
    </row>
    <row r="4" spans="1:15">
      <c r="B4" s="844"/>
      <c r="C4" s="844"/>
      <c r="D4" s="844"/>
      <c r="E4" s="844"/>
      <c r="F4" s="844"/>
      <c r="G4" s="844"/>
      <c r="H4" s="844"/>
      <c r="I4" s="844"/>
      <c r="J4" s="844"/>
      <c r="K4" s="844"/>
      <c r="L4" s="844"/>
    </row>
    <row r="5" spans="1:15" ht="13.8" thickBot="1">
      <c r="B5" s="844"/>
      <c r="C5" s="844"/>
      <c r="D5" s="844"/>
      <c r="E5" s="844"/>
      <c r="F5" s="844"/>
      <c r="G5" s="844"/>
      <c r="H5" s="844"/>
      <c r="I5" s="844"/>
      <c r="J5" s="844"/>
      <c r="K5" s="844"/>
      <c r="L5" s="844"/>
    </row>
    <row r="6" spans="1:15" ht="13.8" thickTop="1">
      <c r="B6" s="877"/>
      <c r="C6" s="877"/>
      <c r="D6" s="877"/>
      <c r="E6" s="1058"/>
      <c r="F6" s="877"/>
      <c r="G6" s="878"/>
      <c r="H6" s="1059"/>
      <c r="I6" s="878"/>
      <c r="J6" s="877"/>
      <c r="K6" s="877"/>
      <c r="L6" s="854"/>
    </row>
    <row r="7" spans="1:15" ht="15.6">
      <c r="B7" s="1636" t="s">
        <v>18</v>
      </c>
      <c r="C7" s="1636"/>
      <c r="D7" s="1636"/>
      <c r="E7" s="1681" t="s">
        <v>440</v>
      </c>
      <c r="F7" s="1637"/>
      <c r="G7" s="880" t="s">
        <v>441</v>
      </c>
      <c r="H7" s="1506" t="s">
        <v>469</v>
      </c>
      <c r="I7" s="880" t="s">
        <v>559</v>
      </c>
      <c r="J7" s="1687" t="str">
        <f>"REDUCED  IN  "&amp;TEXT('KEY INPUTS'!D34,"0")</f>
        <v>REDUCED  IN  2020</v>
      </c>
      <c r="K7" s="1688"/>
      <c r="L7" s="855" t="s">
        <v>559</v>
      </c>
    </row>
    <row r="8" spans="1:15">
      <c r="B8" s="844"/>
      <c r="C8" s="844"/>
      <c r="D8" s="844"/>
      <c r="E8" s="1060"/>
      <c r="F8" s="844"/>
      <c r="G8" s="880" t="s">
        <v>468</v>
      </c>
      <c r="H8" s="1506" t="s">
        <v>470</v>
      </c>
      <c r="I8" s="883" t="str">
        <f>'KEY INPUTS'!D45</f>
        <v>Dec. 31, 2019</v>
      </c>
      <c r="J8" s="880" t="str">
        <f>"By "&amp;TEXT('KEY INPUTS'!D34,"0")</f>
        <v>By 2020</v>
      </c>
      <c r="K8" s="880" t="s">
        <v>466</v>
      </c>
      <c r="L8" s="856" t="str">
        <f>'KEY INPUTS'!D46</f>
        <v>Dec. 31, 2020</v>
      </c>
    </row>
    <row r="9" spans="1:15" ht="13.8" thickBot="1">
      <c r="B9" s="886"/>
      <c r="C9" s="886"/>
      <c r="D9" s="886"/>
      <c r="E9" s="889"/>
      <c r="F9" s="886"/>
      <c r="G9" s="888"/>
      <c r="H9" s="1061" t="s">
        <v>471</v>
      </c>
      <c r="I9" s="887"/>
      <c r="J9" s="888" t="s">
        <v>564</v>
      </c>
      <c r="K9" s="888" t="s">
        <v>467</v>
      </c>
      <c r="L9" s="857"/>
    </row>
    <row r="10" spans="1:15" ht="21" customHeight="1" thickTop="1">
      <c r="B10" s="1682"/>
      <c r="C10" s="1682"/>
      <c r="D10" s="1683"/>
      <c r="E10" s="584"/>
      <c r="F10" s="563"/>
      <c r="G10" s="585"/>
      <c r="H10" s="585"/>
      <c r="I10" s="586"/>
      <c r="J10" s="586"/>
      <c r="K10" s="586"/>
      <c r="L10" s="1524">
        <f>+I10-J10-K10</f>
        <v>0</v>
      </c>
    </row>
    <row r="11" spans="1:15" ht="21" customHeight="1">
      <c r="B11" s="1684"/>
      <c r="C11" s="1562"/>
      <c r="D11" s="1685"/>
      <c r="E11" s="587"/>
      <c r="F11" s="565"/>
      <c r="G11" s="574"/>
      <c r="H11" s="574"/>
      <c r="I11" s="367"/>
      <c r="J11" s="367"/>
      <c r="K11" s="367"/>
      <c r="L11" s="1525">
        <f>+I11-J11-K11</f>
        <v>0</v>
      </c>
      <c r="M11" s="318"/>
    </row>
    <row r="12" spans="1:15" ht="21" customHeight="1">
      <c r="B12" s="1684"/>
      <c r="C12" s="1562"/>
      <c r="D12" s="1685"/>
      <c r="E12" s="587"/>
      <c r="F12" s="565"/>
      <c r="G12" s="588"/>
      <c r="H12" s="574"/>
      <c r="I12" s="589"/>
      <c r="J12" s="367"/>
      <c r="K12" s="367"/>
      <c r="L12" s="1525">
        <f t="shared" ref="L12:L23" si="0">+I12-J12-K12</f>
        <v>0</v>
      </c>
      <c r="M12" s="318"/>
    </row>
    <row r="13" spans="1:15" ht="21" customHeight="1">
      <c r="B13" s="1562"/>
      <c r="C13" s="1562"/>
      <c r="D13" s="1685"/>
      <c r="E13" s="587"/>
      <c r="F13" s="565"/>
      <c r="G13" s="574"/>
      <c r="H13" s="574"/>
      <c r="I13" s="367"/>
      <c r="J13" s="367"/>
      <c r="K13" s="367"/>
      <c r="L13" s="1525">
        <f t="shared" si="0"/>
        <v>0</v>
      </c>
    </row>
    <row r="14" spans="1:15" ht="21" customHeight="1">
      <c r="B14" s="1684"/>
      <c r="C14" s="1562"/>
      <c r="D14" s="1685"/>
      <c r="E14" s="587"/>
      <c r="F14" s="565"/>
      <c r="G14" s="574"/>
      <c r="H14" s="574"/>
      <c r="I14" s="367"/>
      <c r="J14" s="367"/>
      <c r="K14" s="367"/>
      <c r="L14" s="1525">
        <f t="shared" si="0"/>
        <v>0</v>
      </c>
      <c r="O14" s="370"/>
    </row>
    <row r="15" spans="1:15" ht="21" customHeight="1">
      <c r="B15" s="1684"/>
      <c r="C15" s="1562"/>
      <c r="D15" s="1685"/>
      <c r="E15" s="587"/>
      <c r="F15" s="565"/>
      <c r="G15" s="588"/>
      <c r="H15" s="574"/>
      <c r="I15" s="589"/>
      <c r="J15" s="367"/>
      <c r="K15" s="367"/>
      <c r="L15" s="1525">
        <f t="shared" si="0"/>
        <v>0</v>
      </c>
    </row>
    <row r="16" spans="1:15" ht="21" customHeight="1">
      <c r="A16" s="1613" t="s">
        <v>3600</v>
      </c>
      <c r="B16" s="1562"/>
      <c r="C16" s="1562"/>
      <c r="D16" s="1685"/>
      <c r="E16" s="587"/>
      <c r="F16" s="565"/>
      <c r="G16" s="574"/>
      <c r="H16" s="574"/>
      <c r="I16" s="367"/>
      <c r="J16" s="367"/>
      <c r="K16" s="367"/>
      <c r="L16" s="1525">
        <f t="shared" si="0"/>
        <v>0</v>
      </c>
    </row>
    <row r="17" spans="1:12" ht="21" customHeight="1">
      <c r="A17" s="1613"/>
      <c r="B17" s="1562"/>
      <c r="C17" s="1562"/>
      <c r="D17" s="1685"/>
      <c r="E17" s="587"/>
      <c r="F17" s="565"/>
      <c r="G17" s="574"/>
      <c r="H17" s="574"/>
      <c r="I17" s="367"/>
      <c r="J17" s="367"/>
      <c r="K17" s="367"/>
      <c r="L17" s="1525">
        <f t="shared" si="0"/>
        <v>0</v>
      </c>
    </row>
    <row r="18" spans="1:12" ht="21" customHeight="1">
      <c r="A18" s="1613"/>
      <c r="B18" s="1562"/>
      <c r="C18" s="1562"/>
      <c r="D18" s="1685"/>
      <c r="E18" s="587"/>
      <c r="F18" s="565"/>
      <c r="G18" s="574"/>
      <c r="H18" s="574"/>
      <c r="I18" s="367"/>
      <c r="J18" s="367"/>
      <c r="K18" s="367"/>
      <c r="L18" s="1525">
        <f t="shared" si="0"/>
        <v>0</v>
      </c>
    </row>
    <row r="19" spans="1:12" ht="21" customHeight="1">
      <c r="A19" s="1505"/>
      <c r="B19" s="1504"/>
      <c r="C19" s="1504"/>
      <c r="D19" s="1507"/>
      <c r="E19" s="587"/>
      <c r="F19" s="565"/>
      <c r="G19" s="574"/>
      <c r="H19" s="574"/>
      <c r="I19" s="367"/>
      <c r="J19" s="367"/>
      <c r="K19" s="367"/>
      <c r="L19" s="1525">
        <f t="shared" si="0"/>
        <v>0</v>
      </c>
    </row>
    <row r="20" spans="1:12" ht="21" customHeight="1">
      <c r="A20" s="1505"/>
      <c r="B20" s="1504"/>
      <c r="C20" s="1504"/>
      <c r="D20" s="1507"/>
      <c r="E20" s="587"/>
      <c r="F20" s="565"/>
      <c r="G20" s="574"/>
      <c r="H20" s="574"/>
      <c r="I20" s="367"/>
      <c r="J20" s="367"/>
      <c r="K20" s="367"/>
      <c r="L20" s="1525">
        <f t="shared" si="0"/>
        <v>0</v>
      </c>
    </row>
    <row r="21" spans="1:12" ht="21" customHeight="1">
      <c r="B21" s="1562"/>
      <c r="C21" s="1562"/>
      <c r="D21" s="1685"/>
      <c r="E21" s="587"/>
      <c r="F21" s="565"/>
      <c r="G21" s="574"/>
      <c r="H21" s="574"/>
      <c r="I21" s="367"/>
      <c r="J21" s="367"/>
      <c r="K21" s="367"/>
      <c r="L21" s="1525">
        <f t="shared" si="0"/>
        <v>0</v>
      </c>
    </row>
    <row r="22" spans="1:12" ht="21" customHeight="1">
      <c r="B22" s="1504"/>
      <c r="C22" s="1504"/>
      <c r="D22" s="1507"/>
      <c r="E22" s="587"/>
      <c r="F22" s="565"/>
      <c r="G22" s="574"/>
      <c r="H22" s="574"/>
      <c r="I22" s="367"/>
      <c r="J22" s="367"/>
      <c r="K22" s="367"/>
      <c r="L22" s="1525">
        <f t="shared" si="0"/>
        <v>0</v>
      </c>
    </row>
    <row r="23" spans="1:12" ht="21" customHeight="1">
      <c r="B23" s="1562"/>
      <c r="C23" s="1562"/>
      <c r="D23" s="1685"/>
      <c r="E23" s="587"/>
      <c r="F23" s="565"/>
      <c r="G23" s="574"/>
      <c r="H23" s="574"/>
      <c r="I23" s="367"/>
      <c r="J23" s="367"/>
      <c r="K23" s="367"/>
      <c r="L23" s="1525">
        <f t="shared" si="0"/>
        <v>0</v>
      </c>
    </row>
    <row r="24" spans="1:12" ht="21" customHeight="1" thickBot="1">
      <c r="B24" s="279"/>
      <c r="C24" s="279"/>
      <c r="D24" s="279"/>
      <c r="E24" s="279"/>
      <c r="F24" s="888" t="s">
        <v>674</v>
      </c>
      <c r="G24" s="1006">
        <f t="shared" ref="G24:L24" si="1">SUM(G10:G23)</f>
        <v>0</v>
      </c>
      <c r="H24" s="1006">
        <f t="shared" si="1"/>
        <v>0</v>
      </c>
      <c r="I24" s="1006">
        <f t="shared" si="1"/>
        <v>0</v>
      </c>
      <c r="J24" s="1006">
        <f t="shared" si="1"/>
        <v>0</v>
      </c>
      <c r="K24" s="1006">
        <f t="shared" si="1"/>
        <v>0</v>
      </c>
      <c r="L24" s="853">
        <f t="shared" si="1"/>
        <v>0</v>
      </c>
    </row>
    <row r="25" spans="1:12" ht="12.75" customHeight="1" thickTop="1">
      <c r="B25" s="279"/>
      <c r="C25" s="279"/>
      <c r="D25" s="279"/>
      <c r="E25" s="279"/>
      <c r="F25" s="1048"/>
      <c r="G25" s="1048"/>
      <c r="H25" s="1048"/>
      <c r="I25" s="1062"/>
      <c r="J25" s="1062"/>
      <c r="K25" s="1048"/>
      <c r="L25" s="1048"/>
    </row>
    <row r="26" spans="1:12">
      <c r="B26" s="1520" t="s">
        <v>3596</v>
      </c>
      <c r="C26" s="1048"/>
      <c r="D26" s="1048"/>
      <c r="E26" s="1048"/>
      <c r="F26" s="1048"/>
      <c r="G26" s="1048"/>
      <c r="H26" s="1048"/>
      <c r="I26" s="1048"/>
      <c r="J26" s="1048"/>
      <c r="K26" s="1048"/>
      <c r="L26" s="1048"/>
    </row>
    <row r="27" spans="1:12" ht="13.5" customHeight="1">
      <c r="B27" s="1048" t="s">
        <v>128</v>
      </c>
      <c r="C27" s="1048"/>
      <c r="D27" s="1048"/>
      <c r="E27" s="1048"/>
      <c r="F27" s="279"/>
      <c r="G27" s="279"/>
      <c r="H27" s="279"/>
      <c r="I27" s="279"/>
      <c r="J27" s="279"/>
      <c r="K27" s="279"/>
      <c r="L27" s="279"/>
    </row>
    <row r="28" spans="1:12" ht="13.5" customHeight="1">
      <c r="B28" s="34"/>
      <c r="J28" s="1570"/>
      <c r="K28" s="1570"/>
    </row>
    <row r="29" spans="1:12">
      <c r="B29" s="844"/>
      <c r="C29" s="844"/>
      <c r="D29" s="844"/>
      <c r="E29" s="844"/>
      <c r="F29" s="844"/>
      <c r="G29" s="844"/>
      <c r="H29" s="844"/>
      <c r="I29" s="844"/>
      <c r="J29" s="1686" t="s">
        <v>129</v>
      </c>
      <c r="K29" s="1686"/>
    </row>
    <row r="30" spans="1:12">
      <c r="B30" s="844"/>
      <c r="C30" s="844"/>
      <c r="D30" s="844"/>
      <c r="E30" s="844"/>
      <c r="F30" s="844"/>
      <c r="G30" s="844"/>
      <c r="H30" s="844"/>
      <c r="I30" s="844"/>
      <c r="J30" s="844"/>
      <c r="K30" s="844"/>
    </row>
    <row r="35" spans="9:12">
      <c r="L35" s="318">
        <f>+I24-J24-L24</f>
        <v>0</v>
      </c>
    </row>
    <row r="36" spans="9:12">
      <c r="I36" s="318"/>
      <c r="J36" s="318"/>
    </row>
  </sheetData>
  <sheetProtection algorithmName="SHA-512" hashValue="mwpCjQxD4nTV35pCMaNOhh+WPLBRVT/mJf7tqHxxVnZMvUTtJBEUdPAa5vyrDj4utD/tpjcavqG2InqDWJqUsQ==" saltValue="+VfulAuCPrSCjjhmsfEzXQ=="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1">
    <tabColor theme="5" tint="0.59999389629810485"/>
  </sheetPr>
  <dimension ref="B2:U50"/>
  <sheetViews>
    <sheetView topLeftCell="A4" zoomScaleNormal="100" zoomScaleSheetLayoutView="80" workbookViewId="0">
      <selection activeCell="J6" sqref="J6:L6"/>
    </sheetView>
  </sheetViews>
  <sheetFormatPr defaultColWidth="8.88671875" defaultRowHeight="13.2"/>
  <cols>
    <col min="1" max="4" width="4.6640625" style="391" customWidth="1"/>
    <col min="5" max="5" width="17.88671875" style="391" customWidth="1"/>
    <col min="6" max="6" width="8.88671875" style="391"/>
    <col min="7" max="7" width="16.6640625" style="391" customWidth="1"/>
    <col min="8" max="8" width="1.6640625" style="391" customWidth="1"/>
    <col min="9" max="9" width="15.6640625" style="391" customWidth="1"/>
    <col min="10" max="10" width="1.6640625" style="391" customWidth="1"/>
    <col min="11" max="11" width="8.6640625" style="391" customWidth="1"/>
    <col min="12" max="12" width="7.6640625" style="391" customWidth="1"/>
    <col min="13" max="15" width="8.88671875" style="391"/>
    <col min="16" max="17" width="10.33203125" style="391" bestFit="1" customWidth="1"/>
    <col min="18" max="16384" width="8.88671875" style="391"/>
  </cols>
  <sheetData>
    <row r="2" spans="2:21" ht="20.399999999999999">
      <c r="B2" s="1826" t="s">
        <v>132</v>
      </c>
      <c r="C2" s="1826"/>
      <c r="D2" s="1826"/>
      <c r="E2" s="1826"/>
      <c r="F2" s="1826"/>
      <c r="G2" s="1826"/>
      <c r="H2" s="1826"/>
      <c r="I2" s="1826"/>
      <c r="J2" s="1826"/>
      <c r="K2" s="1826"/>
      <c r="L2" s="1826"/>
    </row>
    <row r="3" spans="2:21" ht="20.399999999999999">
      <c r="B3" s="1826" t="str">
        <f>"AND  "&amp;TEXT('KEY INPUTS'!D34+1,"0")&amp;"  DEBT  SERVICE  FOR  BONDS"</f>
        <v>AND  2021  DEBT  SERVICE  FOR  BONDS</v>
      </c>
      <c r="C3" s="1826"/>
      <c r="D3" s="1826"/>
      <c r="E3" s="1826"/>
      <c r="F3" s="1826"/>
      <c r="G3" s="1826"/>
      <c r="H3" s="1826"/>
      <c r="I3" s="1826"/>
      <c r="J3" s="1826"/>
      <c r="K3" s="1826"/>
      <c r="L3" s="1826"/>
    </row>
    <row r="4" spans="2:21" ht="15.6">
      <c r="B4" s="1806" t="str">
        <f>UPPER('KEY INPUTS'!D54)&amp;" UTILITY  ASSESSMENT  BONDS"</f>
        <v xml:space="preserve"> UTILITY  ASSESSMENT  BONDS</v>
      </c>
      <c r="C4" s="1806"/>
      <c r="D4" s="1806"/>
      <c r="E4" s="1806"/>
      <c r="F4" s="1806"/>
      <c r="G4" s="1806"/>
      <c r="H4" s="1806"/>
      <c r="I4" s="1806"/>
      <c r="J4" s="1806"/>
      <c r="K4" s="1806"/>
      <c r="L4" s="1806"/>
    </row>
    <row r="5" spans="2:21" ht="9.75" customHeight="1" thickBot="1">
      <c r="B5" s="1361"/>
      <c r="C5" s="1361"/>
      <c r="D5" s="1361"/>
      <c r="E5" s="1361"/>
      <c r="F5" s="1361"/>
      <c r="G5" s="1361"/>
      <c r="H5" s="1361"/>
      <c r="I5" s="1361"/>
      <c r="J5" s="1361"/>
      <c r="K5" s="1361"/>
      <c r="L5" s="1361"/>
    </row>
    <row r="6" spans="2:21" ht="27.75" customHeight="1" thickTop="1" thickBot="1">
      <c r="B6" s="1315"/>
      <c r="C6" s="1315"/>
      <c r="D6" s="1315"/>
      <c r="E6" s="1315"/>
      <c r="F6" s="1315"/>
      <c r="G6" s="1097" t="s">
        <v>101</v>
      </c>
      <c r="H6" s="1978" t="s">
        <v>102</v>
      </c>
      <c r="I6" s="1797"/>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52"/>
      <c r="D7" s="1152"/>
      <c r="E7" s="1152"/>
      <c r="F7" s="1152"/>
      <c r="G7" s="1153" t="s">
        <v>662</v>
      </c>
      <c r="H7" s="1724"/>
      <c r="I7" s="1725"/>
      <c r="O7" s="315"/>
      <c r="P7" s="315"/>
      <c r="Q7" s="315"/>
      <c r="R7" s="315"/>
      <c r="S7" s="315"/>
      <c r="T7" s="315"/>
      <c r="U7" s="315"/>
    </row>
    <row r="8" spans="2:21" ht="21" customHeight="1">
      <c r="B8" s="681" t="s">
        <v>97</v>
      </c>
      <c r="C8" s="681"/>
      <c r="D8" s="681"/>
      <c r="E8" s="681"/>
      <c r="F8" s="681"/>
      <c r="G8" s="1156" t="s">
        <v>662</v>
      </c>
      <c r="H8" s="1722"/>
      <c r="I8" s="1723"/>
      <c r="O8" s="370"/>
      <c r="P8" s="315"/>
      <c r="Q8" s="315"/>
      <c r="R8" s="315"/>
      <c r="S8" s="315"/>
      <c r="T8" s="315"/>
      <c r="U8" s="315"/>
    </row>
    <row r="9" spans="2:21" ht="21" customHeight="1">
      <c r="B9" s="681"/>
      <c r="C9" s="681"/>
      <c r="D9" s="681"/>
      <c r="E9" s="681"/>
      <c r="F9" s="681"/>
      <c r="G9" s="1156"/>
      <c r="H9" s="1362"/>
      <c r="I9" s="1210"/>
      <c r="O9" s="315"/>
      <c r="P9" s="315"/>
      <c r="Q9" s="315"/>
      <c r="R9" s="315"/>
      <c r="S9" s="315"/>
      <c r="T9" s="315"/>
      <c r="U9" s="315"/>
    </row>
    <row r="10" spans="2:21" ht="21" customHeight="1">
      <c r="B10" s="681" t="s">
        <v>268</v>
      </c>
      <c r="C10" s="681"/>
      <c r="D10" s="681"/>
      <c r="E10" s="681"/>
      <c r="F10" s="681"/>
      <c r="G10" s="593"/>
      <c r="H10" s="1874" t="s">
        <v>662</v>
      </c>
      <c r="I10" s="1875"/>
      <c r="O10" s="315"/>
      <c r="P10" s="315"/>
      <c r="Q10" s="315"/>
      <c r="R10" s="315"/>
      <c r="S10" s="315"/>
      <c r="T10" s="315"/>
      <c r="U10" s="315"/>
    </row>
    <row r="11" spans="2:21" ht="21" customHeight="1" thickBot="1">
      <c r="B11" s="681" t="str">
        <f>'KEY INPUTS'!D28</f>
        <v>Outstanding - December 31, 2020</v>
      </c>
      <c r="C11" s="681"/>
      <c r="D11" s="681"/>
      <c r="E11" s="681"/>
      <c r="F11" s="681"/>
      <c r="G11" s="1111">
        <f>+H7+H8-G10</f>
        <v>0</v>
      </c>
      <c r="H11" s="1870" t="s">
        <v>662</v>
      </c>
      <c r="I11" s="1871"/>
      <c r="O11" s="315"/>
      <c r="P11" s="315"/>
      <c r="Q11" s="315"/>
      <c r="R11" s="315"/>
      <c r="S11" s="315"/>
      <c r="T11" s="315"/>
      <c r="U11" s="315"/>
    </row>
    <row r="12" spans="2:21" ht="21" customHeight="1" thickBot="1">
      <c r="B12" s="1096"/>
      <c r="C12" s="1096"/>
      <c r="D12" s="1096"/>
      <c r="E12" s="1096"/>
      <c r="F12" s="1096"/>
      <c r="G12" s="1113">
        <f>SUM(G7:G11)</f>
        <v>0</v>
      </c>
      <c r="H12" s="1858">
        <f>SUM(H7:I11)</f>
        <v>0</v>
      </c>
      <c r="I12" s="1859"/>
      <c r="O12" s="315"/>
      <c r="P12" s="315"/>
      <c r="Q12" s="315"/>
      <c r="R12" s="315"/>
      <c r="S12" s="315"/>
      <c r="T12" s="315"/>
      <c r="U12" s="315"/>
    </row>
    <row r="13" spans="2:21" ht="21" customHeight="1" thickTop="1">
      <c r="B13" s="1364" t="str">
        <f>TEXT('KEY INPUTS'!D34+1,"0")&amp;" Bond Maturities - Assessment Bonds"</f>
        <v>2021 Bond Maturities - Assessment Bonds</v>
      </c>
      <c r="C13" s="1110"/>
      <c r="D13" s="1110"/>
      <c r="E13" s="1110"/>
      <c r="F13" s="1110"/>
      <c r="G13" s="1110"/>
      <c r="H13" s="1110"/>
      <c r="I13" s="1363"/>
      <c r="J13" s="444" t="s">
        <v>397</v>
      </c>
      <c r="K13" s="1748"/>
      <c r="L13" s="1748"/>
      <c r="O13" s="315"/>
      <c r="P13" s="315"/>
      <c r="Q13" s="315"/>
      <c r="R13" s="315"/>
      <c r="S13" s="315"/>
      <c r="T13" s="315"/>
      <c r="U13" s="315"/>
    </row>
    <row r="14" spans="2:21" ht="21" customHeight="1" thickBot="1">
      <c r="B14" s="1365" t="str">
        <f>TEXT('KEY INPUTS'!D34+1,"0")&amp;" Interest on Bonds"</f>
        <v>2021 Interest on Bonds</v>
      </c>
      <c r="C14" s="1214"/>
      <c r="D14" s="1214"/>
      <c r="E14" s="1214"/>
      <c r="F14" s="1214"/>
      <c r="G14" s="1239"/>
      <c r="H14" s="481" t="s">
        <v>397</v>
      </c>
      <c r="I14" s="600"/>
      <c r="O14" s="315"/>
      <c r="P14" s="315"/>
      <c r="Q14" s="315"/>
      <c r="R14" s="315"/>
      <c r="S14" s="315"/>
      <c r="T14" s="315"/>
      <c r="U14" s="315"/>
    </row>
    <row r="15" spans="2:21" ht="16.5" customHeight="1" thickTop="1">
      <c r="B15" s="1997"/>
      <c r="C15" s="1997"/>
      <c r="D15" s="1997"/>
      <c r="E15" s="1997"/>
      <c r="F15" s="1997"/>
      <c r="G15" s="1997"/>
      <c r="H15" s="1997"/>
      <c r="I15" s="1998"/>
      <c r="O15" s="315"/>
      <c r="P15" s="315"/>
      <c r="Q15" s="315"/>
      <c r="R15" s="315"/>
      <c r="S15" s="315"/>
      <c r="T15" s="315"/>
      <c r="U15" s="315"/>
    </row>
    <row r="16" spans="2:21" ht="26.25" customHeight="1" thickBot="1">
      <c r="B16" s="1976" t="str">
        <f>UPPER('KEY INPUTS'!D54) &amp;" UTILITY  CAPITAL  BONDS"</f>
        <v xml:space="preserve"> UTILITY  CAPITAL  BONDS</v>
      </c>
      <c r="C16" s="1976"/>
      <c r="D16" s="1976"/>
      <c r="E16" s="1976"/>
      <c r="F16" s="1976"/>
      <c r="G16" s="1976"/>
      <c r="H16" s="1976"/>
      <c r="I16" s="1977"/>
      <c r="O16" s="315"/>
      <c r="P16" s="315"/>
      <c r="Q16" s="315"/>
      <c r="R16" s="315"/>
      <c r="S16" s="315"/>
      <c r="T16" s="315"/>
      <c r="U16" s="315"/>
    </row>
    <row r="17" spans="2:21" ht="21" customHeight="1" thickTop="1">
      <c r="B17" s="1193" t="str">
        <f>'KEY INPUTS'!D27</f>
        <v>Outstanding - January 1, 2020</v>
      </c>
      <c r="C17" s="1152"/>
      <c r="D17" s="1152"/>
      <c r="E17" s="1152"/>
      <c r="F17" s="1152"/>
      <c r="G17" s="1153" t="s">
        <v>662</v>
      </c>
      <c r="H17" s="1724"/>
      <c r="I17" s="1725"/>
      <c r="O17" s="315"/>
      <c r="P17" s="315"/>
      <c r="Q17" s="315"/>
      <c r="R17" s="315"/>
      <c r="S17" s="315"/>
      <c r="T17" s="315"/>
      <c r="U17" s="315"/>
    </row>
    <row r="18" spans="2:21" ht="21" customHeight="1">
      <c r="B18" s="681" t="s">
        <v>97</v>
      </c>
      <c r="C18" s="681"/>
      <c r="D18" s="681"/>
      <c r="E18" s="681"/>
      <c r="F18" s="681"/>
      <c r="G18" s="1156" t="s">
        <v>662</v>
      </c>
      <c r="H18" s="1722"/>
      <c r="I18" s="1723"/>
      <c r="O18" s="315"/>
      <c r="P18" s="315"/>
      <c r="Q18" s="315"/>
      <c r="R18" s="315"/>
      <c r="S18" s="315"/>
      <c r="T18" s="315"/>
      <c r="U18" s="315"/>
    </row>
    <row r="19" spans="2:21" ht="21" customHeight="1">
      <c r="B19" s="681" t="s">
        <v>268</v>
      </c>
      <c r="C19" s="681"/>
      <c r="D19" s="681"/>
      <c r="E19" s="681"/>
      <c r="F19" s="681"/>
      <c r="G19" s="593"/>
      <c r="H19" s="1874" t="s">
        <v>662</v>
      </c>
      <c r="I19" s="1875"/>
      <c r="O19" s="315"/>
      <c r="P19" s="315"/>
      <c r="Q19" s="315"/>
      <c r="R19" s="315"/>
      <c r="S19" s="315"/>
      <c r="T19" s="315"/>
      <c r="U19" s="315"/>
    </row>
    <row r="20" spans="2:21" ht="21" customHeight="1">
      <c r="B20" s="681"/>
      <c r="C20" s="681"/>
      <c r="D20" s="681"/>
      <c r="E20" s="681"/>
      <c r="F20" s="681"/>
      <c r="G20" s="680"/>
      <c r="H20" s="1860"/>
      <c r="I20" s="1861"/>
      <c r="O20" s="315"/>
      <c r="P20" s="315"/>
      <c r="Q20" s="315"/>
      <c r="R20" s="315"/>
      <c r="S20" s="315"/>
      <c r="T20" s="315"/>
      <c r="U20" s="315"/>
    </row>
    <row r="21" spans="2:21" ht="21" customHeight="1">
      <c r="B21" s="681"/>
      <c r="C21" s="681"/>
      <c r="D21" s="681"/>
      <c r="E21" s="681"/>
      <c r="F21" s="681"/>
      <c r="G21" s="680"/>
      <c r="H21" s="1860"/>
      <c r="I21" s="1861"/>
      <c r="O21" s="315"/>
      <c r="P21" s="315"/>
      <c r="Q21" s="315"/>
      <c r="R21" s="315"/>
      <c r="S21" s="315"/>
      <c r="T21" s="315"/>
      <c r="U21" s="315"/>
    </row>
    <row r="22" spans="2:21" ht="21" customHeight="1" thickBot="1">
      <c r="B22" s="681" t="str">
        <f>'KEY INPUTS'!D28</f>
        <v>Outstanding - December 31, 2020</v>
      </c>
      <c r="C22" s="681"/>
      <c r="D22" s="681"/>
      <c r="E22" s="681"/>
      <c r="F22" s="681"/>
      <c r="G22" s="1111">
        <f>+H17+H18-G19-G20-G21+H20+H21</f>
        <v>0</v>
      </c>
      <c r="H22" s="1870" t="s">
        <v>662</v>
      </c>
      <c r="I22" s="1871"/>
      <c r="O22" s="315"/>
      <c r="P22" s="315"/>
      <c r="Q22" s="315"/>
      <c r="R22" s="315"/>
      <c r="S22" s="315"/>
      <c r="T22" s="315"/>
      <c r="U22" s="315"/>
    </row>
    <row r="23" spans="2:21" ht="21" customHeight="1" thickBot="1">
      <c r="B23" s="1096"/>
      <c r="C23" s="1096"/>
      <c r="D23" s="1096"/>
      <c r="E23" s="1096"/>
      <c r="F23" s="1096"/>
      <c r="G23" s="1113">
        <f>SUM(G17:G22)</f>
        <v>0</v>
      </c>
      <c r="H23" s="1858">
        <f>SUM(H17:I22)</f>
        <v>0</v>
      </c>
      <c r="I23" s="1859"/>
    </row>
    <row r="24" spans="2:21" ht="21" customHeight="1" thickTop="1">
      <c r="B24" s="1364" t="str">
        <f>TEXT('KEY INPUTS'!D34+1,"0")&amp;" Bond Maturities - Capital Bonds"</f>
        <v>2021 Bond Maturities - Capital Bonds</v>
      </c>
      <c r="C24" s="1110"/>
      <c r="D24" s="1110"/>
      <c r="E24" s="1110"/>
      <c r="F24" s="1110"/>
      <c r="G24" s="1110"/>
      <c r="H24" s="1110"/>
      <c r="I24" s="1366"/>
      <c r="J24" s="444" t="s">
        <v>397</v>
      </c>
      <c r="K24" s="1748"/>
      <c r="L24" s="1748"/>
    </row>
    <row r="25" spans="2:21" ht="21" customHeight="1" thickBot="1">
      <c r="B25" s="1365" t="str">
        <f>TEXT('KEY INPUTS'!D34+1,"0")&amp;" Interest on Bonds"</f>
        <v>2021 Interest on Bonds</v>
      </c>
      <c r="C25" s="1214"/>
      <c r="D25" s="1214"/>
      <c r="E25" s="1214"/>
      <c r="F25" s="1214"/>
      <c r="G25" s="1239"/>
      <c r="H25" s="481" t="s">
        <v>397</v>
      </c>
      <c r="I25" s="600"/>
      <c r="J25" s="482"/>
      <c r="K25" s="481"/>
      <c r="L25" s="491" t="s">
        <v>3190</v>
      </c>
    </row>
    <row r="26" spans="2:21" ht="21" customHeight="1" thickTop="1"/>
    <row r="27" spans="2:21" ht="19.5" customHeight="1" thickBot="1">
      <c r="B27" s="1976" t="str">
        <f>"INTEREST  ON  BONDS  -  "&amp;UPPER('KEY INPUTS'!D54)&amp;"  UTILITY  BUDGET"</f>
        <v>INTEREST  ON  BONDS  -    UTILITY  BUDGET</v>
      </c>
      <c r="C27" s="1976"/>
      <c r="D27" s="1976"/>
      <c r="E27" s="1976"/>
      <c r="F27" s="1976"/>
      <c r="G27" s="1976"/>
      <c r="H27" s="1976"/>
      <c r="I27" s="1976"/>
      <c r="J27" s="1976"/>
      <c r="K27" s="1976"/>
      <c r="L27" s="1976"/>
    </row>
    <row r="28" spans="2:21" ht="21" customHeight="1" thickTop="1">
      <c r="B28" s="1376" t="str">
        <f>TEXT('KEY INPUTS'!D34+1,"0")&amp;" Interest on Bonds (*Items)"</f>
        <v>2021 Interest on Bonds (*Items)</v>
      </c>
      <c r="C28" s="1152"/>
      <c r="D28" s="1152"/>
      <c r="E28" s="1152"/>
      <c r="F28" s="1152"/>
      <c r="G28" s="1152"/>
      <c r="H28" s="450" t="s">
        <v>397</v>
      </c>
      <c r="I28" s="1212">
        <f>+I14+I25</f>
        <v>0</v>
      </c>
      <c r="J28" s="1096"/>
      <c r="K28" s="1096"/>
      <c r="L28" s="1096"/>
      <c r="O28" s="457"/>
      <c r="P28" s="457"/>
      <c r="Q28" s="457"/>
      <c r="R28" s="457"/>
    </row>
    <row r="29" spans="2:21" ht="21" customHeight="1">
      <c r="B29" s="905" t="str">
        <f>"Less: Interest Accrued to "&amp;TEXT('KEY INPUTS'!D29,"mm/dd/yyy")&amp;" (Trial Balance)"</f>
        <v>Less: Interest Accrued to 12/31/2020 (Trial Balance)</v>
      </c>
      <c r="C29" s="681"/>
      <c r="D29" s="681"/>
      <c r="E29" s="681"/>
      <c r="F29" s="681"/>
      <c r="G29" s="681"/>
      <c r="H29" s="395" t="s">
        <v>397</v>
      </c>
      <c r="I29" s="663"/>
      <c r="O29" s="457"/>
      <c r="P29" s="457"/>
      <c r="Q29" s="457"/>
      <c r="R29" s="457"/>
    </row>
    <row r="30" spans="2:21" ht="21" customHeight="1">
      <c r="B30" s="681"/>
      <c r="C30" s="681" t="s">
        <v>337</v>
      </c>
      <c r="D30" s="681"/>
      <c r="E30" s="681"/>
      <c r="F30" s="681"/>
      <c r="G30" s="681"/>
      <c r="H30" s="395" t="s">
        <v>397</v>
      </c>
      <c r="I30" s="1213">
        <f>+I28-I29</f>
        <v>0</v>
      </c>
      <c r="O30" s="457"/>
      <c r="P30" s="457"/>
      <c r="Q30" s="457"/>
      <c r="R30" s="457"/>
    </row>
    <row r="31" spans="2:21" ht="21" customHeight="1">
      <c r="B31" s="905" t="str">
        <f>"Add: Interest to be Accrued as of "&amp;TEXT('KEY INPUTS'!D30,"mm/dd/yyyy")&amp;""</f>
        <v>Add: Interest to be Accrued as of 12/31/2021</v>
      </c>
      <c r="C31" s="681"/>
      <c r="D31" s="681"/>
      <c r="E31" s="681"/>
      <c r="F31" s="681"/>
      <c r="G31" s="681"/>
      <c r="H31" s="395" t="s">
        <v>397</v>
      </c>
      <c r="I31" s="663"/>
      <c r="O31" s="457"/>
      <c r="P31" s="457"/>
      <c r="Q31" s="457"/>
      <c r="R31" s="457"/>
    </row>
    <row r="32" spans="2:21" ht="21" customHeight="1">
      <c r="B32" s="905" t="str">
        <f>"Required Appropriation "&amp;TEXT('KEY INPUTS'!D34+1,"0")</f>
        <v>Required Appropriation 2021</v>
      </c>
      <c r="C32" s="681"/>
      <c r="D32" s="681"/>
      <c r="E32" s="681"/>
      <c r="F32" s="681"/>
      <c r="G32" s="681"/>
      <c r="H32" s="681"/>
      <c r="I32" s="1396"/>
      <c r="J32" s="484" t="s">
        <v>397</v>
      </c>
      <c r="K32" s="1880">
        <f>+I30+I31</f>
        <v>0</v>
      </c>
      <c r="L32" s="1881"/>
      <c r="O32" s="457"/>
      <c r="P32" s="457"/>
      <c r="Q32" s="457"/>
      <c r="R32" s="457"/>
    </row>
    <row r="33" spans="2:12" ht="13.5" customHeight="1">
      <c r="B33" s="460"/>
      <c r="C33" s="460"/>
      <c r="D33" s="460"/>
      <c r="E33" s="460"/>
      <c r="F33" s="460"/>
      <c r="G33" s="460"/>
      <c r="H33" s="460"/>
      <c r="I33" s="460"/>
      <c r="J33" s="460"/>
      <c r="K33" s="488"/>
      <c r="L33" s="774"/>
    </row>
    <row r="34" spans="2:12" ht="13.5" customHeight="1">
      <c r="B34" s="460"/>
      <c r="C34" s="460"/>
      <c r="D34" s="460"/>
      <c r="E34" s="460"/>
      <c r="F34" s="460"/>
      <c r="G34" s="460"/>
      <c r="H34" s="460"/>
      <c r="I34" s="460"/>
      <c r="J34" s="460"/>
      <c r="K34" s="488"/>
      <c r="L34" s="774"/>
    </row>
    <row r="35" spans="2:12" ht="21" customHeight="1" thickBot="1">
      <c r="B35" s="1984" t="str">
        <f>"LIST  OF  BONDS  ISSUED  DURING  "&amp;TEXT('KEY INPUTS'!D34,"0")&amp;""</f>
        <v>LIST  OF  BONDS  ISSUED  DURING  2020</v>
      </c>
      <c r="C35" s="1984"/>
      <c r="D35" s="1984"/>
      <c r="E35" s="1984"/>
      <c r="F35" s="1984"/>
      <c r="G35" s="1984"/>
      <c r="H35" s="1984"/>
      <c r="I35" s="1984"/>
      <c r="J35" s="1984"/>
      <c r="K35" s="1984"/>
      <c r="L35" s="1984"/>
    </row>
    <row r="36" spans="2:12" ht="27" customHeight="1" thickTop="1" thickBot="1">
      <c r="B36" s="1796" t="s">
        <v>440</v>
      </c>
      <c r="C36" s="1796"/>
      <c r="D36" s="1796"/>
      <c r="E36" s="1796"/>
      <c r="F36" s="1796"/>
      <c r="G36" s="1379" t="str">
        <f>TEXT('KEY INPUTS'!D33,"0")&amp;" Maturity"</f>
        <v>2021 Maturity</v>
      </c>
      <c r="H36" s="1978" t="s">
        <v>96</v>
      </c>
      <c r="I36" s="1797"/>
      <c r="J36" s="1995" t="s">
        <v>94</v>
      </c>
      <c r="K36" s="1996"/>
      <c r="L36" s="1395" t="s">
        <v>95</v>
      </c>
    </row>
    <row r="37" spans="2:12" ht="21" customHeight="1" thickTop="1">
      <c r="B37" s="664"/>
      <c r="C37" s="664"/>
      <c r="D37" s="664"/>
      <c r="E37" s="664"/>
      <c r="F37" s="664"/>
      <c r="G37" s="597"/>
      <c r="H37" s="1724"/>
      <c r="I37" s="1725"/>
      <c r="J37" s="1882"/>
      <c r="K37" s="1883"/>
      <c r="L37" s="908"/>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214"/>
      <c r="C41" s="1214"/>
      <c r="D41" s="1214"/>
      <c r="E41" s="1214"/>
      <c r="F41" s="1367"/>
      <c r="G41" s="1113">
        <f>SUM(G37:G40)</f>
        <v>0</v>
      </c>
      <c r="H41" s="1876">
        <f>SUM(H37:I40)</f>
        <v>0</v>
      </c>
      <c r="I41" s="1877"/>
      <c r="J41" s="1368"/>
      <c r="K41" s="1214"/>
      <c r="L41" s="1215"/>
    </row>
    <row r="42" spans="2:12" ht="13.8" thickTop="1">
      <c r="G42" s="773"/>
      <c r="H42" s="773"/>
      <c r="I42" s="773"/>
    </row>
    <row r="50" spans="2:12" ht="13.8">
      <c r="B50" s="1799" t="s">
        <v>3224</v>
      </c>
      <c r="C50" s="1799"/>
      <c r="D50" s="1799"/>
      <c r="E50" s="1799"/>
      <c r="F50" s="1799"/>
      <c r="G50" s="1799"/>
      <c r="H50" s="1799"/>
      <c r="I50" s="1799"/>
      <c r="J50" s="1799"/>
      <c r="K50" s="1799"/>
      <c r="L50" s="1799"/>
    </row>
  </sheetData>
  <sheetProtection algorithmName="SHA-512" hashValue="Zv9ZKfJ20FKlWwLIBFXphU/dYL274Me3RsqqA8HvVTVaJH+TUGlV3d4oZbwo4BDgFVKkMt6zZ0OOpzCsZMkv8A==" saltValue="jDaQR6+e4AM4alsjTKk4aw=="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2">
    <tabColor theme="5" tint="0.59999389629810485"/>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INPUTS'!D$54)&amp;"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O7" s="315"/>
      <c r="P7" s="315"/>
      <c r="Q7" s="315"/>
      <c r="R7" s="315"/>
      <c r="S7" s="315"/>
      <c r="T7" s="315"/>
      <c r="U7" s="315"/>
    </row>
    <row r="8" spans="2:21" ht="21" customHeight="1">
      <c r="B8" s="681" t="s">
        <v>97</v>
      </c>
      <c r="C8" s="1121"/>
      <c r="D8" s="1121"/>
      <c r="E8" s="1121"/>
      <c r="F8" s="1121"/>
      <c r="G8" s="963" t="s">
        <v>662</v>
      </c>
      <c r="H8" s="1722"/>
      <c r="I8" s="1723"/>
      <c r="O8" s="370"/>
      <c r="P8" s="315"/>
      <c r="Q8" s="315"/>
      <c r="R8" s="315"/>
      <c r="S8" s="315"/>
      <c r="T8" s="315"/>
      <c r="U8" s="315"/>
    </row>
    <row r="9" spans="2:21" ht="21" customHeight="1">
      <c r="B9" s="681"/>
      <c r="C9" s="1121"/>
      <c r="D9" s="1121"/>
      <c r="E9" s="1121"/>
      <c r="F9" s="1121"/>
      <c r="G9" s="963"/>
      <c r="H9" s="1371"/>
      <c r="I9" s="1372"/>
      <c r="O9" s="315"/>
      <c r="P9" s="315"/>
      <c r="Q9" s="315"/>
      <c r="R9" s="315"/>
      <c r="S9" s="315"/>
      <c r="T9" s="315"/>
      <c r="U9" s="315"/>
    </row>
    <row r="10" spans="2:21" ht="21" customHeight="1">
      <c r="B10" s="681" t="s">
        <v>268</v>
      </c>
      <c r="C10" s="1121"/>
      <c r="D10" s="1121"/>
      <c r="E10" s="1121"/>
      <c r="F10" s="1121"/>
      <c r="G10" s="593"/>
      <c r="H10" s="1743" t="s">
        <v>662</v>
      </c>
      <c r="I10" s="1744"/>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O11" s="315"/>
      <c r="P11" s="315"/>
      <c r="Q11" s="315"/>
      <c r="R11" s="315"/>
      <c r="S11" s="315"/>
      <c r="T11" s="315"/>
      <c r="U11" s="315"/>
    </row>
    <row r="12" spans="2:21" ht="21" customHeight="1" thickBot="1">
      <c r="B12" s="1096"/>
      <c r="C12" s="1128"/>
      <c r="D12" s="1128"/>
      <c r="E12" s="1128"/>
      <c r="F12" s="1128"/>
      <c r="G12" s="135">
        <f>SUM(G7:G11)</f>
        <v>0</v>
      </c>
      <c r="H12" s="1741">
        <f>SUM(H7:I11)</f>
        <v>0</v>
      </c>
      <c r="I12" s="1742"/>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O14" s="315"/>
      <c r="P14" s="315"/>
      <c r="Q14" s="315"/>
      <c r="R14" s="315"/>
      <c r="S14" s="315"/>
      <c r="T14" s="315"/>
      <c r="U14" s="315"/>
    </row>
    <row r="15" spans="2:21" ht="16.5" customHeight="1" thickTop="1">
      <c r="B15" s="1891"/>
      <c r="C15" s="1891"/>
      <c r="D15" s="1891"/>
      <c r="E15" s="1891"/>
      <c r="F15" s="1891"/>
      <c r="G15" s="1891"/>
      <c r="H15" s="1891"/>
      <c r="I15" s="1892"/>
      <c r="O15" s="315"/>
      <c r="P15" s="315"/>
      <c r="Q15" s="315"/>
      <c r="R15" s="315"/>
      <c r="S15" s="315"/>
      <c r="T15" s="315"/>
      <c r="U15" s="315"/>
    </row>
    <row r="16" spans="2:21" ht="26.25" customHeight="1" thickBot="1">
      <c r="B16" s="1976" t="str">
        <f>UPPER('KEY INPUTS'!D$54)&amp;"  UTILITY"&amp;" ________________ LOAN"</f>
        <v xml:space="preserve">  UTILITY ________________ LOAN</v>
      </c>
      <c r="C16" s="1976"/>
      <c r="D16" s="1976"/>
      <c r="E16" s="1976"/>
      <c r="F16" s="1976"/>
      <c r="G16" s="1976"/>
      <c r="H16" s="1976"/>
      <c r="I16" s="1977"/>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O17" s="315"/>
      <c r="P17" s="315"/>
      <c r="Q17" s="315"/>
      <c r="R17" s="315"/>
      <c r="S17" s="315"/>
      <c r="T17" s="315"/>
      <c r="U17" s="315"/>
    </row>
    <row r="18" spans="2:21" ht="21" customHeight="1">
      <c r="B18" s="681" t="s">
        <v>97</v>
      </c>
      <c r="C18" s="1121"/>
      <c r="D18" s="1121"/>
      <c r="E18" s="1121"/>
      <c r="F18" s="1121"/>
      <c r="G18" s="963" t="s">
        <v>662</v>
      </c>
      <c r="H18" s="1722"/>
      <c r="I18" s="1723"/>
      <c r="O18" s="315"/>
      <c r="P18" s="315"/>
      <c r="Q18" s="315"/>
      <c r="R18" s="315"/>
      <c r="S18" s="315"/>
      <c r="T18" s="315"/>
      <c r="U18" s="315"/>
    </row>
    <row r="19" spans="2:21" ht="21" customHeight="1">
      <c r="B19" s="681" t="s">
        <v>268</v>
      </c>
      <c r="C19" s="1121"/>
      <c r="D19" s="1121"/>
      <c r="E19" s="1121"/>
      <c r="F19" s="1121"/>
      <c r="G19" s="593"/>
      <c r="H19" s="1743" t="s">
        <v>662</v>
      </c>
      <c r="I19" s="1744"/>
      <c r="O19" s="315"/>
      <c r="P19" s="315"/>
      <c r="Q19" s="315"/>
      <c r="R19" s="315"/>
      <c r="S19" s="315"/>
      <c r="T19" s="315"/>
      <c r="U19" s="315"/>
    </row>
    <row r="20" spans="2:21" ht="21" customHeight="1">
      <c r="B20" s="681"/>
      <c r="C20" s="1121"/>
      <c r="D20" s="1121"/>
      <c r="E20" s="1121"/>
      <c r="F20" s="1121"/>
      <c r="G20" s="1087"/>
      <c r="H20" s="1745"/>
      <c r="I20" s="1746"/>
      <c r="O20" s="315"/>
      <c r="P20" s="315"/>
      <c r="Q20" s="315"/>
      <c r="R20" s="315"/>
      <c r="S20" s="315"/>
      <c r="T20" s="315"/>
      <c r="U20" s="315"/>
    </row>
    <row r="21" spans="2:21" ht="21" customHeight="1">
      <c r="B21" s="681"/>
      <c r="C21" s="1121"/>
      <c r="D21" s="1121"/>
      <c r="E21" s="1121"/>
      <c r="F21" s="1121"/>
      <c r="G21" s="1087"/>
      <c r="H21" s="1745"/>
      <c r="I21" s="1746"/>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O22" s="315"/>
      <c r="P22" s="315"/>
      <c r="Q22" s="315"/>
      <c r="R22" s="315"/>
      <c r="S22" s="315"/>
      <c r="T22" s="315"/>
      <c r="U22" s="315"/>
    </row>
    <row r="23" spans="2:21" ht="21" customHeight="1" thickBot="1">
      <c r="B23" s="1096"/>
      <c r="C23" s="1128"/>
      <c r="D23" s="1128"/>
      <c r="E23" s="1128"/>
      <c r="F23" s="1128"/>
      <c r="G23" s="1065">
        <f>SUM(G17:G22)</f>
        <v>0</v>
      </c>
      <c r="H23" s="1741">
        <f>SUM(H17:I22)</f>
        <v>0</v>
      </c>
      <c r="I23" s="1742"/>
    </row>
    <row r="24" spans="2:21" ht="21" customHeight="1" thickTop="1">
      <c r="B24" s="1364" t="str">
        <f>TEXT('KEY INPUTS'!D34+1,"0")&amp;" Loan Maturities"</f>
        <v>2021 Loan Maturities</v>
      </c>
      <c r="C24" s="1373"/>
      <c r="D24" s="1373"/>
      <c r="E24" s="1373"/>
      <c r="F24" s="1373"/>
      <c r="G24" s="1373"/>
      <c r="H24" s="472"/>
      <c r="I24" s="508"/>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406"/>
      <c r="L25" s="406"/>
    </row>
    <row r="26" spans="2:21" ht="21" customHeight="1" thickTop="1"/>
    <row r="27" spans="2:21" ht="19.5" customHeight="1" thickBot="1">
      <c r="B27" s="1976" t="str">
        <f>"INTEREST  ON  LOANS  - "&amp;UPPER('KEY INPUTS'!D54)&amp;"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408" t="s">
        <v>397</v>
      </c>
      <c r="I28" s="1375">
        <f>+I25+I14</f>
        <v>0</v>
      </c>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row>
    <row r="30" spans="2:21" ht="21" customHeight="1">
      <c r="B30" s="681"/>
      <c r="C30" s="681" t="s">
        <v>337</v>
      </c>
      <c r="D30" s="1121"/>
      <c r="E30" s="1121"/>
      <c r="F30" s="1121"/>
      <c r="G30" s="1121"/>
      <c r="H30" s="327" t="s">
        <v>397</v>
      </c>
      <c r="I30" s="1377">
        <f>+I28-I29</f>
        <v>0</v>
      </c>
    </row>
    <row r="31" spans="2:21" ht="21" customHeight="1">
      <c r="B31" s="905" t="str">
        <f>"Add: Interest to be Accrued as of "&amp;TEXT('KEY INPUTS'!D30,"mm/dd/yyyy")&amp;""</f>
        <v>Add: Interest to be Accrued as of 12/31/2021</v>
      </c>
      <c r="C31" s="681"/>
      <c r="D31" s="1121"/>
      <c r="E31" s="1121"/>
      <c r="F31" s="1121"/>
      <c r="G31" s="1121"/>
      <c r="H31" s="327" t="s">
        <v>397</v>
      </c>
      <c r="I31" s="592"/>
    </row>
    <row r="32" spans="2:21" ht="21" customHeight="1">
      <c r="B32" s="905" t="str">
        <f>"Required Appropriation "&amp;TEXT('KEY INPUTS'!D34+1,"0")</f>
        <v>Required Appropriation 2021</v>
      </c>
      <c r="C32" s="681"/>
      <c r="D32" s="1121"/>
      <c r="E32" s="1121"/>
      <c r="F32" s="1121"/>
      <c r="G32" s="1121"/>
      <c r="H32" s="327"/>
      <c r="I32" s="407"/>
      <c r="J32" s="499" t="s">
        <v>397</v>
      </c>
      <c r="K32" s="1985">
        <f>+I30+I31</f>
        <v>0</v>
      </c>
      <c r="L32" s="1986"/>
    </row>
    <row r="33" spans="2:12" ht="13.5" customHeight="1">
      <c r="B33" s="503"/>
      <c r="C33" s="503"/>
      <c r="D33" s="503"/>
      <c r="E33" s="503"/>
      <c r="F33" s="503"/>
      <c r="G33" s="503"/>
      <c r="H33" s="503"/>
      <c r="I33" s="503"/>
      <c r="J33" s="503"/>
      <c r="K33" s="502"/>
      <c r="L33" s="778"/>
    </row>
    <row r="34" spans="2:12" ht="13.5" customHeight="1">
      <c r="B34" s="503"/>
      <c r="C34" s="503"/>
      <c r="D34" s="503"/>
      <c r="E34" s="503"/>
      <c r="F34" s="503"/>
      <c r="G34" s="503"/>
      <c r="H34" s="503"/>
      <c r="I34" s="503"/>
      <c r="J34" s="503"/>
      <c r="K34" s="502"/>
      <c r="L34" s="778"/>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3225</v>
      </c>
      <c r="C51" s="1850"/>
      <c r="D51" s="1850"/>
      <c r="E51" s="1850"/>
      <c r="F51" s="1850"/>
      <c r="G51" s="1850"/>
      <c r="H51" s="1850"/>
      <c r="I51" s="1850"/>
      <c r="J51" s="1850"/>
      <c r="K51" s="1850"/>
      <c r="L51" s="1850"/>
    </row>
  </sheetData>
  <sheetProtection algorithmName="SHA-512" hashValue="9B9mCNpS8V0u0hfHXqcJKOjrdGVBeyl1c6vIJs0+DhtSdB5ycYRy/L+4a5MMJoc/O7gxgZXP5joh+1uapq3fjg==" saltValue="GvGZDM87XyhN2ApXXnz7a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3">
    <tabColor theme="5" tint="0.59999389629810485"/>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INPUTS'!D$54)&amp;"  UTILITY"&amp;" ________________ LOAN"</f>
        <v xml:space="preserve">  UTILITY ________________ LOAN</v>
      </c>
      <c r="C4" s="1806"/>
      <c r="D4" s="1806"/>
      <c r="E4" s="1806"/>
      <c r="F4" s="1806"/>
      <c r="G4" s="1806"/>
      <c r="H4" s="1806"/>
      <c r="I4" s="1806"/>
      <c r="J4" s="1806"/>
      <c r="K4" s="1806"/>
      <c r="L4" s="1806"/>
    </row>
    <row r="5" spans="2:21" ht="9.75" customHeight="1" thickBot="1">
      <c r="B5" s="798"/>
      <c r="C5" s="798"/>
      <c r="D5" s="798"/>
      <c r="E5" s="798"/>
      <c r="F5" s="798"/>
      <c r="G5" s="798"/>
      <c r="H5" s="798"/>
      <c r="I5" s="798"/>
      <c r="J5" s="798"/>
      <c r="K5" s="798"/>
      <c r="L5" s="798"/>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O7" s="315"/>
      <c r="P7" s="315"/>
      <c r="Q7" s="315"/>
      <c r="R7" s="315"/>
      <c r="S7" s="315"/>
      <c r="T7" s="315"/>
      <c r="U7" s="315"/>
    </row>
    <row r="8" spans="2:21" ht="21" customHeight="1">
      <c r="B8" s="681" t="s">
        <v>97</v>
      </c>
      <c r="C8" s="1121"/>
      <c r="D8" s="1121"/>
      <c r="E8" s="1121"/>
      <c r="F8" s="1121"/>
      <c r="G8" s="963" t="s">
        <v>662</v>
      </c>
      <c r="H8" s="1722"/>
      <c r="I8" s="1723"/>
      <c r="O8" s="370"/>
      <c r="P8" s="315"/>
      <c r="Q8" s="315"/>
      <c r="R8" s="315"/>
      <c r="S8" s="315"/>
      <c r="T8" s="315"/>
      <c r="U8" s="315"/>
    </row>
    <row r="9" spans="2:21" ht="21" customHeight="1">
      <c r="B9" s="681"/>
      <c r="C9" s="1121"/>
      <c r="D9" s="1121"/>
      <c r="E9" s="1121"/>
      <c r="F9" s="1121"/>
      <c r="G9" s="963"/>
      <c r="H9" s="1371"/>
      <c r="I9" s="1372"/>
      <c r="O9" s="315"/>
      <c r="P9" s="315"/>
      <c r="Q9" s="315"/>
      <c r="R9" s="315"/>
      <c r="S9" s="315"/>
      <c r="T9" s="315"/>
      <c r="U9" s="315"/>
    </row>
    <row r="10" spans="2:21" ht="21" customHeight="1">
      <c r="B10" s="681" t="s">
        <v>268</v>
      </c>
      <c r="C10" s="1121"/>
      <c r="D10" s="1121"/>
      <c r="E10" s="1121"/>
      <c r="F10" s="1121"/>
      <c r="G10" s="593"/>
      <c r="H10" s="1743" t="s">
        <v>662</v>
      </c>
      <c r="I10" s="1744"/>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O11" s="315"/>
      <c r="P11" s="315"/>
      <c r="Q11" s="315"/>
      <c r="R11" s="315"/>
      <c r="S11" s="315"/>
      <c r="T11" s="315"/>
      <c r="U11" s="315"/>
    </row>
    <row r="12" spans="2:21" ht="21" customHeight="1" thickBot="1">
      <c r="B12" s="1096"/>
      <c r="C12" s="1128"/>
      <c r="D12" s="1128"/>
      <c r="E12" s="1128"/>
      <c r="F12" s="1128"/>
      <c r="G12" s="1065">
        <f>SUM(G7:G11)</f>
        <v>0</v>
      </c>
      <c r="H12" s="1741">
        <f>SUM(H7:I11)</f>
        <v>0</v>
      </c>
      <c r="I12" s="1742"/>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O14" s="315"/>
      <c r="P14" s="315"/>
      <c r="Q14" s="315"/>
      <c r="R14" s="315"/>
      <c r="S14" s="315"/>
      <c r="T14" s="315"/>
      <c r="U14" s="315"/>
    </row>
    <row r="15" spans="2:21" ht="16.5" customHeight="1" thickTop="1">
      <c r="B15" s="1891"/>
      <c r="C15" s="1891"/>
      <c r="D15" s="1891"/>
      <c r="E15" s="1891"/>
      <c r="F15" s="1891"/>
      <c r="G15" s="1891"/>
      <c r="H15" s="1891"/>
      <c r="I15" s="1892"/>
      <c r="O15" s="315"/>
      <c r="P15" s="315"/>
      <c r="Q15" s="315"/>
      <c r="R15" s="315"/>
      <c r="S15" s="315"/>
      <c r="T15" s="315"/>
      <c r="U15" s="315"/>
    </row>
    <row r="16" spans="2:21" ht="26.25" customHeight="1" thickBot="1">
      <c r="B16" s="1976" t="str">
        <f>UPPER('KEY INPUTS'!D$54)&amp;"  UTILITY"&amp;" ________________ LOAN"</f>
        <v xml:space="preserve">  UTILITY ________________ LOAN</v>
      </c>
      <c r="C16" s="1976"/>
      <c r="D16" s="1976"/>
      <c r="E16" s="1976"/>
      <c r="F16" s="1976"/>
      <c r="G16" s="1976"/>
      <c r="H16" s="1976"/>
      <c r="I16" s="1977"/>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O17" s="315"/>
      <c r="P17" s="315"/>
      <c r="Q17" s="315"/>
      <c r="R17" s="315"/>
      <c r="S17" s="315"/>
      <c r="T17" s="315"/>
      <c r="U17" s="315"/>
    </row>
    <row r="18" spans="2:21" ht="21" customHeight="1">
      <c r="B18" s="681" t="s">
        <v>97</v>
      </c>
      <c r="C18" s="1121"/>
      <c r="D18" s="1121"/>
      <c r="E18" s="1121"/>
      <c r="F18" s="1121"/>
      <c r="G18" s="963" t="s">
        <v>662</v>
      </c>
      <c r="H18" s="1722"/>
      <c r="I18" s="1723"/>
      <c r="O18" s="315"/>
      <c r="P18" s="315"/>
      <c r="Q18" s="315"/>
      <c r="R18" s="315"/>
      <c r="S18" s="315"/>
      <c r="T18" s="315"/>
      <c r="U18" s="315"/>
    </row>
    <row r="19" spans="2:21" ht="21" customHeight="1">
      <c r="B19" s="681" t="s">
        <v>268</v>
      </c>
      <c r="C19" s="1121"/>
      <c r="D19" s="1121"/>
      <c r="E19" s="1121"/>
      <c r="F19" s="1121"/>
      <c r="G19" s="593"/>
      <c r="H19" s="1743" t="s">
        <v>662</v>
      </c>
      <c r="I19" s="1744"/>
      <c r="O19" s="315"/>
      <c r="P19" s="315"/>
      <c r="Q19" s="315"/>
      <c r="R19" s="315"/>
      <c r="S19" s="315"/>
      <c r="T19" s="315"/>
      <c r="U19" s="315"/>
    </row>
    <row r="20" spans="2:21" ht="21" customHeight="1">
      <c r="B20" s="681"/>
      <c r="C20" s="1121"/>
      <c r="D20" s="1121"/>
      <c r="E20" s="1121"/>
      <c r="F20" s="1121"/>
      <c r="G20" s="1087"/>
      <c r="H20" s="1745"/>
      <c r="I20" s="1746"/>
      <c r="O20" s="315"/>
      <c r="P20" s="315"/>
      <c r="Q20" s="315"/>
      <c r="R20" s="315"/>
      <c r="S20" s="315"/>
      <c r="T20" s="315"/>
      <c r="U20" s="315"/>
    </row>
    <row r="21" spans="2:21" ht="21" customHeight="1">
      <c r="B21" s="681"/>
      <c r="C21" s="1121"/>
      <c r="D21" s="1121"/>
      <c r="E21" s="1121"/>
      <c r="F21" s="1121"/>
      <c r="G21" s="1087"/>
      <c r="H21" s="1745"/>
      <c r="I21" s="1746"/>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O22" s="315"/>
      <c r="P22" s="315"/>
      <c r="Q22" s="315"/>
      <c r="R22" s="315"/>
      <c r="S22" s="315"/>
      <c r="T22" s="315"/>
      <c r="U22" s="315"/>
    </row>
    <row r="23" spans="2:21" ht="21" customHeight="1" thickBot="1">
      <c r="B23" s="1096"/>
      <c r="C23" s="1128"/>
      <c r="D23" s="1128"/>
      <c r="E23" s="1128"/>
      <c r="F23" s="1128"/>
      <c r="G23" s="1065">
        <f>SUM(G17:G22)</f>
        <v>0</v>
      </c>
      <c r="H23" s="1741">
        <f>SUM(H17:I22)</f>
        <v>0</v>
      </c>
      <c r="I23" s="1742"/>
    </row>
    <row r="24" spans="2:21" ht="21" customHeight="1" thickTop="1">
      <c r="B24" s="1364" t="str">
        <f>TEXT('KEY INPUTS'!D34+1,"0")&amp;" Loan Maturities"</f>
        <v>2021 Loan Maturities</v>
      </c>
      <c r="C24" s="1373"/>
      <c r="D24" s="1373"/>
      <c r="E24" s="1373"/>
      <c r="F24" s="1373"/>
      <c r="G24" s="1373"/>
      <c r="H24" s="472"/>
      <c r="I24" s="508"/>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406"/>
      <c r="L25" s="406"/>
    </row>
    <row r="26" spans="2:21" ht="21" customHeight="1" thickTop="1"/>
    <row r="27" spans="2:21" ht="19.5" customHeight="1" thickBot="1">
      <c r="B27" s="1976" t="str">
        <f>"INTEREST  ON  LOANS  - "&amp;UPPER('KEY INPUTS'!D54)&amp;"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408" t="s">
        <v>397</v>
      </c>
      <c r="I28" s="1375">
        <f>+I25+I14</f>
        <v>0</v>
      </c>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row>
    <row r="30" spans="2:21" ht="21" customHeight="1">
      <c r="B30" s="681"/>
      <c r="C30" s="681" t="s">
        <v>337</v>
      </c>
      <c r="D30" s="1121"/>
      <c r="E30" s="1121"/>
      <c r="F30" s="1121"/>
      <c r="G30" s="1121"/>
      <c r="H30" s="327" t="s">
        <v>397</v>
      </c>
      <c r="I30" s="1377">
        <f>+I28-I29</f>
        <v>0</v>
      </c>
    </row>
    <row r="31" spans="2:21" ht="21" customHeight="1">
      <c r="B31" s="905" t="str">
        <f>"Add: Interest to be Accrued as of "&amp;TEXT('KEY INPUTS'!D30,"mm/dd/yyyy")&amp;""</f>
        <v>Add: Interest to be Accrued as of 12/31/2021</v>
      </c>
      <c r="C31" s="681"/>
      <c r="D31" s="1121"/>
      <c r="E31" s="1121"/>
      <c r="F31" s="1121"/>
      <c r="G31" s="1121"/>
      <c r="H31" s="327" t="s">
        <v>397</v>
      </c>
      <c r="I31" s="592"/>
    </row>
    <row r="32" spans="2:21" ht="21" customHeight="1">
      <c r="B32" s="905" t="str">
        <f>"Required Appropriation "&amp;TEXT('KEY INPUTS'!D34+1,"0")</f>
        <v>Required Appropriation 2021</v>
      </c>
      <c r="C32" s="681"/>
      <c r="D32" s="1121"/>
      <c r="E32" s="1121"/>
      <c r="F32" s="1121"/>
      <c r="G32" s="1121"/>
      <c r="H32" s="327"/>
      <c r="I32" s="407"/>
      <c r="J32" s="499" t="s">
        <v>397</v>
      </c>
      <c r="K32" s="1895">
        <f>+I30+I31</f>
        <v>0</v>
      </c>
      <c r="L32" s="1896"/>
    </row>
    <row r="33" spans="2:12" ht="13.5" customHeight="1">
      <c r="B33" s="503"/>
      <c r="C33" s="503"/>
      <c r="D33" s="503"/>
      <c r="E33" s="503"/>
      <c r="F33" s="503"/>
      <c r="G33" s="503"/>
      <c r="H33" s="503"/>
      <c r="I33" s="503"/>
      <c r="J33" s="503"/>
      <c r="K33" s="502"/>
      <c r="L33" s="800"/>
    </row>
    <row r="34" spans="2:12" ht="13.5" customHeight="1">
      <c r="B34" s="503"/>
      <c r="C34" s="503"/>
      <c r="D34" s="503"/>
      <c r="E34" s="503"/>
      <c r="F34" s="503"/>
      <c r="G34" s="503"/>
      <c r="H34" s="503"/>
      <c r="I34" s="503"/>
      <c r="J34" s="503"/>
      <c r="K34" s="502"/>
      <c r="L34" s="800"/>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3419</v>
      </c>
      <c r="C51" s="1850"/>
      <c r="D51" s="1850"/>
      <c r="E51" s="1850"/>
      <c r="F51" s="1850"/>
      <c r="G51" s="1850"/>
      <c r="H51" s="1850"/>
      <c r="I51" s="1850"/>
      <c r="J51" s="1850"/>
      <c r="K51" s="1850"/>
      <c r="L51" s="1850"/>
    </row>
  </sheetData>
  <sheetProtection algorithmName="SHA-512" hashValue="aqxacjKjZJZSFDV3LD9T2tQzdM74D2qGdaImlostBNmYxH9mCaS2yIxWU6j78mtnGCFcn8LzWJJo8owey87hBw==" saltValue="ggPRyrzspNf22vcVaqEbV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6">
    <tabColor theme="5" tint="0.59999389629810485"/>
  </sheetPr>
  <dimension ref="A2:V30"/>
  <sheetViews>
    <sheetView topLeftCell="A4" zoomScaleNormal="100" zoomScaleSheetLayoutView="80" workbookViewId="0">
      <selection activeCell="J20" sqref="J20"/>
    </sheetView>
  </sheetViews>
  <sheetFormatPr defaultColWidth="8.88671875" defaultRowHeight="13.2"/>
  <cols>
    <col min="1" max="1" width="5.6640625" style="324" customWidth="1"/>
    <col min="2" max="3" width="4.88671875" style="324" customWidth="1"/>
    <col min="4" max="4" width="30.44140625" style="324" customWidth="1"/>
    <col min="5" max="11" width="15.6640625" style="324" customWidth="1"/>
    <col min="12" max="12" width="1.6640625" style="324" customWidth="1"/>
    <col min="13" max="13" width="12.6640625" style="324" customWidth="1"/>
    <col min="14" max="16384" width="8.88671875" style="324"/>
  </cols>
  <sheetData>
    <row r="2" spans="1:22" ht="20.399999999999999">
      <c r="B2" s="1854" t="str">
        <f>"DEBT  SERVICE  FOR  "&amp;UPPER('KEY INPUTS'!D53)&amp;"  UTILITY  NOTES  (OTHER  THAN  UTILITY  ASSESSMENT  NOTES)"</f>
        <v>DEBT  SERVICE  FOR    UTILITY  NOTES  (OTHER  THAN  UTILITY  ASSESSMENT  NOTES)</v>
      </c>
      <c r="C2" s="1854"/>
      <c r="D2" s="1854"/>
      <c r="E2" s="1854"/>
      <c r="F2" s="1854"/>
      <c r="G2" s="1854"/>
      <c r="H2" s="1854"/>
      <c r="I2" s="1854"/>
      <c r="J2" s="1854"/>
      <c r="K2" s="1854"/>
      <c r="L2" s="1854"/>
      <c r="M2" s="1854"/>
    </row>
    <row r="3" spans="1:22" ht="21" thickBot="1">
      <c r="B3" s="1854"/>
      <c r="C3" s="1854"/>
      <c r="D3" s="1854"/>
      <c r="E3" s="1854"/>
      <c r="F3" s="1854"/>
      <c r="G3" s="1854"/>
      <c r="H3" s="1854"/>
      <c r="I3" s="1854"/>
      <c r="J3" s="1854"/>
      <c r="K3" s="1854"/>
      <c r="L3" s="1854"/>
      <c r="M3" s="1854"/>
    </row>
    <row r="4" spans="1:22" ht="13.5" customHeight="1" thickTop="1">
      <c r="B4" s="418"/>
      <c r="C4" s="418"/>
      <c r="D4" s="418"/>
      <c r="E4" s="419"/>
      <c r="F4" s="419"/>
      <c r="G4" s="419"/>
      <c r="H4" s="419"/>
      <c r="I4" s="419"/>
      <c r="J4" s="418"/>
      <c r="K4" s="1473"/>
      <c r="L4" s="418"/>
      <c r="M4" s="1474"/>
    </row>
    <row r="5" spans="1:22" ht="13.5" customHeight="1">
      <c r="E5" s="415" t="s">
        <v>144</v>
      </c>
      <c r="F5" s="414" t="s">
        <v>144</v>
      </c>
      <c r="G5" s="414" t="s">
        <v>441</v>
      </c>
      <c r="H5" s="414" t="s">
        <v>18</v>
      </c>
      <c r="I5" s="414" t="s">
        <v>572</v>
      </c>
      <c r="J5" s="1898">
        <f>'KEY INPUTS'!D33</f>
        <v>2021</v>
      </c>
      <c r="K5" s="1899"/>
      <c r="L5" s="1475"/>
      <c r="M5" s="1476" t="s">
        <v>573</v>
      </c>
    </row>
    <row r="6" spans="1:22" ht="13.5" customHeight="1">
      <c r="C6" s="1902" t="s">
        <v>143</v>
      </c>
      <c r="D6" s="1903"/>
      <c r="E6" s="415" t="s">
        <v>441</v>
      </c>
      <c r="F6" s="414" t="s">
        <v>145</v>
      </c>
      <c r="G6" s="414" t="s">
        <v>569</v>
      </c>
      <c r="H6" s="414" t="s">
        <v>570</v>
      </c>
      <c r="I6" s="414" t="s">
        <v>570</v>
      </c>
      <c r="J6" s="1900"/>
      <c r="K6" s="1901"/>
      <c r="L6" s="1477"/>
      <c r="M6" s="1476" t="s">
        <v>576</v>
      </c>
    </row>
    <row r="7" spans="1:22" ht="13.5" customHeight="1">
      <c r="E7" s="415" t="s">
        <v>97</v>
      </c>
      <c r="F7" s="415" t="s">
        <v>146</v>
      </c>
      <c r="G7" s="415" t="s">
        <v>206</v>
      </c>
      <c r="H7" s="415" t="s">
        <v>571</v>
      </c>
      <c r="I7" s="415" t="s">
        <v>573</v>
      </c>
      <c r="J7" s="415" t="s">
        <v>118</v>
      </c>
      <c r="K7" s="415" t="s">
        <v>574</v>
      </c>
      <c r="L7" s="414"/>
      <c r="M7" s="1476" t="s">
        <v>577</v>
      </c>
    </row>
    <row r="8" spans="1:22" ht="13.5" customHeight="1" thickBot="1">
      <c r="B8" s="413"/>
      <c r="C8" s="413"/>
      <c r="D8" s="413"/>
      <c r="E8" s="411"/>
      <c r="F8" s="411"/>
      <c r="G8" s="787" t="str">
        <f>'KEY INPUTS'!D46</f>
        <v>Dec. 31, 2020</v>
      </c>
      <c r="H8" s="411"/>
      <c r="I8" s="411"/>
      <c r="J8" s="412"/>
      <c r="K8" s="539"/>
      <c r="L8" s="1478"/>
      <c r="M8" s="1479"/>
      <c r="P8" s="315"/>
      <c r="Q8" s="315"/>
      <c r="R8" s="315"/>
      <c r="S8" s="315"/>
      <c r="T8" s="315"/>
      <c r="U8" s="315"/>
      <c r="V8" s="315"/>
    </row>
    <row r="9" spans="1:22" ht="21" customHeight="1" thickTop="1">
      <c r="B9" s="1480" t="s">
        <v>308</v>
      </c>
      <c r="C9" s="664"/>
      <c r="D9" s="667"/>
      <c r="E9" s="597"/>
      <c r="F9" s="1481"/>
      <c r="G9" s="597"/>
      <c r="H9" s="1482"/>
      <c r="I9" s="789"/>
      <c r="J9" s="597"/>
      <c r="K9" s="597">
        <f>+I9*G9</f>
        <v>0</v>
      </c>
      <c r="L9" s="1483"/>
      <c r="M9" s="1484"/>
      <c r="P9" s="315"/>
      <c r="Q9" s="315"/>
      <c r="R9" s="315"/>
      <c r="S9" s="315"/>
      <c r="T9" s="315"/>
      <c r="U9" s="315"/>
      <c r="V9" s="315"/>
    </row>
    <row r="10" spans="1:22" ht="21" customHeight="1">
      <c r="B10" s="1485" t="s">
        <v>309</v>
      </c>
      <c r="C10" s="1486"/>
      <c r="D10" s="643"/>
      <c r="E10" s="593"/>
      <c r="F10" s="1487"/>
      <c r="G10" s="593"/>
      <c r="H10" s="1488"/>
      <c r="I10" s="615"/>
      <c r="J10" s="1489"/>
      <c r="K10" s="593">
        <f>+I10*G10</f>
        <v>0</v>
      </c>
      <c r="L10" s="623"/>
      <c r="M10" s="1490"/>
      <c r="N10" s="324" t="s">
        <v>3190</v>
      </c>
      <c r="O10" s="324" t="s">
        <v>3190</v>
      </c>
      <c r="P10" s="370"/>
      <c r="Q10" s="315"/>
      <c r="R10" s="315"/>
      <c r="S10" s="315"/>
      <c r="T10" s="315"/>
      <c r="U10" s="315"/>
      <c r="V10" s="315"/>
    </row>
    <row r="11" spans="1:22" ht="21" customHeight="1">
      <c r="B11" s="1485" t="s">
        <v>310</v>
      </c>
      <c r="C11" s="639"/>
      <c r="D11" s="643"/>
      <c r="E11" s="593"/>
      <c r="F11" s="676"/>
      <c r="G11" s="593"/>
      <c r="H11" s="593"/>
      <c r="I11" s="615"/>
      <c r="J11" s="593"/>
      <c r="K11" s="593"/>
      <c r="L11" s="623"/>
      <c r="M11" s="675"/>
      <c r="P11" s="315"/>
      <c r="Q11" s="315"/>
      <c r="R11" s="315"/>
      <c r="S11" s="315"/>
      <c r="T11" s="315"/>
      <c r="U11" s="315"/>
      <c r="V11" s="315"/>
    </row>
    <row r="12" spans="1:22" ht="21" customHeight="1">
      <c r="B12" s="1485" t="s">
        <v>311</v>
      </c>
      <c r="C12" s="639"/>
      <c r="D12" s="643"/>
      <c r="E12" s="593"/>
      <c r="F12" s="676"/>
      <c r="G12" s="593"/>
      <c r="H12" s="593"/>
      <c r="I12" s="615"/>
      <c r="J12" s="593"/>
      <c r="K12" s="593"/>
      <c r="L12" s="623"/>
      <c r="M12" s="675"/>
      <c r="P12" s="315"/>
      <c r="Q12" s="315"/>
      <c r="R12" s="315"/>
      <c r="S12" s="315"/>
      <c r="T12" s="315"/>
      <c r="U12" s="315"/>
      <c r="V12" s="315"/>
    </row>
    <row r="13" spans="1:22" ht="21" customHeight="1">
      <c r="B13" s="1485" t="s">
        <v>312</v>
      </c>
      <c r="C13" s="639"/>
      <c r="D13" s="643"/>
      <c r="E13" s="593"/>
      <c r="F13" s="676"/>
      <c r="G13" s="593"/>
      <c r="H13" s="593"/>
      <c r="I13" s="615"/>
      <c r="J13" s="593"/>
      <c r="K13" s="593"/>
      <c r="L13" s="623"/>
      <c r="M13" s="675"/>
      <c r="P13" s="315"/>
      <c r="Q13" s="315"/>
      <c r="R13" s="315"/>
      <c r="S13" s="315"/>
      <c r="T13" s="315"/>
      <c r="U13" s="315"/>
      <c r="V13" s="315"/>
    </row>
    <row r="14" spans="1:22" ht="21" customHeight="1">
      <c r="B14" s="1485" t="s">
        <v>313</v>
      </c>
      <c r="C14" s="639"/>
      <c r="D14" s="643"/>
      <c r="E14" s="596"/>
      <c r="F14" s="677"/>
      <c r="G14" s="596"/>
      <c r="H14" s="596"/>
      <c r="I14" s="618"/>
      <c r="J14" s="593"/>
      <c r="K14" s="593"/>
      <c r="L14" s="623"/>
      <c r="M14" s="675"/>
      <c r="P14" s="315"/>
      <c r="Q14" s="315"/>
      <c r="R14" s="315"/>
      <c r="S14" s="315"/>
      <c r="T14" s="315"/>
      <c r="U14" s="315"/>
      <c r="V14" s="315"/>
    </row>
    <row r="15" spans="1:22" ht="21" customHeight="1">
      <c r="A15" s="1830" t="s">
        <v>3226</v>
      </c>
      <c r="B15" s="1485" t="s">
        <v>314</v>
      </c>
      <c r="C15" s="678"/>
      <c r="D15" s="679"/>
      <c r="E15" s="593"/>
      <c r="F15" s="676"/>
      <c r="G15" s="593"/>
      <c r="H15" s="593"/>
      <c r="I15" s="615"/>
      <c r="J15" s="593"/>
      <c r="K15" s="593"/>
      <c r="L15" s="623"/>
      <c r="M15" s="675"/>
      <c r="P15" s="315"/>
      <c r="Q15" s="315"/>
      <c r="R15" s="315"/>
      <c r="S15" s="315"/>
      <c r="T15" s="315"/>
      <c r="U15" s="315"/>
      <c r="V15" s="315"/>
    </row>
    <row r="16" spans="1:22" ht="21" customHeight="1">
      <c r="A16" s="1830"/>
      <c r="B16" s="1485" t="s">
        <v>409</v>
      </c>
      <c r="C16" s="639"/>
      <c r="D16" s="643"/>
      <c r="E16" s="593"/>
      <c r="F16" s="676"/>
      <c r="G16" s="593"/>
      <c r="H16" s="593"/>
      <c r="I16" s="615"/>
      <c r="J16" s="593"/>
      <c r="K16" s="593"/>
      <c r="L16" s="623"/>
      <c r="M16" s="675"/>
      <c r="P16" s="315"/>
      <c r="Q16" s="315"/>
      <c r="R16" s="315"/>
      <c r="S16" s="315"/>
      <c r="T16" s="315"/>
      <c r="U16" s="315"/>
      <c r="V16" s="315"/>
    </row>
    <row r="17" spans="1:22" ht="21" customHeight="1">
      <c r="A17" s="1830"/>
      <c r="B17" s="1485" t="s">
        <v>410</v>
      </c>
      <c r="C17" s="639"/>
      <c r="D17" s="643"/>
      <c r="E17" s="593"/>
      <c r="F17" s="676"/>
      <c r="G17" s="593"/>
      <c r="H17" s="593"/>
      <c r="I17" s="615"/>
      <c r="J17" s="593"/>
      <c r="K17" s="593"/>
      <c r="L17" s="623"/>
      <c r="M17" s="675"/>
      <c r="P17" s="315"/>
      <c r="Q17" s="315"/>
      <c r="R17" s="315"/>
      <c r="S17" s="315"/>
      <c r="T17" s="315"/>
      <c r="U17" s="315"/>
      <c r="V17" s="315"/>
    </row>
    <row r="18" spans="1:22" ht="21" customHeight="1">
      <c r="A18" s="538"/>
      <c r="B18" s="1491" t="s">
        <v>834</v>
      </c>
      <c r="C18" s="327"/>
      <c r="D18" s="407"/>
      <c r="E18" s="118">
        <f>SUM(E9:E17)</f>
        <v>0</v>
      </c>
      <c r="F18" s="1492"/>
      <c r="G18" s="118">
        <f>SUM(G9:G17)</f>
        <v>0</v>
      </c>
      <c r="H18" s="118"/>
      <c r="I18" s="1493"/>
      <c r="J18" s="118">
        <f>SUM(J9:J17)</f>
        <v>0</v>
      </c>
      <c r="K18" s="118">
        <f>SUM(K9:K17)</f>
        <v>0</v>
      </c>
      <c r="L18" s="1494"/>
      <c r="M18" s="1495"/>
      <c r="P18" s="315"/>
      <c r="Q18" s="315"/>
      <c r="R18" s="315"/>
      <c r="S18" s="315"/>
      <c r="T18" s="315"/>
      <c r="U18" s="315"/>
      <c r="V18" s="315"/>
    </row>
    <row r="19" spans="1:22" ht="21" customHeight="1">
      <c r="A19" s="538"/>
      <c r="B19" s="474"/>
      <c r="E19" s="189"/>
      <c r="G19" s="189"/>
      <c r="H19" s="189"/>
      <c r="I19" s="1496"/>
      <c r="J19" s="189"/>
      <c r="K19" s="189"/>
      <c r="L19" s="189"/>
      <c r="P19" s="315"/>
      <c r="Q19" s="315"/>
      <c r="R19" s="315"/>
      <c r="S19" s="315"/>
      <c r="T19" s="315"/>
      <c r="U19" s="315"/>
      <c r="V19" s="315"/>
    </row>
    <row r="20" spans="1:22" ht="21" customHeight="1">
      <c r="A20" s="538"/>
      <c r="B20" s="474"/>
      <c r="E20" s="189"/>
      <c r="G20" s="189"/>
      <c r="H20" s="189"/>
      <c r="I20" s="1496"/>
      <c r="J20" s="189"/>
      <c r="K20" s="189"/>
      <c r="L20" s="189"/>
      <c r="P20" s="315"/>
      <c r="Q20" s="315"/>
      <c r="R20" s="315"/>
      <c r="S20" s="315"/>
      <c r="T20" s="315"/>
      <c r="U20" s="315"/>
      <c r="V20" s="315"/>
    </row>
    <row r="21" spans="1:22" ht="13.5" customHeight="1">
      <c r="B21" s="1497"/>
      <c r="C21" s="404"/>
      <c r="D21" s="795"/>
      <c r="J21" s="791"/>
      <c r="P21" s="315"/>
      <c r="Q21" s="315"/>
      <c r="R21" s="315"/>
      <c r="S21" s="315"/>
      <c r="T21" s="315"/>
      <c r="U21" s="315"/>
      <c r="V21" s="315"/>
    </row>
    <row r="22" spans="1:22">
      <c r="B22" s="1498" t="s">
        <v>44</v>
      </c>
      <c r="C22" s="791"/>
      <c r="D22" s="1499"/>
      <c r="E22" s="791"/>
      <c r="I22" s="1857"/>
      <c r="J22" s="1857"/>
      <c r="K22" s="1857"/>
      <c r="L22" s="1857"/>
      <c r="M22" s="1857"/>
      <c r="P22" s="315"/>
      <c r="Q22" s="315"/>
      <c r="R22" s="315"/>
      <c r="S22" s="315"/>
      <c r="T22" s="315"/>
      <c r="U22" s="315"/>
      <c r="V22" s="315"/>
    </row>
    <row r="23" spans="1:22" ht="15.6" customHeight="1">
      <c r="B23" s="1500" t="s">
        <v>45</v>
      </c>
      <c r="C23" s="1500"/>
      <c r="D23" s="1498" t="s">
        <v>46</v>
      </c>
      <c r="E23" s="791"/>
      <c r="M23" s="280"/>
      <c r="P23" s="315"/>
      <c r="Q23" s="315"/>
      <c r="R23" s="315"/>
      <c r="S23" s="315"/>
      <c r="T23" s="315"/>
      <c r="U23" s="315"/>
      <c r="V23" s="315"/>
    </row>
    <row r="24" spans="1:22" ht="15.6" customHeight="1">
      <c r="B24" s="1498"/>
      <c r="C24" s="1498"/>
      <c r="D24" s="1500" t="s">
        <v>47</v>
      </c>
      <c r="E24" s="791"/>
      <c r="M24" s="1501"/>
      <c r="P24" s="315"/>
      <c r="Q24" s="315"/>
      <c r="R24" s="315"/>
      <c r="S24" s="315"/>
      <c r="T24" s="315"/>
      <c r="U24" s="315"/>
      <c r="V24" s="315"/>
    </row>
    <row r="25" spans="1:22" ht="15.6" customHeight="1">
      <c r="B25" s="1498"/>
      <c r="C25" s="1498"/>
      <c r="D25" s="1498" t="s">
        <v>48</v>
      </c>
      <c r="E25" s="791"/>
      <c r="M25" s="280"/>
    </row>
    <row r="26" spans="1:22" ht="15.6" customHeight="1">
      <c r="B26" s="1498"/>
      <c r="C26" s="1498"/>
      <c r="D26" s="1498" t="str">
        <f>"All notes with an original date of issue of "&amp;'KEY INPUTS'!D33-3&amp;" or prior require one legally payable installment to be budgeted if it"</f>
        <v>All notes with an original date of issue of 2018 or prior require one legally payable installment to be budgeted if it</v>
      </c>
      <c r="E26" s="791"/>
      <c r="M26" s="1501"/>
    </row>
    <row r="27" spans="1:22" ht="15.6" customHeight="1">
      <c r="B27" s="1498"/>
      <c r="C27" s="1498"/>
      <c r="D27" s="1498" t="str">
        <f>"is contemplated that such notes will be renewed in "&amp;TEXT('KEY INPUTS'!D34+1,"0")&amp;" or written intent of permanent financing submitted."</f>
        <v>is contemplated that such notes will be renewed in 2021 or written intent of permanent financing submitted.</v>
      </c>
      <c r="E27" s="791"/>
      <c r="M27" s="280"/>
    </row>
    <row r="28" spans="1:22">
      <c r="B28" s="1498"/>
      <c r="C28" s="1498"/>
      <c r="D28" s="1498" t="s">
        <v>49</v>
      </c>
      <c r="E28" s="791"/>
    </row>
    <row r="29" spans="1:22">
      <c r="B29" s="791"/>
      <c r="C29" s="791"/>
      <c r="D29" s="1500" t="s">
        <v>50</v>
      </c>
      <c r="E29" s="791"/>
    </row>
    <row r="30" spans="1:22">
      <c r="J30" s="791" t="s">
        <v>103</v>
      </c>
    </row>
  </sheetData>
  <sheetProtection algorithmName="SHA-512" hashValue="DTa7VQoC86Sxi1UuNOvxSFancqNoBgdm/z4LgGFPaF3WD3ieWJYVKXXCjTC00McdpO8dJQ2+cxA+TkKxnrB2jw==" saltValue="M2wjT7y7UgpZ1Q57fn9tq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4">
    <tabColor theme="5" tint="0.59999389629810485"/>
  </sheetPr>
  <dimension ref="A2:V31"/>
  <sheetViews>
    <sheetView zoomScaleNormal="100" zoomScaleSheetLayoutView="80" workbookViewId="0">
      <selection activeCell="I26" sqref="I26"/>
    </sheetView>
  </sheetViews>
  <sheetFormatPr defaultColWidth="8.88671875" defaultRowHeight="13.2"/>
  <cols>
    <col min="1" max="1" width="5.6640625" style="391" customWidth="1"/>
    <col min="2" max="3" width="4.88671875" style="391" customWidth="1"/>
    <col min="4" max="4" width="30.44140625" style="391" customWidth="1"/>
    <col min="5" max="11" width="15.6640625" style="391" customWidth="1"/>
    <col min="12" max="12" width="1.6640625" style="391" customWidth="1"/>
    <col min="13" max="13" width="12.6640625" style="391" customWidth="1"/>
    <col min="14" max="16384" width="8.88671875" style="391"/>
  </cols>
  <sheetData>
    <row r="2" spans="1:22" ht="20.399999999999999">
      <c r="B2" s="1826" t="str">
        <f>"DEBT  SERVICE  FOR  "&amp;UPPER('KEY INPUTS'!D54)&amp;"  UTILITY  NOTES  (OTHER  THAN  UTILITY  ASSESSMENT  NOTES)"</f>
        <v>DEBT  SERVICE  FOR    UTILITY  NOTES  (OTHER  THAN  UTILITY  ASSESSMENT  NOTES)</v>
      </c>
      <c r="C2" s="1826"/>
      <c r="D2" s="1826"/>
      <c r="E2" s="1826"/>
      <c r="F2" s="1826"/>
      <c r="G2" s="1826"/>
      <c r="H2" s="1826"/>
      <c r="I2" s="1826"/>
      <c r="J2" s="1826"/>
      <c r="K2" s="1826"/>
      <c r="L2" s="1826"/>
      <c r="M2" s="1826"/>
    </row>
    <row r="3" spans="1:22" ht="21" thickBot="1">
      <c r="B3" s="1826"/>
      <c r="C3" s="1826"/>
      <c r="D3" s="1826"/>
      <c r="E3" s="1826"/>
      <c r="F3" s="1826"/>
      <c r="G3" s="1826"/>
      <c r="H3" s="1826"/>
      <c r="I3" s="1826"/>
      <c r="J3" s="1826"/>
      <c r="K3" s="1826"/>
      <c r="L3" s="1826"/>
      <c r="M3" s="1826"/>
    </row>
    <row r="4" spans="1:22" ht="13.5" customHeight="1" thickTop="1">
      <c r="B4" s="1219"/>
      <c r="C4" s="1219"/>
      <c r="D4" s="1219"/>
      <c r="E4" s="1220"/>
      <c r="F4" s="1220"/>
      <c r="G4" s="1220"/>
      <c r="H4" s="1220"/>
      <c r="I4" s="1220"/>
      <c r="J4" s="1219"/>
      <c r="K4" s="1221"/>
      <c r="L4" s="1219"/>
      <c r="M4" s="1222"/>
    </row>
    <row r="5" spans="1:22" ht="13.5" customHeight="1">
      <c r="B5" s="1096"/>
      <c r="C5" s="1096"/>
      <c r="D5" s="1096"/>
      <c r="E5" s="1223" t="s">
        <v>144</v>
      </c>
      <c r="F5" s="1224" t="s">
        <v>144</v>
      </c>
      <c r="G5" s="1224" t="s">
        <v>441</v>
      </c>
      <c r="H5" s="1224" t="s">
        <v>18</v>
      </c>
      <c r="I5" s="1224" t="s">
        <v>572</v>
      </c>
      <c r="J5" s="1910">
        <f>'KEY INPUTS'!D33</f>
        <v>2021</v>
      </c>
      <c r="K5" s="1911"/>
      <c r="L5" s="1225"/>
      <c r="M5" s="1226" t="s">
        <v>573</v>
      </c>
    </row>
    <row r="6" spans="1:22" ht="13.5" customHeight="1">
      <c r="B6" s="1096"/>
      <c r="C6" s="1908" t="s">
        <v>143</v>
      </c>
      <c r="D6" s="1909"/>
      <c r="E6" s="1223" t="s">
        <v>441</v>
      </c>
      <c r="F6" s="1224" t="s">
        <v>145</v>
      </c>
      <c r="G6" s="1224" t="s">
        <v>569</v>
      </c>
      <c r="H6" s="1224" t="s">
        <v>570</v>
      </c>
      <c r="I6" s="1224" t="s">
        <v>570</v>
      </c>
      <c r="J6" s="1912"/>
      <c r="K6" s="1913"/>
      <c r="L6" s="1227"/>
      <c r="M6" s="1226" t="s">
        <v>576</v>
      </c>
    </row>
    <row r="7" spans="1:22" ht="13.5" customHeight="1">
      <c r="B7" s="1096"/>
      <c r="C7" s="1096"/>
      <c r="D7" s="1096"/>
      <c r="E7" s="1223" t="s">
        <v>97</v>
      </c>
      <c r="F7" s="1223" t="s">
        <v>146</v>
      </c>
      <c r="G7" s="1223" t="s">
        <v>206</v>
      </c>
      <c r="H7" s="1223" t="s">
        <v>571</v>
      </c>
      <c r="I7" s="1223" t="s">
        <v>573</v>
      </c>
      <c r="J7" s="1223" t="s">
        <v>118</v>
      </c>
      <c r="K7" s="1223" t="s">
        <v>574</v>
      </c>
      <c r="L7" s="1224"/>
      <c r="M7" s="1226" t="s">
        <v>577</v>
      </c>
    </row>
    <row r="8" spans="1:22" ht="13.5" customHeight="1" thickBot="1">
      <c r="B8" s="1151"/>
      <c r="C8" s="1151"/>
      <c r="D8" s="1151"/>
      <c r="E8" s="1228"/>
      <c r="F8" s="1228"/>
      <c r="G8" s="1229" t="str">
        <f>'KEY INPUTS'!D46</f>
        <v>Dec. 31, 2020</v>
      </c>
      <c r="H8" s="1228"/>
      <c r="I8" s="1228"/>
      <c r="J8" s="1230"/>
      <c r="K8" s="1231"/>
      <c r="L8" s="1232"/>
      <c r="M8" s="1233"/>
      <c r="P8" s="315"/>
      <c r="Q8" s="315"/>
      <c r="R8" s="315"/>
      <c r="S8" s="315"/>
      <c r="T8" s="315"/>
      <c r="U8" s="315"/>
      <c r="V8" s="315"/>
    </row>
    <row r="9" spans="1:22" ht="21" customHeight="1" thickTop="1">
      <c r="B9" s="530" t="s">
        <v>308</v>
      </c>
      <c r="C9" s="666"/>
      <c r="D9" s="667"/>
      <c r="E9" s="610"/>
      <c r="F9" s="668"/>
      <c r="G9" s="610"/>
      <c r="H9" s="669"/>
      <c r="I9" s="612"/>
      <c r="J9" s="610"/>
      <c r="K9" s="610"/>
      <c r="L9" s="621"/>
      <c r="M9" s="670"/>
      <c r="P9" s="315"/>
      <c r="Q9" s="315"/>
      <c r="R9" s="315"/>
      <c r="S9" s="315"/>
      <c r="T9" s="315"/>
      <c r="U9" s="315"/>
      <c r="V9" s="315"/>
    </row>
    <row r="10" spans="1:22" ht="21" customHeight="1">
      <c r="B10" s="529" t="s">
        <v>309</v>
      </c>
      <c r="C10" s="671"/>
      <c r="D10" s="643"/>
      <c r="E10" s="593"/>
      <c r="F10" s="672"/>
      <c r="G10" s="593"/>
      <c r="H10" s="593"/>
      <c r="I10" s="673"/>
      <c r="J10" s="674"/>
      <c r="K10" s="593"/>
      <c r="L10" s="623"/>
      <c r="M10" s="675"/>
      <c r="N10" s="391" t="s">
        <v>3190</v>
      </c>
      <c r="O10" s="391" t="s">
        <v>3190</v>
      </c>
      <c r="P10" s="370"/>
      <c r="Q10" s="315"/>
      <c r="R10" s="315"/>
      <c r="S10" s="315"/>
      <c r="T10" s="315"/>
      <c r="U10" s="315"/>
      <c r="V10" s="315"/>
    </row>
    <row r="11" spans="1:22" ht="21" customHeight="1">
      <c r="B11" s="529" t="s">
        <v>310</v>
      </c>
      <c r="C11" s="639"/>
      <c r="D11" s="643"/>
      <c r="E11" s="593"/>
      <c r="F11" s="676"/>
      <c r="G11" s="593"/>
      <c r="H11" s="593"/>
      <c r="I11" s="615"/>
      <c r="J11" s="593"/>
      <c r="K11" s="593"/>
      <c r="L11" s="623"/>
      <c r="M11" s="675"/>
      <c r="P11" s="315"/>
      <c r="Q11" s="315"/>
      <c r="R11" s="315"/>
      <c r="S11" s="315"/>
      <c r="T11" s="315"/>
      <c r="U11" s="315"/>
      <c r="V11" s="315"/>
    </row>
    <row r="12" spans="1:22" ht="21" customHeight="1">
      <c r="B12" s="529" t="s">
        <v>311</v>
      </c>
      <c r="C12" s="639"/>
      <c r="D12" s="643"/>
      <c r="E12" s="593"/>
      <c r="F12" s="676"/>
      <c r="G12" s="593"/>
      <c r="H12" s="593"/>
      <c r="I12" s="615"/>
      <c r="J12" s="593"/>
      <c r="K12" s="593"/>
      <c r="L12" s="623"/>
      <c r="M12" s="675"/>
      <c r="P12" s="315"/>
      <c r="Q12" s="315"/>
      <c r="R12" s="315"/>
      <c r="S12" s="315"/>
      <c r="T12" s="315"/>
      <c r="U12" s="315"/>
      <c r="V12" s="315"/>
    </row>
    <row r="13" spans="1:22" ht="21" customHeight="1">
      <c r="B13" s="529" t="s">
        <v>312</v>
      </c>
      <c r="C13" s="639"/>
      <c r="D13" s="643"/>
      <c r="E13" s="593"/>
      <c r="F13" s="676"/>
      <c r="G13" s="593"/>
      <c r="H13" s="593"/>
      <c r="I13" s="615"/>
      <c r="J13" s="593"/>
      <c r="K13" s="593"/>
      <c r="L13" s="623"/>
      <c r="M13" s="675"/>
      <c r="P13" s="315"/>
      <c r="Q13" s="315"/>
      <c r="R13" s="315"/>
      <c r="S13" s="315"/>
      <c r="T13" s="315"/>
      <c r="U13" s="315"/>
      <c r="V13" s="315"/>
    </row>
    <row r="14" spans="1:22" ht="21" customHeight="1">
      <c r="B14" s="529" t="s">
        <v>313</v>
      </c>
      <c r="C14" s="639"/>
      <c r="D14" s="643"/>
      <c r="E14" s="596"/>
      <c r="F14" s="677"/>
      <c r="G14" s="596"/>
      <c r="H14" s="596"/>
      <c r="I14" s="618"/>
      <c r="J14" s="593"/>
      <c r="K14" s="593"/>
      <c r="L14" s="623"/>
      <c r="M14" s="675"/>
      <c r="P14" s="315"/>
      <c r="Q14" s="315"/>
      <c r="R14" s="315"/>
      <c r="S14" s="315"/>
      <c r="T14" s="315"/>
      <c r="U14" s="315"/>
      <c r="V14" s="315"/>
    </row>
    <row r="15" spans="1:22" ht="21" customHeight="1">
      <c r="A15" s="1907" t="s">
        <v>3226</v>
      </c>
      <c r="B15" s="529" t="s">
        <v>314</v>
      </c>
      <c r="C15" s="678"/>
      <c r="D15" s="679"/>
      <c r="E15" s="593"/>
      <c r="F15" s="676"/>
      <c r="G15" s="593"/>
      <c r="H15" s="593"/>
      <c r="I15" s="615"/>
      <c r="J15" s="593"/>
      <c r="K15" s="593"/>
      <c r="L15" s="623"/>
      <c r="M15" s="675"/>
      <c r="P15" s="315"/>
      <c r="Q15" s="315"/>
      <c r="R15" s="315"/>
      <c r="S15" s="315"/>
      <c r="T15" s="315"/>
      <c r="U15" s="315"/>
      <c r="V15" s="315"/>
    </row>
    <row r="16" spans="1:22" ht="21" customHeight="1">
      <c r="A16" s="1907"/>
      <c r="B16" s="529" t="s">
        <v>409</v>
      </c>
      <c r="C16" s="639"/>
      <c r="D16" s="643"/>
      <c r="E16" s="593"/>
      <c r="F16" s="676"/>
      <c r="G16" s="593"/>
      <c r="H16" s="593"/>
      <c r="I16" s="615"/>
      <c r="J16" s="593"/>
      <c r="K16" s="593"/>
      <c r="L16" s="623"/>
      <c r="M16" s="675"/>
      <c r="P16" s="315"/>
      <c r="Q16" s="315"/>
      <c r="R16" s="315"/>
      <c r="S16" s="315"/>
      <c r="T16" s="315"/>
      <c r="U16" s="315"/>
      <c r="V16" s="315"/>
    </row>
    <row r="17" spans="1:22" ht="21" customHeight="1">
      <c r="A17" s="1907"/>
      <c r="B17" s="529" t="s">
        <v>410</v>
      </c>
      <c r="C17" s="639"/>
      <c r="D17" s="643"/>
      <c r="E17" s="593"/>
      <c r="F17" s="676"/>
      <c r="G17" s="593"/>
      <c r="H17" s="593"/>
      <c r="I17" s="615"/>
      <c r="J17" s="593"/>
      <c r="K17" s="593"/>
      <c r="L17" s="623"/>
      <c r="M17" s="675"/>
      <c r="P17" s="315"/>
      <c r="Q17" s="315"/>
      <c r="R17" s="315"/>
      <c r="S17" s="315"/>
      <c r="T17" s="315"/>
      <c r="U17" s="315"/>
      <c r="V17" s="315"/>
    </row>
    <row r="18" spans="1:22" ht="21" customHeight="1">
      <c r="A18" s="528"/>
      <c r="B18" s="687" t="s">
        <v>834</v>
      </c>
      <c r="C18" s="681"/>
      <c r="D18" s="682"/>
      <c r="E18" s="680">
        <f>SUM(E9:E17)+'50-Utility3'!E18</f>
        <v>0</v>
      </c>
      <c r="F18" s="683"/>
      <c r="G18" s="680">
        <f>SUM(G9:G17)+'50-Utility3'!G18</f>
        <v>0</v>
      </c>
      <c r="H18" s="680"/>
      <c r="I18" s="684"/>
      <c r="J18" s="680">
        <f>SUM(J9:J17)+'50-Utility3'!J18</f>
        <v>0</v>
      </c>
      <c r="K18" s="680">
        <f>SUM(K9:K17)+'50-Utility3'!K18</f>
        <v>0</v>
      </c>
      <c r="L18" s="685"/>
      <c r="M18" s="686"/>
      <c r="P18" s="315"/>
      <c r="Q18" s="315"/>
      <c r="R18" s="315"/>
      <c r="S18" s="315"/>
      <c r="T18" s="315"/>
      <c r="U18" s="315"/>
      <c r="V18" s="315"/>
    </row>
    <row r="19" spans="1:22" ht="21" customHeight="1">
      <c r="A19" s="528"/>
      <c r="B19" s="1334"/>
      <c r="C19" s="1174"/>
      <c r="D19" s="1174"/>
      <c r="E19" s="1335"/>
      <c r="F19" s="1174"/>
      <c r="G19" s="1335"/>
      <c r="H19" s="1335"/>
      <c r="I19" s="1336"/>
      <c r="J19" s="1335"/>
      <c r="K19" s="1335"/>
      <c r="L19" s="1335"/>
      <c r="M19" s="1174"/>
      <c r="P19" s="315"/>
      <c r="Q19" s="315"/>
      <c r="R19" s="315"/>
      <c r="S19" s="315"/>
      <c r="T19" s="315"/>
      <c r="U19" s="315"/>
      <c r="V19" s="315"/>
    </row>
    <row r="20" spans="1:22" ht="21" customHeight="1">
      <c r="A20" s="528"/>
      <c r="B20" s="1334"/>
      <c r="C20" s="1174"/>
      <c r="D20" s="1174"/>
      <c r="E20" s="1335"/>
      <c r="F20" s="1174"/>
      <c r="G20" s="1335"/>
      <c r="H20" s="1335"/>
      <c r="I20" s="1336"/>
      <c r="J20" s="1335"/>
      <c r="K20" s="1335"/>
      <c r="L20" s="1335"/>
      <c r="M20" s="1174"/>
      <c r="P20" s="315"/>
      <c r="Q20" s="315"/>
      <c r="R20" s="315"/>
      <c r="S20" s="315"/>
      <c r="T20" s="315"/>
      <c r="U20" s="315"/>
      <c r="V20" s="315"/>
    </row>
    <row r="21" spans="1:22" ht="13.5" customHeight="1" thickBot="1">
      <c r="B21" s="1337"/>
      <c r="C21" s="1338"/>
      <c r="D21" s="1339"/>
      <c r="E21" s="1174"/>
      <c r="F21" s="1174"/>
      <c r="G21" s="1174"/>
      <c r="H21" s="1174"/>
      <c r="I21" s="1174"/>
      <c r="J21" s="1340"/>
      <c r="K21" s="1174"/>
      <c r="L21" s="1174"/>
      <c r="M21" s="1174"/>
      <c r="P21" s="315"/>
      <c r="Q21" s="315"/>
      <c r="R21" s="315"/>
      <c r="S21" s="315"/>
      <c r="T21" s="315"/>
      <c r="U21" s="315"/>
      <c r="V21" s="315"/>
    </row>
    <row r="22" spans="1:22" ht="14.4" thickTop="1" thickBot="1">
      <c r="B22" s="1202" t="s">
        <v>44</v>
      </c>
      <c r="C22" s="1101"/>
      <c r="D22" s="1341"/>
      <c r="E22" s="1101"/>
      <c r="F22" s="1096"/>
      <c r="G22" s="1096"/>
      <c r="H22" s="1096"/>
      <c r="I22" s="1904" t="str">
        <f>"INTEREST  ON  NOTES  -  "&amp;UPPER('KEY INPUTS'!D54)&amp;" UTILITY  BUDGET"</f>
        <v>INTEREST  ON  NOTES  -   UTILITY  BUDGET</v>
      </c>
      <c r="J22" s="1905"/>
      <c r="K22" s="1905"/>
      <c r="L22" s="1905"/>
      <c r="M22" s="1906"/>
      <c r="P22" s="315"/>
      <c r="Q22" s="315"/>
      <c r="R22" s="315"/>
      <c r="S22" s="315"/>
      <c r="T22" s="315"/>
      <c r="U22" s="315"/>
      <c r="V22" s="315"/>
    </row>
    <row r="23" spans="1:22" ht="15.6" customHeight="1">
      <c r="B23" s="1342" t="s">
        <v>45</v>
      </c>
      <c r="C23" s="1342"/>
      <c r="D23" s="1202" t="s">
        <v>46</v>
      </c>
      <c r="E23" s="1101"/>
      <c r="F23" s="1096"/>
      <c r="G23" s="1096"/>
      <c r="H23" s="1096"/>
      <c r="I23" s="1343" t="str">
        <f>TEXT('KEY INPUTS'!D34+1,"0")&amp;"  Interest on Notes"</f>
        <v>2021  Interest on Notes</v>
      </c>
      <c r="J23" s="1173"/>
      <c r="K23" s="1173"/>
      <c r="L23" s="519" t="s">
        <v>397</v>
      </c>
      <c r="M23" s="1216">
        <f>K18</f>
        <v>0</v>
      </c>
      <c r="P23" s="315"/>
      <c r="Q23" s="315"/>
      <c r="R23" s="315"/>
      <c r="S23" s="315"/>
      <c r="T23" s="315"/>
      <c r="U23" s="315"/>
      <c r="V23" s="315"/>
    </row>
    <row r="24" spans="1:22" ht="15.6" customHeight="1">
      <c r="B24" s="1202"/>
      <c r="C24" s="1202"/>
      <c r="D24" s="1342" t="s">
        <v>47</v>
      </c>
      <c r="E24" s="1101"/>
      <c r="F24" s="1096"/>
      <c r="G24" s="1096"/>
      <c r="H24" s="1096"/>
      <c r="I24" s="1397" t="str">
        <f>"Less: Interest Accrued to "&amp;TEXT('KEY INPUTS'!D29,"mm/dd/yyyy")&amp;" (Trial Balance)"</f>
        <v>Less: Interest Accrued to 12/31/2020 (Trial Balance)</v>
      </c>
      <c r="J24" s="681"/>
      <c r="K24" s="681"/>
      <c r="L24" s="517" t="s">
        <v>397</v>
      </c>
      <c r="M24" s="663"/>
      <c r="P24" s="315"/>
      <c r="Q24" s="315"/>
      <c r="R24" s="315"/>
      <c r="S24" s="315"/>
      <c r="T24" s="315"/>
      <c r="U24" s="315"/>
      <c r="V24" s="315"/>
    </row>
    <row r="25" spans="1:22" ht="15.6" customHeight="1">
      <c r="B25" s="1202"/>
      <c r="C25" s="1202"/>
      <c r="D25" s="1202" t="s">
        <v>48</v>
      </c>
      <c r="E25" s="1101"/>
      <c r="F25" s="1096"/>
      <c r="G25" s="1096"/>
      <c r="H25" s="1096"/>
      <c r="I25" s="1103"/>
      <c r="J25" s="681" t="s">
        <v>337</v>
      </c>
      <c r="K25" s="681"/>
      <c r="L25" s="517" t="s">
        <v>397</v>
      </c>
      <c r="M25" s="1217">
        <f>+M23-M24</f>
        <v>0</v>
      </c>
    </row>
    <row r="26" spans="1:22" ht="15.6" customHeight="1">
      <c r="B26" s="1202"/>
      <c r="C26" s="1202"/>
      <c r="D26" s="1202" t="str">
        <f>"All notes with an original date of issue of "&amp;'KEY INPUTS'!D33-3&amp;" or prior require one legally payable installment to be budgeted if it"</f>
        <v>All notes with an original date of issue of 2018 or prior require one legally payable installment to be budgeted if it</v>
      </c>
      <c r="E26" s="1101"/>
      <c r="F26" s="1096"/>
      <c r="G26" s="1096"/>
      <c r="H26" s="1096"/>
      <c r="I26" s="1397" t="str">
        <f>"Add: Interest to be Accrued as of "&amp;TEXT('KEY INPUTS'!D30,"mm/dd/yyyy")&amp;""</f>
        <v>Add: Interest to be Accrued as of 12/31/2021</v>
      </c>
      <c r="J26" s="681"/>
      <c r="K26" s="681"/>
      <c r="L26" s="517" t="s">
        <v>397</v>
      </c>
      <c r="M26" s="663"/>
    </row>
    <row r="27" spans="1:22" ht="15.6" customHeight="1" thickBot="1">
      <c r="B27" s="1202"/>
      <c r="C27" s="1202"/>
      <c r="D27" s="1202" t="str">
        <f>"is contemplated that such notes will be renewed in "&amp;TEXT('KEY INPUTS'!D34+1,"0")&amp;" or written intent of permanent financing submitted."</f>
        <v>is contemplated that such notes will be renewed in 2021 or written intent of permanent financing submitted.</v>
      </c>
      <c r="E27" s="1101"/>
      <c r="F27" s="1096"/>
      <c r="G27" s="1096"/>
      <c r="H27" s="1096"/>
      <c r="I27" s="1398" t="str">
        <f>"Required Appropriation - "&amp;TEXT('KEY INPUTS'!D34+1,"0")&amp;""</f>
        <v>Required Appropriation - 2021</v>
      </c>
      <c r="J27" s="1151"/>
      <c r="K27" s="1151"/>
      <c r="L27" s="515" t="s">
        <v>397</v>
      </c>
      <c r="M27" s="1218">
        <f>+M25+M26</f>
        <v>0</v>
      </c>
    </row>
    <row r="28" spans="1:22" ht="13.8" thickTop="1">
      <c r="B28" s="1202"/>
      <c r="C28" s="1202"/>
      <c r="D28" s="1202" t="s">
        <v>49</v>
      </c>
      <c r="E28" s="1101"/>
      <c r="F28" s="1096"/>
      <c r="G28" s="1096"/>
      <c r="H28" s="1096"/>
      <c r="I28" s="1096"/>
      <c r="J28" s="1096"/>
      <c r="K28" s="1096"/>
      <c r="L28" s="1096"/>
      <c r="M28" s="1096"/>
    </row>
    <row r="29" spans="1:22">
      <c r="B29" s="1101"/>
      <c r="C29" s="1101"/>
      <c r="D29" s="1342" t="s">
        <v>50</v>
      </c>
      <c r="E29" s="1101"/>
      <c r="F29" s="1096"/>
      <c r="G29" s="1096"/>
      <c r="H29" s="1096"/>
      <c r="I29" s="1096"/>
      <c r="J29" s="1096"/>
      <c r="K29" s="1096"/>
      <c r="L29" s="1096"/>
      <c r="M29" s="1096"/>
    </row>
    <row r="30" spans="1:22">
      <c r="I30" s="1096"/>
      <c r="J30" s="1340" t="s">
        <v>103</v>
      </c>
      <c r="K30" s="1096"/>
      <c r="L30" s="1096"/>
      <c r="M30" s="1096"/>
    </row>
    <row r="31" spans="1:22">
      <c r="I31" s="1096"/>
      <c r="J31" s="1096"/>
      <c r="K31" s="1096"/>
      <c r="L31" s="1096"/>
      <c r="M31" s="1096"/>
    </row>
  </sheetData>
  <sheetProtection algorithmName="SHA-512" hashValue="WbEOLRS3orviCMM/5HP7GKmIi8wKv7ecS6wHE1XcU2A1rw0UkDoSo0hfDcA32yxuVR7BJep0Xxh2l3v4jl61bA==" saltValue="pMSy+gzM9FaL0LMXN6qa0w=="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5">
    <tabColor theme="5" tint="0.59999389629810485"/>
  </sheetPr>
  <dimension ref="A1:T29"/>
  <sheetViews>
    <sheetView zoomScaleNormal="100" zoomScaleSheetLayoutView="80" workbookViewId="0"/>
  </sheetViews>
  <sheetFormatPr defaultColWidth="9.109375" defaultRowHeight="13.2"/>
  <cols>
    <col min="1" max="1" width="5.6640625" style="324" customWidth="1"/>
    <col min="2" max="3" width="4.88671875" style="324" customWidth="1"/>
    <col min="4" max="4" width="31.5546875" style="324" customWidth="1"/>
    <col min="5" max="12" width="15.6640625" style="324" customWidth="1"/>
    <col min="13" max="16384" width="9.109375" style="324"/>
  </cols>
  <sheetData>
    <row r="1" spans="1:20">
      <c r="B1" s="1128"/>
      <c r="C1" s="1128"/>
      <c r="D1" s="1128"/>
      <c r="E1" s="1128"/>
      <c r="F1" s="1128"/>
      <c r="G1" s="1128"/>
      <c r="H1" s="1128"/>
      <c r="I1" s="1128"/>
      <c r="J1" s="1128"/>
      <c r="K1" s="1128"/>
      <c r="L1" s="1128"/>
    </row>
    <row r="2" spans="1:20" ht="20.399999999999999">
      <c r="B2" s="1826" t="str">
        <f>"DEBT  SERVICE  SCHEDULE  FOR  "&amp;UPPER('KEY INPUTS'!D54) &amp;"  UTILITY  ASSESSMENT  NOTES"</f>
        <v>DEBT  SERVICE  SCHEDULE  FOR    UTILITY  ASSESSMENT  NOTES</v>
      </c>
      <c r="C2" s="1826"/>
      <c r="D2" s="1826"/>
      <c r="E2" s="1826"/>
      <c r="F2" s="1826"/>
      <c r="G2" s="1826"/>
      <c r="H2" s="1826"/>
      <c r="I2" s="1826"/>
      <c r="J2" s="1826"/>
      <c r="K2" s="1826"/>
      <c r="L2" s="1826"/>
    </row>
    <row r="3" spans="1:20" ht="21" thickBot="1">
      <c r="B3" s="1916"/>
      <c r="C3" s="1916"/>
      <c r="D3" s="1916"/>
      <c r="E3" s="1916"/>
      <c r="F3" s="1916"/>
      <c r="G3" s="1916"/>
      <c r="H3" s="1916"/>
      <c r="I3" s="1916"/>
      <c r="J3" s="1916"/>
      <c r="K3" s="1916"/>
      <c r="L3" s="1916"/>
    </row>
    <row r="4" spans="1:20" ht="13.5" customHeight="1" thickTop="1">
      <c r="B4" s="1987"/>
      <c r="C4" s="1987"/>
      <c r="D4" s="1988"/>
      <c r="E4" s="1220"/>
      <c r="F4" s="1125"/>
      <c r="G4" s="1125"/>
      <c r="H4" s="1125"/>
      <c r="I4" s="1125"/>
      <c r="J4" s="1124"/>
      <c r="K4" s="1124"/>
      <c r="L4" s="1127"/>
    </row>
    <row r="5" spans="1:20" ht="13.5" customHeight="1">
      <c r="B5" s="1128"/>
      <c r="C5" s="1128"/>
      <c r="D5" s="1128"/>
      <c r="E5" s="1129" t="s">
        <v>144</v>
      </c>
      <c r="F5" s="1133" t="s">
        <v>144</v>
      </c>
      <c r="G5" s="1133" t="s">
        <v>441</v>
      </c>
      <c r="H5" s="1133" t="s">
        <v>18</v>
      </c>
      <c r="I5" s="1133" t="s">
        <v>572</v>
      </c>
      <c r="J5" s="1910">
        <f>'KEY INPUTS'!D33</f>
        <v>2021</v>
      </c>
      <c r="K5" s="1911"/>
      <c r="L5" s="1131" t="s">
        <v>573</v>
      </c>
    </row>
    <row r="6" spans="1:20" ht="13.5" customHeight="1">
      <c r="B6" s="1128"/>
      <c r="C6" s="1825" t="s">
        <v>143</v>
      </c>
      <c r="D6" s="1917"/>
      <c r="E6" s="1129" t="s">
        <v>441</v>
      </c>
      <c r="F6" s="1133" t="s">
        <v>145</v>
      </c>
      <c r="G6" s="1133" t="s">
        <v>569</v>
      </c>
      <c r="H6" s="1133" t="s">
        <v>570</v>
      </c>
      <c r="I6" s="1133" t="s">
        <v>570</v>
      </c>
      <c r="J6" s="1912"/>
      <c r="K6" s="1913"/>
      <c r="L6" s="1131" t="s">
        <v>576</v>
      </c>
    </row>
    <row r="7" spans="1:20" ht="13.5" customHeight="1">
      <c r="B7" s="1128"/>
      <c r="C7" s="1128"/>
      <c r="D7" s="1128"/>
      <c r="E7" s="1129" t="s">
        <v>97</v>
      </c>
      <c r="F7" s="1129" t="s">
        <v>146</v>
      </c>
      <c r="G7" s="1129" t="s">
        <v>206</v>
      </c>
      <c r="H7" s="1129" t="s">
        <v>571</v>
      </c>
      <c r="I7" s="1129" t="s">
        <v>573</v>
      </c>
      <c r="J7" s="1129" t="s">
        <v>118</v>
      </c>
      <c r="K7" s="1129" t="s">
        <v>574</v>
      </c>
      <c r="L7" s="1131" t="s">
        <v>577</v>
      </c>
      <c r="N7" s="315"/>
      <c r="O7" s="315"/>
      <c r="P7" s="315"/>
      <c r="Q7" s="315"/>
      <c r="R7" s="315"/>
      <c r="S7" s="315"/>
      <c r="T7" s="315"/>
    </row>
    <row r="8" spans="1:20" ht="13.5" customHeight="1" thickBot="1">
      <c r="B8" s="1135"/>
      <c r="C8" s="1135"/>
      <c r="D8" s="1135"/>
      <c r="E8" s="1136"/>
      <c r="F8" s="1136"/>
      <c r="G8" s="1346" t="str">
        <f>'KEY INPUTS'!D46</f>
        <v>Dec. 31, 2020</v>
      </c>
      <c r="H8" s="1136"/>
      <c r="I8" s="1136"/>
      <c r="J8" s="1137"/>
      <c r="K8" s="1237" t="s">
        <v>575</v>
      </c>
      <c r="L8" s="1139"/>
      <c r="N8" s="315"/>
      <c r="O8" s="315"/>
      <c r="P8" s="315"/>
      <c r="Q8" s="315"/>
      <c r="R8" s="315"/>
      <c r="S8" s="315"/>
      <c r="T8" s="315"/>
    </row>
    <row r="9" spans="1:20" ht="21" customHeight="1" thickTop="1">
      <c r="B9" s="1920"/>
      <c r="C9" s="1920"/>
      <c r="D9" s="1921"/>
      <c r="E9" s="597"/>
      <c r="F9" s="788"/>
      <c r="G9" s="597"/>
      <c r="H9" s="597"/>
      <c r="I9" s="789"/>
      <c r="J9" s="597"/>
      <c r="K9" s="597"/>
      <c r="L9" s="790"/>
      <c r="N9" s="370"/>
      <c r="O9" s="315"/>
      <c r="P9" s="315"/>
      <c r="Q9" s="315"/>
      <c r="R9" s="315"/>
      <c r="S9" s="315"/>
      <c r="T9" s="315"/>
    </row>
    <row r="10" spans="1:20" ht="21" customHeight="1">
      <c r="B10" s="696"/>
      <c r="C10" s="696"/>
      <c r="D10" s="1457"/>
      <c r="E10" s="593"/>
      <c r="F10" s="676"/>
      <c r="G10" s="593"/>
      <c r="H10" s="593"/>
      <c r="I10" s="615"/>
      <c r="J10" s="593"/>
      <c r="K10" s="593"/>
      <c r="L10" s="690"/>
      <c r="N10" s="315"/>
      <c r="O10" s="315"/>
      <c r="P10" s="315"/>
      <c r="Q10" s="315"/>
      <c r="R10" s="315"/>
      <c r="S10" s="315"/>
      <c r="T10" s="315"/>
    </row>
    <row r="11" spans="1:20" ht="21" customHeight="1">
      <c r="B11" s="696"/>
      <c r="C11" s="696"/>
      <c r="D11" s="1457"/>
      <c r="E11" s="593"/>
      <c r="F11" s="676"/>
      <c r="G11" s="593"/>
      <c r="H11" s="593"/>
      <c r="I11" s="615"/>
      <c r="J11" s="593"/>
      <c r="K11" s="593"/>
      <c r="L11" s="690"/>
      <c r="N11" s="315"/>
      <c r="O11" s="315"/>
      <c r="P11" s="315"/>
      <c r="Q11" s="315"/>
      <c r="R11" s="315"/>
      <c r="S11" s="315"/>
      <c r="T11" s="315"/>
    </row>
    <row r="12" spans="1:20" ht="21" customHeight="1">
      <c r="B12" s="696"/>
      <c r="C12" s="696"/>
      <c r="D12" s="1457"/>
      <c r="E12" s="593"/>
      <c r="F12" s="676"/>
      <c r="G12" s="593"/>
      <c r="H12" s="593"/>
      <c r="I12" s="615"/>
      <c r="J12" s="593"/>
      <c r="K12" s="593"/>
      <c r="L12" s="690"/>
      <c r="N12" s="315"/>
      <c r="O12" s="315"/>
      <c r="P12" s="315"/>
      <c r="Q12" s="315"/>
      <c r="R12" s="315"/>
      <c r="S12" s="315"/>
      <c r="T12" s="315"/>
    </row>
    <row r="13" spans="1:20" ht="21" customHeight="1">
      <c r="B13" s="696"/>
      <c r="C13" s="696"/>
      <c r="D13" s="1457"/>
      <c r="E13" s="593"/>
      <c r="F13" s="676"/>
      <c r="G13" s="593"/>
      <c r="H13" s="593"/>
      <c r="I13" s="615"/>
      <c r="J13" s="593"/>
      <c r="K13" s="593"/>
      <c r="L13" s="690"/>
      <c r="N13" s="315"/>
      <c r="O13" s="315"/>
      <c r="P13" s="315"/>
      <c r="Q13" s="315"/>
      <c r="R13" s="315"/>
      <c r="S13" s="315"/>
      <c r="T13" s="315"/>
    </row>
    <row r="14" spans="1:20" ht="21" customHeight="1">
      <c r="B14" s="696"/>
      <c r="C14" s="696"/>
      <c r="D14" s="1457"/>
      <c r="E14" s="596"/>
      <c r="F14" s="677"/>
      <c r="G14" s="596"/>
      <c r="H14" s="596"/>
      <c r="I14" s="618"/>
      <c r="J14" s="593"/>
      <c r="K14" s="593"/>
      <c r="L14" s="690"/>
      <c r="N14" s="315"/>
      <c r="O14" s="315"/>
      <c r="P14" s="315"/>
      <c r="Q14" s="315"/>
      <c r="R14" s="315"/>
      <c r="S14" s="315"/>
      <c r="T14" s="315"/>
    </row>
    <row r="15" spans="1:20" ht="21" customHeight="1">
      <c r="A15" s="1830" t="s">
        <v>3227</v>
      </c>
      <c r="B15" s="696"/>
      <c r="C15" s="696"/>
      <c r="D15" s="1457"/>
      <c r="E15" s="593"/>
      <c r="F15" s="676"/>
      <c r="G15" s="593"/>
      <c r="H15" s="593"/>
      <c r="I15" s="615"/>
      <c r="J15" s="593"/>
      <c r="K15" s="593"/>
      <c r="L15" s="690"/>
      <c r="N15" s="315"/>
      <c r="O15" s="315"/>
      <c r="P15" s="315"/>
      <c r="Q15" s="315"/>
      <c r="R15" s="315"/>
      <c r="S15" s="315"/>
      <c r="T15" s="315"/>
    </row>
    <row r="16" spans="1:20" ht="21" customHeight="1">
      <c r="A16" s="1830"/>
      <c r="B16" s="696"/>
      <c r="C16" s="696"/>
      <c r="D16" s="1457"/>
      <c r="E16" s="593"/>
      <c r="F16" s="676"/>
      <c r="G16" s="593"/>
      <c r="H16" s="593"/>
      <c r="I16" s="615"/>
      <c r="J16" s="593"/>
      <c r="K16" s="593"/>
      <c r="L16" s="690"/>
      <c r="N16" s="315"/>
      <c r="O16" s="315"/>
      <c r="P16" s="315"/>
      <c r="Q16" s="315"/>
      <c r="R16" s="315"/>
      <c r="S16" s="315"/>
      <c r="T16" s="315"/>
    </row>
    <row r="17" spans="1:20" ht="21" customHeight="1">
      <c r="A17" s="1830"/>
      <c r="B17" s="696"/>
      <c r="C17" s="696"/>
      <c r="D17" s="1457"/>
      <c r="E17" s="593"/>
      <c r="F17" s="676"/>
      <c r="G17" s="593"/>
      <c r="H17" s="593"/>
      <c r="I17" s="615"/>
      <c r="J17" s="593"/>
      <c r="K17" s="593"/>
      <c r="L17" s="690"/>
      <c r="N17" s="315"/>
      <c r="O17" s="315"/>
      <c r="P17" s="315"/>
      <c r="Q17" s="315"/>
      <c r="R17" s="315"/>
      <c r="S17" s="315"/>
      <c r="T17" s="315"/>
    </row>
    <row r="18" spans="1:20" ht="21" customHeight="1">
      <c r="A18" s="538"/>
      <c r="B18" s="696"/>
      <c r="C18" s="696"/>
      <c r="D18" s="1457"/>
      <c r="E18" s="593"/>
      <c r="F18" s="676"/>
      <c r="G18" s="593"/>
      <c r="H18" s="593"/>
      <c r="I18" s="615"/>
      <c r="J18" s="593"/>
      <c r="K18" s="593"/>
      <c r="L18" s="690"/>
      <c r="N18" s="315"/>
      <c r="O18" s="315"/>
      <c r="P18" s="315"/>
      <c r="Q18" s="315"/>
      <c r="R18" s="315"/>
      <c r="S18" s="315"/>
      <c r="T18" s="315"/>
    </row>
    <row r="19" spans="1:20" ht="21" customHeight="1">
      <c r="B19" s="696"/>
      <c r="C19" s="696"/>
      <c r="D19" s="1457"/>
      <c r="E19" s="593"/>
      <c r="F19" s="676"/>
      <c r="G19" s="593"/>
      <c r="H19" s="593"/>
      <c r="I19" s="615"/>
      <c r="J19" s="593"/>
      <c r="K19" s="593"/>
      <c r="L19" s="690"/>
      <c r="N19" s="315"/>
      <c r="O19" s="315"/>
      <c r="P19" s="315"/>
      <c r="Q19" s="315"/>
      <c r="R19" s="315"/>
      <c r="S19" s="315"/>
      <c r="T19" s="315"/>
    </row>
    <row r="20" spans="1:20" ht="21" customHeight="1">
      <c r="B20" s="696"/>
      <c r="C20" s="696"/>
      <c r="D20" s="1457"/>
      <c r="E20" s="593"/>
      <c r="F20" s="676"/>
      <c r="G20" s="593"/>
      <c r="H20" s="593"/>
      <c r="I20" s="615"/>
      <c r="J20" s="593"/>
      <c r="K20" s="593"/>
      <c r="L20" s="690"/>
      <c r="N20" s="315"/>
      <c r="O20" s="315"/>
      <c r="P20" s="315"/>
      <c r="Q20" s="315"/>
      <c r="R20" s="315"/>
      <c r="S20" s="315"/>
      <c r="T20" s="315"/>
    </row>
    <row r="21" spans="1:20" ht="21" customHeight="1">
      <c r="B21" s="696"/>
      <c r="C21" s="696"/>
      <c r="D21" s="1457"/>
      <c r="E21" s="593"/>
      <c r="F21" s="676"/>
      <c r="G21" s="593"/>
      <c r="H21" s="593"/>
      <c r="I21" s="615"/>
      <c r="J21" s="593"/>
      <c r="K21" s="593"/>
      <c r="L21" s="690"/>
      <c r="N21" s="315"/>
      <c r="O21" s="315"/>
      <c r="P21" s="315"/>
      <c r="Q21" s="315"/>
      <c r="R21" s="315"/>
      <c r="S21" s="315"/>
      <c r="T21" s="315"/>
    </row>
    <row r="22" spans="1:20" ht="21" customHeight="1">
      <c r="B22" s="696"/>
      <c r="C22" s="696"/>
      <c r="D22" s="1457"/>
      <c r="E22" s="593"/>
      <c r="F22" s="676"/>
      <c r="G22" s="593"/>
      <c r="H22" s="593"/>
      <c r="I22" s="615"/>
      <c r="J22" s="593"/>
      <c r="K22" s="593"/>
      <c r="L22" s="690"/>
      <c r="N22" s="315"/>
      <c r="O22" s="315"/>
      <c r="P22" s="315"/>
      <c r="Q22" s="315"/>
      <c r="R22" s="315"/>
      <c r="S22" s="315"/>
      <c r="T22" s="315"/>
    </row>
    <row r="23" spans="1:20" ht="21" customHeight="1" thickBot="1">
      <c r="B23" s="1238"/>
      <c r="C23" s="1399"/>
      <c r="D23" s="1400"/>
      <c r="E23" s="1347">
        <f>SUM(E9:E22)</f>
        <v>0</v>
      </c>
      <c r="F23" s="1401"/>
      <c r="G23" s="1347">
        <f>SUM(G9:G22)</f>
        <v>0</v>
      </c>
      <c r="H23" s="1347"/>
      <c r="I23" s="1347"/>
      <c r="J23" s="1347">
        <f>SUM(J9:J22)</f>
        <v>0</v>
      </c>
      <c r="K23" s="1347">
        <f>SUM(K9:K22)</f>
        <v>0</v>
      </c>
      <c r="L23" s="1402"/>
      <c r="N23" s="315"/>
      <c r="O23" s="315"/>
      <c r="P23" s="315"/>
      <c r="Q23" s="315"/>
      <c r="R23" s="315"/>
      <c r="S23" s="315"/>
      <c r="T23" s="315"/>
    </row>
    <row r="24" spans="1:20" ht="13.5" customHeight="1" thickTop="1">
      <c r="B24" s="1348" t="s">
        <v>44</v>
      </c>
      <c r="C24" s="1349"/>
      <c r="D24" s="1350"/>
      <c r="E24" s="1128"/>
      <c r="F24" s="1128"/>
      <c r="G24" s="1128"/>
      <c r="H24" s="1128"/>
      <c r="I24" s="1128"/>
      <c r="J24" s="1351"/>
      <c r="K24" s="1351"/>
      <c r="L24" s="1128"/>
    </row>
    <row r="25" spans="1:20" ht="13.5" customHeight="1">
      <c r="B25" s="1348" t="s">
        <v>579</v>
      </c>
      <c r="C25" s="1349"/>
      <c r="D25" s="1350"/>
      <c r="E25" s="1128"/>
      <c r="F25" s="1128"/>
      <c r="G25" s="1128"/>
      <c r="H25" s="1128"/>
      <c r="I25" s="1128"/>
      <c r="J25" s="1128"/>
      <c r="K25" s="1128"/>
      <c r="L25" s="1128"/>
    </row>
    <row r="26" spans="1:20" ht="13.5" customHeight="1">
      <c r="B26" s="1348"/>
      <c r="C26" s="1349" t="str">
        <f>"Utility Assessment Notes with an original date of issue of December 31, "&amp;'KEY INPUTS'!D33-3&amp;" or prior must be appropriated in full in the "&amp;TEXT('KEY INPUTS'!D34+1,"0")&amp;" Dedicated Utility Assessment Budget or written intent of"</f>
        <v>Utility Assessment Notes with an original date of issue of December 31, 2018 or prior must be appropriated in full in the 2021 Dedicated Utility Assessment Budget or written intent of</v>
      </c>
      <c r="D26" s="1350"/>
      <c r="E26" s="1128"/>
      <c r="F26" s="1128"/>
      <c r="G26" s="1128"/>
      <c r="H26" s="1128"/>
      <c r="I26" s="1128"/>
      <c r="J26" s="1128"/>
      <c r="K26" s="1128"/>
      <c r="L26" s="1128"/>
    </row>
    <row r="27" spans="1:20" ht="13.5" customHeight="1">
      <c r="B27" s="1348"/>
      <c r="C27" s="1349"/>
      <c r="D27" s="1352" t="s">
        <v>532</v>
      </c>
      <c r="E27" s="1128"/>
      <c r="F27" s="1128"/>
      <c r="G27" s="1128"/>
      <c r="H27" s="1128"/>
      <c r="I27" s="1128"/>
      <c r="J27" s="1128"/>
      <c r="K27" s="1128"/>
      <c r="L27" s="1128"/>
    </row>
    <row r="28" spans="1:20" ht="13.5" customHeight="1">
      <c r="B28" s="1348"/>
      <c r="C28" s="1349" t="s">
        <v>318</v>
      </c>
      <c r="D28" s="1350"/>
      <c r="E28" s="1128"/>
      <c r="F28" s="1128"/>
      <c r="G28" s="1128"/>
      <c r="H28" s="1128"/>
      <c r="I28" s="1128"/>
      <c r="J28" s="1353"/>
      <c r="K28" s="1128"/>
      <c r="L28" s="1128"/>
    </row>
    <row r="29" spans="1:20">
      <c r="B29" s="534"/>
      <c r="C29" s="404"/>
      <c r="D29" s="404"/>
    </row>
  </sheetData>
  <sheetProtection algorithmName="SHA-512" hashValue="oK2KmvseASu9uoYlD2B9lT5icrPJF2hg8yeeRV43no81Z/p9PBefuehsEThNeMETYr4avzGbASYCn7wmRWeCLQ==" saltValue="A2rwLVeIdlysYONc8frJWw==" spinCount="100000" sheet="1" objects="1" scenarios="1"/>
  <mergeCells count="7">
    <mergeCell ref="B9:D9"/>
    <mergeCell ref="A15:A17"/>
    <mergeCell ref="B2:L2"/>
    <mergeCell ref="B3:L3"/>
    <mergeCell ref="B4:D4"/>
    <mergeCell ref="J5:K6"/>
    <mergeCell ref="C6:D6"/>
  </mergeCells>
  <pageMargins left="0.25" right="0.25" top="0.5" bottom="0.5" header="0.25" footer="0.25"/>
  <pageSetup paperSize="5" orientation="landscape" r:id="rId1"/>
  <headerFooter alignWithMargins="0"/>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6">
    <tabColor theme="5" tint="0.59999389629810485"/>
  </sheetPr>
  <dimension ref="A2:R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5.88671875" style="324" customWidth="1"/>
    <col min="5" max="6" width="15.6640625" style="324" customWidth="1"/>
    <col min="7" max="9" width="30.6640625" style="324" customWidth="1"/>
    <col min="10" max="16384" width="9.109375" style="324"/>
  </cols>
  <sheetData>
    <row r="2" spans="1:18" ht="20.399999999999999">
      <c r="B2" s="1826" t="str">
        <f>"SCHEDULE  OF  CAPITAL  LEASE  PROGRAM  OBLIGATIONS "&amp;UPPER('KEY INPUTS'!D54)&amp;"  UTILITY"</f>
        <v>SCHEDULE  OF  CAPITAL  LEASE  PROGRAM  OBLIGATIONS   UTILITY</v>
      </c>
      <c r="C2" s="1826"/>
      <c r="D2" s="1826"/>
      <c r="E2" s="1826"/>
      <c r="F2" s="1826"/>
      <c r="G2" s="1826"/>
      <c r="H2" s="1826"/>
      <c r="I2" s="1826"/>
    </row>
    <row r="3" spans="1:18" ht="21" thickBot="1">
      <c r="B3" s="1916"/>
      <c r="C3" s="1916"/>
      <c r="D3" s="1916"/>
      <c r="E3" s="1916"/>
      <c r="F3" s="1916"/>
      <c r="G3" s="1916"/>
      <c r="H3" s="1916"/>
      <c r="I3" s="1916"/>
    </row>
    <row r="4" spans="1:18" ht="13.5" customHeight="1" thickTop="1">
      <c r="B4" s="1987"/>
      <c r="C4" s="1987"/>
      <c r="D4" s="1987"/>
      <c r="E4" s="1987"/>
      <c r="F4" s="1988"/>
      <c r="G4" s="1248"/>
      <c r="H4" s="1124"/>
      <c r="I4" s="1249"/>
    </row>
    <row r="5" spans="1:18" ht="13.5" customHeight="1">
      <c r="B5" s="1128"/>
      <c r="C5" s="1128"/>
      <c r="D5" s="1128"/>
      <c r="E5" s="1123"/>
      <c r="F5" s="1123"/>
      <c r="G5" s="1133" t="s">
        <v>441</v>
      </c>
      <c r="H5" s="1989" t="str">
        <f>'KEY INPUTS'!D34+1&amp;" Budget Requirements"</f>
        <v>2021 Budget Requirements</v>
      </c>
      <c r="I5" s="1990"/>
      <c r="J5" s="765"/>
    </row>
    <row r="6" spans="1:18" ht="13.5" customHeight="1">
      <c r="B6" s="1128"/>
      <c r="C6" s="1825" t="s">
        <v>440</v>
      </c>
      <c r="D6" s="1825"/>
      <c r="E6" s="1123"/>
      <c r="F6" s="1123"/>
      <c r="G6" s="1133" t="s">
        <v>457</v>
      </c>
      <c r="H6" s="1991"/>
      <c r="I6" s="1992"/>
      <c r="J6" s="765"/>
    </row>
    <row r="7" spans="1:18" ht="13.5" customHeight="1">
      <c r="B7" s="1128"/>
      <c r="C7" s="1128"/>
      <c r="D7" s="1128"/>
      <c r="E7" s="1123"/>
      <c r="F7" s="1253"/>
      <c r="G7" s="1254" t="str">
        <f>'KEY INPUTS'!D46</f>
        <v>Dec. 31, 2020</v>
      </c>
      <c r="H7" s="1129" t="s">
        <v>3229</v>
      </c>
      <c r="I7" s="1131" t="s">
        <v>458</v>
      </c>
      <c r="L7" s="315"/>
      <c r="M7" s="315"/>
      <c r="N7" s="315"/>
      <c r="O7" s="315"/>
      <c r="P7" s="315"/>
      <c r="Q7" s="315"/>
      <c r="R7" s="315"/>
    </row>
    <row r="8" spans="1:18" ht="13.5" customHeight="1" thickBot="1">
      <c r="B8" s="1135"/>
      <c r="C8" s="1135"/>
      <c r="D8" s="1135"/>
      <c r="E8" s="1135"/>
      <c r="F8" s="1255"/>
      <c r="G8" s="1256"/>
      <c r="H8" s="1137"/>
      <c r="I8" s="1257"/>
      <c r="L8" s="315"/>
      <c r="M8" s="315"/>
      <c r="N8" s="315"/>
      <c r="O8" s="315"/>
      <c r="P8" s="315"/>
      <c r="Q8" s="315"/>
      <c r="R8" s="315"/>
    </row>
    <row r="9" spans="1:18" ht="21" customHeight="1" thickTop="1">
      <c r="B9" s="1920"/>
      <c r="C9" s="1920"/>
      <c r="D9" s="1920"/>
      <c r="E9" s="1920"/>
      <c r="F9" s="1921"/>
      <c r="G9" s="792"/>
      <c r="H9" s="597"/>
      <c r="I9" s="793"/>
      <c r="L9" s="370"/>
      <c r="M9" s="315"/>
      <c r="N9" s="315"/>
      <c r="O9" s="315"/>
      <c r="P9" s="315"/>
      <c r="Q9" s="315"/>
      <c r="R9" s="315"/>
    </row>
    <row r="10" spans="1:18" ht="21" customHeight="1">
      <c r="B10" s="1914"/>
      <c r="C10" s="1914"/>
      <c r="D10" s="1914"/>
      <c r="E10" s="1914"/>
      <c r="F10" s="1915"/>
      <c r="G10" s="623"/>
      <c r="H10" s="593"/>
      <c r="I10" s="594"/>
      <c r="L10" s="315"/>
      <c r="M10" s="315"/>
      <c r="N10" s="315"/>
      <c r="O10" s="315"/>
      <c r="P10" s="315"/>
      <c r="Q10" s="315"/>
      <c r="R10" s="315"/>
    </row>
    <row r="11" spans="1:18" ht="21" customHeight="1">
      <c r="B11" s="1914"/>
      <c r="C11" s="1914"/>
      <c r="D11" s="1914"/>
      <c r="E11" s="1914"/>
      <c r="F11" s="1915"/>
      <c r="G11" s="623"/>
      <c r="H11" s="593"/>
      <c r="I11" s="594"/>
      <c r="L11" s="315"/>
      <c r="M11" s="315"/>
      <c r="N11" s="315"/>
      <c r="O11" s="315"/>
      <c r="P11" s="315"/>
      <c r="Q11" s="315"/>
      <c r="R11" s="315"/>
    </row>
    <row r="12" spans="1:18" ht="21" customHeight="1">
      <c r="B12" s="1914"/>
      <c r="C12" s="1914"/>
      <c r="D12" s="1914"/>
      <c r="E12" s="1914"/>
      <c r="F12" s="1915"/>
      <c r="G12" s="623"/>
      <c r="H12" s="593"/>
      <c r="I12" s="594"/>
      <c r="L12" s="315"/>
      <c r="M12" s="315"/>
      <c r="N12" s="315"/>
      <c r="O12" s="315"/>
      <c r="P12" s="315"/>
      <c r="Q12" s="315"/>
      <c r="R12" s="315"/>
    </row>
    <row r="13" spans="1:18" ht="21" customHeight="1">
      <c r="B13" s="1914"/>
      <c r="C13" s="1914"/>
      <c r="D13" s="1914"/>
      <c r="E13" s="1914"/>
      <c r="F13" s="1915"/>
      <c r="G13" s="623"/>
      <c r="H13" s="593"/>
      <c r="I13" s="594"/>
      <c r="L13" s="315"/>
      <c r="M13" s="315"/>
      <c r="N13" s="315"/>
      <c r="O13" s="315"/>
      <c r="P13" s="315"/>
      <c r="Q13" s="315"/>
      <c r="R13" s="315"/>
    </row>
    <row r="14" spans="1:18" ht="21" customHeight="1">
      <c r="B14" s="1914"/>
      <c r="C14" s="1914"/>
      <c r="D14" s="1914"/>
      <c r="E14" s="1914"/>
      <c r="F14" s="1915"/>
      <c r="G14" s="624"/>
      <c r="H14" s="593"/>
      <c r="I14" s="594"/>
      <c r="L14" s="315"/>
      <c r="M14" s="315"/>
      <c r="N14" s="315"/>
      <c r="O14" s="315"/>
      <c r="P14" s="315"/>
      <c r="Q14" s="315"/>
      <c r="R14" s="315"/>
    </row>
    <row r="15" spans="1:18" ht="21" customHeight="1">
      <c r="A15" s="1830" t="s">
        <v>3228</v>
      </c>
      <c r="B15" s="1914"/>
      <c r="C15" s="1914"/>
      <c r="D15" s="1914"/>
      <c r="E15" s="1914"/>
      <c r="F15" s="1915"/>
      <c r="G15" s="623"/>
      <c r="H15" s="593"/>
      <c r="I15" s="594"/>
      <c r="L15" s="315"/>
      <c r="M15" s="315"/>
      <c r="N15" s="315"/>
      <c r="O15" s="315"/>
      <c r="P15" s="315"/>
      <c r="Q15" s="315"/>
      <c r="R15" s="315"/>
    </row>
    <row r="16" spans="1:18" ht="21" customHeight="1">
      <c r="A16" s="1830"/>
      <c r="B16" s="1914"/>
      <c r="C16" s="1914"/>
      <c r="D16" s="1914"/>
      <c r="E16" s="1914"/>
      <c r="F16" s="1915"/>
      <c r="G16" s="623"/>
      <c r="H16" s="593"/>
      <c r="I16" s="594"/>
      <c r="L16" s="315"/>
      <c r="M16" s="315"/>
      <c r="N16" s="315"/>
      <c r="O16" s="315"/>
      <c r="P16" s="315"/>
      <c r="Q16" s="315"/>
      <c r="R16" s="315"/>
    </row>
    <row r="17" spans="1:18" ht="21" customHeight="1">
      <c r="A17" s="1830"/>
      <c r="B17" s="1914"/>
      <c r="C17" s="1914"/>
      <c r="D17" s="1914"/>
      <c r="E17" s="1914"/>
      <c r="F17" s="1915"/>
      <c r="G17" s="623"/>
      <c r="H17" s="593"/>
      <c r="I17" s="594"/>
      <c r="L17" s="315"/>
      <c r="M17" s="315"/>
      <c r="N17" s="315"/>
      <c r="O17" s="315"/>
      <c r="P17" s="315"/>
      <c r="Q17" s="315"/>
      <c r="R17" s="315"/>
    </row>
    <row r="18" spans="1:18" ht="21" customHeight="1">
      <c r="A18" s="538"/>
      <c r="B18" s="1914"/>
      <c r="C18" s="1914"/>
      <c r="D18" s="1914"/>
      <c r="E18" s="1914"/>
      <c r="F18" s="1915"/>
      <c r="G18" s="623"/>
      <c r="H18" s="593"/>
      <c r="I18" s="594"/>
      <c r="L18" s="315"/>
      <c r="M18" s="315"/>
      <c r="N18" s="315"/>
      <c r="O18" s="315"/>
      <c r="P18" s="315"/>
      <c r="Q18" s="315"/>
      <c r="R18" s="315"/>
    </row>
    <row r="19" spans="1:18" ht="21" customHeight="1">
      <c r="B19" s="1914"/>
      <c r="C19" s="1914"/>
      <c r="D19" s="1914"/>
      <c r="E19" s="1914"/>
      <c r="F19" s="1915"/>
      <c r="G19" s="623"/>
      <c r="H19" s="593"/>
      <c r="I19" s="594"/>
      <c r="L19" s="315"/>
      <c r="M19" s="315"/>
      <c r="N19" s="315"/>
      <c r="O19" s="315"/>
      <c r="P19" s="315"/>
      <c r="Q19" s="315"/>
      <c r="R19" s="315"/>
    </row>
    <row r="20" spans="1:18" ht="21" customHeight="1">
      <c r="B20" s="1914"/>
      <c r="C20" s="1914"/>
      <c r="D20" s="1914"/>
      <c r="E20" s="1914"/>
      <c r="F20" s="1915"/>
      <c r="G20" s="623"/>
      <c r="H20" s="593"/>
      <c r="I20" s="594"/>
      <c r="L20" s="315"/>
      <c r="M20" s="315"/>
      <c r="N20" s="315"/>
      <c r="O20" s="315"/>
      <c r="P20" s="315"/>
      <c r="Q20" s="315"/>
      <c r="R20" s="315"/>
    </row>
    <row r="21" spans="1:18" ht="21" customHeight="1">
      <c r="B21" s="1914"/>
      <c r="C21" s="1914"/>
      <c r="D21" s="1914"/>
      <c r="E21" s="1914"/>
      <c r="F21" s="1915"/>
      <c r="G21" s="623"/>
      <c r="H21" s="593"/>
      <c r="I21" s="594"/>
      <c r="L21" s="315"/>
      <c r="M21" s="315"/>
      <c r="N21" s="315"/>
      <c r="O21" s="315"/>
      <c r="P21" s="315"/>
      <c r="Q21" s="315"/>
      <c r="R21" s="315"/>
    </row>
    <row r="22" spans="1:18" ht="21" customHeight="1" thickBot="1">
      <c r="B22" s="1914"/>
      <c r="C22" s="1914"/>
      <c r="D22" s="1914"/>
      <c r="E22" s="1914"/>
      <c r="F22" s="1915"/>
      <c r="G22" s="625"/>
      <c r="H22" s="619"/>
      <c r="I22" s="626"/>
      <c r="L22" s="315"/>
      <c r="M22" s="315"/>
      <c r="N22" s="315"/>
      <c r="O22" s="315"/>
      <c r="P22" s="315"/>
      <c r="Q22" s="315"/>
      <c r="R22" s="315"/>
    </row>
    <row r="23" spans="1:18" ht="21" customHeight="1" thickTop="1" thickBot="1">
      <c r="B23" s="1238"/>
      <c r="C23" s="1144"/>
      <c r="D23" s="1355" t="s">
        <v>142</v>
      </c>
      <c r="E23" s="1044"/>
      <c r="F23" s="1255"/>
      <c r="G23" s="1356">
        <f>SUM(G9:G22)</f>
        <v>0</v>
      </c>
      <c r="H23" s="1065">
        <f>SUM(H9:H22)</f>
        <v>0</v>
      </c>
      <c r="I23" s="1143">
        <f>SUM(I9:I22)</f>
        <v>0</v>
      </c>
      <c r="L23" s="315"/>
      <c r="M23" s="315"/>
      <c r="N23" s="315"/>
      <c r="O23" s="315"/>
      <c r="P23" s="315"/>
      <c r="Q23" s="315"/>
      <c r="R23" s="315"/>
    </row>
    <row r="24" spans="1:18" ht="13.5" customHeight="1" thickTop="1">
      <c r="B24" s="794"/>
      <c r="C24" s="404"/>
      <c r="D24" s="795"/>
      <c r="H24" s="497"/>
      <c r="I24" s="497"/>
    </row>
    <row r="25" spans="1:18" ht="13.5" customHeight="1">
      <c r="B25" s="794"/>
      <c r="C25" s="404"/>
      <c r="D25" s="795"/>
    </row>
    <row r="26" spans="1:18" ht="13.5" customHeight="1">
      <c r="B26" s="794"/>
      <c r="C26" s="404"/>
      <c r="D26" s="795"/>
      <c r="H26" s="791"/>
    </row>
    <row r="27" spans="1:18">
      <c r="B27" s="534"/>
      <c r="C27" s="404"/>
      <c r="D27" s="404"/>
    </row>
  </sheetData>
  <sheetProtection algorithmName="SHA-512" hashValue="SoKEPCEEXVb6e1giQ9DUlRfkklq60GykPco2v8FOTLKWmEey65n8+i9pcY8oWgalAaRaKN57//ORY2iF7ctvqg==" saltValue="xxV/cFTpd3R2OOE8pcecsg=="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7">
    <tabColor theme="5" tint="0.59999389629810485"/>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INPUTS'!D54)&amp;"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692"/>
      <c r="C9" s="664"/>
      <c r="D9" s="667"/>
      <c r="E9" s="610"/>
      <c r="F9" s="610"/>
      <c r="G9" s="610"/>
      <c r="H9" s="610"/>
      <c r="I9" s="610"/>
      <c r="J9" s="610"/>
      <c r="K9" s="610"/>
      <c r="L9" s="622"/>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3230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583</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8">
    <tabColor theme="5" tint="0.59999389629810485"/>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INPUTS'!D54)&amp;"  (UTILITY  CAPITAL  FUND)"</f>
        <v>SCHEDULE  OF  IMPROVEMENT  AUTHORIZATIONS    (UTILITY  CAPITAL  FUND)</v>
      </c>
      <c r="C2" s="1826"/>
      <c r="D2" s="1826"/>
      <c r="E2" s="1826"/>
      <c r="F2" s="1826"/>
      <c r="G2" s="1826"/>
      <c r="H2" s="1826"/>
      <c r="I2" s="1826"/>
      <c r="J2" s="1826"/>
      <c r="K2" s="1826"/>
      <c r="L2" s="1826"/>
    </row>
    <row r="3" spans="2:21" ht="9.75" customHeight="1" thickBot="1">
      <c r="B3" s="1999"/>
      <c r="C3" s="1999"/>
      <c r="D3" s="1999"/>
      <c r="E3" s="1999"/>
      <c r="F3" s="1999"/>
      <c r="G3" s="1999"/>
      <c r="H3" s="1999"/>
      <c r="I3" s="1999"/>
      <c r="J3" s="1999"/>
      <c r="K3" s="1999"/>
      <c r="L3" s="1999"/>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3323</v>
      </c>
      <c r="C9" s="1261"/>
      <c r="D9" s="1262"/>
      <c r="E9" s="1259">
        <f>+'52-Utility3'!E27</f>
        <v>0</v>
      </c>
      <c r="F9" s="1259">
        <f>+'52-Utility3'!F27</f>
        <v>0</v>
      </c>
      <c r="G9" s="1259">
        <f>+'52-Utility3'!G27</f>
        <v>0</v>
      </c>
      <c r="H9" s="1259">
        <f>+'52-Utility3'!H27</f>
        <v>0</v>
      </c>
      <c r="I9" s="1259">
        <f>+'52-Utility3'!I27</f>
        <v>0</v>
      </c>
      <c r="J9" s="1259">
        <f>+'52-Utility3'!J27</f>
        <v>0</v>
      </c>
      <c r="K9" s="1259">
        <f>+'52-Utility3'!K27</f>
        <v>0</v>
      </c>
      <c r="L9" s="1263">
        <f>+'52-Utility3'!L27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9">
    <tabColor theme="5" tint="0.59999389629810485"/>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INPUTS'!D54)&amp;"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3323</v>
      </c>
      <c r="C9" s="1261"/>
      <c r="D9" s="1262"/>
      <c r="E9" s="1259">
        <f>+'52.1-Utility3'!E27</f>
        <v>0</v>
      </c>
      <c r="F9" s="1259">
        <f>+'52.1-Utility3'!F27</f>
        <v>0</v>
      </c>
      <c r="G9" s="1259">
        <f>+'52.1-Utility3'!G27</f>
        <v>0</v>
      </c>
      <c r="H9" s="1259">
        <f>+'52.1-Utility3'!H27</f>
        <v>0</v>
      </c>
      <c r="I9" s="1259">
        <f>+'52.1-Utility3'!I27</f>
        <v>0</v>
      </c>
      <c r="J9" s="1259">
        <f>+'52.1-Utility3'!J27</f>
        <v>0</v>
      </c>
      <c r="K9" s="1259">
        <f>+'52.1-Utility3'!K27</f>
        <v>0</v>
      </c>
      <c r="L9" s="1263">
        <f>+'52.1-Utility3'!L27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3421</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0">
    <tabColor theme="5" tint="0.59999389629810485"/>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INPUTS'!D54)&amp;"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3323</v>
      </c>
      <c r="C9" s="1261"/>
      <c r="D9" s="1262"/>
      <c r="E9" s="1259">
        <f>+'52.2-Utility3'!E27</f>
        <v>0</v>
      </c>
      <c r="F9" s="1259">
        <f>+'52.2-Utility3'!F27</f>
        <v>0</v>
      </c>
      <c r="G9" s="1259">
        <f>+'52.2-Utility3'!G27</f>
        <v>0</v>
      </c>
      <c r="H9" s="1259">
        <f>+'52.2-Utility3'!H27</f>
        <v>0</v>
      </c>
      <c r="I9" s="1259">
        <f>+'52.2-Utility3'!I27</f>
        <v>0</v>
      </c>
      <c r="J9" s="1259">
        <f>+'52.2-Utility3'!J27</f>
        <v>0</v>
      </c>
      <c r="K9" s="1259">
        <f>+'52.2-Utility3'!K27</f>
        <v>0</v>
      </c>
      <c r="L9" s="1263">
        <f>+'52.2-Utility3'!L27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3422</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1">
    <tabColor theme="5" tint="0.59999389629810485"/>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INPUTS'!D54)&amp;"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28" t="str">
        <f>'KEY INPUTS'!D25</f>
        <v>Balance - January 1, 2020</v>
      </c>
      <c r="F4" s="1929"/>
      <c r="G4" s="1125"/>
      <c r="H4" s="1125"/>
      <c r="I4" s="1125"/>
      <c r="J4" s="1125"/>
      <c r="K4" s="1934" t="str">
        <f>'KEY INPUTS'!D26</f>
        <v>Balance - December 31, 2020</v>
      </c>
      <c r="L4" s="1935"/>
    </row>
    <row r="5" spans="2:21" ht="13.5" customHeight="1">
      <c r="B5" s="1825" t="s">
        <v>544</v>
      </c>
      <c r="C5" s="1825"/>
      <c r="D5" s="1917"/>
      <c r="E5" s="1930"/>
      <c r="F5" s="1931"/>
      <c r="G5" s="1133"/>
      <c r="H5" s="1133"/>
      <c r="I5" s="1133"/>
      <c r="J5" s="1133"/>
      <c r="K5" s="1936"/>
      <c r="L5" s="1937"/>
    </row>
    <row r="6" spans="2:21" ht="13.5" customHeight="1">
      <c r="B6" s="1825" t="s">
        <v>545</v>
      </c>
      <c r="C6" s="1825"/>
      <c r="D6" s="1917"/>
      <c r="E6" s="1932"/>
      <c r="F6" s="1933"/>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3323</v>
      </c>
      <c r="C9" s="1261"/>
      <c r="D9" s="1262"/>
      <c r="E9" s="1259">
        <f>+'52.3-Utility3'!E27</f>
        <v>0</v>
      </c>
      <c r="F9" s="1259">
        <f>+'52.3-Utility3'!F27</f>
        <v>0</v>
      </c>
      <c r="G9" s="1259">
        <f>+'52.3-Utility3'!G27</f>
        <v>0</v>
      </c>
      <c r="H9" s="1259">
        <f>+'52.3-Utility3'!H27</f>
        <v>0</v>
      </c>
      <c r="I9" s="1259">
        <f>+'52.3-Utility3'!I27</f>
        <v>0</v>
      </c>
      <c r="J9" s="1259">
        <f>+'52.3-Utility3'!J27</f>
        <v>0</v>
      </c>
      <c r="K9" s="1259">
        <f>+'52.3-Utility3'!K27</f>
        <v>0</v>
      </c>
      <c r="L9" s="1263">
        <f>+'52.3-Utility3'!L27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3425</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3424</v>
      </c>
      <c r="E27" s="135">
        <f t="shared" ref="E27:L27" si="0">SUM(E9:E26)</f>
        <v>0</v>
      </c>
      <c r="F27" s="135">
        <f t="shared" si="0"/>
        <v>0</v>
      </c>
      <c r="G27" s="135">
        <f t="shared" si="0"/>
        <v>0</v>
      </c>
      <c r="H27" s="135">
        <f t="shared" si="0"/>
        <v>0</v>
      </c>
      <c r="I27" s="135">
        <f t="shared" si="0"/>
        <v>0</v>
      </c>
      <c r="J27" s="135">
        <f t="shared" si="0"/>
        <v>0</v>
      </c>
      <c r="K27" s="135">
        <f t="shared" si="0"/>
        <v>0</v>
      </c>
      <c r="L27" s="155">
        <f t="shared" si="0"/>
        <v>0</v>
      </c>
    </row>
    <row r="28" spans="1:21" ht="13.5" customHeight="1" thickTop="1">
      <c r="B28" s="542"/>
      <c r="C28" s="541" t="s">
        <v>551</v>
      </c>
      <c r="D28" s="540"/>
      <c r="E28" s="503"/>
      <c r="F28" s="503"/>
      <c r="G28" s="503"/>
      <c r="H28" s="503"/>
      <c r="I28" s="503"/>
      <c r="J28" s="503"/>
      <c r="K28" s="536"/>
      <c r="L28" s="536"/>
    </row>
    <row r="42" spans="11:12">
      <c r="K42" s="324" t="s">
        <v>3272</v>
      </c>
      <c r="L42" s="546">
        <f>K27+L27</f>
        <v>0</v>
      </c>
    </row>
  </sheetData>
  <sheetProtection password="CAF9"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2">
    <tabColor theme="5" tint="0.59999389629810485"/>
  </sheetPr>
  <dimension ref="B1:S54"/>
  <sheetViews>
    <sheetView zoomScaleNormal="100" zoomScaleSheetLayoutView="80" workbookViewId="0">
      <selection activeCell="B1" sqref="B1"/>
    </sheetView>
  </sheetViews>
  <sheetFormatPr defaultColWidth="9.109375" defaultRowHeight="13.2"/>
  <cols>
    <col min="1" max="3" width="4.6640625" style="324" customWidth="1"/>
    <col min="4" max="4" width="4.5546875" style="324" customWidth="1"/>
    <col min="5" max="6" width="9.109375" style="324"/>
    <col min="7" max="7" width="14.44140625" style="324" customWidth="1"/>
    <col min="8" max="8" width="15" style="324" customWidth="1"/>
    <col min="9" max="10" width="16.6640625" style="324" customWidth="1"/>
    <col min="11" max="16384" width="9.109375" style="324"/>
  </cols>
  <sheetData>
    <row r="1" spans="2:19">
      <c r="B1" s="1128"/>
      <c r="C1" s="1128"/>
      <c r="D1" s="1128"/>
      <c r="E1" s="1128"/>
      <c r="F1" s="1128"/>
      <c r="G1" s="1128"/>
      <c r="H1" s="1128"/>
      <c r="I1" s="1128"/>
      <c r="J1" s="1128"/>
    </row>
    <row r="2" spans="2:19">
      <c r="B2" s="1128"/>
      <c r="C2" s="1128"/>
      <c r="D2" s="1128"/>
      <c r="E2" s="1128"/>
      <c r="F2" s="1128"/>
      <c r="G2" s="1128"/>
      <c r="H2" s="1128"/>
      <c r="I2" s="1128"/>
      <c r="J2" s="1128"/>
    </row>
    <row r="3" spans="2:19" ht="22.8">
      <c r="B3" s="1804" t="str">
        <f>UPPER('KEY INPUTS'!D$54)&amp;" UTILITY  CAPITAL  FUND"</f>
        <v xml:space="preserve"> UTILITY  CAPITAL  FUND</v>
      </c>
      <c r="C3" s="1804"/>
      <c r="D3" s="1804"/>
      <c r="E3" s="1804"/>
      <c r="F3" s="1804"/>
      <c r="G3" s="1804"/>
      <c r="H3" s="1804"/>
      <c r="I3" s="1804"/>
      <c r="J3" s="1804"/>
    </row>
    <row r="4" spans="2:19">
      <c r="B4" s="1128"/>
      <c r="C4" s="1128"/>
      <c r="D4" s="1128"/>
      <c r="E4" s="1128"/>
      <c r="F4" s="1128"/>
      <c r="G4" s="1128"/>
      <c r="H4" s="1128"/>
      <c r="I4" s="1128"/>
      <c r="J4" s="1128"/>
    </row>
    <row r="5" spans="2:19" ht="15.6">
      <c r="B5" s="1821" t="s">
        <v>555</v>
      </c>
      <c r="C5" s="1821"/>
      <c r="D5" s="1821"/>
      <c r="E5" s="1821"/>
      <c r="F5" s="1821"/>
      <c r="G5" s="1821"/>
      <c r="H5" s="1821"/>
      <c r="I5" s="1821"/>
      <c r="J5" s="1821"/>
    </row>
    <row r="6" spans="2:19" ht="13.8" thickBot="1">
      <c r="B6" s="1128"/>
      <c r="C6" s="1128"/>
      <c r="D6" s="1128"/>
      <c r="E6" s="1128"/>
      <c r="F6" s="1128"/>
      <c r="G6" s="1128"/>
      <c r="H6" s="1128"/>
      <c r="I6" s="1128"/>
      <c r="J6" s="1128"/>
    </row>
    <row r="7" spans="2:19" ht="28.5" customHeight="1" thickTop="1" thickBot="1">
      <c r="B7" s="1370"/>
      <c r="C7" s="1370"/>
      <c r="D7" s="1370"/>
      <c r="E7" s="1370"/>
      <c r="F7" s="1370"/>
      <c r="G7" s="1370"/>
      <c r="H7" s="1370"/>
      <c r="I7" s="1116" t="s">
        <v>101</v>
      </c>
      <c r="J7" s="1117" t="s">
        <v>102</v>
      </c>
    </row>
    <row r="8" spans="2:19" ht="21" customHeight="1" thickTop="1">
      <c r="B8" s="1140" t="str">
        <f>'KEY INPUTS'!D25</f>
        <v>Balance - January 1, 2020</v>
      </c>
      <c r="C8" s="1140"/>
      <c r="D8" s="1140"/>
      <c r="E8" s="1140"/>
      <c r="F8" s="1140"/>
      <c r="G8" s="1140"/>
      <c r="H8" s="1382"/>
      <c r="I8" s="1070" t="s">
        <v>662</v>
      </c>
      <c r="J8" s="630"/>
    </row>
    <row r="9" spans="2:19" ht="21" customHeight="1">
      <c r="B9" s="1121" t="str">
        <f>"Received from "&amp;'KEY INPUTS'!D34&amp;" Budget Appropriation"</f>
        <v>Received from 2020 Budget Appropriation</v>
      </c>
      <c r="C9" s="1121"/>
      <c r="D9" s="1121"/>
      <c r="E9" s="1121"/>
      <c r="F9" s="1121"/>
      <c r="G9" s="1121"/>
      <c r="H9" s="1383"/>
      <c r="I9" s="963" t="s">
        <v>662</v>
      </c>
      <c r="J9" s="601"/>
      <c r="M9" s="315"/>
      <c r="N9" s="315"/>
      <c r="O9" s="315"/>
      <c r="P9" s="315"/>
      <c r="Q9" s="315"/>
      <c r="R9" s="315"/>
      <c r="S9" s="315"/>
    </row>
    <row r="10" spans="2:19" ht="21" customHeight="1">
      <c r="B10" s="639"/>
      <c r="C10" s="639"/>
      <c r="D10" s="639"/>
      <c r="E10" s="639"/>
      <c r="F10" s="639"/>
      <c r="G10" s="639"/>
      <c r="H10" s="639"/>
      <c r="I10" s="963" t="s">
        <v>662</v>
      </c>
      <c r="J10" s="601"/>
      <c r="M10" s="315"/>
      <c r="N10" s="315"/>
      <c r="O10" s="315"/>
      <c r="P10" s="315"/>
      <c r="Q10" s="315"/>
      <c r="R10" s="315"/>
      <c r="S10" s="315"/>
    </row>
    <row r="11" spans="2:19" ht="11.25" customHeight="1">
      <c r="B11" s="1384" t="s">
        <v>183</v>
      </c>
      <c r="C11" s="1385"/>
      <c r="D11" s="1385"/>
      <c r="E11" s="1385"/>
      <c r="F11" s="1385"/>
      <c r="G11" s="1385"/>
      <c r="H11" s="1386"/>
      <c r="I11" s="1950" t="s">
        <v>662</v>
      </c>
      <c r="J11" s="1948"/>
      <c r="M11" s="370"/>
      <c r="N11" s="315"/>
      <c r="O11" s="315"/>
      <c r="P11" s="315"/>
      <c r="Q11" s="315"/>
      <c r="R11" s="315"/>
      <c r="S11" s="315"/>
    </row>
    <row r="12" spans="2:19" ht="12.75" customHeight="1">
      <c r="B12" s="1373"/>
      <c r="C12" s="1387" t="s">
        <v>184</v>
      </c>
      <c r="D12" s="1373"/>
      <c r="E12" s="1373"/>
      <c r="F12" s="1373"/>
      <c r="G12" s="1373"/>
      <c r="H12" s="1388"/>
      <c r="I12" s="1951"/>
      <c r="J12" s="1949"/>
      <c r="M12" s="315"/>
      <c r="N12" s="315"/>
      <c r="O12" s="315"/>
      <c r="P12" s="315"/>
      <c r="Q12" s="315"/>
      <c r="R12" s="315"/>
      <c r="S12" s="315"/>
    </row>
    <row r="13" spans="2:19" ht="21" customHeight="1">
      <c r="B13" s="659"/>
      <c r="C13" s="1264"/>
      <c r="D13" s="659"/>
      <c r="E13" s="659"/>
      <c r="F13" s="659"/>
      <c r="G13" s="659"/>
      <c r="H13" s="659"/>
      <c r="I13" s="674"/>
      <c r="J13" s="369"/>
      <c r="M13" s="315"/>
      <c r="N13" s="315"/>
      <c r="O13" s="315"/>
      <c r="P13" s="315"/>
      <c r="Q13" s="315"/>
      <c r="R13" s="315"/>
      <c r="S13" s="315"/>
    </row>
    <row r="14" spans="2:19" ht="21" customHeight="1">
      <c r="B14" s="1121" t="s">
        <v>185</v>
      </c>
      <c r="C14" s="1121"/>
      <c r="D14" s="1121"/>
      <c r="E14" s="1121"/>
      <c r="F14" s="1121"/>
      <c r="G14" s="1121"/>
      <c r="H14" s="1121"/>
      <c r="I14" s="963" t="s">
        <v>662</v>
      </c>
      <c r="J14" s="967" t="s">
        <v>662</v>
      </c>
      <c r="M14" s="315"/>
      <c r="N14" s="315"/>
      <c r="O14" s="315"/>
      <c r="P14" s="315"/>
      <c r="Q14" s="315"/>
      <c r="R14" s="315"/>
      <c r="S14" s="315"/>
    </row>
    <row r="15" spans="2:19" ht="21" customHeight="1">
      <c r="B15" s="639"/>
      <c r="C15" s="639"/>
      <c r="D15" s="639"/>
      <c r="E15" s="639"/>
      <c r="F15" s="639"/>
      <c r="G15" s="639"/>
      <c r="H15" s="639"/>
      <c r="I15" s="593"/>
      <c r="J15" s="967" t="s">
        <v>662</v>
      </c>
      <c r="M15" s="315"/>
      <c r="N15" s="315"/>
      <c r="O15" s="315"/>
      <c r="P15" s="315"/>
      <c r="Q15" s="315"/>
      <c r="R15" s="315"/>
      <c r="S15" s="315"/>
    </row>
    <row r="16" spans="2:19" ht="21" customHeight="1">
      <c r="B16" s="639"/>
      <c r="C16" s="639"/>
      <c r="D16" s="639"/>
      <c r="E16" s="639"/>
      <c r="F16" s="639"/>
      <c r="G16" s="639"/>
      <c r="H16" s="639"/>
      <c r="I16" s="593"/>
      <c r="J16" s="967" t="s">
        <v>662</v>
      </c>
      <c r="M16" s="315"/>
      <c r="N16" s="315"/>
      <c r="O16" s="315"/>
      <c r="P16" s="315"/>
      <c r="Q16" s="315"/>
      <c r="R16" s="315"/>
      <c r="S16" s="315"/>
    </row>
    <row r="17" spans="2:19" ht="21" customHeight="1">
      <c r="B17" s="639"/>
      <c r="C17" s="639"/>
      <c r="D17" s="639"/>
      <c r="E17" s="639"/>
      <c r="F17" s="639"/>
      <c r="G17" s="639"/>
      <c r="H17" s="639"/>
      <c r="I17" s="593"/>
      <c r="J17" s="967" t="s">
        <v>662</v>
      </c>
      <c r="M17" s="315"/>
      <c r="N17" s="315"/>
      <c r="O17" s="315"/>
      <c r="P17" s="315"/>
      <c r="Q17" s="315"/>
      <c r="R17" s="315"/>
      <c r="S17" s="315"/>
    </row>
    <row r="18" spans="2:19" ht="21" customHeight="1">
      <c r="B18" s="639"/>
      <c r="C18" s="639"/>
      <c r="D18" s="639"/>
      <c r="E18" s="639"/>
      <c r="F18" s="639"/>
      <c r="G18" s="639"/>
      <c r="H18" s="639"/>
      <c r="I18" s="593"/>
      <c r="J18" s="967" t="s">
        <v>662</v>
      </c>
      <c r="M18" s="315"/>
      <c r="N18" s="315"/>
      <c r="O18" s="315"/>
      <c r="P18" s="315"/>
      <c r="Q18" s="315"/>
      <c r="R18" s="315"/>
      <c r="S18" s="315"/>
    </row>
    <row r="19" spans="2:19" ht="21" customHeight="1">
      <c r="B19" s="639"/>
      <c r="C19" s="639"/>
      <c r="D19" s="639"/>
      <c r="E19" s="639"/>
      <c r="F19" s="639"/>
      <c r="G19" s="639"/>
      <c r="H19" s="639"/>
      <c r="I19" s="593"/>
      <c r="J19" s="967" t="s">
        <v>662</v>
      </c>
      <c r="M19" s="315"/>
      <c r="N19" s="315"/>
      <c r="O19" s="315"/>
      <c r="P19" s="315"/>
      <c r="Q19" s="315"/>
      <c r="R19" s="315"/>
      <c r="S19" s="315"/>
    </row>
    <row r="20" spans="2:19" ht="21" customHeight="1">
      <c r="B20" s="639"/>
      <c r="C20" s="639"/>
      <c r="D20" s="639"/>
      <c r="E20" s="639"/>
      <c r="F20" s="639"/>
      <c r="G20" s="639"/>
      <c r="H20" s="639"/>
      <c r="I20" s="593"/>
      <c r="J20" s="967" t="s">
        <v>662</v>
      </c>
      <c r="M20" s="315"/>
      <c r="N20" s="315"/>
      <c r="O20" s="315"/>
      <c r="P20" s="315"/>
      <c r="Q20" s="315"/>
      <c r="R20" s="315"/>
      <c r="S20" s="315"/>
    </row>
    <row r="21" spans="2:19" ht="21" customHeight="1">
      <c r="B21" s="639"/>
      <c r="C21" s="639"/>
      <c r="D21" s="639"/>
      <c r="E21" s="639"/>
      <c r="F21" s="639"/>
      <c r="G21" s="639"/>
      <c r="H21" s="639"/>
      <c r="I21" s="593"/>
      <c r="J21" s="967" t="s">
        <v>662</v>
      </c>
      <c r="M21" s="315"/>
      <c r="N21" s="315"/>
      <c r="O21" s="315"/>
      <c r="P21" s="315"/>
      <c r="Q21" s="315"/>
      <c r="R21" s="315"/>
      <c r="S21" s="315"/>
    </row>
    <row r="22" spans="2:19" ht="21" customHeight="1">
      <c r="B22" s="1121" t="s">
        <v>186</v>
      </c>
      <c r="C22" s="1121"/>
      <c r="D22" s="1121"/>
      <c r="E22" s="1121"/>
      <c r="F22" s="1121"/>
      <c r="G22" s="1121"/>
      <c r="H22" s="1383"/>
      <c r="I22" s="593"/>
      <c r="J22" s="967" t="s">
        <v>662</v>
      </c>
      <c r="M22" s="315"/>
      <c r="N22" s="315"/>
      <c r="O22" s="315"/>
      <c r="P22" s="315"/>
      <c r="Q22" s="315"/>
      <c r="R22" s="315"/>
      <c r="S22" s="315"/>
    </row>
    <row r="23" spans="2:19" ht="21" customHeight="1">
      <c r="B23" s="639"/>
      <c r="C23" s="639"/>
      <c r="D23" s="639"/>
      <c r="E23" s="639"/>
      <c r="F23" s="639"/>
      <c r="G23" s="639"/>
      <c r="H23" s="639"/>
      <c r="I23" s="593"/>
      <c r="J23" s="967" t="s">
        <v>662</v>
      </c>
      <c r="M23" s="315"/>
      <c r="N23" s="315"/>
      <c r="O23" s="315"/>
      <c r="P23" s="315"/>
      <c r="Q23" s="315"/>
      <c r="R23" s="315"/>
      <c r="S23" s="315"/>
    </row>
    <row r="24" spans="2:19" ht="21" customHeight="1" thickBot="1">
      <c r="B24" s="1121" t="str">
        <f>'KEY INPUTS'!D26</f>
        <v>Balance - December 31, 2020</v>
      </c>
      <c r="C24" s="1121"/>
      <c r="D24" s="1121"/>
      <c r="E24" s="1121"/>
      <c r="F24" s="1121"/>
      <c r="G24" s="1121"/>
      <c r="H24" s="1383"/>
      <c r="I24" s="1088">
        <f>+SUM(J8:J13)-SUM(I13:I23)</f>
        <v>0</v>
      </c>
      <c r="J24" s="1086" t="s">
        <v>662</v>
      </c>
      <c r="M24" s="315"/>
      <c r="N24" s="315"/>
      <c r="O24" s="315"/>
      <c r="P24" s="315"/>
      <c r="Q24" s="315"/>
      <c r="R24" s="315"/>
      <c r="S24" s="315"/>
    </row>
    <row r="25" spans="2:19" ht="21" customHeight="1" thickTop="1" thickBot="1">
      <c r="I25" s="1046">
        <f>SUM(I8:I24)</f>
        <v>0</v>
      </c>
      <c r="J25" s="1089">
        <f>SUM(J8:J24)</f>
        <v>0</v>
      </c>
      <c r="M25" s="315"/>
      <c r="N25" s="315"/>
      <c r="O25" s="315"/>
      <c r="P25" s="315"/>
      <c r="Q25" s="315"/>
      <c r="R25" s="315"/>
      <c r="S25" s="315"/>
    </row>
    <row r="26" spans="2:19" ht="13.8" thickTop="1"/>
    <row r="30" spans="2:19" ht="22.8">
      <c r="B30" s="1804" t="str">
        <f>UPPER('KEY INPUTS'!D$54)&amp;" UTILITY  CAPITAL  FUND"</f>
        <v xml:space="preserve"> UTILITY  CAPITAL  FUND</v>
      </c>
      <c r="C30" s="1804"/>
      <c r="D30" s="1804"/>
      <c r="E30" s="1804"/>
      <c r="F30" s="1804"/>
      <c r="G30" s="1804"/>
      <c r="H30" s="1804"/>
      <c r="I30" s="1804"/>
      <c r="J30" s="1804"/>
    </row>
    <row r="31" spans="2:19" ht="7.5" customHeight="1">
      <c r="B31" s="1128"/>
      <c r="C31" s="1128"/>
      <c r="D31" s="1128"/>
      <c r="E31" s="1128"/>
      <c r="F31" s="1128"/>
      <c r="G31" s="1128"/>
      <c r="H31" s="1128"/>
      <c r="I31" s="1128"/>
      <c r="J31" s="1128"/>
    </row>
    <row r="32" spans="2:19" ht="15.6">
      <c r="B32" s="1821" t="s">
        <v>188</v>
      </c>
      <c r="C32" s="1821"/>
      <c r="D32" s="1821"/>
      <c r="E32" s="1821"/>
      <c r="F32" s="1821"/>
      <c r="G32" s="1821"/>
      <c r="H32" s="1821"/>
      <c r="I32" s="1821"/>
      <c r="J32" s="1821"/>
    </row>
    <row r="33" spans="2:10" ht="13.8" thickBot="1">
      <c r="B33" s="1128"/>
      <c r="C33" s="1128"/>
      <c r="D33" s="1128"/>
      <c r="E33" s="1128"/>
      <c r="F33" s="1128"/>
      <c r="G33" s="1128"/>
      <c r="H33" s="1128"/>
      <c r="I33" s="1128"/>
      <c r="J33" s="1128"/>
    </row>
    <row r="34" spans="2:10" ht="26.25" customHeight="1" thickTop="1" thickBot="1">
      <c r="B34" s="1370"/>
      <c r="C34" s="1370"/>
      <c r="D34" s="1370"/>
      <c r="E34" s="1370"/>
      <c r="F34" s="1370"/>
      <c r="G34" s="1370"/>
      <c r="H34" s="1370"/>
      <c r="I34" s="1116" t="s">
        <v>101</v>
      </c>
      <c r="J34" s="1117" t="s">
        <v>102</v>
      </c>
    </row>
    <row r="35" spans="2:10" ht="21" customHeight="1" thickTop="1">
      <c r="B35" s="1140" t="str">
        <f>'KEY INPUTS'!D25</f>
        <v>Balance - January 1, 2020</v>
      </c>
      <c r="C35" s="1140"/>
      <c r="D35" s="1140"/>
      <c r="E35" s="1140"/>
      <c r="F35" s="1140"/>
      <c r="G35" s="1140"/>
      <c r="H35" s="1382"/>
      <c r="I35" s="1070" t="s">
        <v>662</v>
      </c>
      <c r="J35" s="630"/>
    </row>
    <row r="36" spans="2:10" ht="21" customHeight="1">
      <c r="B36" s="1121" t="str">
        <f>"Received from "&amp;TEXT('KEY INPUTS'!D34,"0")&amp;" Budget Appropriation *"</f>
        <v>Received from 2020 Budget Appropriation *</v>
      </c>
      <c r="C36" s="1121"/>
      <c r="D36" s="1121"/>
      <c r="E36" s="1121"/>
      <c r="F36" s="1121"/>
      <c r="G36" s="1121"/>
      <c r="H36" s="1383"/>
      <c r="I36" s="963" t="s">
        <v>662</v>
      </c>
      <c r="J36" s="601"/>
    </row>
    <row r="37" spans="2:10" ht="21" customHeight="1">
      <c r="B37" s="1121" t="str">
        <f>"Received from "&amp;TEXT('KEY INPUTS'!D34,"0")&amp;" Emergency Appropriation *"</f>
        <v>Received from 2020 Emergency Appropriation *</v>
      </c>
      <c r="C37" s="1121"/>
      <c r="D37" s="1121"/>
      <c r="E37" s="1121"/>
      <c r="F37" s="1121"/>
      <c r="G37" s="1121"/>
      <c r="H37" s="1383"/>
      <c r="I37" s="963" t="s">
        <v>662</v>
      </c>
      <c r="J37" s="601"/>
    </row>
    <row r="38" spans="2:10" ht="21" customHeight="1">
      <c r="B38" s="659"/>
      <c r="C38" s="1264"/>
      <c r="D38" s="659"/>
      <c r="E38" s="1373"/>
      <c r="F38" s="1373"/>
      <c r="G38" s="1373"/>
      <c r="H38" s="1373"/>
      <c r="I38" s="674"/>
      <c r="J38" s="369"/>
    </row>
    <row r="39" spans="2:10" ht="21" customHeight="1">
      <c r="B39" s="1121" t="s">
        <v>186</v>
      </c>
      <c r="C39" s="1121"/>
      <c r="D39" s="1121"/>
      <c r="E39" s="1121"/>
      <c r="F39" s="1121"/>
      <c r="G39" s="1121"/>
      <c r="H39" s="1383"/>
      <c r="I39" s="593"/>
      <c r="J39" s="967" t="s">
        <v>662</v>
      </c>
    </row>
    <row r="40" spans="2:10" ht="21" customHeight="1">
      <c r="B40" s="639"/>
      <c r="C40" s="639"/>
      <c r="D40" s="639"/>
      <c r="E40" s="1121"/>
      <c r="F40" s="1121"/>
      <c r="G40" s="1121"/>
      <c r="H40" s="1121"/>
      <c r="I40" s="593"/>
      <c r="J40" s="967" t="s">
        <v>662</v>
      </c>
    </row>
    <row r="41" spans="2:10" ht="21" customHeight="1" thickBot="1">
      <c r="B41" s="1121" t="str">
        <f>'KEY INPUTS'!D26</f>
        <v>Balance - December 31, 2020</v>
      </c>
      <c r="C41" s="1121"/>
      <c r="D41" s="1121"/>
      <c r="E41" s="1121"/>
      <c r="F41" s="1121"/>
      <c r="G41" s="1121"/>
      <c r="H41" s="1383"/>
      <c r="I41" s="1265">
        <f>SUM(J35:J38)-SUM(I38:I40)</f>
        <v>0</v>
      </c>
      <c r="J41" s="1086" t="s">
        <v>662</v>
      </c>
    </row>
    <row r="42" spans="2:10" ht="21" customHeight="1" thickTop="1" thickBot="1">
      <c r="B42" s="1128"/>
      <c r="C42" s="1128"/>
      <c r="D42" s="1128"/>
      <c r="E42" s="1128"/>
      <c r="F42" s="1128"/>
      <c r="G42" s="1128"/>
      <c r="H42" s="1128"/>
      <c r="I42" s="1046">
        <f>SUM(I35:I41)</f>
        <v>0</v>
      </c>
      <c r="J42" s="1403">
        <f>SUM(J35:J41)</f>
        <v>0</v>
      </c>
    </row>
    <row r="43" spans="2:10" ht="21" customHeight="1" thickTop="1">
      <c r="I43" s="189"/>
      <c r="J43" s="189"/>
    </row>
    <row r="44" spans="2:10" ht="21" customHeight="1"/>
    <row r="45" spans="2:10" ht="13.5" customHeight="1">
      <c r="B45" s="547" t="str">
        <f>"*The full amount of the "&amp;TEXT('KEY INPUTS'!D34,"0")&amp;"  budget appropriation should be transferred to this account unless the balance of the"</f>
        <v>*The full amount of the 2020  budget appropriation should be transferred to this account unless the balance of the</v>
      </c>
      <c r="C45" s="547"/>
    </row>
    <row r="46" spans="2:10" ht="13.5" customHeight="1">
      <c r="B46" s="547"/>
      <c r="C46" s="547" t="s">
        <v>187</v>
      </c>
    </row>
    <row r="47" spans="2:10" ht="13.5" customHeight="1">
      <c r="B47" s="547"/>
      <c r="C47" s="547"/>
    </row>
    <row r="48" spans="2:10" ht="13.5" customHeight="1">
      <c r="B48" s="547"/>
      <c r="C48" s="547"/>
    </row>
    <row r="49" spans="2:10" ht="13.5" customHeight="1">
      <c r="B49" s="547"/>
      <c r="C49" s="547"/>
    </row>
    <row r="50" spans="2:10" ht="13.5" customHeight="1">
      <c r="B50" s="547"/>
      <c r="C50" s="547"/>
    </row>
    <row r="51" spans="2:10" ht="13.5" customHeight="1">
      <c r="B51" s="547"/>
      <c r="C51" s="547"/>
    </row>
    <row r="52" spans="2:10" ht="13.5" customHeight="1">
      <c r="B52" s="547"/>
      <c r="C52" s="547"/>
    </row>
    <row r="53" spans="2:10" ht="13.5" customHeight="1">
      <c r="B53" s="547"/>
      <c r="C53" s="547"/>
    </row>
    <row r="54" spans="2:10" ht="13.8">
      <c r="B54" s="1850" t="s">
        <v>3231</v>
      </c>
      <c r="C54" s="1850"/>
      <c r="D54" s="1850"/>
      <c r="E54" s="1850"/>
      <c r="F54" s="1850"/>
      <c r="G54" s="1850"/>
      <c r="H54" s="1850"/>
      <c r="I54" s="1850"/>
      <c r="J54" s="1850"/>
    </row>
  </sheetData>
  <sheetProtection algorithmName="SHA-512" hashValue="8OV5kxkFmUIQttFhPiClqzVQxwLgxwsNnE3Y8seuzm0LNCjpmlkxn8mTRtV5mk0Z4Rx/Lbn7Pl51vmRL8JHEpQ==" saltValue="cHo4W/3tHEVavtq5A3bcmA==" spinCount="100000" sheet="1" objects="1" scenarios="1"/>
  <mergeCells count="7">
    <mergeCell ref="B3:J3"/>
    <mergeCell ref="B5:J5"/>
    <mergeCell ref="B30:J30"/>
    <mergeCell ref="B32:J32"/>
    <mergeCell ref="B54:J54"/>
    <mergeCell ref="J11:J12"/>
    <mergeCell ref="I11:I12"/>
  </mergeCells>
  <pageMargins left="0.25" right="0.25" top="0.5" bottom="0.5" header="0.25" footer="0.25"/>
  <pageSetup paperSize="5" orientation="portrait" r:id="rId1"/>
  <headerFooter alignWithMargins="0"/>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3">
    <tabColor theme="5" tint="0.59999389629810485"/>
  </sheetPr>
  <dimension ref="A1:AC52"/>
  <sheetViews>
    <sheetView zoomScaleNormal="100" zoomScaleSheetLayoutView="80" workbookViewId="0">
      <selection activeCell="B1" sqref="B1"/>
    </sheetView>
  </sheetViews>
  <sheetFormatPr defaultColWidth="8.88671875" defaultRowHeight="13.2"/>
  <cols>
    <col min="1" max="3" width="4.6640625" style="391" customWidth="1"/>
    <col min="4" max="4" width="4.5546875" style="391" customWidth="1"/>
    <col min="5" max="5" width="8.88671875" style="391"/>
    <col min="6" max="6" width="6.6640625" style="391" customWidth="1"/>
    <col min="7" max="10" width="16.6640625" style="391" customWidth="1"/>
    <col min="11" max="20" width="8.88671875" style="391"/>
    <col min="21" max="23" width="4.6640625" style="315" customWidth="1"/>
    <col min="24" max="24" width="8.88671875" style="315"/>
    <col min="25" max="25" width="6.6640625" style="315" customWidth="1"/>
    <col min="26" max="29" width="16.6640625" style="315" customWidth="1"/>
    <col min="30" max="16384" width="8.88671875" style="391"/>
  </cols>
  <sheetData>
    <row r="1" spans="2:19">
      <c r="B1" s="1096"/>
      <c r="C1" s="1096"/>
      <c r="D1" s="1204"/>
      <c r="E1" s="1204"/>
      <c r="F1" s="1096"/>
      <c r="G1" s="1096"/>
      <c r="H1" s="1096"/>
      <c r="I1" s="1096"/>
      <c r="J1" s="1096"/>
    </row>
    <row r="2" spans="2:19">
      <c r="B2" s="1096"/>
      <c r="C2" s="1096"/>
      <c r="D2" s="1204"/>
      <c r="E2" s="1204"/>
      <c r="F2" s="1096"/>
      <c r="G2" s="1096"/>
      <c r="H2" s="1096"/>
      <c r="I2" s="1096"/>
      <c r="J2" s="1096"/>
    </row>
    <row r="3" spans="2:19" ht="24.6">
      <c r="B3" s="1993" t="str">
        <f>UPPER('KEY INPUTS'!D$54)&amp;" UTILITY FUND"</f>
        <v xml:space="preserve"> UTILITY FUND</v>
      </c>
      <c r="C3" s="1993"/>
      <c r="D3" s="1993"/>
      <c r="E3" s="1993"/>
      <c r="F3" s="1993"/>
      <c r="G3" s="1993"/>
      <c r="H3" s="1993"/>
      <c r="I3" s="1993"/>
      <c r="J3" s="1993"/>
    </row>
    <row r="4" spans="2:19">
      <c r="B4" s="1096"/>
      <c r="C4" s="1096"/>
      <c r="D4" s="1096"/>
      <c r="E4" s="1096"/>
      <c r="F4" s="1096"/>
      <c r="G4" s="1096"/>
      <c r="H4" s="1096"/>
      <c r="I4" s="1096"/>
      <c r="J4" s="1096"/>
    </row>
    <row r="5" spans="2:19" ht="17.399999999999999">
      <c r="B5" s="1843" t="str">
        <f>"CAPITAL  IMPROVEMENTS  AUTHORIZED  IN "&amp;TEXT('KEY INPUTS'!D34,"0")&amp;""</f>
        <v>CAPITAL  IMPROVEMENTS  AUTHORIZED  IN 2020</v>
      </c>
      <c r="C5" s="1843"/>
      <c r="D5" s="1843"/>
      <c r="E5" s="1843"/>
      <c r="F5" s="1843"/>
      <c r="G5" s="1843"/>
      <c r="H5" s="1843"/>
      <c r="I5" s="1843"/>
      <c r="J5" s="1843"/>
    </row>
    <row r="6" spans="2:19" ht="17.399999999999999">
      <c r="B6" s="1843" t="s">
        <v>210</v>
      </c>
      <c r="C6" s="1843"/>
      <c r="D6" s="1843"/>
      <c r="E6" s="1843"/>
      <c r="F6" s="1843"/>
      <c r="G6" s="1843"/>
      <c r="H6" s="1843"/>
      <c r="I6" s="1843"/>
      <c r="J6" s="1843"/>
    </row>
    <row r="7" spans="2:19" ht="13.8" thickBot="1">
      <c r="B7" s="1096"/>
      <c r="C7" s="1096"/>
      <c r="D7" s="1096"/>
      <c r="E7" s="1096"/>
      <c r="F7" s="1096"/>
      <c r="G7" s="1096"/>
      <c r="H7" s="1096"/>
      <c r="I7" s="1096"/>
      <c r="J7" s="1096"/>
    </row>
    <row r="8" spans="2:19" ht="13.8" thickTop="1">
      <c r="B8" s="1219"/>
      <c r="C8" s="1219"/>
      <c r="D8" s="1219"/>
      <c r="E8" s="1219"/>
      <c r="F8" s="1219"/>
      <c r="G8" s="1220"/>
      <c r="H8" s="1220"/>
      <c r="I8" s="1220"/>
      <c r="J8" s="1284" t="s">
        <v>251</v>
      </c>
    </row>
    <row r="9" spans="2:19">
      <c r="B9" s="1096"/>
      <c r="C9" s="1908" t="s">
        <v>440</v>
      </c>
      <c r="D9" s="1908"/>
      <c r="E9" s="1908"/>
      <c r="F9" s="1096"/>
      <c r="G9" s="1223" t="s">
        <v>441</v>
      </c>
      <c r="H9" s="1223" t="s">
        <v>209</v>
      </c>
      <c r="I9" s="1223" t="s">
        <v>213</v>
      </c>
      <c r="J9" s="1281" t="s">
        <v>252</v>
      </c>
    </row>
    <row r="10" spans="2:19">
      <c r="B10" s="1096"/>
      <c r="C10" s="1096"/>
      <c r="D10" s="1096"/>
      <c r="E10" s="1096"/>
      <c r="F10" s="1096"/>
      <c r="G10" s="1223" t="s">
        <v>211</v>
      </c>
      <c r="H10" s="1223" t="s">
        <v>212</v>
      </c>
      <c r="I10" s="1223" t="s">
        <v>214</v>
      </c>
      <c r="J10" s="1389" t="str">
        <f>"of " &amp;TEXT('KEY INPUTS'!D34,"0")&amp;" or Prior"</f>
        <v>of 2020 or Prior</v>
      </c>
    </row>
    <row r="11" spans="2:19" ht="13.8" thickBot="1">
      <c r="B11" s="1151"/>
      <c r="C11" s="1151"/>
      <c r="D11" s="1151"/>
      <c r="E11" s="1151"/>
      <c r="F11" s="1151"/>
      <c r="G11" s="1230"/>
      <c r="H11" s="1230" t="s">
        <v>468</v>
      </c>
      <c r="I11" s="1230" t="s">
        <v>250</v>
      </c>
      <c r="J11" s="1390" t="s">
        <v>253</v>
      </c>
      <c r="M11" s="315"/>
      <c r="N11" s="315"/>
      <c r="O11" s="315"/>
      <c r="P11" s="315"/>
      <c r="Q11" s="315"/>
      <c r="R11" s="315"/>
      <c r="S11" s="315"/>
    </row>
    <row r="12" spans="2:19" ht="21" customHeight="1" thickTop="1">
      <c r="B12" s="664"/>
      <c r="C12" s="664"/>
      <c r="D12" s="664"/>
      <c r="E12" s="664"/>
      <c r="F12" s="664"/>
      <c r="G12" s="597"/>
      <c r="H12" s="597"/>
      <c r="I12" s="597"/>
      <c r="J12" s="630"/>
      <c r="M12" s="315"/>
      <c r="N12" s="315"/>
      <c r="O12" s="315"/>
      <c r="P12" s="315"/>
      <c r="Q12" s="315"/>
      <c r="R12" s="315"/>
      <c r="S12" s="315"/>
    </row>
    <row r="13" spans="2:19" ht="21" customHeight="1">
      <c r="B13" s="639"/>
      <c r="C13" s="639"/>
      <c r="D13" s="639"/>
      <c r="E13" s="639"/>
      <c r="F13" s="639"/>
      <c r="G13" s="593"/>
      <c r="H13" s="593"/>
      <c r="I13" s="593"/>
      <c r="J13" s="601"/>
      <c r="M13" s="370"/>
      <c r="N13" s="315"/>
      <c r="O13" s="315"/>
      <c r="P13" s="315"/>
      <c r="Q13" s="315"/>
      <c r="R13" s="315"/>
      <c r="S13" s="315"/>
    </row>
    <row r="14" spans="2:19" ht="21" customHeight="1">
      <c r="B14" s="639"/>
      <c r="C14" s="639"/>
      <c r="D14" s="639"/>
      <c r="E14" s="639"/>
      <c r="F14" s="639"/>
      <c r="G14" s="593"/>
      <c r="H14" s="593"/>
      <c r="I14" s="593"/>
      <c r="J14" s="601"/>
      <c r="M14" s="315"/>
      <c r="N14" s="315"/>
      <c r="O14" s="315"/>
      <c r="P14" s="315"/>
      <c r="Q14" s="315"/>
      <c r="R14" s="315"/>
      <c r="S14" s="315"/>
    </row>
    <row r="15" spans="2:19" ht="21" customHeight="1">
      <c r="B15" s="639"/>
      <c r="C15" s="639"/>
      <c r="D15" s="639"/>
      <c r="E15" s="639"/>
      <c r="F15" s="639"/>
      <c r="G15" s="593"/>
      <c r="H15" s="593"/>
      <c r="I15" s="593"/>
      <c r="J15" s="601"/>
      <c r="M15" s="315"/>
      <c r="N15" s="315"/>
      <c r="O15" s="315"/>
      <c r="P15" s="315"/>
      <c r="Q15" s="315"/>
      <c r="R15" s="315"/>
      <c r="S15" s="315"/>
    </row>
    <row r="16" spans="2:19" ht="21" customHeight="1">
      <c r="B16" s="639"/>
      <c r="C16" s="639"/>
      <c r="D16" s="639"/>
      <c r="E16" s="639"/>
      <c r="F16" s="639"/>
      <c r="G16" s="593"/>
      <c r="H16" s="593"/>
      <c r="I16" s="593"/>
      <c r="J16" s="601"/>
      <c r="M16" s="315"/>
      <c r="N16" s="315"/>
      <c r="O16" s="315"/>
      <c r="P16" s="315"/>
      <c r="Q16" s="315"/>
      <c r="R16" s="315"/>
      <c r="S16" s="315"/>
    </row>
    <row r="17" spans="2:19" ht="21" customHeight="1">
      <c r="B17" s="639"/>
      <c r="C17" s="639"/>
      <c r="D17" s="639"/>
      <c r="E17" s="639"/>
      <c r="F17" s="639"/>
      <c r="G17" s="593"/>
      <c r="H17" s="593"/>
      <c r="I17" s="593"/>
      <c r="J17" s="601"/>
      <c r="M17" s="315"/>
      <c r="N17" s="315"/>
      <c r="O17" s="315"/>
      <c r="P17" s="315"/>
      <c r="Q17" s="315"/>
      <c r="R17" s="315"/>
      <c r="S17" s="315"/>
    </row>
    <row r="18" spans="2:19" ht="21" customHeight="1">
      <c r="B18" s="639"/>
      <c r="C18" s="639"/>
      <c r="D18" s="639"/>
      <c r="E18" s="639"/>
      <c r="F18" s="639"/>
      <c r="G18" s="593"/>
      <c r="H18" s="593"/>
      <c r="I18" s="593"/>
      <c r="J18" s="601"/>
      <c r="M18" s="315"/>
      <c r="N18" s="315"/>
      <c r="O18" s="315"/>
      <c r="P18" s="315"/>
      <c r="Q18" s="315"/>
      <c r="R18" s="315"/>
      <c r="S18" s="315"/>
    </row>
    <row r="19" spans="2:19" ht="21" customHeight="1">
      <c r="B19" s="639"/>
      <c r="C19" s="639"/>
      <c r="D19" s="639"/>
      <c r="E19" s="639"/>
      <c r="F19" s="639"/>
      <c r="G19" s="593"/>
      <c r="H19" s="593"/>
      <c r="I19" s="593"/>
      <c r="J19" s="601"/>
      <c r="M19" s="315"/>
      <c r="N19" s="315"/>
      <c r="O19" s="315"/>
      <c r="P19" s="315"/>
      <c r="Q19" s="315"/>
      <c r="R19" s="315"/>
      <c r="S19" s="315"/>
    </row>
    <row r="20" spans="2:19" ht="21" customHeight="1">
      <c r="B20" s="639"/>
      <c r="C20" s="639"/>
      <c r="D20" s="639"/>
      <c r="E20" s="639"/>
      <c r="F20" s="639"/>
      <c r="G20" s="593"/>
      <c r="H20" s="593"/>
      <c r="I20" s="593"/>
      <c r="J20" s="601"/>
      <c r="M20" s="315"/>
      <c r="N20" s="315"/>
      <c r="O20" s="315"/>
      <c r="P20" s="315"/>
      <c r="Q20" s="315"/>
      <c r="R20" s="315"/>
      <c r="S20" s="315"/>
    </row>
    <row r="21" spans="2:19" ht="21" customHeight="1" thickBot="1">
      <c r="B21" s="639"/>
      <c r="C21" s="639"/>
      <c r="D21" s="639"/>
      <c r="E21" s="639"/>
      <c r="F21" s="639"/>
      <c r="G21" s="619"/>
      <c r="H21" s="619"/>
      <c r="I21" s="619"/>
      <c r="J21" s="662"/>
      <c r="M21" s="315"/>
      <c r="N21" s="315"/>
      <c r="O21" s="315"/>
      <c r="P21" s="315"/>
      <c r="Q21" s="315"/>
      <c r="R21" s="315"/>
      <c r="S21" s="315"/>
    </row>
    <row r="22" spans="2:19" ht="21" customHeight="1" thickTop="1" thickBot="1">
      <c r="B22" s="1151"/>
      <c r="C22" s="1151"/>
      <c r="D22" s="1151"/>
      <c r="E22" s="1151"/>
      <c r="F22" s="1151"/>
      <c r="G22" s="1113">
        <f>SUM(G12:G21)</f>
        <v>0</v>
      </c>
      <c r="H22" s="1113">
        <f>SUM(H12:H21)</f>
        <v>0</v>
      </c>
      <c r="I22" s="1113">
        <f>SUM(I12:I21)</f>
        <v>0</v>
      </c>
      <c r="J22" s="1391">
        <f>SUM(J12:J21)</f>
        <v>0</v>
      </c>
      <c r="M22" s="315"/>
      <c r="N22" s="315"/>
      <c r="O22" s="315"/>
      <c r="P22" s="315"/>
      <c r="Q22" s="315"/>
      <c r="R22" s="315"/>
      <c r="S22" s="315"/>
    </row>
    <row r="23" spans="2:19" ht="13.8" thickTop="1">
      <c r="B23" s="1096"/>
      <c r="C23" s="1096"/>
      <c r="D23" s="1096"/>
      <c r="E23" s="1096"/>
      <c r="F23" s="1096"/>
      <c r="G23" s="1096"/>
      <c r="H23" s="1096"/>
      <c r="I23" s="1096"/>
      <c r="J23" s="1096"/>
      <c r="M23" s="315"/>
      <c r="N23" s="315"/>
      <c r="O23" s="315"/>
      <c r="P23" s="315"/>
      <c r="Q23" s="315"/>
      <c r="R23" s="315"/>
      <c r="S23" s="315"/>
    </row>
    <row r="24" spans="2:19">
      <c r="B24" s="1096"/>
      <c r="C24" s="1096"/>
      <c r="D24" s="1096"/>
      <c r="E24" s="1096"/>
      <c r="F24" s="1096"/>
      <c r="G24" s="1096"/>
      <c r="H24" s="1096"/>
      <c r="I24" s="1096"/>
      <c r="J24" s="1096"/>
      <c r="M24" s="315"/>
      <c r="N24" s="315"/>
      <c r="O24" s="315"/>
      <c r="P24" s="315"/>
      <c r="Q24" s="315"/>
      <c r="R24" s="315"/>
      <c r="S24" s="315"/>
    </row>
    <row r="25" spans="2:19">
      <c r="B25" s="1096"/>
      <c r="C25" s="1096"/>
      <c r="D25" s="1096"/>
      <c r="E25" s="1096"/>
      <c r="F25" s="1096"/>
      <c r="G25" s="1096"/>
      <c r="H25" s="1096"/>
      <c r="I25" s="1096"/>
      <c r="J25" s="1096"/>
      <c r="M25" s="315"/>
      <c r="N25" s="315"/>
      <c r="O25" s="315"/>
      <c r="P25" s="315"/>
      <c r="Q25" s="315"/>
      <c r="R25" s="315"/>
      <c r="S25" s="315"/>
    </row>
    <row r="26" spans="2:19">
      <c r="B26" s="1096"/>
      <c r="C26" s="1096"/>
      <c r="D26" s="1096"/>
      <c r="E26" s="1096"/>
      <c r="F26" s="1096"/>
      <c r="G26" s="1096"/>
      <c r="H26" s="1096"/>
      <c r="I26" s="1096"/>
      <c r="J26" s="1096"/>
      <c r="M26" s="315"/>
      <c r="N26" s="315"/>
      <c r="O26" s="315"/>
      <c r="P26" s="315"/>
      <c r="Q26" s="315"/>
      <c r="R26" s="315"/>
      <c r="S26" s="315"/>
    </row>
    <row r="27" spans="2:19">
      <c r="B27" s="1096"/>
      <c r="C27" s="1096"/>
      <c r="D27" s="1096"/>
      <c r="E27" s="1096"/>
      <c r="F27" s="1096"/>
      <c r="G27" s="1096"/>
      <c r="H27" s="1096"/>
      <c r="I27" s="1096"/>
      <c r="J27" s="1096"/>
      <c r="M27" s="315"/>
      <c r="N27" s="315"/>
      <c r="O27" s="315"/>
      <c r="P27" s="315"/>
      <c r="Q27" s="315"/>
      <c r="R27" s="315"/>
      <c r="S27" s="315"/>
    </row>
    <row r="28" spans="2:19" ht="22.8">
      <c r="B28" s="1804" t="str">
        <f>UPPER('KEY INPUTS'!D$54)&amp;" UTILITY  CAPITAL  FUND"</f>
        <v xml:space="preserve"> UTILITY  CAPITAL  FUND</v>
      </c>
      <c r="C28" s="1804"/>
      <c r="D28" s="1804"/>
      <c r="E28" s="1804"/>
      <c r="F28" s="1804"/>
      <c r="G28" s="1804"/>
      <c r="H28" s="1804"/>
      <c r="I28" s="1804"/>
      <c r="J28" s="1804"/>
    </row>
    <row r="29" spans="2:19" ht="22.8">
      <c r="B29" s="1804" t="s">
        <v>160</v>
      </c>
      <c r="C29" s="1804"/>
      <c r="D29" s="1804"/>
      <c r="E29" s="1804"/>
      <c r="F29" s="1804"/>
      <c r="G29" s="1804"/>
      <c r="H29" s="1804"/>
      <c r="I29" s="1804"/>
      <c r="J29" s="1804"/>
    </row>
    <row r="30" spans="2:19">
      <c r="B30" s="1096"/>
      <c r="C30" s="1096"/>
      <c r="D30" s="1096"/>
      <c r="E30" s="1096"/>
      <c r="F30" s="1096"/>
      <c r="G30" s="1096"/>
      <c r="H30" s="1096"/>
      <c r="I30" s="1096"/>
      <c r="J30" s="1096"/>
    </row>
    <row r="31" spans="2:19" ht="15.6">
      <c r="B31" s="1800" t="str">
        <f>"YEAR  "&amp;TEXT('KEY INPUTS'!D34,"0")&amp;""</f>
        <v>YEAR  2020</v>
      </c>
      <c r="C31" s="1800"/>
      <c r="D31" s="1800"/>
      <c r="E31" s="1800"/>
      <c r="F31" s="1800"/>
      <c r="G31" s="1800"/>
      <c r="H31" s="1800"/>
      <c r="I31" s="1800"/>
      <c r="J31" s="1800"/>
    </row>
    <row r="32" spans="2:19" ht="13.8" thickBot="1">
      <c r="B32" s="1096"/>
      <c r="C32" s="1096"/>
      <c r="D32" s="1096"/>
      <c r="E32" s="1096"/>
      <c r="F32" s="1096"/>
      <c r="G32" s="1096"/>
      <c r="H32" s="1096"/>
      <c r="I32" s="1096"/>
      <c r="J32" s="1096"/>
    </row>
    <row r="33" spans="1:10" ht="28.5" customHeight="1" thickTop="1" thickBot="1">
      <c r="B33" s="1315"/>
      <c r="C33" s="1315"/>
      <c r="D33" s="1315"/>
      <c r="E33" s="1315"/>
      <c r="F33" s="1315"/>
      <c r="G33" s="1315"/>
      <c r="H33" s="1315"/>
      <c r="I33" s="1097" t="s">
        <v>101</v>
      </c>
      <c r="J33" s="1098" t="s">
        <v>102</v>
      </c>
    </row>
    <row r="34" spans="1:10" ht="21" customHeight="1" thickTop="1">
      <c r="B34" s="1392" t="str">
        <f>'KEY INPUTS'!D25</f>
        <v>Balance - January 1, 2020</v>
      </c>
      <c r="C34" s="1152"/>
      <c r="D34" s="1152"/>
      <c r="E34" s="1152"/>
      <c r="F34" s="1152"/>
      <c r="G34" s="1152"/>
      <c r="H34" s="1152"/>
      <c r="I34" s="1153" t="s">
        <v>662</v>
      </c>
      <c r="J34" s="629"/>
    </row>
    <row r="35" spans="1:10" ht="21" customHeight="1">
      <c r="B35" s="681" t="s">
        <v>161</v>
      </c>
      <c r="C35" s="681"/>
      <c r="D35" s="681"/>
      <c r="E35" s="681"/>
      <c r="F35" s="681"/>
      <c r="G35" s="681"/>
      <c r="H35" s="681"/>
      <c r="I35" s="1156" t="s">
        <v>662</v>
      </c>
      <c r="J35" s="571"/>
    </row>
    <row r="36" spans="1:10" ht="21" customHeight="1">
      <c r="B36" s="681" t="s">
        <v>162</v>
      </c>
      <c r="C36" s="681"/>
      <c r="D36" s="681"/>
      <c r="E36" s="681"/>
      <c r="F36" s="681"/>
      <c r="G36" s="681"/>
      <c r="H36" s="681"/>
      <c r="I36" s="1156" t="s">
        <v>662</v>
      </c>
      <c r="J36" s="571"/>
    </row>
    <row r="37" spans="1:10" ht="21" customHeight="1">
      <c r="B37" s="639" t="s">
        <v>3273</v>
      </c>
      <c r="C37" s="639"/>
      <c r="D37" s="639"/>
      <c r="E37" s="639"/>
      <c r="F37" s="639"/>
      <c r="G37" s="639"/>
      <c r="H37" s="681"/>
      <c r="I37" s="367"/>
      <c r="J37" s="571"/>
    </row>
    <row r="38" spans="1:10" ht="21" customHeight="1">
      <c r="B38" s="639"/>
      <c r="C38" s="639"/>
      <c r="D38" s="639"/>
      <c r="E38" s="639"/>
      <c r="F38" s="639"/>
      <c r="G38" s="639"/>
      <c r="H38" s="681"/>
      <c r="I38" s="367"/>
      <c r="J38" s="571"/>
    </row>
    <row r="39" spans="1:10" ht="21" customHeight="1">
      <c r="B39" s="639"/>
      <c r="C39" s="639"/>
      <c r="D39" s="639"/>
      <c r="E39" s="639"/>
      <c r="F39" s="639"/>
      <c r="G39" s="639"/>
      <c r="H39" s="681"/>
      <c r="I39" s="367"/>
      <c r="J39" s="571"/>
    </row>
    <row r="40" spans="1:10" ht="21" customHeight="1">
      <c r="A40" s="1096"/>
      <c r="B40" s="681" t="s">
        <v>3233</v>
      </c>
      <c r="C40" s="681"/>
      <c r="D40" s="681"/>
      <c r="E40" s="681"/>
      <c r="F40" s="681"/>
      <c r="G40" s="681"/>
      <c r="H40" s="681"/>
      <c r="I40" s="367"/>
      <c r="J40" s="1282" t="s">
        <v>662</v>
      </c>
    </row>
    <row r="41" spans="1:10" ht="21" customHeight="1">
      <c r="A41" s="1096"/>
      <c r="B41" s="905" t="str">
        <f>"Appropriation to "&amp;'KEY INPUTS'!D34&amp;" Budget Reserve"</f>
        <v>Appropriation to 2020 Budget Reserve</v>
      </c>
      <c r="C41" s="681"/>
      <c r="D41" s="681"/>
      <c r="E41" s="681"/>
      <c r="F41" s="681"/>
      <c r="G41" s="1393"/>
      <c r="H41" s="681"/>
      <c r="I41" s="568"/>
      <c r="J41" s="1282" t="s">
        <v>662</v>
      </c>
    </row>
    <row r="42" spans="1:10" ht="21" customHeight="1">
      <c r="A42" s="1096"/>
      <c r="B42" s="681" t="str">
        <f>'KEY INPUTS'!D26</f>
        <v>Balance - December 31, 2020</v>
      </c>
      <c r="C42" s="681"/>
      <c r="D42" s="681"/>
      <c r="E42" s="681"/>
      <c r="F42" s="681"/>
      <c r="G42" s="681"/>
      <c r="H42" s="681"/>
      <c r="I42" s="833">
        <f>SUM(J34:J39)-SUM(I37:I41)</f>
        <v>0</v>
      </c>
      <c r="J42" s="1282" t="s">
        <v>662</v>
      </c>
    </row>
    <row r="43" spans="1:10" ht="21" customHeight="1" thickBot="1">
      <c r="B43" s="1096"/>
      <c r="C43" s="1096"/>
      <c r="D43" s="1096"/>
      <c r="E43" s="1096"/>
      <c r="F43" s="1096"/>
      <c r="G43" s="1096"/>
      <c r="H43" s="1096"/>
      <c r="I43" s="1091">
        <f>SUM(I34:I42)</f>
        <v>0</v>
      </c>
      <c r="J43" s="1394">
        <f>SUM(J34:J42)</f>
        <v>0</v>
      </c>
    </row>
    <row r="44" spans="1:10" ht="21" customHeight="1" thickTop="1"/>
    <row r="45" spans="1:10" ht="21" customHeight="1"/>
    <row r="46" spans="1:10" ht="21" customHeight="1"/>
    <row r="47" spans="1:10" ht="21" customHeight="1"/>
    <row r="48" spans="1:10" ht="21" customHeight="1"/>
    <row r="49" spans="2:10" ht="21" customHeight="1"/>
    <row r="52" spans="2:10" ht="13.8">
      <c r="B52" s="1799" t="s">
        <v>3232</v>
      </c>
      <c r="C52" s="1799"/>
      <c r="D52" s="1799"/>
      <c r="E52" s="1799"/>
      <c r="F52" s="1799"/>
      <c r="G52" s="1799"/>
      <c r="H52" s="1799"/>
      <c r="I52" s="1799"/>
      <c r="J52" s="1799"/>
    </row>
  </sheetData>
  <sheetProtection password="CAF9"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4">
    <tabColor theme="2" tint="-0.249977111117893"/>
  </sheetPr>
  <dimension ref="B1:R57"/>
  <sheetViews>
    <sheetView zoomScaleNormal="100" zoomScaleSheetLayoutView="80" workbookViewId="0">
      <selection activeCell="H26" sqref="H26"/>
    </sheetView>
  </sheetViews>
  <sheetFormatPr defaultColWidth="8.88671875" defaultRowHeight="13.2"/>
  <cols>
    <col min="1" max="1" width="4.6640625" style="391" customWidth="1"/>
    <col min="2" max="2" width="4.88671875" style="391" customWidth="1"/>
    <col min="3" max="4" width="4.6640625" style="391" customWidth="1"/>
    <col min="5" max="5" width="30.6640625" style="391" customWidth="1"/>
    <col min="6" max="6" width="15.6640625" style="391" customWidth="1"/>
    <col min="7" max="8" width="16.6640625" style="391" customWidth="1"/>
    <col min="9" max="9" width="3.6640625" style="391" bestFit="1" customWidth="1"/>
    <col min="10" max="10" width="13.5546875" style="391" bestFit="1" customWidth="1"/>
    <col min="11" max="16384" width="8.88671875" style="391"/>
  </cols>
  <sheetData>
    <row r="1" spans="2:18">
      <c r="B1" s="1096"/>
      <c r="C1" s="1096"/>
      <c r="D1" s="1096"/>
      <c r="E1" s="1096"/>
      <c r="F1" s="1096"/>
      <c r="G1" s="1096"/>
      <c r="H1" s="1096"/>
    </row>
    <row r="2" spans="2:18">
      <c r="B2" s="1803" t="s">
        <v>37</v>
      </c>
      <c r="C2" s="1803"/>
      <c r="D2" s="1803"/>
      <c r="E2" s="1803"/>
      <c r="F2" s="1803"/>
      <c r="G2" s="1803"/>
      <c r="H2" s="1803"/>
    </row>
    <row r="3" spans="2:18">
      <c r="B3" s="1803" t="s">
        <v>476</v>
      </c>
      <c r="C3" s="1803"/>
      <c r="D3" s="1803"/>
      <c r="E3" s="1803"/>
      <c r="F3" s="1803"/>
      <c r="G3" s="1803"/>
      <c r="H3" s="1803"/>
    </row>
    <row r="4" spans="2:18">
      <c r="B4" s="1096"/>
      <c r="C4" s="1096"/>
      <c r="D4" s="1096"/>
      <c r="E4" s="1096"/>
      <c r="F4" s="1096"/>
      <c r="G4" s="1096"/>
      <c r="H4" s="1096"/>
    </row>
    <row r="5" spans="2:18" ht="22.8">
      <c r="B5" s="1804" t="s">
        <v>451</v>
      </c>
      <c r="C5" s="1804"/>
      <c r="D5" s="1804"/>
      <c r="E5" s="1804"/>
      <c r="F5" s="1804"/>
      <c r="G5" s="1804"/>
      <c r="H5" s="1804"/>
    </row>
    <row r="6" spans="2:18" ht="22.8">
      <c r="B6" s="1804" t="str">
        <f>"TRIAL  BALANCE - "&amp;UPPER('KEY INPUTS'!D55)&amp;"  UTILITY  FUND"</f>
        <v>TRIAL  BALANCE -   UTILITY  FUND</v>
      </c>
      <c r="C6" s="1804"/>
      <c r="D6" s="1804"/>
      <c r="E6" s="1804"/>
      <c r="F6" s="1804"/>
      <c r="G6" s="1804"/>
      <c r="H6" s="1804"/>
    </row>
    <row r="7" spans="2:18" ht="15.6">
      <c r="B7" s="1805" t="str">
        <f>'KEY INPUTS'!D44</f>
        <v>AS  AT  DECEMBER  31, 2020</v>
      </c>
      <c r="C7" s="1806"/>
      <c r="D7" s="1806"/>
      <c r="E7" s="1806"/>
      <c r="F7" s="1806"/>
      <c r="G7" s="1806"/>
      <c r="H7" s="1806"/>
    </row>
    <row r="8" spans="2:18" ht="15.6">
      <c r="B8" s="1800" t="s">
        <v>477</v>
      </c>
      <c r="C8" s="1800"/>
      <c r="D8" s="1800"/>
      <c r="E8" s="1800"/>
      <c r="F8" s="1800"/>
      <c r="G8" s="1800"/>
      <c r="H8" s="1800"/>
    </row>
    <row r="9" spans="2:18">
      <c r="B9" s="1801" t="s">
        <v>75</v>
      </c>
      <c r="C9" s="1801"/>
      <c r="D9" s="1801"/>
      <c r="E9" s="1801"/>
      <c r="F9" s="1801"/>
      <c r="G9" s="1801"/>
      <c r="H9" s="1801"/>
    </row>
    <row r="10" spans="2:18" ht="15" customHeight="1" thickBot="1">
      <c r="B10" s="1802" t="s">
        <v>76</v>
      </c>
      <c r="C10" s="1802"/>
      <c r="D10" s="1802"/>
      <c r="E10" s="1802"/>
      <c r="F10" s="1802"/>
      <c r="G10" s="1802"/>
      <c r="H10" s="1802"/>
    </row>
    <row r="11" spans="2:18" ht="36" customHeight="1" thickTop="1" thickBot="1">
      <c r="B11" s="1796" t="s">
        <v>100</v>
      </c>
      <c r="C11" s="1796"/>
      <c r="D11" s="1796"/>
      <c r="E11" s="1796"/>
      <c r="F11" s="1797"/>
      <c r="G11" s="1097" t="s">
        <v>101</v>
      </c>
      <c r="H11" s="1098" t="s">
        <v>102</v>
      </c>
      <c r="L11" s="315"/>
      <c r="M11" s="315"/>
      <c r="N11" s="315"/>
      <c r="O11" s="315"/>
      <c r="P11" s="315"/>
      <c r="Q11" s="315"/>
      <c r="R11" s="315"/>
    </row>
    <row r="12" spans="2:18" ht="21" customHeight="1" thickTop="1">
      <c r="B12" s="1096"/>
      <c r="C12" s="1096"/>
      <c r="D12" s="1096"/>
      <c r="E12" s="1096"/>
      <c r="F12" s="1096"/>
      <c r="G12" s="1099"/>
      <c r="H12" s="1100"/>
      <c r="L12" s="315"/>
      <c r="M12" s="315"/>
      <c r="N12" s="315"/>
      <c r="O12" s="315"/>
      <c r="P12" s="315"/>
      <c r="Q12" s="315"/>
      <c r="R12" s="315"/>
    </row>
    <row r="13" spans="2:18" ht="21" customHeight="1">
      <c r="B13" s="681" t="s">
        <v>202</v>
      </c>
      <c r="C13" s="681"/>
      <c r="D13" s="681"/>
      <c r="E13" s="681"/>
      <c r="F13" s="681"/>
      <c r="G13" s="593"/>
      <c r="H13" s="601"/>
      <c r="J13" s="730"/>
      <c r="L13" s="370"/>
      <c r="M13" s="315"/>
      <c r="N13" s="315"/>
      <c r="O13" s="315"/>
      <c r="P13" s="315"/>
      <c r="Q13" s="315"/>
      <c r="R13" s="315"/>
    </row>
    <row r="14" spans="2:18" ht="21" customHeight="1">
      <c r="B14" s="639" t="s">
        <v>335</v>
      </c>
      <c r="C14" s="639"/>
      <c r="D14" s="639"/>
      <c r="E14" s="639"/>
      <c r="F14" s="643"/>
      <c r="G14" s="593"/>
      <c r="H14" s="601"/>
      <c r="J14" s="730"/>
      <c r="L14" s="315"/>
      <c r="M14" s="315"/>
      <c r="N14" s="315"/>
      <c r="O14" s="315"/>
      <c r="P14" s="315"/>
      <c r="Q14" s="315"/>
      <c r="R14" s="315"/>
    </row>
    <row r="15" spans="2:18" ht="21" customHeight="1">
      <c r="B15" s="640"/>
      <c r="C15" s="640"/>
      <c r="D15" s="640"/>
      <c r="E15" s="640"/>
      <c r="F15" s="640"/>
      <c r="G15" s="593"/>
      <c r="H15" s="601"/>
      <c r="L15" s="315"/>
      <c r="M15" s="315"/>
      <c r="N15" s="315"/>
      <c r="O15" s="315"/>
      <c r="P15" s="315"/>
      <c r="Q15" s="315"/>
      <c r="R15" s="315"/>
    </row>
    <row r="16" spans="2:18" ht="21" customHeight="1">
      <c r="B16" s="639" t="s">
        <v>3274</v>
      </c>
      <c r="C16" s="639"/>
      <c r="D16" s="639"/>
      <c r="E16" s="639"/>
      <c r="F16" s="639"/>
      <c r="G16" s="1093"/>
      <c r="H16" s="1093"/>
      <c r="L16" s="315"/>
      <c r="M16" s="315"/>
      <c r="N16" s="315"/>
      <c r="O16" s="315"/>
      <c r="P16" s="315"/>
      <c r="Q16" s="315"/>
      <c r="R16" s="315"/>
    </row>
    <row r="17" spans="2:18" ht="21" customHeight="1">
      <c r="B17" s="639" t="s">
        <v>3274</v>
      </c>
      <c r="C17" s="639"/>
      <c r="D17" s="639"/>
      <c r="E17" s="639"/>
      <c r="F17" s="639"/>
      <c r="G17" s="1093"/>
      <c r="H17" s="1093"/>
      <c r="L17" s="315"/>
      <c r="M17" s="315"/>
      <c r="N17" s="315"/>
      <c r="O17" s="315"/>
      <c r="P17" s="315"/>
      <c r="Q17" s="315"/>
      <c r="R17" s="315"/>
    </row>
    <row r="18" spans="2:18" ht="21" customHeight="1">
      <c r="B18" s="639"/>
      <c r="C18" s="639"/>
      <c r="D18" s="639"/>
      <c r="E18" s="639"/>
      <c r="F18" s="639"/>
      <c r="G18" s="1093"/>
      <c r="H18" s="1093"/>
      <c r="L18" s="315"/>
      <c r="M18" s="315"/>
      <c r="N18" s="315"/>
      <c r="O18" s="315"/>
      <c r="P18" s="315"/>
      <c r="Q18" s="315"/>
      <c r="R18" s="315"/>
    </row>
    <row r="19" spans="2:18" ht="21" customHeight="1">
      <c r="B19" s="1101" t="s">
        <v>3263</v>
      </c>
      <c r="C19" s="1096"/>
      <c r="D19" s="1096"/>
      <c r="E19" s="1096"/>
      <c r="F19" s="1096"/>
      <c r="G19" s="1102"/>
      <c r="H19" s="1103"/>
      <c r="L19" s="315"/>
      <c r="M19" s="315"/>
      <c r="N19" s="315"/>
      <c r="O19" s="315"/>
      <c r="P19" s="315"/>
      <c r="Q19" s="315"/>
      <c r="R19" s="315"/>
    </row>
    <row r="20" spans="2:18" ht="21" customHeight="1">
      <c r="B20" s="681" t="s">
        <v>3264</v>
      </c>
      <c r="C20" s="681"/>
      <c r="D20" s="681"/>
      <c r="E20" s="681"/>
      <c r="F20" s="681"/>
      <c r="G20" s="1104">
        <f>+'47-Utility4'!L24</f>
        <v>0</v>
      </c>
      <c r="H20" s="1105"/>
      <c r="L20" s="315"/>
      <c r="M20" s="315"/>
      <c r="N20" s="315"/>
      <c r="O20" s="315"/>
      <c r="P20" s="315"/>
      <c r="Q20" s="315"/>
      <c r="R20" s="315"/>
    </row>
    <row r="21" spans="2:18" ht="21" customHeight="1">
      <c r="B21" s="681" t="s">
        <v>3265</v>
      </c>
      <c r="C21" s="681"/>
      <c r="D21" s="681"/>
      <c r="E21" s="681"/>
      <c r="F21" s="681"/>
      <c r="G21" s="680">
        <f>+'47-Utility4'!L54</f>
        <v>0</v>
      </c>
      <c r="H21" s="1096"/>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J23" s="730"/>
      <c r="L23" s="315"/>
      <c r="M23" s="315"/>
      <c r="N23" s="315"/>
      <c r="O23" s="315"/>
      <c r="P23" s="315"/>
      <c r="Q23" s="315"/>
      <c r="R23" s="315"/>
    </row>
    <row r="24" spans="2:18" ht="21" customHeight="1">
      <c r="B24" s="639"/>
      <c r="C24" s="639"/>
      <c r="D24" s="639"/>
      <c r="E24" s="639"/>
      <c r="F24" s="639"/>
      <c r="G24" s="593"/>
      <c r="H24" s="601"/>
      <c r="J24" s="730"/>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81" t="s">
        <v>3266</v>
      </c>
      <c r="C26" s="681"/>
      <c r="D26" s="681"/>
      <c r="E26" s="681"/>
      <c r="F26" s="681"/>
      <c r="G26" s="680"/>
      <c r="H26" s="1106"/>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1107" t="s">
        <v>3267</v>
      </c>
      <c r="C30" s="681"/>
      <c r="D30" s="681"/>
      <c r="E30" s="681"/>
      <c r="F30" s="681"/>
      <c r="G30" s="680"/>
      <c r="H30" s="1106"/>
    </row>
    <row r="31" spans="2:18" ht="21" customHeight="1">
      <c r="B31" s="681" t="s">
        <v>3194</v>
      </c>
      <c r="C31" s="681"/>
      <c r="D31" s="681"/>
      <c r="E31" s="681"/>
      <c r="F31" s="681"/>
      <c r="G31" s="593"/>
      <c r="H31" s="1106">
        <f>+'44-Utility4'!I37</f>
        <v>0</v>
      </c>
      <c r="J31" s="730"/>
    </row>
    <row r="32" spans="2:18" ht="21" customHeight="1">
      <c r="B32" s="681" t="s">
        <v>3193</v>
      </c>
      <c r="C32" s="681"/>
      <c r="D32" s="681"/>
      <c r="E32" s="681"/>
      <c r="F32" s="681"/>
      <c r="G32" s="593"/>
      <c r="H32" s="601"/>
    </row>
    <row r="33" spans="2:18" ht="21" customHeight="1">
      <c r="B33" s="681" t="s">
        <v>3192</v>
      </c>
      <c r="C33" s="681"/>
      <c r="D33" s="681"/>
      <c r="E33" s="681"/>
      <c r="F33" s="681"/>
      <c r="G33" s="593"/>
      <c r="H33" s="1108">
        <f>+'49-Utility4'!I29+'49a-Utility4'!I29+'50.1-Utility4'!M24+'49a.1-Utility4'!I29</f>
        <v>0</v>
      </c>
      <c r="J33" s="730"/>
    </row>
    <row r="34" spans="2:18" ht="21" customHeight="1">
      <c r="B34" s="639" t="s">
        <v>3275</v>
      </c>
      <c r="C34" s="639"/>
      <c r="D34" s="639"/>
      <c r="E34" s="639"/>
      <c r="F34" s="643"/>
      <c r="G34" s="593"/>
      <c r="H34" s="601"/>
    </row>
    <row r="35" spans="2:18" ht="21" customHeight="1">
      <c r="B35" s="639"/>
      <c r="C35" s="639"/>
      <c r="D35" s="639"/>
      <c r="E35" s="639"/>
      <c r="F35" s="639"/>
      <c r="G35" s="593"/>
      <c r="H35" s="601"/>
      <c r="L35" s="315"/>
      <c r="M35" s="315"/>
      <c r="N35" s="315"/>
      <c r="O35" s="315"/>
      <c r="P35" s="315"/>
      <c r="Q35" s="315"/>
      <c r="R35" s="315"/>
    </row>
    <row r="36" spans="2:18" ht="21" customHeight="1">
      <c r="B36" s="639"/>
      <c r="C36" s="639"/>
      <c r="D36" s="639"/>
      <c r="E36" s="639"/>
      <c r="F36" s="639"/>
      <c r="G36" s="593"/>
      <c r="H36" s="601"/>
      <c r="J36" s="730"/>
      <c r="L36" s="315"/>
      <c r="M36" s="315"/>
      <c r="N36" s="315"/>
      <c r="O36" s="315"/>
      <c r="P36" s="315"/>
      <c r="Q36" s="315"/>
      <c r="R36" s="315"/>
    </row>
    <row r="37" spans="2:18" ht="21" customHeight="1">
      <c r="B37" s="639"/>
      <c r="C37" s="639"/>
      <c r="D37" s="639"/>
      <c r="E37" s="639"/>
      <c r="F37" s="639"/>
      <c r="G37" s="593"/>
      <c r="H37" s="601"/>
      <c r="J37" s="730"/>
      <c r="L37" s="315"/>
      <c r="M37" s="315"/>
      <c r="N37" s="315"/>
      <c r="O37" s="315"/>
      <c r="P37" s="315"/>
      <c r="Q37" s="315"/>
      <c r="R37" s="315"/>
    </row>
    <row r="38" spans="2:18" ht="21" customHeight="1" thickBot="1">
      <c r="B38" s="639"/>
      <c r="C38" s="639"/>
      <c r="D38" s="639"/>
      <c r="E38" s="639"/>
      <c r="F38" s="639"/>
      <c r="G38" s="593"/>
      <c r="H38" s="625"/>
      <c r="L38" s="315"/>
      <c r="M38" s="315"/>
      <c r="N38" s="315"/>
      <c r="O38" s="315"/>
      <c r="P38" s="315"/>
      <c r="Q38" s="315"/>
      <c r="R38" s="315"/>
    </row>
    <row r="39" spans="2:18" ht="21" customHeight="1" thickTop="1">
      <c r="B39" s="681"/>
      <c r="C39" s="681" t="s">
        <v>3191</v>
      </c>
      <c r="D39" s="681"/>
      <c r="E39" s="681"/>
      <c r="F39" s="1266"/>
      <c r="G39" s="1267"/>
      <c r="H39" s="1109">
        <f>SUM(H30:H38)</f>
        <v>0</v>
      </c>
      <c r="I39" s="391" t="s">
        <v>844</v>
      </c>
    </row>
    <row r="40" spans="2:18" ht="21" customHeight="1">
      <c r="B40" s="1110" t="s">
        <v>3276</v>
      </c>
      <c r="C40" s="1110"/>
      <c r="D40" s="1110"/>
      <c r="E40" s="1110"/>
      <c r="F40" s="1110"/>
      <c r="G40" s="1105"/>
      <c r="H40" s="623"/>
    </row>
    <row r="41" spans="2:18" ht="21" customHeight="1">
      <c r="B41" s="681"/>
      <c r="C41" s="681"/>
      <c r="D41" s="681"/>
      <c r="E41" s="681"/>
      <c r="F41" s="681"/>
      <c r="G41" s="680"/>
      <c r="H41" s="1106"/>
    </row>
    <row r="42" spans="2:18" ht="21" customHeight="1">
      <c r="B42" s="681" t="s">
        <v>652</v>
      </c>
      <c r="C42" s="681"/>
      <c r="D42" s="681"/>
      <c r="E42" s="681"/>
      <c r="F42" s="681"/>
      <c r="G42" s="680"/>
      <c r="H42" s="1106">
        <f>+'46-Utility4'!K27</f>
        <v>0</v>
      </c>
    </row>
    <row r="43" spans="2:18" ht="21" customHeight="1" thickBot="1">
      <c r="B43" s="681"/>
      <c r="C43" s="681"/>
      <c r="D43" s="681"/>
      <c r="E43" s="681"/>
      <c r="F43" s="681"/>
      <c r="G43" s="1111"/>
      <c r="H43" s="1112"/>
    </row>
    <row r="44" spans="2:18" ht="21" customHeight="1" thickBot="1">
      <c r="B44" s="681" t="s">
        <v>3277</v>
      </c>
      <c r="C44" s="681"/>
      <c r="D44" s="681"/>
      <c r="E44" s="681"/>
      <c r="F44" s="681"/>
      <c r="G44" s="1113">
        <f>SUM(G12:G43)</f>
        <v>0</v>
      </c>
      <c r="H44" s="1114">
        <f>SUM(H39:H43)</f>
        <v>0</v>
      </c>
      <c r="J44" s="392">
        <f>G44-H44</f>
        <v>0</v>
      </c>
    </row>
    <row r="45" spans="2:18" ht="13.8" thickTop="1">
      <c r="B45" s="1908" t="s">
        <v>103</v>
      </c>
      <c r="C45" s="1908"/>
      <c r="D45" s="1908"/>
      <c r="E45" s="1908"/>
      <c r="F45" s="1908"/>
      <c r="G45" s="1908"/>
      <c r="H45" s="1908"/>
    </row>
    <row r="46" spans="2:18">
      <c r="B46" s="1281"/>
      <c r="C46" s="1281"/>
      <c r="D46" s="1281"/>
      <c r="E46" s="1281"/>
      <c r="F46" s="1281"/>
      <c r="G46" s="1281"/>
      <c r="H46" s="1281"/>
    </row>
    <row r="47" spans="2:18">
      <c r="B47" s="1281"/>
      <c r="C47" s="1281"/>
      <c r="D47" s="1281"/>
      <c r="E47" s="1281"/>
      <c r="F47" s="1281"/>
      <c r="G47" s="1281"/>
      <c r="H47" s="1281"/>
    </row>
    <row r="48" spans="2:18">
      <c r="B48" s="1281"/>
      <c r="C48" s="1281"/>
      <c r="D48" s="1281"/>
      <c r="E48" s="1281"/>
      <c r="F48" s="1281"/>
      <c r="G48" s="1281"/>
      <c r="H48" s="1281"/>
    </row>
    <row r="49" spans="2:8">
      <c r="B49" s="1281"/>
      <c r="C49" s="1281"/>
      <c r="D49" s="1281"/>
      <c r="E49" s="1281"/>
      <c r="F49" s="1281"/>
      <c r="G49" s="1281"/>
      <c r="H49" s="1281"/>
    </row>
    <row r="50" spans="2:8" ht="13.8">
      <c r="B50" s="1994" t="s">
        <v>3189</v>
      </c>
      <c r="C50" s="1994"/>
      <c r="D50" s="1994"/>
      <c r="E50" s="1994"/>
      <c r="F50" s="1994"/>
      <c r="G50" s="1994"/>
      <c r="H50" s="1994"/>
    </row>
    <row r="54" spans="2:8">
      <c r="H54" s="392"/>
    </row>
    <row r="57" spans="2:8">
      <c r="H57" s="392">
        <f>+H44-G44</f>
        <v>0</v>
      </c>
    </row>
  </sheetData>
  <sheetProtection algorithmName="SHA-512" hashValue="yx0YZ2BRhH4bENfxndh5HGYU1AsMpzHAiCRKnu0AmBdogF/F9D3uLsYUxgZklzeKoNiVelyPKLp+2RUZZr1BCA==" saltValue="BG+A5JpaUWcLWWsoJ1y+WA=="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5">
    <tabColor theme="2" tint="-0.249977111117893"/>
  </sheetPr>
  <dimension ref="B1:Q55"/>
  <sheetViews>
    <sheetView zoomScaleNormal="100" zoomScaleSheetLayoutView="80" workbookViewId="0">
      <selection activeCell="B1" sqref="B1"/>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INPUTS'!D55)&amp;"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1096"/>
      <c r="C12" s="1096"/>
      <c r="D12" s="1096"/>
      <c r="E12" s="1096"/>
      <c r="F12" s="1096"/>
      <c r="G12" s="1099"/>
      <c r="H12" s="1100"/>
    </row>
    <row r="13" spans="2:17" ht="21" customHeight="1">
      <c r="B13" s="1107" t="s">
        <v>677</v>
      </c>
      <c r="C13" s="681"/>
      <c r="D13" s="681"/>
      <c r="E13" s="681"/>
      <c r="F13" s="681"/>
      <c r="G13" s="680"/>
      <c r="H13" s="1106"/>
      <c r="K13" s="315"/>
      <c r="L13" s="315"/>
      <c r="M13" s="315"/>
      <c r="N13" s="315"/>
      <c r="O13" s="315"/>
      <c r="P13" s="315"/>
      <c r="Q13" s="315"/>
    </row>
    <row r="14" spans="2:17" ht="21" customHeight="1">
      <c r="B14" s="681"/>
      <c r="C14" s="681"/>
      <c r="D14" s="681"/>
      <c r="E14" s="681"/>
      <c r="F14" s="681"/>
      <c r="G14" s="680"/>
      <c r="H14" s="1106"/>
      <c r="K14" s="315"/>
      <c r="L14" s="315"/>
      <c r="M14" s="315"/>
      <c r="N14" s="315"/>
      <c r="O14" s="315"/>
      <c r="P14" s="315"/>
      <c r="Q14" s="315"/>
    </row>
    <row r="15" spans="2:17" ht="21" customHeight="1">
      <c r="B15" s="1096" t="s">
        <v>200</v>
      </c>
      <c r="C15" s="681"/>
      <c r="D15" s="681"/>
      <c r="E15" s="681"/>
      <c r="F15" s="681"/>
      <c r="G15" s="365"/>
      <c r="H15" s="1282" t="s">
        <v>662</v>
      </c>
      <c r="K15" s="370"/>
      <c r="L15" s="315"/>
      <c r="M15" s="315"/>
      <c r="N15" s="315"/>
      <c r="O15" s="315"/>
      <c r="P15" s="315"/>
      <c r="Q15" s="315"/>
    </row>
    <row r="16" spans="2:17" ht="21" customHeight="1">
      <c r="B16" s="681" t="s">
        <v>201</v>
      </c>
      <c r="C16" s="681"/>
      <c r="D16" s="681"/>
      <c r="E16" s="681"/>
      <c r="F16" s="681"/>
      <c r="G16" s="1156" t="s">
        <v>662</v>
      </c>
      <c r="H16" s="904">
        <f>+G15</f>
        <v>0</v>
      </c>
      <c r="K16" s="315"/>
      <c r="L16" s="315"/>
      <c r="M16" s="315"/>
      <c r="N16" s="315"/>
      <c r="O16" s="315"/>
      <c r="P16" s="315"/>
      <c r="Q16" s="315"/>
    </row>
    <row r="17" spans="2:17" ht="21" customHeight="1">
      <c r="B17" s="681"/>
      <c r="C17" s="681"/>
      <c r="D17" s="681"/>
      <c r="E17" s="681"/>
      <c r="F17" s="681"/>
      <c r="G17" s="897"/>
      <c r="H17" s="904"/>
      <c r="K17" s="315"/>
      <c r="L17" s="315"/>
      <c r="M17" s="315"/>
      <c r="N17" s="315"/>
      <c r="O17" s="315"/>
      <c r="P17" s="315"/>
      <c r="Q17" s="315"/>
    </row>
    <row r="18" spans="2:17" ht="21" customHeight="1">
      <c r="B18" s="681"/>
      <c r="C18" s="681" t="s">
        <v>375</v>
      </c>
      <c r="D18" s="681"/>
      <c r="E18" s="681"/>
      <c r="F18" s="681"/>
      <c r="G18" s="365"/>
      <c r="H18" s="561"/>
      <c r="K18" s="315"/>
      <c r="L18" s="315"/>
      <c r="M18" s="315"/>
      <c r="N18" s="315"/>
      <c r="O18" s="315"/>
      <c r="P18" s="315"/>
      <c r="Q18" s="315"/>
    </row>
    <row r="19" spans="2:17" ht="21" customHeight="1">
      <c r="B19" s="681"/>
      <c r="C19" s="639"/>
      <c r="D19" s="639"/>
      <c r="E19" s="639"/>
      <c r="F19" s="639"/>
      <c r="G19" s="365"/>
      <c r="H19" s="561"/>
      <c r="K19" s="315"/>
      <c r="L19" s="315"/>
      <c r="M19" s="315"/>
      <c r="N19" s="315"/>
      <c r="O19" s="315"/>
      <c r="P19" s="315"/>
      <c r="Q19" s="315"/>
    </row>
    <row r="20" spans="2:17" ht="21" customHeight="1">
      <c r="B20" s="681"/>
      <c r="C20" s="681" t="s">
        <v>942</v>
      </c>
      <c r="D20" s="681"/>
      <c r="E20" s="681"/>
      <c r="F20" s="681"/>
      <c r="G20" s="365"/>
      <c r="H20" s="561"/>
      <c r="K20" s="315"/>
      <c r="L20" s="315"/>
      <c r="M20" s="315"/>
      <c r="N20" s="315"/>
      <c r="O20" s="315"/>
      <c r="P20" s="315"/>
      <c r="Q20" s="315"/>
    </row>
    <row r="21" spans="2:17" ht="21" customHeight="1">
      <c r="B21" s="681"/>
      <c r="C21" s="681" t="s">
        <v>678</v>
      </c>
      <c r="D21" s="681"/>
      <c r="E21" s="681"/>
      <c r="F21" s="681"/>
      <c r="G21" s="897"/>
      <c r="H21" s="898"/>
      <c r="K21" s="315"/>
      <c r="L21" s="315"/>
      <c r="M21" s="315"/>
      <c r="N21" s="315"/>
      <c r="O21" s="315"/>
      <c r="P21" s="315"/>
      <c r="Q21" s="315"/>
    </row>
    <row r="22" spans="2:17" ht="21" customHeight="1">
      <c r="B22" s="681"/>
      <c r="C22" s="681"/>
      <c r="D22" s="681" t="s">
        <v>92</v>
      </c>
      <c r="E22" s="681"/>
      <c r="F22" s="681"/>
      <c r="G22" s="365"/>
      <c r="H22" s="561"/>
      <c r="K22" s="315"/>
      <c r="L22" s="315"/>
      <c r="M22" s="315"/>
      <c r="N22" s="315"/>
      <c r="O22" s="315"/>
      <c r="P22" s="315"/>
      <c r="Q22" s="315"/>
    </row>
    <row r="23" spans="2:17" ht="21" customHeight="1">
      <c r="B23" s="681"/>
      <c r="C23" s="681"/>
      <c r="D23" s="681" t="s">
        <v>706</v>
      </c>
      <c r="E23" s="681"/>
      <c r="F23" s="681"/>
      <c r="G23" s="365"/>
      <c r="H23" s="561"/>
      <c r="K23" s="315"/>
      <c r="L23" s="315"/>
      <c r="M23" s="315"/>
      <c r="N23" s="315"/>
      <c r="O23" s="315"/>
      <c r="P23" s="315"/>
      <c r="Q23" s="315"/>
    </row>
    <row r="24" spans="2:17" ht="21" customHeight="1">
      <c r="B24" s="395"/>
      <c r="C24" s="639"/>
      <c r="D24" s="639" t="s">
        <v>3190</v>
      </c>
      <c r="E24" s="639"/>
      <c r="F24" s="639"/>
      <c r="G24" s="365"/>
      <c r="H24" s="581"/>
      <c r="K24" s="315"/>
      <c r="L24" s="315"/>
      <c r="M24" s="315"/>
      <c r="N24" s="315"/>
      <c r="O24" s="315"/>
      <c r="P24" s="315"/>
      <c r="Q24" s="315"/>
    </row>
    <row r="25" spans="2:17" ht="21" customHeight="1">
      <c r="B25" s="395"/>
      <c r="C25" s="639"/>
      <c r="D25" s="639" t="s">
        <v>3190</v>
      </c>
      <c r="E25" s="639"/>
      <c r="F25" s="639"/>
      <c r="G25" s="365"/>
      <c r="H25" s="581" t="s">
        <v>3190</v>
      </c>
    </row>
    <row r="26" spans="2:17" ht="21" customHeight="1">
      <c r="B26" s="395"/>
      <c r="C26" s="640"/>
      <c r="D26" s="639"/>
      <c r="E26" s="639"/>
      <c r="F26" s="639"/>
      <c r="G26" s="365"/>
      <c r="H26" s="642"/>
    </row>
    <row r="27" spans="2:17" ht="21" customHeight="1">
      <c r="B27" s="395"/>
      <c r="C27" s="639" t="s">
        <v>3190</v>
      </c>
      <c r="D27" s="639"/>
      <c r="E27" s="639"/>
      <c r="F27" s="639"/>
      <c r="G27" s="365"/>
      <c r="H27" s="581" t="s">
        <v>3190</v>
      </c>
    </row>
    <row r="28" spans="2:17" ht="21" customHeight="1">
      <c r="B28" s="395"/>
      <c r="C28" s="639"/>
      <c r="D28" s="639"/>
      <c r="E28" s="639"/>
      <c r="F28" s="639"/>
      <c r="G28" s="365"/>
      <c r="H28" s="581"/>
    </row>
    <row r="29" spans="2:17" ht="21" customHeight="1">
      <c r="B29" s="395"/>
      <c r="C29" s="639"/>
      <c r="D29" s="639" t="s">
        <v>3190</v>
      </c>
      <c r="E29" s="639"/>
      <c r="F29" s="639"/>
      <c r="G29" s="365"/>
      <c r="H29" s="581"/>
      <c r="K29" s="315"/>
      <c r="L29" s="315"/>
      <c r="M29" s="315"/>
      <c r="N29" s="315"/>
      <c r="O29" s="315"/>
      <c r="P29" s="315"/>
      <c r="Q29" s="315"/>
    </row>
    <row r="30" spans="2:17" ht="21" customHeight="1">
      <c r="B30" s="395"/>
      <c r="C30" s="639"/>
      <c r="D30" s="639" t="s">
        <v>3190</v>
      </c>
      <c r="E30" s="639"/>
      <c r="F30" s="639"/>
      <c r="G30" s="365"/>
      <c r="H30" s="581"/>
      <c r="K30" s="315"/>
      <c r="L30" s="315"/>
      <c r="M30" s="315"/>
      <c r="N30" s="315"/>
      <c r="O30" s="315"/>
      <c r="P30" s="315"/>
      <c r="Q30" s="315"/>
    </row>
    <row r="31" spans="2:17" ht="21" customHeight="1">
      <c r="B31" s="395"/>
      <c r="C31" s="639"/>
      <c r="D31" s="639" t="s">
        <v>3190</v>
      </c>
      <c r="E31" s="639"/>
      <c r="F31" s="639"/>
      <c r="G31" s="365"/>
      <c r="H31" s="581" t="s">
        <v>3190</v>
      </c>
    </row>
    <row r="32" spans="2:17" ht="21" customHeight="1">
      <c r="B32" s="395"/>
      <c r="C32" s="640"/>
      <c r="D32" s="639"/>
      <c r="E32" s="639"/>
      <c r="F32" s="639"/>
      <c r="G32" s="365"/>
      <c r="H32" s="642"/>
    </row>
    <row r="33" spans="2:17" ht="21" customHeight="1">
      <c r="B33" s="395"/>
      <c r="C33" s="639" t="s">
        <v>3190</v>
      </c>
      <c r="D33" s="639"/>
      <c r="E33" s="639"/>
      <c r="F33" s="639"/>
      <c r="G33" s="365"/>
      <c r="H33" s="581" t="s">
        <v>3190</v>
      </c>
    </row>
    <row r="34" spans="2:17" ht="21" customHeight="1">
      <c r="B34" s="395"/>
      <c r="C34" s="639"/>
      <c r="D34" s="639"/>
      <c r="E34" s="639"/>
      <c r="F34" s="639"/>
      <c r="G34" s="365"/>
      <c r="H34" s="581"/>
    </row>
    <row r="35" spans="2:17" ht="21" customHeight="1">
      <c r="B35" s="395"/>
      <c r="C35" s="639"/>
      <c r="D35" s="639" t="s">
        <v>3190</v>
      </c>
      <c r="E35" s="639"/>
      <c r="F35" s="639"/>
      <c r="G35" s="365"/>
      <c r="H35" s="581"/>
      <c r="K35" s="315"/>
      <c r="L35" s="315"/>
      <c r="M35" s="315"/>
      <c r="N35" s="315"/>
      <c r="O35" s="315"/>
      <c r="P35" s="315"/>
      <c r="Q35" s="315"/>
    </row>
    <row r="36" spans="2:17" ht="21" customHeight="1">
      <c r="B36" s="395"/>
      <c r="C36" s="639"/>
      <c r="D36" s="639" t="s">
        <v>3190</v>
      </c>
      <c r="E36" s="639"/>
      <c r="F36" s="639"/>
      <c r="G36" s="365"/>
      <c r="H36" s="581" t="s">
        <v>3190</v>
      </c>
    </row>
    <row r="37" spans="2:17" ht="21" customHeight="1">
      <c r="B37" s="395"/>
      <c r="C37" s="640"/>
      <c r="D37" s="639"/>
      <c r="E37" s="639"/>
      <c r="F37" s="639"/>
      <c r="G37" s="365"/>
      <c r="H37" s="642"/>
    </row>
    <row r="38" spans="2:17" ht="21" customHeight="1">
      <c r="B38" s="395"/>
      <c r="C38" s="639" t="s">
        <v>3190</v>
      </c>
      <c r="D38" s="639"/>
      <c r="E38" s="639"/>
      <c r="F38" s="639"/>
      <c r="G38" s="365"/>
      <c r="H38" s="581" t="s">
        <v>3190</v>
      </c>
    </row>
    <row r="39" spans="2:17" ht="21" customHeight="1">
      <c r="B39" s="395"/>
      <c r="C39" s="639"/>
      <c r="D39" s="639"/>
      <c r="E39" s="639"/>
      <c r="F39" s="639"/>
      <c r="G39" s="365"/>
      <c r="H39" s="581"/>
    </row>
    <row r="40" spans="2:17" ht="21" customHeight="1">
      <c r="B40" s="395"/>
      <c r="C40" s="639"/>
      <c r="D40" s="639"/>
      <c r="E40" s="639"/>
      <c r="F40" s="639"/>
      <c r="G40" s="365"/>
      <c r="H40" s="581"/>
    </row>
    <row r="41" spans="2:17" ht="21" customHeight="1">
      <c r="B41" s="395"/>
      <c r="C41" s="639" t="s">
        <v>3190</v>
      </c>
      <c r="D41" s="639"/>
      <c r="E41" s="639"/>
      <c r="F41" s="639"/>
      <c r="G41" s="365"/>
      <c r="H41" s="581" t="s">
        <v>3190</v>
      </c>
    </row>
    <row r="42" spans="2:17" ht="21" customHeight="1">
      <c r="B42" s="395"/>
      <c r="C42" s="639" t="s">
        <v>3190</v>
      </c>
      <c r="D42" s="639"/>
      <c r="E42" s="639"/>
      <c r="F42" s="639"/>
      <c r="G42" s="365"/>
      <c r="H42" s="581" t="s">
        <v>3190</v>
      </c>
    </row>
    <row r="43" spans="2:17" ht="21" customHeight="1" thickBot="1">
      <c r="B43" s="681"/>
      <c r="C43" s="681"/>
      <c r="D43" s="681"/>
      <c r="E43" s="681"/>
      <c r="F43" s="681"/>
      <c r="G43" s="1276"/>
      <c r="H43" s="1277"/>
      <c r="I43" s="392"/>
      <c r="M43" s="392"/>
    </row>
    <row r="44" spans="2:17" ht="21" customHeight="1" thickBot="1">
      <c r="B44" s="681"/>
      <c r="C44" s="681" t="s">
        <v>3323</v>
      </c>
      <c r="D44" s="681"/>
      <c r="E44" s="681"/>
      <c r="F44" s="681"/>
      <c r="G44" s="1278">
        <f>SUM(G15:G42)</f>
        <v>0</v>
      </c>
      <c r="H44" s="1279">
        <f>SUM(H15:H43)</f>
        <v>0</v>
      </c>
      <c r="I44" s="392"/>
      <c r="K44" s="392"/>
    </row>
    <row r="45" spans="2:17" ht="13.8" thickTop="1">
      <c r="B45" s="1812" t="s">
        <v>103</v>
      </c>
      <c r="C45" s="1812"/>
      <c r="D45" s="1812"/>
      <c r="E45" s="1812"/>
      <c r="F45" s="1812"/>
      <c r="G45" s="1813"/>
      <c r="H45" s="1813"/>
    </row>
    <row r="46" spans="2:17">
      <c r="B46" s="909"/>
      <c r="C46" s="909"/>
      <c r="D46" s="909"/>
      <c r="E46" s="909"/>
      <c r="F46" s="909"/>
      <c r="G46" s="909"/>
      <c r="H46" s="909"/>
    </row>
    <row r="47" spans="2:17">
      <c r="B47" s="909"/>
      <c r="C47" s="909"/>
      <c r="D47" s="909"/>
      <c r="E47" s="909"/>
      <c r="F47" s="909"/>
      <c r="G47" s="909"/>
      <c r="H47" s="909"/>
    </row>
    <row r="48" spans="2:17">
      <c r="B48" s="909"/>
      <c r="C48" s="909"/>
      <c r="D48" s="909"/>
      <c r="E48" s="909"/>
      <c r="F48" s="909"/>
      <c r="G48" s="909"/>
      <c r="H48" s="909"/>
    </row>
    <row r="49" spans="2:8">
      <c r="B49" s="909"/>
      <c r="C49" s="909"/>
      <c r="D49" s="909"/>
      <c r="E49" s="909"/>
      <c r="F49" s="909"/>
      <c r="G49" s="909"/>
      <c r="H49" s="909"/>
    </row>
    <row r="50" spans="2:8" ht="13.8">
      <c r="B50" s="1799" t="s">
        <v>3195</v>
      </c>
      <c r="C50" s="1799"/>
      <c r="D50" s="1799"/>
      <c r="E50" s="1799"/>
      <c r="F50" s="1799"/>
      <c r="G50" s="1799"/>
      <c r="H50" s="1799"/>
    </row>
    <row r="55" spans="2:8">
      <c r="H55" s="392"/>
    </row>
  </sheetData>
  <sheetProtection algorithmName="SHA-512" hashValue="+NnAy6vlJ0yrzef00lt6RF91R/s3sGlbda7UDQc7MU4sYGVsk/VnKTZ/oTCCORyTGywlp6Hg5cJBaP21K/BACA==" saltValue="FQsDlwWG7J8SD3hPKqnBSw=="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6">
    <tabColor theme="2" tint="-0.249977111117893"/>
  </sheetPr>
  <dimension ref="B1:Q55"/>
  <sheetViews>
    <sheetView zoomScaleNormal="100" zoomScaleSheetLayoutView="80" workbookViewId="0">
      <selection activeCell="H18" sqref="H18"/>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INPUTS'!D55)&amp;"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681"/>
      <c r="C12" s="681" t="s">
        <v>3324</v>
      </c>
      <c r="D12" s="681"/>
      <c r="E12" s="681"/>
      <c r="F12" s="681"/>
      <c r="G12" s="897">
        <f>'41a-Utility4'!G44</f>
        <v>0</v>
      </c>
      <c r="H12" s="904">
        <f>'41a-Utility4'!H44</f>
        <v>0</v>
      </c>
    </row>
    <row r="13" spans="2:17" ht="21" customHeight="1">
      <c r="C13" s="640"/>
      <c r="D13" s="640"/>
      <c r="E13" s="640"/>
      <c r="F13" s="640"/>
      <c r="G13" s="593"/>
      <c r="H13" s="642"/>
    </row>
    <row r="14" spans="2:17" ht="21" customHeight="1">
      <c r="B14" s="400"/>
      <c r="C14" s="639"/>
      <c r="D14" s="639"/>
      <c r="E14" s="639"/>
      <c r="F14" s="639"/>
      <c r="G14" s="593"/>
      <c r="H14" s="601"/>
      <c r="K14" s="315"/>
      <c r="L14" s="315"/>
      <c r="M14" s="315"/>
      <c r="N14" s="315"/>
      <c r="O14" s="315"/>
      <c r="P14" s="315"/>
      <c r="Q14" s="315"/>
    </row>
    <row r="15" spans="2:17" ht="21" customHeight="1">
      <c r="B15" s="395"/>
      <c r="C15" s="639"/>
      <c r="D15" s="639"/>
      <c r="E15" s="639"/>
      <c r="F15" s="639"/>
      <c r="G15" s="593"/>
      <c r="H15" s="601"/>
      <c r="K15" s="315"/>
      <c r="L15" s="315"/>
      <c r="M15" s="315"/>
      <c r="N15" s="315"/>
      <c r="O15" s="315"/>
      <c r="P15" s="315"/>
      <c r="Q15" s="315"/>
    </row>
    <row r="16" spans="2:17" ht="21" customHeight="1">
      <c r="B16" s="395"/>
      <c r="C16" s="639"/>
      <c r="D16" s="639"/>
      <c r="E16" s="639"/>
      <c r="F16" s="639"/>
      <c r="G16" s="365"/>
      <c r="H16" s="581"/>
      <c r="K16" s="315"/>
      <c r="L16" s="315"/>
      <c r="M16" s="315"/>
      <c r="N16" s="315"/>
      <c r="O16" s="315"/>
      <c r="P16" s="315"/>
      <c r="Q16" s="315"/>
    </row>
    <row r="17" spans="2:17" ht="21" customHeight="1">
      <c r="B17" s="681"/>
      <c r="C17" s="681" t="s">
        <v>3198</v>
      </c>
      <c r="D17" s="681"/>
      <c r="E17" s="681"/>
      <c r="F17" s="681"/>
      <c r="G17" s="897"/>
      <c r="H17" s="904">
        <f>+'49-Utility4'!G22</f>
        <v>0</v>
      </c>
      <c r="K17" s="315"/>
      <c r="L17" s="315"/>
      <c r="M17" s="315"/>
      <c r="N17" s="315"/>
      <c r="O17" s="315"/>
      <c r="P17" s="315"/>
      <c r="Q17" s="315"/>
    </row>
    <row r="18" spans="2:17" ht="21" customHeight="1">
      <c r="B18" s="681"/>
      <c r="C18" s="681" t="s">
        <v>3447</v>
      </c>
      <c r="D18" s="681"/>
      <c r="E18" s="681"/>
      <c r="F18" s="681"/>
      <c r="G18" s="897"/>
      <c r="H18" s="904">
        <f>'49a-Utility4'!G11+'49a-Utility4'!G22+'49a.1-Utility4'!G11+'49a.1-Utility4'!G22</f>
        <v>0</v>
      </c>
    </row>
    <row r="19" spans="2:17" ht="21" customHeight="1">
      <c r="B19" s="681"/>
      <c r="C19" s="681" t="s">
        <v>3457</v>
      </c>
      <c r="D19" s="681"/>
      <c r="E19" s="681"/>
      <c r="F19" s="681"/>
      <c r="G19" s="897"/>
      <c r="H19" s="904">
        <f>+'51a-Utility4'!G23</f>
        <v>0</v>
      </c>
      <c r="K19" s="315"/>
      <c r="L19" s="315"/>
      <c r="M19" s="315"/>
      <c r="N19" s="315"/>
      <c r="O19" s="315"/>
      <c r="P19" s="315"/>
      <c r="Q19" s="315"/>
    </row>
    <row r="20" spans="2:17" ht="21" customHeight="1">
      <c r="B20" s="681"/>
      <c r="C20" s="905" t="s">
        <v>3197</v>
      </c>
      <c r="D20" s="681"/>
      <c r="E20" s="681"/>
      <c r="F20" s="681"/>
      <c r="G20" s="897"/>
      <c r="H20" s="904">
        <f>+'50.1-Utility4'!G18</f>
        <v>0</v>
      </c>
      <c r="K20" s="315"/>
      <c r="L20" s="315"/>
      <c r="M20" s="315"/>
      <c r="N20" s="315"/>
      <c r="O20" s="315"/>
      <c r="P20" s="315"/>
      <c r="Q20" s="315"/>
    </row>
    <row r="21" spans="2:17" ht="21" customHeight="1">
      <c r="B21" s="681"/>
      <c r="C21" s="681" t="s">
        <v>851</v>
      </c>
      <c r="D21" s="681"/>
      <c r="E21" s="681"/>
      <c r="F21" s="681"/>
      <c r="G21" s="897"/>
      <c r="H21" s="904" t="s">
        <v>3190</v>
      </c>
      <c r="K21" s="315"/>
      <c r="L21" s="315"/>
      <c r="M21" s="315"/>
      <c r="N21" s="315"/>
      <c r="O21" s="315"/>
      <c r="P21" s="315"/>
      <c r="Q21" s="315"/>
    </row>
    <row r="22" spans="2:17" ht="21" customHeight="1">
      <c r="B22" s="681"/>
      <c r="C22" s="681"/>
      <c r="D22" s="681" t="s">
        <v>848</v>
      </c>
      <c r="E22" s="681"/>
      <c r="F22" s="681"/>
      <c r="G22" s="897"/>
      <c r="H22" s="904">
        <f>+'52-Utility4'!K27</f>
        <v>0</v>
      </c>
      <c r="J22" s="392"/>
      <c r="K22" s="315"/>
      <c r="L22" s="315"/>
      <c r="M22" s="315"/>
      <c r="N22" s="315"/>
      <c r="O22" s="315"/>
      <c r="P22" s="315"/>
      <c r="Q22" s="315"/>
    </row>
    <row r="23" spans="2:17" ht="21" customHeight="1">
      <c r="B23" s="681"/>
      <c r="C23" s="681"/>
      <c r="D23" s="681" t="s">
        <v>849</v>
      </c>
      <c r="E23" s="681"/>
      <c r="F23" s="681"/>
      <c r="G23" s="897"/>
      <c r="H23" s="904">
        <f>+'52-Utility4'!L27</f>
        <v>0</v>
      </c>
      <c r="J23" s="392"/>
      <c r="K23" s="315"/>
      <c r="L23" s="315"/>
      <c r="M23" s="315"/>
      <c r="N23" s="315"/>
      <c r="O23" s="315"/>
      <c r="P23" s="315"/>
      <c r="Q23" s="315"/>
    </row>
    <row r="24" spans="2:17" ht="21" customHeight="1">
      <c r="B24" s="395"/>
      <c r="C24" s="639" t="s">
        <v>3196</v>
      </c>
      <c r="D24" s="639"/>
      <c r="E24" s="639"/>
      <c r="F24" s="639"/>
      <c r="G24" s="365"/>
      <c r="H24" s="561"/>
    </row>
    <row r="25" spans="2:17" ht="21" customHeight="1">
      <c r="B25" s="395"/>
      <c r="C25" s="639" t="s">
        <v>709</v>
      </c>
      <c r="D25" s="639"/>
      <c r="E25" s="639"/>
      <c r="F25" s="639"/>
      <c r="G25" s="365"/>
      <c r="H25" s="561"/>
    </row>
    <row r="26" spans="2:17" ht="21" customHeight="1">
      <c r="B26" s="395"/>
      <c r="C26" s="639" t="str">
        <f>"DUE TO "&amp;UPPER('KEY INPUTS'!D52)&amp;" OPERATING"</f>
        <v>DUE TO WATER/SEWER UTILITY OPERATING</v>
      </c>
      <c r="D26" s="639"/>
      <c r="E26" s="639"/>
      <c r="F26" s="639"/>
      <c r="G26" s="365"/>
      <c r="H26" s="561"/>
    </row>
    <row r="27" spans="2:17" ht="21" customHeight="1">
      <c r="B27" s="395"/>
      <c r="C27" s="639" t="s">
        <v>708</v>
      </c>
      <c r="D27" s="639"/>
      <c r="E27" s="639"/>
      <c r="F27" s="639"/>
      <c r="G27" s="365"/>
      <c r="H27" s="561"/>
    </row>
    <row r="28" spans="2:17" ht="21" customHeight="1">
      <c r="B28" s="395"/>
      <c r="C28" s="639" t="s">
        <v>707</v>
      </c>
      <c r="D28" s="639"/>
      <c r="E28" s="639"/>
      <c r="F28" s="639"/>
      <c r="G28" s="365"/>
      <c r="H28" s="561"/>
    </row>
    <row r="29" spans="2:17" ht="21" customHeight="1">
      <c r="B29" s="395"/>
      <c r="C29" s="639" t="s">
        <v>303</v>
      </c>
      <c r="D29" s="639"/>
      <c r="E29" s="639"/>
      <c r="F29" s="639"/>
      <c r="G29" s="365"/>
      <c r="H29" s="561"/>
    </row>
    <row r="30" spans="2:17" ht="21" customHeight="1">
      <c r="B30" s="395"/>
      <c r="C30" s="639"/>
      <c r="D30" s="639"/>
      <c r="E30" s="639"/>
      <c r="F30" s="639"/>
      <c r="G30" s="365"/>
      <c r="H30" s="581" t="s">
        <v>3190</v>
      </c>
    </row>
    <row r="31" spans="2:17" ht="21" customHeight="1">
      <c r="B31" s="395"/>
      <c r="C31" s="639"/>
      <c r="D31" s="639"/>
      <c r="E31" s="639"/>
      <c r="F31" s="639"/>
      <c r="G31" s="365"/>
      <c r="H31" s="581" t="s">
        <v>3190</v>
      </c>
    </row>
    <row r="32" spans="2:17" ht="21" customHeight="1">
      <c r="B32" s="395"/>
      <c r="C32" s="639"/>
      <c r="D32" s="639"/>
      <c r="E32" s="639"/>
      <c r="F32" s="639"/>
      <c r="G32" s="365"/>
      <c r="H32" s="642"/>
    </row>
    <row r="33" spans="2:13" ht="21" customHeight="1">
      <c r="B33" s="395"/>
      <c r="C33" s="639"/>
      <c r="D33" s="639"/>
      <c r="E33" s="639"/>
      <c r="F33" s="639"/>
      <c r="G33" s="365"/>
      <c r="H33" s="581" t="s">
        <v>3190</v>
      </c>
    </row>
    <row r="34" spans="2:13" ht="21" customHeight="1">
      <c r="B34" s="395"/>
      <c r="C34" s="639"/>
      <c r="D34" s="639"/>
      <c r="E34" s="639"/>
      <c r="F34" s="639"/>
      <c r="G34" s="365"/>
      <c r="H34" s="581"/>
    </row>
    <row r="35" spans="2:13" ht="21" customHeight="1">
      <c r="B35" s="395"/>
      <c r="C35" s="639"/>
      <c r="D35" s="639"/>
      <c r="E35" s="639"/>
      <c r="F35" s="639"/>
      <c r="G35" s="365"/>
      <c r="H35" s="581"/>
    </row>
    <row r="36" spans="2:13" ht="21" customHeight="1">
      <c r="B36" s="395"/>
      <c r="C36" s="639"/>
      <c r="D36" s="639"/>
      <c r="E36" s="639"/>
      <c r="F36" s="639"/>
      <c r="G36" s="365"/>
      <c r="H36" s="581" t="s">
        <v>3190</v>
      </c>
    </row>
    <row r="37" spans="2:13" ht="21" customHeight="1">
      <c r="B37" s="395"/>
      <c r="C37" s="639"/>
      <c r="D37" s="639"/>
      <c r="E37" s="639"/>
      <c r="F37" s="639"/>
      <c r="G37" s="365"/>
      <c r="H37" s="642"/>
    </row>
    <row r="38" spans="2:13" ht="21" customHeight="1">
      <c r="B38" s="395"/>
      <c r="C38" s="639"/>
      <c r="D38" s="639"/>
      <c r="E38" s="639"/>
      <c r="F38" s="639"/>
      <c r="G38" s="365"/>
      <c r="H38" s="581" t="s">
        <v>3190</v>
      </c>
    </row>
    <row r="39" spans="2:13" ht="21" customHeight="1">
      <c r="B39" s="395"/>
      <c r="C39" s="639"/>
      <c r="D39" s="639"/>
      <c r="E39" s="639"/>
      <c r="F39" s="639"/>
      <c r="G39" s="365"/>
      <c r="H39" s="581"/>
    </row>
    <row r="40" spans="2:13" ht="21" customHeight="1">
      <c r="B40" s="681"/>
      <c r="C40" s="681" t="s">
        <v>3260</v>
      </c>
      <c r="D40" s="681"/>
      <c r="E40" s="681"/>
      <c r="F40" s="681"/>
      <c r="G40" s="897"/>
      <c r="H40" s="904">
        <f>+'53-Utility4'!I41</f>
        <v>0</v>
      </c>
    </row>
    <row r="41" spans="2:13" ht="21" customHeight="1">
      <c r="B41" s="681"/>
      <c r="C41" s="681" t="s">
        <v>852</v>
      </c>
      <c r="D41" s="681"/>
      <c r="E41" s="681"/>
      <c r="F41" s="681"/>
      <c r="G41" s="897"/>
      <c r="H41" s="904">
        <f>+'53-Utility4'!I24</f>
        <v>0</v>
      </c>
    </row>
    <row r="42" spans="2:13" ht="21" customHeight="1">
      <c r="B42" s="681"/>
      <c r="C42" s="681" t="s">
        <v>676</v>
      </c>
      <c r="D42" s="681"/>
      <c r="E42" s="681"/>
      <c r="F42" s="681"/>
      <c r="G42" s="897"/>
      <c r="H42" s="904">
        <f>+'54-Utility4'!I42</f>
        <v>0</v>
      </c>
    </row>
    <row r="43" spans="2:13" ht="21" customHeight="1" thickBot="1">
      <c r="B43" s="681"/>
      <c r="C43" s="681"/>
      <c r="D43" s="681"/>
      <c r="E43" s="681"/>
      <c r="F43" s="681"/>
      <c r="G43" s="1276"/>
      <c r="H43" s="1277"/>
      <c r="I43" s="392"/>
      <c r="M43" s="392"/>
    </row>
    <row r="44" spans="2:13" ht="21" customHeight="1" thickBot="1">
      <c r="B44" s="681"/>
      <c r="C44" s="681" t="s">
        <v>847</v>
      </c>
      <c r="D44" s="681"/>
      <c r="E44" s="681"/>
      <c r="F44" s="681"/>
      <c r="G44" s="1278">
        <f>SUM(G12:G42)</f>
        <v>0</v>
      </c>
      <c r="H44" s="1279">
        <f>SUM(H12:H43)</f>
        <v>0</v>
      </c>
      <c r="I44" s="392"/>
      <c r="K44" s="392"/>
    </row>
    <row r="45" spans="2:13" ht="13.8" thickTop="1">
      <c r="B45" s="1961" t="s">
        <v>103</v>
      </c>
      <c r="C45" s="1961"/>
      <c r="D45" s="1961"/>
      <c r="E45" s="1961"/>
      <c r="F45" s="1961"/>
      <c r="G45" s="1962"/>
      <c r="H45" s="1962"/>
    </row>
    <row r="46" spans="2:13">
      <c r="B46" s="1281"/>
      <c r="C46" s="1281"/>
      <c r="D46" s="1281"/>
      <c r="E46" s="1281"/>
      <c r="F46" s="1281"/>
      <c r="G46" s="1281"/>
      <c r="H46" s="1281"/>
    </row>
    <row r="47" spans="2:13">
      <c r="B47" s="1281"/>
      <c r="C47" s="1281"/>
      <c r="D47" s="1281"/>
      <c r="E47" s="1281"/>
      <c r="F47" s="1281"/>
      <c r="G47" s="1281"/>
      <c r="H47" s="1281"/>
    </row>
    <row r="48" spans="2:13">
      <c r="B48" s="1281"/>
      <c r="C48" s="1281"/>
      <c r="D48" s="1281"/>
      <c r="E48" s="1281"/>
      <c r="F48" s="1281"/>
      <c r="G48" s="1281"/>
      <c r="H48" s="1281"/>
    </row>
    <row r="49" spans="2:8">
      <c r="B49" s="1281"/>
      <c r="C49" s="1281"/>
      <c r="D49" s="1281"/>
      <c r="E49" s="1281"/>
      <c r="F49" s="1281"/>
      <c r="G49" s="1281"/>
      <c r="H49" s="1281"/>
    </row>
    <row r="50" spans="2:8" ht="13.8">
      <c r="B50" s="1994" t="s">
        <v>3459</v>
      </c>
      <c r="C50" s="1994"/>
      <c r="D50" s="1994"/>
      <c r="E50" s="1994"/>
      <c r="F50" s="1994"/>
      <c r="G50" s="1994"/>
      <c r="H50" s="1994"/>
    </row>
    <row r="55" spans="2:8">
      <c r="H55" s="392"/>
    </row>
  </sheetData>
  <sheetProtection password="CAF9"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7">
    <tabColor theme="2" tint="-0.249977111117893"/>
  </sheetPr>
  <dimension ref="B1:R49"/>
  <sheetViews>
    <sheetView topLeftCell="A22" zoomScaleNormal="100" zoomScaleSheetLayoutView="80" workbookViewId="0">
      <selection activeCell="H38" sqref="H38:H40"/>
    </sheetView>
  </sheetViews>
  <sheetFormatPr defaultColWidth="9.109375" defaultRowHeight="13.2"/>
  <cols>
    <col min="1" max="1" width="4.6640625" style="324" customWidth="1"/>
    <col min="2" max="2" width="4.88671875" style="324" customWidth="1"/>
    <col min="3" max="4" width="4.6640625" style="324" customWidth="1"/>
    <col min="5" max="5" width="30.6640625" style="324" customWidth="1"/>
    <col min="6" max="6" width="15.6640625" style="324" customWidth="1"/>
    <col min="7" max="8" width="16.6640625" style="324" customWidth="1"/>
    <col min="9" max="16384" width="9.109375" style="324"/>
  </cols>
  <sheetData>
    <row r="1" spans="2:18">
      <c r="B1" s="1128"/>
      <c r="C1" s="1128"/>
      <c r="D1" s="1128"/>
      <c r="E1" s="1128"/>
      <c r="F1" s="1128"/>
      <c r="G1" s="1128"/>
      <c r="H1" s="1128"/>
    </row>
    <row r="2" spans="2:18">
      <c r="B2" s="1128"/>
      <c r="C2" s="1128"/>
      <c r="D2" s="1128"/>
      <c r="E2" s="1128"/>
      <c r="F2" s="1128"/>
      <c r="G2" s="1128"/>
      <c r="H2" s="1128"/>
    </row>
    <row r="3" spans="2:18" ht="22.8">
      <c r="B3" s="1820" t="s">
        <v>873</v>
      </c>
      <c r="C3" s="1820"/>
      <c r="D3" s="1820"/>
      <c r="E3" s="1820"/>
      <c r="F3" s="1820"/>
      <c r="G3" s="1820"/>
      <c r="H3" s="1820"/>
    </row>
    <row r="4" spans="2:18" ht="22.8">
      <c r="B4" s="1820" t="s">
        <v>874</v>
      </c>
      <c r="C4" s="1820"/>
      <c r="D4" s="1820"/>
      <c r="E4" s="1820"/>
      <c r="F4" s="1820"/>
      <c r="G4" s="1820"/>
      <c r="H4" s="1820"/>
    </row>
    <row r="5" spans="2:18" ht="15.6">
      <c r="B5" s="1821"/>
      <c r="C5" s="1821"/>
      <c r="D5" s="1821"/>
      <c r="E5" s="1821"/>
      <c r="F5" s="1821"/>
      <c r="G5" s="1821"/>
      <c r="H5" s="1821"/>
    </row>
    <row r="6" spans="2:18" ht="13.8">
      <c r="B6" s="1819" t="s">
        <v>875</v>
      </c>
      <c r="C6" s="1819"/>
      <c r="D6" s="1819"/>
      <c r="E6" s="1819"/>
      <c r="F6" s="1819"/>
      <c r="G6" s="1819"/>
      <c r="H6" s="1819"/>
    </row>
    <row r="7" spans="2:18" ht="13.8">
      <c r="B7" s="1819" t="s">
        <v>879</v>
      </c>
      <c r="C7" s="1819"/>
      <c r="D7" s="1819"/>
      <c r="E7" s="1819"/>
      <c r="F7" s="1819"/>
      <c r="G7" s="1819"/>
      <c r="H7" s="1819"/>
    </row>
    <row r="8" spans="2:18" ht="13.8">
      <c r="B8" s="1115"/>
      <c r="C8" s="1115"/>
      <c r="D8" s="1115"/>
      <c r="E8" s="1115"/>
      <c r="F8" s="1115"/>
      <c r="G8" s="1115"/>
      <c r="H8" s="1115"/>
    </row>
    <row r="9" spans="2:18" ht="15" customHeight="1" thickBot="1">
      <c r="B9" s="1822" t="str">
        <f>'KEY INPUTS'!D44</f>
        <v>AS  AT  DECEMBER  31, 2020</v>
      </c>
      <c r="C9" s="1821"/>
      <c r="D9" s="1821"/>
      <c r="E9" s="1821"/>
      <c r="F9" s="1821"/>
      <c r="G9" s="1821"/>
      <c r="H9" s="1821"/>
    </row>
    <row r="10" spans="2:18" ht="36" customHeight="1" thickTop="1" thickBot="1">
      <c r="B10" s="1823" t="s">
        <v>100</v>
      </c>
      <c r="C10" s="1823"/>
      <c r="D10" s="1823"/>
      <c r="E10" s="1823"/>
      <c r="F10" s="1824"/>
      <c r="G10" s="1116" t="s">
        <v>101</v>
      </c>
      <c r="H10" s="1117" t="s">
        <v>102</v>
      </c>
    </row>
    <row r="11" spans="2:18" ht="21" customHeight="1" thickTop="1">
      <c r="B11" s="1118" t="s">
        <v>375</v>
      </c>
      <c r="C11" s="1118"/>
      <c r="D11" s="1118"/>
      <c r="E11" s="1118"/>
      <c r="F11" s="1118"/>
      <c r="G11" s="641"/>
      <c r="H11" s="642"/>
      <c r="L11" s="315"/>
      <c r="M11" s="315"/>
      <c r="N11" s="315"/>
      <c r="O11" s="315"/>
      <c r="P11" s="315"/>
      <c r="Q11" s="315"/>
      <c r="R11" s="315"/>
    </row>
    <row r="12" spans="2:18" ht="21" customHeight="1">
      <c r="B12" s="639"/>
      <c r="C12" s="639"/>
      <c r="D12" s="639"/>
      <c r="E12" s="639"/>
      <c r="F12" s="639"/>
      <c r="G12" s="593"/>
      <c r="H12" s="601"/>
      <c r="L12" s="315"/>
      <c r="M12" s="315"/>
      <c r="N12" s="315"/>
      <c r="O12" s="315"/>
      <c r="P12" s="315"/>
      <c r="Q12" s="315"/>
      <c r="R12" s="315"/>
    </row>
    <row r="13" spans="2:18" ht="21" customHeight="1">
      <c r="B13" s="639"/>
      <c r="C13" s="639"/>
      <c r="D13" s="639"/>
      <c r="E13" s="639"/>
      <c r="F13" s="639"/>
      <c r="G13" s="593"/>
      <c r="H13" s="601"/>
      <c r="L13" s="370"/>
      <c r="M13" s="315"/>
      <c r="N13" s="315"/>
      <c r="O13" s="315"/>
      <c r="P13" s="315"/>
      <c r="Q13" s="315"/>
      <c r="R13" s="315"/>
    </row>
    <row r="14" spans="2:18" ht="21" customHeight="1">
      <c r="B14" s="639"/>
      <c r="C14" s="639"/>
      <c r="D14" s="639"/>
      <c r="E14" s="639"/>
      <c r="F14" s="639"/>
      <c r="G14" s="593"/>
      <c r="H14" s="601"/>
      <c r="L14" s="315"/>
      <c r="M14" s="315"/>
      <c r="N14" s="315"/>
      <c r="O14" s="315"/>
      <c r="P14" s="315"/>
      <c r="Q14" s="315"/>
      <c r="R14" s="315"/>
    </row>
    <row r="15" spans="2:18" ht="21" customHeight="1">
      <c r="B15" s="639"/>
      <c r="C15" s="639"/>
      <c r="D15" s="639"/>
      <c r="E15" s="639"/>
      <c r="F15" s="639"/>
      <c r="G15" s="593"/>
      <c r="H15" s="601"/>
      <c r="L15" s="315"/>
      <c r="M15" s="315"/>
      <c r="N15" s="315"/>
      <c r="O15" s="315"/>
      <c r="P15" s="315"/>
      <c r="Q15" s="315"/>
      <c r="R15" s="315"/>
    </row>
    <row r="16" spans="2:18" ht="21" customHeight="1">
      <c r="B16" s="639"/>
      <c r="C16" s="639"/>
      <c r="D16" s="639"/>
      <c r="E16" s="639"/>
      <c r="F16" s="639"/>
      <c r="G16" s="593"/>
      <c r="H16" s="601"/>
      <c r="L16" s="315"/>
      <c r="M16" s="315"/>
      <c r="N16" s="315"/>
      <c r="O16" s="315"/>
      <c r="P16" s="315"/>
      <c r="Q16" s="315"/>
      <c r="R16" s="315"/>
    </row>
    <row r="17" spans="2:18" ht="21" customHeight="1">
      <c r="B17" s="639"/>
      <c r="C17" s="639"/>
      <c r="D17" s="639"/>
      <c r="E17" s="639"/>
      <c r="F17" s="639"/>
      <c r="G17" s="593"/>
      <c r="H17" s="601"/>
      <c r="L17" s="315"/>
      <c r="M17" s="315"/>
      <c r="N17" s="315"/>
      <c r="O17" s="315"/>
      <c r="P17" s="315"/>
      <c r="Q17" s="315"/>
      <c r="R17" s="315"/>
    </row>
    <row r="18" spans="2:18" ht="21" customHeight="1">
      <c r="B18" s="639"/>
      <c r="C18" s="639"/>
      <c r="D18" s="639"/>
      <c r="E18" s="639"/>
      <c r="F18" s="639"/>
      <c r="G18" s="593"/>
      <c r="H18" s="601"/>
      <c r="L18" s="315"/>
      <c r="M18" s="315"/>
      <c r="N18" s="315"/>
      <c r="O18" s="315"/>
      <c r="P18" s="315"/>
      <c r="Q18" s="315"/>
      <c r="R18" s="315"/>
    </row>
    <row r="19" spans="2:18" ht="21" customHeight="1">
      <c r="B19" s="639"/>
      <c r="C19" s="639"/>
      <c r="D19" s="639"/>
      <c r="E19" s="639"/>
      <c r="F19" s="639"/>
      <c r="G19" s="593"/>
      <c r="H19" s="601"/>
      <c r="L19" s="315"/>
      <c r="M19" s="315"/>
      <c r="N19" s="315"/>
      <c r="O19" s="315"/>
      <c r="P19" s="315"/>
      <c r="Q19" s="315"/>
      <c r="R19" s="315"/>
    </row>
    <row r="20" spans="2:18" ht="21" customHeight="1">
      <c r="B20" s="639"/>
      <c r="C20" s="639"/>
      <c r="D20" s="639"/>
      <c r="E20" s="639"/>
      <c r="F20" s="639"/>
      <c r="G20" s="593"/>
      <c r="H20" s="601"/>
      <c r="L20" s="315"/>
      <c r="M20" s="315"/>
      <c r="N20" s="315"/>
      <c r="O20" s="315"/>
      <c r="P20" s="315"/>
      <c r="Q20" s="315"/>
      <c r="R20" s="315"/>
    </row>
    <row r="21" spans="2:18" ht="21" customHeight="1">
      <c r="B21" s="639"/>
      <c r="C21" s="639"/>
      <c r="D21" s="639"/>
      <c r="E21" s="639"/>
      <c r="F21" s="639"/>
      <c r="G21" s="593"/>
      <c r="H21" s="601"/>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L23" s="315"/>
      <c r="M23" s="315"/>
      <c r="N23" s="315"/>
      <c r="O23" s="315"/>
      <c r="P23" s="315"/>
      <c r="Q23" s="315"/>
      <c r="R23" s="315"/>
    </row>
    <row r="24" spans="2:18" ht="21" customHeight="1">
      <c r="B24" s="639"/>
      <c r="C24" s="639"/>
      <c r="D24" s="639"/>
      <c r="E24" s="639"/>
      <c r="F24" s="639"/>
      <c r="G24" s="593"/>
      <c r="H24" s="601"/>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39"/>
      <c r="C26" s="639"/>
      <c r="D26" s="639"/>
      <c r="E26" s="639"/>
      <c r="F26" s="639"/>
      <c r="G26" s="593"/>
      <c r="H26" s="601"/>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639"/>
      <c r="C30" s="639"/>
      <c r="D30" s="639"/>
      <c r="E30" s="639"/>
      <c r="F30" s="639"/>
      <c r="G30" s="593"/>
      <c r="H30" s="601"/>
    </row>
    <row r="31" spans="2:18" ht="21" customHeight="1">
      <c r="B31" s="639"/>
      <c r="C31" s="639"/>
      <c r="D31" s="639"/>
      <c r="E31" s="639"/>
      <c r="F31" s="639"/>
      <c r="G31" s="593"/>
      <c r="H31" s="601"/>
    </row>
    <row r="32" spans="2:18" ht="21" customHeight="1">
      <c r="B32" s="639"/>
      <c r="C32" s="639"/>
      <c r="D32" s="639"/>
      <c r="E32" s="639"/>
      <c r="F32" s="639"/>
      <c r="G32" s="593"/>
      <c r="H32" s="601"/>
    </row>
    <row r="33" spans="2:8" ht="21" customHeight="1">
      <c r="B33" s="639"/>
      <c r="C33" s="639"/>
      <c r="D33" s="639"/>
      <c r="E33" s="639"/>
      <c r="F33" s="639"/>
      <c r="G33" s="593"/>
      <c r="H33" s="601"/>
    </row>
    <row r="34" spans="2:8" ht="21" customHeight="1">
      <c r="B34" s="639"/>
      <c r="C34" s="639"/>
      <c r="D34" s="639"/>
      <c r="E34" s="639"/>
      <c r="F34" s="639"/>
      <c r="G34" s="593"/>
      <c r="H34" s="601"/>
    </row>
    <row r="35" spans="2:8" ht="21" customHeight="1">
      <c r="B35" s="639"/>
      <c r="C35" s="639"/>
      <c r="D35" s="639"/>
      <c r="E35" s="639"/>
      <c r="F35" s="639"/>
      <c r="G35" s="593"/>
      <c r="H35" s="601"/>
    </row>
    <row r="36" spans="2:8" ht="21" customHeight="1">
      <c r="B36" s="639"/>
      <c r="C36" s="639"/>
      <c r="D36" s="639"/>
      <c r="E36" s="639"/>
      <c r="F36" s="639"/>
      <c r="G36" s="593"/>
      <c r="H36" s="601"/>
    </row>
    <row r="37" spans="2:8" ht="21" customHeight="1">
      <c r="B37" s="639"/>
      <c r="C37" s="639"/>
      <c r="D37" s="639"/>
      <c r="E37" s="639"/>
      <c r="F37" s="639"/>
      <c r="G37" s="593"/>
      <c r="H37" s="601"/>
    </row>
    <row r="38" spans="2:8" ht="21" customHeight="1">
      <c r="B38" s="1119" t="s">
        <v>3261</v>
      </c>
      <c r="C38" s="1119"/>
      <c r="D38" s="1119"/>
      <c r="E38" s="1119"/>
      <c r="F38" s="1119"/>
      <c r="G38" s="593"/>
      <c r="H38" s="1108">
        <f>+'51-Utility4'!G23</f>
        <v>0</v>
      </c>
    </row>
    <row r="39" spans="2:8" ht="21" customHeight="1">
      <c r="B39" s="1119" t="s">
        <v>3262</v>
      </c>
      <c r="C39" s="1119"/>
      <c r="D39" s="1119"/>
      <c r="E39" s="1119"/>
      <c r="F39" s="1119"/>
      <c r="G39" s="593"/>
      <c r="H39" s="1108">
        <f>+'49-Utility4'!G11</f>
        <v>0</v>
      </c>
    </row>
    <row r="40" spans="2:8" ht="21" customHeight="1">
      <c r="B40" s="1119" t="s">
        <v>846</v>
      </c>
      <c r="C40" s="1119"/>
      <c r="D40" s="1119"/>
      <c r="E40" s="1119"/>
      <c r="F40" s="1119"/>
      <c r="G40" s="593"/>
      <c r="H40" s="1108">
        <f>'43-Utility4'!L20</f>
        <v>0</v>
      </c>
    </row>
    <row r="41" spans="2:8" ht="21" customHeight="1">
      <c r="B41" s="639"/>
      <c r="C41" s="639"/>
      <c r="D41" s="639"/>
      <c r="E41" s="639"/>
      <c r="F41" s="639"/>
      <c r="G41" s="593"/>
      <c r="H41" s="601"/>
    </row>
    <row r="42" spans="2:8" ht="21" customHeight="1">
      <c r="B42" s="639"/>
      <c r="C42" s="639"/>
      <c r="D42" s="639"/>
      <c r="E42" s="639"/>
      <c r="F42" s="639"/>
      <c r="G42" s="593"/>
      <c r="H42" s="601"/>
    </row>
    <row r="43" spans="2:8" ht="21" customHeight="1">
      <c r="B43" s="1121"/>
      <c r="C43" s="1121"/>
      <c r="D43" s="1121"/>
      <c r="E43" s="1121"/>
      <c r="F43" s="1121"/>
      <c r="G43" s="1087">
        <f>SUM(G11:G42)</f>
        <v>0</v>
      </c>
      <c r="H43" s="1122">
        <f>SUM(H11:H42)</f>
        <v>0</v>
      </c>
    </row>
    <row r="44" spans="2:8">
      <c r="B44" s="1825" t="s">
        <v>103</v>
      </c>
      <c r="C44" s="1825"/>
      <c r="D44" s="1825"/>
      <c r="E44" s="1825"/>
      <c r="F44" s="1825"/>
      <c r="G44" s="1825"/>
      <c r="H44" s="1825"/>
    </row>
    <row r="45" spans="2:8">
      <c r="B45" s="1123"/>
      <c r="C45" s="1123"/>
      <c r="D45" s="1123"/>
      <c r="E45" s="1123"/>
      <c r="F45" s="1123"/>
      <c r="G45" s="1123"/>
      <c r="H45" s="1123"/>
    </row>
    <row r="46" spans="2:8">
      <c r="B46" s="1123"/>
      <c r="C46" s="1123"/>
      <c r="D46" s="1123"/>
      <c r="E46" s="1123"/>
      <c r="F46" s="1123"/>
      <c r="G46" s="1123"/>
      <c r="H46" s="1123"/>
    </row>
    <row r="47" spans="2:8">
      <c r="B47" s="1123"/>
      <c r="C47" s="1123"/>
      <c r="D47" s="1123"/>
      <c r="E47" s="1123"/>
      <c r="F47" s="1123"/>
      <c r="G47" s="1123"/>
      <c r="H47" s="1123"/>
    </row>
    <row r="48" spans="2:8">
      <c r="B48" s="1123"/>
      <c r="C48" s="1123"/>
      <c r="D48" s="1123"/>
      <c r="E48" s="1123"/>
      <c r="F48" s="1123"/>
      <c r="G48" s="1123"/>
      <c r="H48" s="1123"/>
    </row>
    <row r="49" spans="2:8" ht="13.8">
      <c r="B49" s="1818" t="s">
        <v>3199</v>
      </c>
      <c r="C49" s="1818"/>
      <c r="D49" s="1818"/>
      <c r="E49" s="1818"/>
      <c r="F49" s="1818"/>
      <c r="G49" s="1818"/>
      <c r="H49" s="1818"/>
    </row>
  </sheetData>
  <sheetProtection algorithmName="SHA-512" hashValue="atnoH6sdYFkow4ua2B8TW3bjeZDirlOKifHvaOTwI+eMPxQJgQN4qMEP1QlSoS9xUuG/4hpstdu6zGVXrasqRg==" saltValue="r+sM1lVZ0friCQtbTk1awQ==" spinCount="100000" sheet="1" objects="1" scenarios="1"/>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8">
    <tabColor theme="2" tint="-0.249977111117893"/>
  </sheetPr>
  <dimension ref="A2:V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0.6640625" style="324" customWidth="1"/>
    <col min="5" max="12" width="15.6640625" style="324" customWidth="1"/>
    <col min="13" max="16384" width="9.109375" style="324"/>
  </cols>
  <sheetData>
    <row r="2" spans="1:22" ht="20.399999999999999">
      <c r="B2" s="1826" t="str">
        <f>"ANALYSIS  OF "&amp;UPPER('KEY INPUTS'!D55)&amp;" UTILITY  ASSESSMENT  TRUST  CASH  AND  INVESTMENTS"</f>
        <v>ANALYSIS  OF  UTILITY  ASSESSMENT  TRUST  CASH  AND  INVESTMENTS</v>
      </c>
      <c r="C2" s="1826"/>
      <c r="D2" s="1826"/>
      <c r="E2" s="1826"/>
      <c r="F2" s="1826"/>
      <c r="G2" s="1826"/>
      <c r="H2" s="1826"/>
      <c r="I2" s="1826"/>
      <c r="J2" s="1826"/>
      <c r="K2" s="1826"/>
      <c r="L2" s="1826"/>
    </row>
    <row r="3" spans="1:22" ht="21" thickBot="1">
      <c r="B3" s="1826" t="s">
        <v>880</v>
      </c>
      <c r="C3" s="1826"/>
      <c r="D3" s="1826"/>
      <c r="E3" s="1826"/>
      <c r="F3" s="1826"/>
      <c r="G3" s="1826"/>
      <c r="H3" s="1826"/>
      <c r="I3" s="1826"/>
      <c r="J3" s="1826"/>
      <c r="K3" s="1826"/>
      <c r="L3" s="1826"/>
    </row>
    <row r="4" spans="1:22" ht="13.8" thickTop="1">
      <c r="B4" s="1124"/>
      <c r="C4" s="1124"/>
      <c r="D4" s="1124"/>
      <c r="E4" s="1125" t="s">
        <v>558</v>
      </c>
      <c r="F4" s="1124"/>
      <c r="G4" s="1124"/>
      <c r="H4" s="1124"/>
      <c r="I4" s="1124"/>
      <c r="J4" s="1126"/>
      <c r="K4" s="1124"/>
      <c r="L4" s="1127"/>
    </row>
    <row r="5" spans="1:22" ht="15.6">
      <c r="B5" s="1128"/>
      <c r="C5" s="1128" t="s">
        <v>566</v>
      </c>
      <c r="D5" s="1128"/>
      <c r="E5" s="1129" t="s">
        <v>559</v>
      </c>
      <c r="F5" s="1827" t="s">
        <v>560</v>
      </c>
      <c r="G5" s="1828"/>
      <c r="H5" s="1828"/>
      <c r="I5" s="1829"/>
      <c r="J5" s="1130"/>
      <c r="K5" s="1128"/>
      <c r="L5" s="1131" t="s">
        <v>559</v>
      </c>
    </row>
    <row r="6" spans="1:22">
      <c r="B6" s="1128"/>
      <c r="C6" s="1128" t="s">
        <v>567</v>
      </c>
      <c r="D6" s="1128"/>
      <c r="E6" s="1132" t="str">
        <f>'KEY INPUTS'!D45</f>
        <v>Dec. 31, 2019</v>
      </c>
      <c r="F6" s="1129" t="s">
        <v>561</v>
      </c>
      <c r="G6" s="1129" t="s">
        <v>262</v>
      </c>
      <c r="H6" s="1130"/>
      <c r="I6" s="1130"/>
      <c r="J6" s="1130"/>
      <c r="K6" s="1133" t="s">
        <v>565</v>
      </c>
      <c r="L6" s="1134" t="str">
        <f>'KEY INPUTS'!D46</f>
        <v>Dec. 31, 2020</v>
      </c>
    </row>
    <row r="7" spans="1:22" ht="13.8" thickBot="1">
      <c r="B7" s="1135"/>
      <c r="C7" s="1135"/>
      <c r="D7" s="1135"/>
      <c r="E7" s="1136"/>
      <c r="F7" s="1137" t="s">
        <v>562</v>
      </c>
      <c r="G7" s="1137" t="s">
        <v>564</v>
      </c>
      <c r="H7" s="1136"/>
      <c r="I7" s="1136"/>
      <c r="J7" s="1136"/>
      <c r="K7" s="1138"/>
      <c r="L7" s="1139"/>
    </row>
    <row r="8" spans="1:22" ht="21" customHeight="1" thickTop="1">
      <c r="B8" s="1140" t="s">
        <v>656</v>
      </c>
      <c r="C8" s="1140"/>
      <c r="D8" s="1141"/>
      <c r="E8" s="1070" t="s">
        <v>662</v>
      </c>
      <c r="F8" s="1070" t="s">
        <v>662</v>
      </c>
      <c r="G8" s="1070" t="s">
        <v>662</v>
      </c>
      <c r="H8" s="1070" t="s">
        <v>662</v>
      </c>
      <c r="I8" s="1070" t="s">
        <v>662</v>
      </c>
      <c r="J8" s="1070" t="s">
        <v>662</v>
      </c>
      <c r="K8" s="1070" t="s">
        <v>662</v>
      </c>
      <c r="L8" s="858" t="s">
        <v>662</v>
      </c>
      <c r="P8" s="315"/>
      <c r="Q8" s="315"/>
      <c r="R8" s="315"/>
      <c r="S8" s="315"/>
      <c r="T8" s="315"/>
      <c r="U8" s="315"/>
      <c r="V8" s="315"/>
    </row>
    <row r="9" spans="1:22" ht="21" customHeight="1">
      <c r="B9" s="639"/>
      <c r="C9" s="639"/>
      <c r="D9" s="643"/>
      <c r="E9" s="593"/>
      <c r="F9" s="593"/>
      <c r="G9" s="593"/>
      <c r="H9" s="593"/>
      <c r="I9" s="593"/>
      <c r="J9" s="593"/>
      <c r="K9" s="593"/>
      <c r="L9" s="1063">
        <f>+E9+F9+G9+H9+I9+J9-K9</f>
        <v>0</v>
      </c>
      <c r="P9" s="315"/>
      <c r="Q9" s="315"/>
      <c r="R9" s="315"/>
      <c r="S9" s="315"/>
      <c r="T9" s="315"/>
      <c r="U9" s="315"/>
      <c r="V9" s="315"/>
    </row>
    <row r="10" spans="1:22" ht="21" customHeight="1">
      <c r="B10" s="639"/>
      <c r="C10" s="639"/>
      <c r="D10" s="643"/>
      <c r="E10" s="593"/>
      <c r="F10" s="593"/>
      <c r="G10" s="593"/>
      <c r="H10" s="593"/>
      <c r="I10" s="593"/>
      <c r="J10" s="593"/>
      <c r="K10" s="593"/>
      <c r="L10" s="1063">
        <f t="shared" ref="L10:L25" si="0">+E10+F10+G10+H10+I10+J10-K10</f>
        <v>0</v>
      </c>
      <c r="P10" s="370"/>
      <c r="Q10" s="315"/>
      <c r="R10" s="315"/>
      <c r="S10" s="315"/>
      <c r="T10" s="315"/>
      <c r="U10" s="315"/>
      <c r="V10" s="315"/>
    </row>
    <row r="11" spans="1:22" ht="21" customHeight="1">
      <c r="B11" s="639"/>
      <c r="C11" s="639"/>
      <c r="D11" s="643"/>
      <c r="E11" s="593"/>
      <c r="F11" s="593"/>
      <c r="G11" s="593"/>
      <c r="H11" s="593"/>
      <c r="I11" s="593"/>
      <c r="J11" s="593"/>
      <c r="K11" s="593"/>
      <c r="L11" s="1063">
        <f t="shared" si="0"/>
        <v>0</v>
      </c>
      <c r="P11" s="315"/>
      <c r="Q11" s="315"/>
      <c r="R11" s="315"/>
      <c r="S11" s="315"/>
      <c r="T11" s="315"/>
      <c r="U11" s="315"/>
      <c r="V11" s="315"/>
    </row>
    <row r="12" spans="1:22" ht="21" customHeight="1">
      <c r="B12" s="639"/>
      <c r="C12" s="639"/>
      <c r="D12" s="643"/>
      <c r="E12" s="593"/>
      <c r="F12" s="593"/>
      <c r="G12" s="593"/>
      <c r="H12" s="593"/>
      <c r="I12" s="593"/>
      <c r="J12" s="593"/>
      <c r="K12" s="593"/>
      <c r="L12" s="1063">
        <f t="shared" si="0"/>
        <v>0</v>
      </c>
      <c r="P12" s="315"/>
      <c r="Q12" s="315"/>
      <c r="R12" s="315"/>
      <c r="S12" s="315"/>
      <c r="T12" s="315"/>
      <c r="U12" s="315"/>
      <c r="V12" s="315"/>
    </row>
    <row r="13" spans="1:22" ht="21" customHeight="1">
      <c r="B13" s="639"/>
      <c r="C13" s="639"/>
      <c r="D13" s="643"/>
      <c r="E13" s="596"/>
      <c r="F13" s="593"/>
      <c r="G13" s="593"/>
      <c r="H13" s="593"/>
      <c r="I13" s="593"/>
      <c r="J13" s="593"/>
      <c r="K13" s="593"/>
      <c r="L13" s="1063">
        <f t="shared" si="0"/>
        <v>0</v>
      </c>
      <c r="P13" s="315"/>
      <c r="Q13" s="315"/>
      <c r="R13" s="315"/>
      <c r="S13" s="315"/>
      <c r="T13" s="315"/>
      <c r="U13" s="315"/>
      <c r="V13" s="315"/>
    </row>
    <row r="14" spans="1:22" ht="21" customHeight="1">
      <c r="B14" s="1121" t="s">
        <v>657</v>
      </c>
      <c r="C14" s="1121"/>
      <c r="D14" s="1147"/>
      <c r="E14" s="963" t="s">
        <v>662</v>
      </c>
      <c r="F14" s="963" t="s">
        <v>662</v>
      </c>
      <c r="G14" s="963" t="s">
        <v>662</v>
      </c>
      <c r="H14" s="963" t="s">
        <v>662</v>
      </c>
      <c r="I14" s="963" t="s">
        <v>662</v>
      </c>
      <c r="J14" s="963" t="s">
        <v>662</v>
      </c>
      <c r="K14" s="963" t="s">
        <v>662</v>
      </c>
      <c r="L14" s="860" t="s">
        <v>662</v>
      </c>
      <c r="P14" s="315"/>
      <c r="Q14" s="315"/>
      <c r="R14" s="315"/>
      <c r="S14" s="315"/>
      <c r="T14" s="315"/>
      <c r="U14" s="315"/>
      <c r="V14" s="315"/>
    </row>
    <row r="15" spans="1:22" ht="21" customHeight="1">
      <c r="A15" s="1830" t="s">
        <v>3200</v>
      </c>
      <c r="B15" s="639"/>
      <c r="C15" s="639"/>
      <c r="D15" s="643"/>
      <c r="E15" s="593"/>
      <c r="F15" s="593"/>
      <c r="G15" s="593"/>
      <c r="H15" s="593"/>
      <c r="I15" s="593"/>
      <c r="J15" s="593"/>
      <c r="K15" s="593"/>
      <c r="L15" s="1063">
        <f t="shared" si="0"/>
        <v>0</v>
      </c>
      <c r="P15" s="315"/>
      <c r="Q15" s="315"/>
      <c r="R15" s="315"/>
      <c r="S15" s="315"/>
      <c r="T15" s="315"/>
      <c r="U15" s="315"/>
      <c r="V15" s="315"/>
    </row>
    <row r="16" spans="1:22" ht="21" customHeight="1">
      <c r="A16" s="1830"/>
      <c r="B16" s="639"/>
      <c r="C16" s="639"/>
      <c r="D16" s="643"/>
      <c r="E16" s="593"/>
      <c r="F16" s="593"/>
      <c r="G16" s="593"/>
      <c r="H16" s="593"/>
      <c r="I16" s="593"/>
      <c r="J16" s="593"/>
      <c r="K16" s="593"/>
      <c r="L16" s="1063">
        <f t="shared" si="0"/>
        <v>0</v>
      </c>
      <c r="P16" s="315"/>
      <c r="Q16" s="315"/>
      <c r="R16" s="315"/>
      <c r="S16" s="315"/>
      <c r="T16" s="315"/>
      <c r="U16" s="315"/>
      <c r="V16" s="315"/>
    </row>
    <row r="17" spans="1:22" ht="21" customHeight="1">
      <c r="A17" s="1830"/>
      <c r="B17" s="639"/>
      <c r="C17" s="639"/>
      <c r="D17" s="643"/>
      <c r="E17" s="593"/>
      <c r="F17" s="593"/>
      <c r="G17" s="593"/>
      <c r="H17" s="593"/>
      <c r="I17" s="593"/>
      <c r="J17" s="593"/>
      <c r="K17" s="593"/>
      <c r="L17" s="1063">
        <f t="shared" si="0"/>
        <v>0</v>
      </c>
      <c r="P17" s="315"/>
      <c r="Q17" s="315"/>
      <c r="R17" s="315"/>
      <c r="S17" s="315"/>
      <c r="T17" s="315"/>
      <c r="U17" s="315"/>
      <c r="V17" s="315"/>
    </row>
    <row r="18" spans="1:22" ht="21" customHeight="1">
      <c r="B18" s="639"/>
      <c r="C18" s="639"/>
      <c r="D18" s="643"/>
      <c r="E18" s="593"/>
      <c r="F18" s="593"/>
      <c r="G18" s="593"/>
      <c r="H18" s="593"/>
      <c r="I18" s="593"/>
      <c r="J18" s="593"/>
      <c r="K18" s="593"/>
      <c r="L18" s="1063">
        <f t="shared" si="0"/>
        <v>0</v>
      </c>
      <c r="P18" s="315"/>
      <c r="Q18" s="315"/>
      <c r="R18" s="315"/>
      <c r="S18" s="315"/>
      <c r="T18" s="315"/>
      <c r="U18" s="315"/>
      <c r="V18" s="315"/>
    </row>
    <row r="19" spans="1:22" ht="21" customHeight="1">
      <c r="B19" s="1121" t="s">
        <v>658</v>
      </c>
      <c r="C19" s="1121"/>
      <c r="D19" s="1147"/>
      <c r="E19" s="593"/>
      <c r="F19" s="593"/>
      <c r="G19" s="593"/>
      <c r="H19" s="593"/>
      <c r="I19" s="593"/>
      <c r="J19" s="593"/>
      <c r="K19" s="593"/>
      <c r="L19" s="1063">
        <f t="shared" si="0"/>
        <v>0</v>
      </c>
      <c r="P19" s="315"/>
      <c r="Q19" s="315"/>
      <c r="R19" s="315"/>
      <c r="S19" s="315"/>
      <c r="T19" s="315"/>
      <c r="U19" s="315"/>
      <c r="V19" s="315"/>
    </row>
    <row r="20" spans="1:22" ht="21" customHeight="1">
      <c r="B20" s="1121" t="s">
        <v>659</v>
      </c>
      <c r="C20" s="1121"/>
      <c r="D20" s="1147"/>
      <c r="E20" s="593"/>
      <c r="F20" s="593"/>
      <c r="G20" s="593"/>
      <c r="H20" s="593"/>
      <c r="I20" s="593"/>
      <c r="J20" s="593"/>
      <c r="K20" s="593"/>
      <c r="L20" s="1063">
        <f t="shared" si="0"/>
        <v>0</v>
      </c>
      <c r="P20" s="315"/>
      <c r="Q20" s="315"/>
      <c r="R20" s="315"/>
      <c r="S20" s="315"/>
      <c r="T20" s="315"/>
      <c r="U20" s="315"/>
      <c r="V20" s="315"/>
    </row>
    <row r="21" spans="1:22" ht="21" customHeight="1">
      <c r="B21" s="1121" t="s">
        <v>263</v>
      </c>
      <c r="C21" s="1121"/>
      <c r="D21" s="1147"/>
      <c r="E21" s="963" t="s">
        <v>662</v>
      </c>
      <c r="F21" s="963" t="s">
        <v>662</v>
      </c>
      <c r="G21" s="963" t="s">
        <v>662</v>
      </c>
      <c r="H21" s="963" t="s">
        <v>662</v>
      </c>
      <c r="I21" s="963" t="s">
        <v>662</v>
      </c>
      <c r="J21" s="963" t="s">
        <v>662</v>
      </c>
      <c r="K21" s="963" t="s">
        <v>662</v>
      </c>
      <c r="L21" s="860" t="s">
        <v>662</v>
      </c>
      <c r="P21" s="315"/>
      <c r="Q21" s="315"/>
      <c r="R21" s="315"/>
      <c r="S21" s="315"/>
      <c r="T21" s="315"/>
      <c r="U21" s="315"/>
      <c r="V21" s="315"/>
    </row>
    <row r="22" spans="1:22" ht="21" customHeight="1">
      <c r="B22" s="639"/>
      <c r="C22" s="639"/>
      <c r="D22" s="643"/>
      <c r="E22" s="593"/>
      <c r="F22" s="593"/>
      <c r="G22" s="593"/>
      <c r="H22" s="593"/>
      <c r="I22" s="593"/>
      <c r="J22" s="593"/>
      <c r="K22" s="593"/>
      <c r="L22" s="1063">
        <f t="shared" si="0"/>
        <v>0</v>
      </c>
      <c r="P22" s="315"/>
      <c r="Q22" s="315"/>
      <c r="R22" s="315"/>
      <c r="S22" s="315"/>
      <c r="T22" s="315"/>
      <c r="U22" s="315"/>
      <c r="V22" s="315"/>
    </row>
    <row r="23" spans="1:22" ht="21" customHeight="1">
      <c r="B23" s="639"/>
      <c r="C23" s="639"/>
      <c r="D23" s="643"/>
      <c r="E23" s="593"/>
      <c r="F23" s="593"/>
      <c r="G23" s="593"/>
      <c r="H23" s="593"/>
      <c r="I23" s="593"/>
      <c r="J23" s="593"/>
      <c r="K23" s="593"/>
      <c r="L23" s="1063">
        <f t="shared" si="0"/>
        <v>0</v>
      </c>
      <c r="P23" s="315"/>
      <c r="Q23" s="315"/>
      <c r="R23" s="315"/>
      <c r="S23" s="315"/>
      <c r="T23" s="315"/>
      <c r="U23" s="315"/>
      <c r="V23" s="315"/>
    </row>
    <row r="24" spans="1:22" ht="21" customHeight="1">
      <c r="B24" s="639"/>
      <c r="C24" s="639"/>
      <c r="D24" s="643"/>
      <c r="E24" s="593"/>
      <c r="F24" s="593"/>
      <c r="G24" s="593"/>
      <c r="H24" s="593"/>
      <c r="I24" s="593"/>
      <c r="J24" s="593"/>
      <c r="K24" s="593"/>
      <c r="L24" s="1063">
        <f t="shared" si="0"/>
        <v>0</v>
      </c>
      <c r="P24" s="315"/>
      <c r="Q24" s="315"/>
      <c r="R24" s="315"/>
      <c r="S24" s="315"/>
      <c r="T24" s="315"/>
      <c r="U24" s="315"/>
      <c r="V24" s="315"/>
    </row>
    <row r="25" spans="1:22" ht="21" customHeight="1" thickBot="1">
      <c r="B25" s="639"/>
      <c r="C25" s="639"/>
      <c r="D25" s="643"/>
      <c r="E25" s="619"/>
      <c r="F25" s="619"/>
      <c r="G25" s="619"/>
      <c r="H25" s="619"/>
      <c r="I25" s="619"/>
      <c r="J25" s="619"/>
      <c r="K25" s="619"/>
      <c r="L25" s="1142">
        <f t="shared" si="0"/>
        <v>0</v>
      </c>
    </row>
    <row r="26" spans="1:22" ht="21" customHeight="1" thickTop="1" thickBot="1">
      <c r="B26" s="1144"/>
      <c r="C26" s="1144"/>
      <c r="D26" s="1145"/>
      <c r="E26" s="1065">
        <f t="shared" ref="E26:K26" si="1">SUM(E9:E25)</f>
        <v>0</v>
      </c>
      <c r="F26" s="1065">
        <f t="shared" si="1"/>
        <v>0</v>
      </c>
      <c r="G26" s="1065">
        <f t="shared" si="1"/>
        <v>0</v>
      </c>
      <c r="H26" s="1065">
        <f t="shared" si="1"/>
        <v>0</v>
      </c>
      <c r="I26" s="1065">
        <f t="shared" si="1"/>
        <v>0</v>
      </c>
      <c r="J26" s="1065">
        <f t="shared" si="1"/>
        <v>0</v>
      </c>
      <c r="K26" s="1065">
        <f t="shared" si="1"/>
        <v>0</v>
      </c>
      <c r="L26" s="1143">
        <f>SUM(L9:L25)</f>
        <v>0</v>
      </c>
    </row>
    <row r="27" spans="1:22" ht="13.8" thickTop="1">
      <c r="B27" s="1146" t="s">
        <v>661</v>
      </c>
      <c r="C27" s="1128"/>
      <c r="D27" s="1128"/>
      <c r="E27" s="1128"/>
      <c r="F27" s="1128"/>
      <c r="G27" s="1128"/>
      <c r="H27" s="1128"/>
      <c r="I27" s="1128"/>
      <c r="J27" s="1128"/>
      <c r="K27" s="1128"/>
      <c r="L27" s="1128"/>
    </row>
  </sheetData>
  <sheetProtection password="CAF9"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9">
    <tabColor theme="2" tint="-0.249977111117893"/>
  </sheetPr>
  <dimension ref="B1:T55"/>
  <sheetViews>
    <sheetView zoomScaleNormal="100" zoomScaleSheetLayoutView="80" workbookViewId="0">
      <selection activeCell="N15" sqref="N15"/>
    </sheetView>
  </sheetViews>
  <sheetFormatPr defaultColWidth="8.88671875" defaultRowHeight="13.2"/>
  <cols>
    <col min="1" max="1" width="4.6640625" style="391" customWidth="1"/>
    <col min="2" max="3" width="3.6640625" style="391" customWidth="1"/>
    <col min="4" max="4" width="4.6640625" style="391" customWidth="1"/>
    <col min="5" max="5" width="8.88671875" style="391"/>
    <col min="6" max="6" width="16.6640625" style="391" customWidth="1"/>
    <col min="7" max="7" width="8.6640625" style="391" customWidth="1"/>
    <col min="8" max="10" width="16.6640625" style="391" customWidth="1"/>
    <col min="11" max="11" width="8.88671875" style="391"/>
    <col min="12" max="12" width="11.33203125" style="391" bestFit="1" customWidth="1"/>
    <col min="13" max="16384" width="8.88671875" style="391"/>
  </cols>
  <sheetData>
    <row r="1" spans="2:20">
      <c r="B1" s="1096"/>
      <c r="C1" s="1096"/>
      <c r="D1" s="1096"/>
      <c r="E1" s="1096"/>
      <c r="F1" s="1096"/>
      <c r="G1" s="1096"/>
      <c r="H1" s="1096"/>
      <c r="I1" s="1096"/>
      <c r="J1" s="1096"/>
    </row>
    <row r="2" spans="2:20" ht="22.8">
      <c r="B2" s="1804" t="str">
        <f>"SCHEDULE  OF "&amp;UPPER('KEY INPUTS'!D55)&amp;" UTILITY  BUDGET  -  "&amp;TEXT('KEY INPUTS'!D34,"0")&amp;""</f>
        <v>SCHEDULE  OF  UTILITY  BUDGET  -  2020</v>
      </c>
      <c r="C2" s="1804"/>
      <c r="D2" s="1804"/>
      <c r="E2" s="1804"/>
      <c r="F2" s="1804"/>
      <c r="G2" s="1804"/>
      <c r="H2" s="1804"/>
      <c r="I2" s="1804"/>
      <c r="J2" s="1804"/>
    </row>
    <row r="3" spans="2:20" ht="12" customHeight="1">
      <c r="B3" s="1283"/>
      <c r="C3" s="1283"/>
      <c r="D3" s="1283"/>
      <c r="E3" s="1283"/>
      <c r="F3" s="1283"/>
      <c r="G3" s="1283"/>
      <c r="H3" s="1283"/>
      <c r="I3" s="1283"/>
      <c r="J3" s="1283"/>
    </row>
    <row r="4" spans="2:20" ht="17.25" customHeight="1" thickBot="1">
      <c r="B4" s="1963" t="s">
        <v>881</v>
      </c>
      <c r="C4" s="1963"/>
      <c r="D4" s="1963"/>
      <c r="E4" s="1963"/>
      <c r="F4" s="1963"/>
      <c r="G4" s="1963"/>
      <c r="H4" s="1963"/>
      <c r="I4" s="1963"/>
      <c r="J4" s="1963"/>
    </row>
    <row r="5" spans="2:20" ht="13.8" thickTop="1">
      <c r="B5" s="1964" t="s">
        <v>172</v>
      </c>
      <c r="C5" s="1964"/>
      <c r="D5" s="1964"/>
      <c r="E5" s="1964"/>
      <c r="F5" s="1964"/>
      <c r="G5" s="1929"/>
      <c r="H5" s="1220" t="s">
        <v>564</v>
      </c>
      <c r="I5" s="1220" t="s">
        <v>672</v>
      </c>
      <c r="J5" s="1284" t="s">
        <v>340</v>
      </c>
    </row>
    <row r="6" spans="2:20" ht="13.8" thickBot="1">
      <c r="B6" s="1965"/>
      <c r="C6" s="1965"/>
      <c r="D6" s="1965"/>
      <c r="E6" s="1965"/>
      <c r="F6" s="1965"/>
      <c r="G6" s="1966"/>
      <c r="H6" s="1285"/>
      <c r="I6" s="1285" t="s">
        <v>339</v>
      </c>
      <c r="J6" s="1286" t="s">
        <v>341</v>
      </c>
    </row>
    <row r="7" spans="2:20" ht="21" customHeight="1" thickTop="1">
      <c r="B7" s="1152" t="s">
        <v>3213</v>
      </c>
      <c r="C7" s="1152"/>
      <c r="D7" s="1152"/>
      <c r="E7" s="1152"/>
      <c r="F7" s="1152"/>
      <c r="G7" s="1287"/>
      <c r="H7" s="597"/>
      <c r="I7" s="1291">
        <f>H7</f>
        <v>0</v>
      </c>
      <c r="J7" s="1185">
        <f>+I7-H7</f>
        <v>0</v>
      </c>
    </row>
    <row r="8" spans="2:20" ht="10.5" customHeight="1">
      <c r="B8" s="1191" t="s">
        <v>3212</v>
      </c>
      <c r="C8" s="1096"/>
      <c r="D8" s="1096"/>
      <c r="E8" s="1096"/>
      <c r="F8" s="1096"/>
      <c r="G8" s="1288"/>
      <c r="H8" s="1290"/>
      <c r="I8" s="1290"/>
      <c r="J8" s="1100"/>
    </row>
    <row r="9" spans="2:20">
      <c r="B9" s="1110" t="s">
        <v>175</v>
      </c>
      <c r="C9" s="1110"/>
      <c r="D9" s="1110"/>
      <c r="E9" s="1110"/>
      <c r="F9" s="1110"/>
      <c r="G9" s="1289"/>
      <c r="H9" s="644"/>
      <c r="I9" s="644"/>
      <c r="J9" s="849">
        <f t="shared" ref="J9:J15" si="0">+I9-H9</f>
        <v>0</v>
      </c>
    </row>
    <row r="10" spans="2:20" ht="21" customHeight="1">
      <c r="B10" s="639"/>
      <c r="C10" s="639"/>
      <c r="D10" s="639"/>
      <c r="E10" s="639"/>
      <c r="F10" s="639"/>
      <c r="G10" s="1148"/>
      <c r="H10" s="771"/>
      <c r="I10" s="771"/>
      <c r="J10" s="1292">
        <f t="shared" si="0"/>
        <v>0</v>
      </c>
      <c r="N10" s="315"/>
      <c r="O10" s="315"/>
      <c r="P10" s="315"/>
      <c r="Q10" s="315"/>
      <c r="R10" s="315"/>
      <c r="S10" s="315"/>
      <c r="T10" s="315"/>
    </row>
    <row r="11" spans="2:20" ht="21" customHeight="1">
      <c r="B11" s="639"/>
      <c r="C11" s="639"/>
      <c r="D11" s="639"/>
      <c r="E11" s="639"/>
      <c r="F11" s="639"/>
      <c r="G11" s="1148"/>
      <c r="H11" s="771"/>
      <c r="I11" s="771"/>
      <c r="J11" s="1106">
        <f t="shared" si="0"/>
        <v>0</v>
      </c>
      <c r="N11" s="315"/>
      <c r="O11" s="315"/>
      <c r="P11" s="315"/>
      <c r="Q11" s="315"/>
      <c r="R11" s="315"/>
      <c r="S11" s="315"/>
      <c r="T11" s="315"/>
    </row>
    <row r="12" spans="2:20" ht="21" customHeight="1">
      <c r="B12" s="639"/>
      <c r="C12" s="639"/>
      <c r="D12" s="639"/>
      <c r="E12" s="639"/>
      <c r="F12" s="639"/>
      <c r="G12" s="1148"/>
      <c r="H12" s="771"/>
      <c r="I12" s="771"/>
      <c r="J12" s="1106">
        <f t="shared" si="0"/>
        <v>0</v>
      </c>
      <c r="N12" s="370"/>
      <c r="O12" s="315"/>
      <c r="P12" s="315"/>
      <c r="Q12" s="315"/>
      <c r="R12" s="315"/>
      <c r="S12" s="315"/>
      <c r="T12" s="315"/>
    </row>
    <row r="13" spans="2:20" ht="21" customHeight="1">
      <c r="B13" s="639"/>
      <c r="C13" s="639"/>
      <c r="D13" s="639"/>
      <c r="E13" s="639"/>
      <c r="F13" s="639"/>
      <c r="G13" s="1148"/>
      <c r="H13" s="771"/>
      <c r="I13" s="771"/>
      <c r="J13" s="1106">
        <f t="shared" si="0"/>
        <v>0</v>
      </c>
      <c r="N13" s="315"/>
      <c r="O13" s="315"/>
      <c r="P13" s="315"/>
      <c r="Q13" s="315"/>
      <c r="R13" s="315"/>
      <c r="S13" s="315"/>
      <c r="T13" s="315"/>
    </row>
    <row r="14" spans="2:20" ht="21" customHeight="1">
      <c r="B14" s="639"/>
      <c r="C14" s="639"/>
      <c r="D14" s="639"/>
      <c r="E14" s="639"/>
      <c r="F14" s="639"/>
      <c r="G14" s="1148"/>
      <c r="H14" s="771"/>
      <c r="I14" s="771"/>
      <c r="J14" s="1106">
        <f t="shared" si="0"/>
        <v>0</v>
      </c>
      <c r="N14" s="315"/>
      <c r="O14" s="315"/>
      <c r="P14" s="315"/>
      <c r="Q14" s="315"/>
      <c r="R14" s="315"/>
      <c r="S14" s="315"/>
      <c r="T14" s="315"/>
    </row>
    <row r="15" spans="2:20" ht="21" customHeight="1">
      <c r="B15" s="681" t="s">
        <v>3211</v>
      </c>
      <c r="C15" s="681"/>
      <c r="D15" s="681"/>
      <c r="E15" s="681"/>
      <c r="F15" s="681"/>
      <c r="G15" s="1289"/>
      <c r="H15" s="771"/>
      <c r="I15" s="771"/>
      <c r="J15" s="1106">
        <f t="shared" si="0"/>
        <v>0</v>
      </c>
      <c r="N15" s="315"/>
      <c r="O15" s="315"/>
      <c r="P15" s="315"/>
      <c r="Q15" s="315"/>
      <c r="R15" s="315"/>
      <c r="S15" s="315"/>
      <c r="T15" s="315"/>
    </row>
    <row r="16" spans="2:20" ht="21" customHeight="1">
      <c r="B16" s="681" t="s">
        <v>3210</v>
      </c>
      <c r="C16" s="681"/>
      <c r="D16" s="681"/>
      <c r="E16" s="681"/>
      <c r="F16" s="681"/>
      <c r="G16" s="1289"/>
      <c r="H16" s="771"/>
      <c r="I16" s="771"/>
      <c r="J16" s="1106"/>
      <c r="N16" s="315"/>
      <c r="O16" s="315"/>
      <c r="P16" s="315"/>
      <c r="Q16" s="315"/>
      <c r="R16" s="315"/>
      <c r="S16" s="315"/>
      <c r="T16" s="315"/>
    </row>
    <row r="17" spans="2:20" ht="21" customHeight="1">
      <c r="B17" s="681" t="s">
        <v>338</v>
      </c>
      <c r="C17" s="681"/>
      <c r="D17" s="681"/>
      <c r="E17" s="681"/>
      <c r="F17" s="681"/>
      <c r="G17" s="1289"/>
      <c r="H17" s="1156" t="s">
        <v>662</v>
      </c>
      <c r="I17" s="1156" t="s">
        <v>662</v>
      </c>
      <c r="J17" s="1282" t="s">
        <v>662</v>
      </c>
      <c r="N17" s="315"/>
      <c r="O17" s="315"/>
      <c r="P17" s="315"/>
      <c r="Q17" s="315"/>
      <c r="R17" s="315"/>
      <c r="S17" s="315"/>
      <c r="T17" s="315"/>
    </row>
    <row r="18" spans="2:20" ht="21" customHeight="1">
      <c r="B18" s="639"/>
      <c r="C18" s="639"/>
      <c r="D18" s="639"/>
      <c r="E18" s="639"/>
      <c r="F18" s="639"/>
      <c r="G18" s="639"/>
      <c r="H18" s="593"/>
      <c r="I18" s="593"/>
      <c r="J18" s="1106">
        <f>I18-H18</f>
        <v>0</v>
      </c>
      <c r="N18" s="315"/>
      <c r="O18" s="315"/>
      <c r="P18" s="315"/>
      <c r="Q18" s="315"/>
      <c r="R18" s="315"/>
      <c r="S18" s="315"/>
      <c r="T18" s="315"/>
    </row>
    <row r="19" spans="2:20" ht="21" customHeight="1" thickBot="1">
      <c r="B19" s="639"/>
      <c r="C19" s="639"/>
      <c r="D19" s="639"/>
      <c r="E19" s="639"/>
      <c r="F19" s="639"/>
      <c r="G19" s="639"/>
      <c r="H19" s="619"/>
      <c r="I19" s="619"/>
      <c r="J19" s="1523">
        <f>I19-H19</f>
        <v>0</v>
      </c>
      <c r="N19" s="315"/>
      <c r="O19" s="315"/>
      <c r="P19" s="315"/>
      <c r="Q19" s="315"/>
      <c r="R19" s="315"/>
      <c r="S19" s="315"/>
      <c r="T19" s="315"/>
    </row>
    <row r="20" spans="2:20" ht="21" customHeight="1" thickTop="1">
      <c r="B20" s="681"/>
      <c r="C20" s="681"/>
      <c r="D20" s="681" t="s">
        <v>337</v>
      </c>
      <c r="E20" s="681"/>
      <c r="F20" s="681"/>
      <c r="G20" s="1294"/>
      <c r="H20" s="1297">
        <f>SUM(H7:H19)</f>
        <v>0</v>
      </c>
      <c r="I20" s="1297">
        <f>SUM(I7:I19)</f>
        <v>0</v>
      </c>
      <c r="J20" s="849">
        <f>SUM(J7:J19)</f>
        <v>0</v>
      </c>
      <c r="N20" s="315"/>
      <c r="O20" s="315"/>
      <c r="P20" s="315"/>
      <c r="Q20" s="315"/>
      <c r="R20" s="315"/>
      <c r="S20" s="315"/>
      <c r="T20" s="315"/>
    </row>
    <row r="21" spans="2:20" ht="21" customHeight="1" thickBot="1">
      <c r="B21" s="681" t="s">
        <v>3209</v>
      </c>
      <c r="C21" s="1295"/>
      <c r="D21" s="1295"/>
      <c r="E21" s="681"/>
      <c r="F21" s="681"/>
      <c r="G21" s="1289"/>
      <c r="H21" s="645"/>
      <c r="I21" s="645"/>
      <c r="J21" s="1100">
        <f>I21-H21</f>
        <v>0</v>
      </c>
      <c r="N21" s="315"/>
      <c r="O21" s="315"/>
      <c r="P21" s="315"/>
      <c r="Q21" s="315"/>
      <c r="R21" s="315"/>
      <c r="S21" s="315"/>
      <c r="T21" s="315"/>
    </row>
    <row r="22" spans="2:20" ht="21" customHeight="1" thickTop="1" thickBot="1">
      <c r="B22" s="1096"/>
      <c r="C22" s="1096"/>
      <c r="D22" s="1096"/>
      <c r="E22" s="1096"/>
      <c r="F22" s="1096"/>
      <c r="G22" s="1296"/>
      <c r="H22" s="1298">
        <f>+H20+H21</f>
        <v>0</v>
      </c>
      <c r="I22" s="1298">
        <f>+I20+I21</f>
        <v>0</v>
      </c>
      <c r="J22" s="1293">
        <f>+J20+J21</f>
        <v>0</v>
      </c>
      <c r="L22" s="392" t="s">
        <v>3190</v>
      </c>
      <c r="N22" s="315"/>
      <c r="O22" s="315"/>
      <c r="P22" s="315"/>
      <c r="Q22" s="315"/>
      <c r="R22" s="315"/>
      <c r="S22" s="315"/>
      <c r="T22" s="315"/>
    </row>
    <row r="23" spans="2:20" ht="13.8" thickTop="1">
      <c r="B23" s="420" t="s">
        <v>3208</v>
      </c>
      <c r="N23" s="315"/>
      <c r="O23" s="315"/>
      <c r="P23" s="315"/>
      <c r="Q23" s="315"/>
      <c r="R23" s="315"/>
      <c r="S23" s="315"/>
      <c r="T23" s="315"/>
    </row>
    <row r="24" spans="2:20">
      <c r="B24" s="420" t="s">
        <v>3207</v>
      </c>
      <c r="N24" s="315"/>
      <c r="O24" s="315"/>
      <c r="P24" s="315"/>
      <c r="Q24" s="315"/>
      <c r="R24" s="315"/>
      <c r="S24" s="315"/>
      <c r="T24" s="315"/>
    </row>
    <row r="25" spans="2:20">
      <c r="N25" s="315"/>
      <c r="O25" s="315"/>
      <c r="P25" s="315"/>
      <c r="Q25" s="315"/>
      <c r="R25" s="315"/>
      <c r="S25" s="315"/>
      <c r="T25" s="315"/>
    </row>
    <row r="26" spans="2:20">
      <c r="N26" s="315"/>
      <c r="O26" s="315"/>
      <c r="P26" s="315"/>
      <c r="Q26" s="315"/>
      <c r="R26" s="315"/>
      <c r="S26" s="315"/>
      <c r="T26" s="315"/>
    </row>
    <row r="27" spans="2:20" ht="17.25" customHeight="1" thickBot="1">
      <c r="B27" s="1963" t="s">
        <v>342</v>
      </c>
      <c r="C27" s="1963"/>
      <c r="D27" s="1963"/>
      <c r="E27" s="1963"/>
      <c r="F27" s="1963"/>
      <c r="G27" s="1963"/>
      <c r="H27" s="1963"/>
      <c r="I27" s="1963"/>
      <c r="J27" s="1963"/>
    </row>
    <row r="28" spans="2:20" ht="21" customHeight="1" thickTop="1">
      <c r="B28" s="1299" t="s">
        <v>343</v>
      </c>
      <c r="C28" s="1300"/>
      <c r="D28" s="1300"/>
      <c r="E28" s="1300"/>
      <c r="F28" s="1300"/>
      <c r="G28" s="1300"/>
      <c r="H28" s="1300"/>
      <c r="I28" s="1301"/>
      <c r="J28" s="1302" t="s">
        <v>662</v>
      </c>
    </row>
    <row r="29" spans="2:20" ht="21" customHeight="1">
      <c r="B29" s="1303"/>
      <c r="C29" s="1304" t="s">
        <v>181</v>
      </c>
      <c r="D29" s="1304"/>
      <c r="E29" s="1304"/>
      <c r="F29" s="1304"/>
      <c r="G29" s="1304"/>
      <c r="H29" s="1304"/>
      <c r="I29" s="1305"/>
      <c r="J29" s="646"/>
    </row>
    <row r="30" spans="2:20" ht="21" customHeight="1">
      <c r="B30" s="1303"/>
      <c r="C30" s="1304" t="s">
        <v>344</v>
      </c>
      <c r="D30" s="1304"/>
      <c r="E30" s="1304"/>
      <c r="F30" s="1304"/>
      <c r="G30" s="1304"/>
      <c r="H30" s="1304"/>
      <c r="I30" s="1305"/>
      <c r="J30" s="646"/>
    </row>
    <row r="31" spans="2:20" ht="21" customHeight="1" thickBot="1">
      <c r="B31" s="1303"/>
      <c r="C31" s="1304" t="s">
        <v>345</v>
      </c>
      <c r="D31" s="1304"/>
      <c r="E31" s="1304"/>
      <c r="F31" s="1304"/>
      <c r="G31" s="1304"/>
      <c r="H31" s="1304"/>
      <c r="I31" s="1305"/>
      <c r="J31" s="648"/>
    </row>
    <row r="32" spans="2:20" ht="21" customHeight="1" thickTop="1">
      <c r="B32" s="1303" t="s">
        <v>346</v>
      </c>
      <c r="C32" s="1304"/>
      <c r="D32" s="1304"/>
      <c r="E32" s="1304"/>
      <c r="F32" s="1304"/>
      <c r="G32" s="1304"/>
      <c r="H32" s="1304"/>
      <c r="I32" s="1306"/>
      <c r="J32" s="1307">
        <f>SUM(J29:J31)</f>
        <v>0</v>
      </c>
    </row>
    <row r="33" spans="2:13" ht="21" customHeight="1" thickBot="1">
      <c r="B33" s="1303" t="s">
        <v>347</v>
      </c>
      <c r="C33" s="1304"/>
      <c r="D33" s="1304"/>
      <c r="E33" s="1304"/>
      <c r="F33" s="1304"/>
      <c r="G33" s="1304"/>
      <c r="H33" s="1304"/>
      <c r="I33" s="1306"/>
      <c r="J33" s="648"/>
    </row>
    <row r="34" spans="2:13" ht="21" customHeight="1" thickTop="1">
      <c r="B34" s="1303" t="s">
        <v>766</v>
      </c>
      <c r="C34" s="1304"/>
      <c r="D34" s="1304"/>
      <c r="E34" s="1304"/>
      <c r="F34" s="1304"/>
      <c r="G34" s="1304"/>
      <c r="H34" s="1304"/>
      <c r="I34" s="1306"/>
      <c r="J34" s="1307">
        <f>+J32+J33</f>
        <v>0</v>
      </c>
    </row>
    <row r="35" spans="2:13" ht="21" customHeight="1">
      <c r="B35" s="1303" t="s">
        <v>348</v>
      </c>
      <c r="C35" s="1304"/>
      <c r="D35" s="1304"/>
      <c r="E35" s="1304"/>
      <c r="F35" s="1304"/>
      <c r="G35" s="1304"/>
      <c r="H35" s="1304"/>
      <c r="I35" s="1306"/>
      <c r="J35" s="1308"/>
    </row>
    <row r="36" spans="2:13" ht="21" customHeight="1">
      <c r="B36" s="1310"/>
      <c r="C36" s="1310" t="s">
        <v>628</v>
      </c>
      <c r="D36" s="1310"/>
      <c r="E36" s="1310"/>
      <c r="F36" s="1310"/>
      <c r="G36" s="1310"/>
      <c r="H36" s="1310"/>
      <c r="I36" s="649"/>
      <c r="J36" s="1309"/>
    </row>
    <row r="37" spans="2:13" ht="21" customHeight="1">
      <c r="B37" s="1310"/>
      <c r="C37" s="1310" t="s">
        <v>770</v>
      </c>
      <c r="D37" s="1310"/>
      <c r="E37" s="1310"/>
      <c r="F37" s="1310"/>
      <c r="G37" s="1310"/>
      <c r="H37" s="1310"/>
      <c r="I37" s="649"/>
      <c r="J37" s="1309"/>
    </row>
    <row r="38" spans="2:13" ht="21" customHeight="1" thickBot="1">
      <c r="B38" s="1310" t="s">
        <v>349</v>
      </c>
      <c r="C38" s="1310"/>
      <c r="D38" s="1310"/>
      <c r="E38" s="1310"/>
      <c r="F38" s="1310"/>
      <c r="G38" s="1310"/>
      <c r="H38" s="1310"/>
      <c r="I38" s="650"/>
      <c r="J38" s="646"/>
      <c r="M38" s="392"/>
    </row>
    <row r="39" spans="2:13" ht="21" customHeight="1" thickTop="1" thickBot="1">
      <c r="B39" s="1310" t="s">
        <v>771</v>
      </c>
      <c r="C39" s="1310"/>
      <c r="D39" s="1310"/>
      <c r="E39" s="1310"/>
      <c r="F39" s="1310"/>
      <c r="G39" s="1310"/>
      <c r="H39" s="1310"/>
      <c r="I39" s="1311"/>
      <c r="J39" s="1313">
        <f>SUM(I36:I38)</f>
        <v>0</v>
      </c>
    </row>
    <row r="40" spans="2:13" ht="21" customHeight="1" thickTop="1" thickBot="1">
      <c r="B40" s="1310" t="s">
        <v>350</v>
      </c>
      <c r="C40" s="1310"/>
      <c r="D40" s="1310"/>
      <c r="E40" s="1310"/>
      <c r="F40" s="1310"/>
      <c r="G40" s="1310"/>
      <c r="H40" s="1310"/>
      <c r="I40" s="1312"/>
      <c r="J40" s="1314">
        <f>+J34-J39</f>
        <v>0</v>
      </c>
      <c r="K40" s="392"/>
    </row>
    <row r="41" spans="2:13" ht="13.8" thickTop="1"/>
    <row r="42" spans="2:13">
      <c r="B42" s="420" t="s">
        <v>3206</v>
      </c>
      <c r="C42" s="420"/>
      <c r="D42" s="420"/>
      <c r="E42" s="420"/>
      <c r="F42" s="420"/>
    </row>
    <row r="43" spans="2:13">
      <c r="B43" s="420"/>
      <c r="C43" s="420" t="s">
        <v>3205</v>
      </c>
      <c r="D43" s="420"/>
      <c r="E43" s="420"/>
      <c r="F43" s="420"/>
    </row>
    <row r="44" spans="2:13">
      <c r="B44" s="420"/>
      <c r="C44" s="420"/>
      <c r="D44" s="420" t="s">
        <v>3204</v>
      </c>
      <c r="E44" s="420"/>
      <c r="F44" s="420"/>
      <c r="M44" s="392"/>
    </row>
    <row r="45" spans="2:13">
      <c r="B45" s="420"/>
      <c r="C45" s="420" t="s">
        <v>43</v>
      </c>
      <c r="D45" s="420"/>
      <c r="E45" s="420"/>
      <c r="F45" s="420"/>
    </row>
    <row r="46" spans="2:13">
      <c r="B46" s="420"/>
      <c r="C46" s="420" t="s">
        <v>3203</v>
      </c>
      <c r="D46" s="420"/>
      <c r="E46" s="420"/>
      <c r="F46" s="420"/>
    </row>
    <row r="47" spans="2:13">
      <c r="B47" s="420"/>
      <c r="C47" s="420"/>
      <c r="D47" s="420" t="s">
        <v>3202</v>
      </c>
      <c r="E47" s="420"/>
      <c r="F47" s="420"/>
    </row>
    <row r="48" spans="2:13">
      <c r="B48" s="420"/>
      <c r="C48" s="420"/>
      <c r="D48" s="420"/>
      <c r="E48" s="420"/>
      <c r="F48" s="420"/>
    </row>
    <row r="55" spans="2:10" ht="13.8">
      <c r="B55" s="1799" t="s">
        <v>3201</v>
      </c>
      <c r="C55" s="1799"/>
      <c r="D55" s="1799"/>
      <c r="E55" s="1799"/>
      <c r="F55" s="1799"/>
      <c r="G55" s="1799"/>
      <c r="H55" s="1799"/>
      <c r="I55" s="1799"/>
      <c r="J55" s="1799"/>
    </row>
  </sheetData>
  <sheetProtection algorithmName="SHA-512" hashValue="OT1oPFGRtSD/WpEYxzLX1ZDKHJ5ly1OIlc6hha0HmI/vr8UxCVwce3xcRHtRh3hb6mmczk3dHUrCphOkcfJKyg==" saltValue="10RYF2PUn5DyZiEp6VM9Ew=="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0">
    <tabColor theme="2" tint="-0.249977111117893"/>
  </sheetPr>
  <dimension ref="B1:T57"/>
  <sheetViews>
    <sheetView topLeftCell="A28" zoomScaleNormal="100" zoomScaleSheetLayoutView="80" workbookViewId="0">
      <selection activeCell="B45" sqref="B45"/>
    </sheetView>
  </sheetViews>
  <sheetFormatPr defaultColWidth="8.88671875" defaultRowHeight="13.2"/>
  <cols>
    <col min="1" max="1" width="4.6640625" style="391" customWidth="1"/>
    <col min="2" max="2" width="6.109375" style="391" customWidth="1"/>
    <col min="3" max="3" width="3.33203125" style="391" customWidth="1"/>
    <col min="4" max="4" width="2.6640625" style="391" customWidth="1"/>
    <col min="5" max="5" width="8.88671875" style="391"/>
    <col min="6" max="6" width="5.88671875" style="391" customWidth="1"/>
    <col min="7" max="7" width="8.88671875" style="391"/>
    <col min="8" max="8" width="16" style="391" customWidth="1"/>
    <col min="9" max="9" width="8.88671875" style="391"/>
    <col min="10" max="11" width="16.6640625" style="391" customWidth="1"/>
    <col min="12" max="12" width="8.88671875" style="391"/>
    <col min="13" max="13" width="11.33203125" style="391" customWidth="1"/>
    <col min="14" max="16384" width="8.88671875" style="391"/>
  </cols>
  <sheetData>
    <row r="1" spans="2:20">
      <c r="B1" s="1096"/>
      <c r="C1" s="1096"/>
      <c r="D1" s="1096"/>
      <c r="E1" s="1096"/>
      <c r="F1" s="1096"/>
      <c r="G1" s="1096"/>
      <c r="H1" s="1096"/>
      <c r="I1" s="1096"/>
      <c r="J1" s="1096"/>
      <c r="K1" s="1096"/>
    </row>
    <row r="2" spans="2:20">
      <c r="B2" s="1096"/>
      <c r="C2" s="1096"/>
      <c r="D2" s="1096"/>
      <c r="E2" s="1096"/>
      <c r="F2" s="1096"/>
      <c r="G2" s="1096"/>
      <c r="H2" s="1096"/>
      <c r="I2" s="1096"/>
      <c r="J2" s="1096"/>
      <c r="K2" s="1096"/>
    </row>
    <row r="3" spans="2:20" ht="22.8">
      <c r="B3" s="1804" t="str">
        <f>"STATEMENT  OF  "&amp;TEXT('KEY INPUTS'!D34,"0")&amp;"  OPERATION"</f>
        <v>STATEMENT  OF  2020  OPERATION</v>
      </c>
      <c r="C3" s="1804"/>
      <c r="D3" s="1804"/>
      <c r="E3" s="1804"/>
      <c r="F3" s="1804"/>
      <c r="G3" s="1804"/>
      <c r="H3" s="1804"/>
      <c r="I3" s="1804"/>
      <c r="J3" s="1804"/>
      <c r="K3" s="1804"/>
    </row>
    <row r="4" spans="2:20">
      <c r="B4" s="1096"/>
      <c r="C4" s="1096"/>
      <c r="D4" s="1096"/>
      <c r="E4" s="1096"/>
      <c r="F4" s="1096"/>
      <c r="G4" s="1096"/>
      <c r="H4" s="1096"/>
      <c r="I4" s="1096"/>
      <c r="J4" s="1096"/>
      <c r="K4" s="1096"/>
    </row>
    <row r="5" spans="2:20" ht="20.399999999999999">
      <c r="B5" s="1826" t="str">
        <f>UPPER('KEY INPUTS'!D55)&amp;" UTILITY"</f>
        <v xml:space="preserve"> UTILITY</v>
      </c>
      <c r="C5" s="1826"/>
      <c r="D5" s="1826"/>
      <c r="E5" s="1826"/>
      <c r="F5" s="1826"/>
      <c r="G5" s="1826"/>
      <c r="H5" s="1826"/>
      <c r="I5" s="1826"/>
      <c r="J5" s="1826"/>
      <c r="K5" s="1826"/>
    </row>
    <row r="6" spans="2:20">
      <c r="B6" s="1096"/>
      <c r="C6" s="1096"/>
      <c r="D6" s="1096"/>
      <c r="E6" s="1096"/>
      <c r="F6" s="1096"/>
      <c r="G6" s="1096"/>
      <c r="H6" s="1096"/>
      <c r="I6" s="1096"/>
      <c r="J6" s="1096"/>
      <c r="K6" s="1096"/>
    </row>
    <row r="7" spans="2:20">
      <c r="B7" s="1096"/>
      <c r="C7" s="1096"/>
      <c r="D7" s="1096"/>
      <c r="E7" s="1096"/>
      <c r="F7" s="1096"/>
      <c r="G7" s="1096"/>
      <c r="H7" s="1096"/>
      <c r="I7" s="1096"/>
      <c r="J7" s="1096"/>
      <c r="K7" s="1096"/>
    </row>
    <row r="8" spans="2:20">
      <c r="B8" s="1096" t="s">
        <v>332</v>
      </c>
      <c r="C8" s="1171" t="str">
        <f>"Section 1 of this sheet is required to be filled out ONLY IF the "&amp;TEXT('KEY INPUTS'!D34,"0")&amp;" "&amp;PROPER('KEY INPUTS'!D55)&amp;" Utility Budget contained"</f>
        <v>Section 1 of this sheet is required to be filled out ONLY IF the 2020  Utility Budget contained</v>
      </c>
      <c r="D8" s="1096"/>
      <c r="E8" s="1096"/>
      <c r="F8" s="1096"/>
      <c r="G8" s="1096"/>
      <c r="H8" s="1096"/>
      <c r="I8" s="1096"/>
      <c r="J8" s="1096"/>
      <c r="K8" s="1096"/>
    </row>
    <row r="9" spans="2:20">
      <c r="B9" s="1096"/>
      <c r="C9" s="1096" t="s">
        <v>351</v>
      </c>
      <c r="D9" s="1096"/>
      <c r="E9" s="1096"/>
      <c r="F9" s="1096"/>
      <c r="G9" s="1096"/>
      <c r="H9" s="1096"/>
      <c r="I9" s="1096"/>
      <c r="J9" s="1096"/>
      <c r="K9" s="1096"/>
    </row>
    <row r="10" spans="2:20">
      <c r="B10" s="1096"/>
      <c r="C10" s="1096" t="s">
        <v>352</v>
      </c>
      <c r="D10" s="1096"/>
      <c r="E10" s="1096"/>
      <c r="F10" s="1096"/>
      <c r="G10" s="1096"/>
      <c r="H10" s="1096"/>
      <c r="I10" s="1096"/>
      <c r="J10" s="1096"/>
      <c r="K10" s="1096"/>
    </row>
    <row r="11" spans="2:20">
      <c r="B11" s="1096"/>
      <c r="C11" s="1149" t="s">
        <v>3217</v>
      </c>
      <c r="D11" s="1096"/>
      <c r="E11" s="1096"/>
      <c r="F11" s="1096"/>
      <c r="G11" s="1096"/>
      <c r="H11" s="1096"/>
      <c r="I11" s="1096"/>
      <c r="J11" s="1096"/>
      <c r="K11" s="1096"/>
    </row>
    <row r="12" spans="2:20">
      <c r="B12" s="1096"/>
      <c r="C12" s="1096"/>
      <c r="D12" s="1096"/>
      <c r="E12" s="1096"/>
      <c r="F12" s="1096"/>
      <c r="G12" s="1096"/>
      <c r="H12" s="1096"/>
      <c r="I12" s="1096"/>
      <c r="J12" s="1096"/>
      <c r="K12" s="1096"/>
    </row>
    <row r="13" spans="2:20" ht="17.399999999999999">
      <c r="B13" s="1150" t="s">
        <v>353</v>
      </c>
      <c r="C13" s="1096"/>
      <c r="D13" s="1096"/>
      <c r="E13" s="1096"/>
      <c r="F13" s="1096"/>
      <c r="G13" s="1096"/>
      <c r="H13" s="1096"/>
      <c r="I13" s="1096"/>
      <c r="J13" s="1096"/>
      <c r="K13" s="1096"/>
    </row>
    <row r="14" spans="2:20" ht="13.8" thickBot="1">
      <c r="B14" s="1151"/>
      <c r="C14" s="1151"/>
      <c r="D14" s="1151"/>
      <c r="E14" s="1151"/>
      <c r="F14" s="1151"/>
      <c r="G14" s="1151"/>
      <c r="H14" s="1151"/>
      <c r="I14" s="1151"/>
      <c r="J14" s="1151"/>
      <c r="K14" s="1151"/>
    </row>
    <row r="15" spans="2:20" ht="21" customHeight="1" thickTop="1">
      <c r="B15" s="1152" t="s">
        <v>354</v>
      </c>
      <c r="C15" s="1152"/>
      <c r="D15" s="1152"/>
      <c r="E15" s="1152"/>
      <c r="F15" s="1152"/>
      <c r="G15" s="1152"/>
      <c r="H15" s="1152"/>
      <c r="I15" s="1152"/>
      <c r="J15" s="1153" t="s">
        <v>662</v>
      </c>
      <c r="K15" s="832"/>
      <c r="N15" s="315"/>
      <c r="O15" s="315"/>
      <c r="P15" s="315"/>
      <c r="Q15" s="315"/>
      <c r="R15" s="315"/>
      <c r="S15" s="315"/>
      <c r="T15" s="315"/>
    </row>
    <row r="16" spans="2:20" ht="21" customHeight="1">
      <c r="B16" s="681"/>
      <c r="C16" s="681" t="s">
        <v>355</v>
      </c>
      <c r="D16" s="681"/>
      <c r="E16" s="681"/>
      <c r="F16" s="681"/>
      <c r="G16" s="681"/>
      <c r="H16" s="681"/>
      <c r="I16" s="681"/>
      <c r="J16" s="833">
        <f>+'44-Utility4'!I20</f>
        <v>0</v>
      </c>
      <c r="K16" s="832"/>
      <c r="N16" s="315"/>
      <c r="O16" s="315"/>
      <c r="P16" s="315"/>
      <c r="Q16" s="315"/>
      <c r="R16" s="315"/>
      <c r="S16" s="315"/>
      <c r="T16" s="315"/>
    </row>
    <row r="17" spans="2:20" ht="21" customHeight="1">
      <c r="B17" s="681"/>
      <c r="C17" s="681" t="s">
        <v>356</v>
      </c>
      <c r="D17" s="681"/>
      <c r="E17" s="681"/>
      <c r="F17" s="681"/>
      <c r="G17" s="681"/>
      <c r="H17" s="681"/>
      <c r="I17" s="681"/>
      <c r="J17" s="568"/>
      <c r="K17" s="832"/>
      <c r="N17" s="370"/>
      <c r="O17" s="315"/>
      <c r="P17" s="315"/>
      <c r="Q17" s="315"/>
      <c r="R17" s="315"/>
      <c r="S17" s="315"/>
      <c r="T17" s="315"/>
    </row>
    <row r="18" spans="2:20" ht="21" customHeight="1">
      <c r="B18" s="681"/>
      <c r="C18" s="905" t="str">
        <f>TEXT('KEY INPUTS'!D35,"0")&amp;" Appropriation Reserves Canceled in "&amp;TEXT('KEY INPUTS'!D34,0)</f>
        <v>2019 Appropriation Reserves Canceled in 2020</v>
      </c>
      <c r="D18" s="1154"/>
      <c r="E18" s="1154"/>
      <c r="F18" s="1154"/>
      <c r="G18" s="1154"/>
      <c r="H18" s="681"/>
      <c r="I18" s="681"/>
      <c r="J18" s="367"/>
      <c r="K18" s="832"/>
      <c r="N18" s="315"/>
      <c r="O18" s="315"/>
      <c r="P18" s="315"/>
      <c r="Q18" s="315"/>
      <c r="R18" s="315"/>
      <c r="S18" s="315"/>
      <c r="T18" s="315"/>
    </row>
    <row r="19" spans="2:20" ht="21" customHeight="1">
      <c r="B19" s="681"/>
      <c r="C19" s="639"/>
      <c r="D19" s="639"/>
      <c r="E19" s="639"/>
      <c r="F19" s="639"/>
      <c r="G19" s="639"/>
      <c r="H19" s="639"/>
      <c r="I19" s="639"/>
      <c r="J19" s="367"/>
      <c r="K19" s="832"/>
      <c r="N19" s="315"/>
      <c r="O19" s="315"/>
      <c r="P19" s="315"/>
      <c r="Q19" s="315"/>
      <c r="R19" s="315"/>
      <c r="S19" s="315"/>
      <c r="T19" s="315"/>
    </row>
    <row r="20" spans="2:20" ht="21" customHeight="1">
      <c r="B20" s="681"/>
      <c r="C20" s="639"/>
      <c r="D20" s="639"/>
      <c r="E20" s="639"/>
      <c r="F20" s="639"/>
      <c r="G20" s="639"/>
      <c r="H20" s="639"/>
      <c r="I20" s="639"/>
      <c r="J20" s="367"/>
      <c r="K20" s="832"/>
      <c r="N20" s="315"/>
      <c r="O20" s="315"/>
      <c r="P20" s="315"/>
      <c r="Q20" s="315"/>
      <c r="R20" s="315"/>
      <c r="S20" s="315"/>
      <c r="T20" s="315"/>
    </row>
    <row r="21" spans="2:20" ht="21" customHeight="1">
      <c r="B21" s="681"/>
      <c r="C21" s="681" t="s">
        <v>357</v>
      </c>
      <c r="D21" s="681"/>
      <c r="E21" s="681"/>
      <c r="F21" s="681"/>
      <c r="G21" s="681"/>
      <c r="H21" s="681"/>
      <c r="I21" s="681"/>
      <c r="J21" s="568"/>
      <c r="K21" s="842">
        <f>SUM(J16:J20)</f>
        <v>0</v>
      </c>
      <c r="N21" s="315"/>
      <c r="O21" s="315"/>
      <c r="P21" s="315"/>
      <c r="Q21" s="315"/>
      <c r="R21" s="315"/>
      <c r="S21" s="315"/>
      <c r="T21" s="315"/>
    </row>
    <row r="22" spans="2:20" ht="21" customHeight="1">
      <c r="B22" s="681" t="s">
        <v>358</v>
      </c>
      <c r="C22" s="681"/>
      <c r="D22" s="681"/>
      <c r="E22" s="681"/>
      <c r="F22" s="681"/>
      <c r="G22" s="681"/>
      <c r="H22" s="681"/>
      <c r="I22" s="681"/>
      <c r="J22" s="1156" t="s">
        <v>662</v>
      </c>
      <c r="K22" s="832"/>
      <c r="N22" s="315"/>
      <c r="O22" s="315"/>
      <c r="P22" s="315"/>
      <c r="Q22" s="315"/>
      <c r="R22" s="315"/>
      <c r="S22" s="315"/>
      <c r="T22" s="315"/>
    </row>
    <row r="23" spans="2:20" ht="21" customHeight="1">
      <c r="B23" s="681"/>
      <c r="C23" s="681" t="s">
        <v>359</v>
      </c>
      <c r="D23" s="681"/>
      <c r="E23" s="681"/>
      <c r="F23" s="681"/>
      <c r="G23" s="681"/>
      <c r="H23" s="681"/>
      <c r="I23" s="681"/>
      <c r="J23" s="1156" t="s">
        <v>662</v>
      </c>
      <c r="K23" s="832"/>
      <c r="N23" s="315"/>
      <c r="O23" s="315"/>
      <c r="P23" s="315"/>
      <c r="Q23" s="315"/>
      <c r="R23" s="315"/>
      <c r="S23" s="315"/>
      <c r="T23" s="315"/>
    </row>
    <row r="24" spans="2:20" ht="21" customHeight="1">
      <c r="B24" s="681"/>
      <c r="C24" s="681"/>
      <c r="D24" s="681" t="s">
        <v>628</v>
      </c>
      <c r="E24" s="681"/>
      <c r="F24" s="681"/>
      <c r="G24" s="681"/>
      <c r="H24" s="681"/>
      <c r="I24" s="681"/>
      <c r="J24" s="833">
        <f>+'44-Utility4'!I36</f>
        <v>0</v>
      </c>
      <c r="K24" s="832"/>
      <c r="N24" s="315"/>
      <c r="O24" s="315"/>
      <c r="P24" s="315"/>
      <c r="Q24" s="315"/>
      <c r="R24" s="315"/>
      <c r="S24" s="315"/>
      <c r="T24" s="315"/>
    </row>
    <row r="25" spans="2:20" ht="21" customHeight="1">
      <c r="B25" s="681"/>
      <c r="C25" s="681"/>
      <c r="D25" s="681" t="s">
        <v>770</v>
      </c>
      <c r="E25" s="681"/>
      <c r="F25" s="681"/>
      <c r="G25" s="681"/>
      <c r="H25" s="681"/>
      <c r="I25" s="681"/>
      <c r="J25" s="833">
        <f>+'44-Utility4'!I37</f>
        <v>0</v>
      </c>
      <c r="K25" s="832"/>
      <c r="N25" s="315"/>
      <c r="O25" s="315"/>
      <c r="P25" s="315"/>
      <c r="Q25" s="315"/>
      <c r="R25" s="315"/>
      <c r="S25" s="315"/>
      <c r="T25" s="315"/>
    </row>
    <row r="26" spans="2:20" ht="21" customHeight="1">
      <c r="B26" s="681"/>
      <c r="C26" s="681" t="s">
        <v>360</v>
      </c>
      <c r="D26" s="681"/>
      <c r="E26" s="681"/>
      <c r="F26" s="681"/>
      <c r="G26" s="681"/>
      <c r="H26" s="681"/>
      <c r="I26" s="681"/>
      <c r="J26" s="568"/>
      <c r="K26" s="832"/>
      <c r="N26" s="315"/>
      <c r="O26" s="315"/>
      <c r="P26" s="315"/>
      <c r="Q26" s="315"/>
      <c r="R26" s="315"/>
      <c r="S26" s="315"/>
      <c r="T26" s="315"/>
    </row>
    <row r="27" spans="2:20" ht="21" customHeight="1">
      <c r="B27" s="681"/>
      <c r="C27" s="681" t="s">
        <v>361</v>
      </c>
      <c r="D27" s="681"/>
      <c r="E27" s="681"/>
      <c r="F27" s="681"/>
      <c r="G27" s="681"/>
      <c r="H27" s="681"/>
      <c r="I27" s="681"/>
      <c r="J27" s="568"/>
      <c r="K27" s="832"/>
      <c r="N27" s="315"/>
      <c r="O27" s="315"/>
      <c r="P27" s="315"/>
      <c r="Q27" s="315"/>
      <c r="R27" s="315"/>
      <c r="S27" s="315"/>
      <c r="T27" s="315"/>
    </row>
    <row r="28" spans="2:20" ht="21" customHeight="1" thickBot="1">
      <c r="B28" s="681"/>
      <c r="C28" s="639"/>
      <c r="D28" s="639"/>
      <c r="E28" s="639"/>
      <c r="F28" s="639"/>
      <c r="G28" s="639"/>
      <c r="H28" s="639"/>
      <c r="I28" s="639"/>
      <c r="J28" s="1007"/>
      <c r="K28" s="832"/>
      <c r="N28" s="315"/>
      <c r="O28" s="315"/>
      <c r="P28" s="315"/>
      <c r="Q28" s="315"/>
      <c r="R28" s="315"/>
      <c r="S28" s="315"/>
      <c r="T28" s="315"/>
    </row>
    <row r="29" spans="2:20" ht="21" customHeight="1">
      <c r="B29" s="681"/>
      <c r="C29" s="681"/>
      <c r="D29" s="681"/>
      <c r="E29" s="681"/>
      <c r="F29" s="681" t="s">
        <v>771</v>
      </c>
      <c r="G29" s="681"/>
      <c r="H29" s="681"/>
      <c r="I29" s="681"/>
      <c r="J29" s="839">
        <f>SUM(J24:J28)</f>
        <v>0</v>
      </c>
      <c r="K29" s="832"/>
      <c r="N29" s="315"/>
      <c r="O29" s="315"/>
      <c r="P29" s="315"/>
      <c r="Q29" s="315"/>
      <c r="R29" s="315"/>
      <c r="S29" s="315"/>
      <c r="T29" s="315"/>
    </row>
    <row r="30" spans="2:20" ht="11.25" customHeight="1">
      <c r="B30" s="1096"/>
      <c r="C30" s="1096"/>
      <c r="D30" s="1096"/>
      <c r="E30" s="1096"/>
      <c r="F30" s="1096" t="s">
        <v>799</v>
      </c>
      <c r="G30" s="1096" t="s">
        <v>800</v>
      </c>
      <c r="H30" s="1096"/>
      <c r="I30" s="1096"/>
      <c r="J30" s="1159"/>
      <c r="K30" s="832"/>
      <c r="N30" s="315"/>
      <c r="O30" s="315"/>
      <c r="P30" s="315"/>
      <c r="Q30" s="315"/>
      <c r="R30" s="315"/>
      <c r="S30" s="315"/>
      <c r="T30" s="315"/>
    </row>
    <row r="31" spans="2:20" ht="13.5" customHeight="1">
      <c r="B31" s="1110"/>
      <c r="C31" s="1110"/>
      <c r="D31" s="1110"/>
      <c r="E31" s="1110"/>
      <c r="F31" s="1110"/>
      <c r="G31" s="1110" t="s">
        <v>801</v>
      </c>
      <c r="H31" s="1110"/>
      <c r="I31" s="1160"/>
      <c r="J31" s="1471"/>
      <c r="K31" s="1157"/>
      <c r="N31" s="315"/>
      <c r="O31" s="315"/>
      <c r="P31" s="315"/>
      <c r="Q31" s="315"/>
      <c r="R31" s="315"/>
      <c r="S31" s="315"/>
      <c r="T31" s="315"/>
    </row>
    <row r="32" spans="2:20" ht="21" customHeight="1" thickBot="1">
      <c r="B32" s="1162"/>
      <c r="C32" s="1162"/>
      <c r="D32" s="1162" t="s">
        <v>802</v>
      </c>
      <c r="E32" s="1162"/>
      <c r="F32" s="1162"/>
      <c r="G32" s="1162"/>
      <c r="H32" s="1162"/>
      <c r="I32" s="1162"/>
      <c r="J32" s="1163"/>
      <c r="K32" s="1158">
        <f>+J29-J31</f>
        <v>0</v>
      </c>
    </row>
    <row r="33" spans="2:15" ht="21" customHeight="1" thickTop="1" thickBot="1">
      <c r="B33" s="1164" t="s">
        <v>803</v>
      </c>
      <c r="C33" s="1164"/>
      <c r="D33" s="1164"/>
      <c r="E33" s="1164"/>
      <c r="F33" s="1164"/>
      <c r="G33" s="1164"/>
      <c r="H33" s="1164"/>
      <c r="I33" s="1164"/>
      <c r="J33" s="1165"/>
      <c r="K33" s="1166">
        <f>IF(M33&gt;0,M33,0)</f>
        <v>0</v>
      </c>
      <c r="M33" s="392">
        <f>+K21-K32</f>
        <v>0</v>
      </c>
      <c r="N33" s="701" t="s">
        <v>3435</v>
      </c>
    </row>
    <row r="34" spans="2:15" ht="21" customHeight="1">
      <c r="B34" s="681" t="s">
        <v>804</v>
      </c>
      <c r="C34" s="681"/>
      <c r="D34" s="681"/>
      <c r="E34" s="681"/>
      <c r="F34" s="681"/>
      <c r="G34" s="681"/>
      <c r="H34" s="681"/>
      <c r="I34" s="681"/>
      <c r="J34" s="568"/>
      <c r="K34" s="832"/>
    </row>
    <row r="35" spans="2:15" ht="11.25" customHeight="1">
      <c r="B35" s="1838" t="s">
        <v>805</v>
      </c>
      <c r="C35" s="1838"/>
      <c r="D35" s="1838"/>
      <c r="E35" s="1171" t="str">
        <f>"Balance of Results of "&amp;TEXT('KEY INPUTS'!D34,"0")&amp;" Operation"</f>
        <v>Balance of Results of 2020 Operation</v>
      </c>
      <c r="F35" s="1096"/>
      <c r="G35" s="1096"/>
      <c r="H35" s="1096"/>
      <c r="I35" s="1096"/>
      <c r="J35" s="1159"/>
      <c r="K35" s="832"/>
    </row>
    <row r="36" spans="2:15" ht="12.75" customHeight="1" thickBot="1">
      <c r="B36" s="1839"/>
      <c r="C36" s="1839"/>
      <c r="D36" s="1839"/>
      <c r="E36" s="1110" t="s">
        <v>3549</v>
      </c>
      <c r="F36" s="1110"/>
      <c r="G36" s="1110"/>
      <c r="H36" s="1110"/>
      <c r="I36" s="1110"/>
      <c r="J36" s="1161">
        <f>+K33-J34</f>
        <v>0</v>
      </c>
      <c r="K36" s="832"/>
    </row>
    <row r="37" spans="2:15" ht="21" customHeight="1" thickBot="1">
      <c r="B37" s="1172"/>
      <c r="C37" s="1172"/>
      <c r="D37" s="1172"/>
      <c r="E37" s="1172"/>
      <c r="F37" s="1172"/>
      <c r="G37" s="1172"/>
      <c r="H37" s="1172"/>
      <c r="I37" s="1172"/>
      <c r="J37" s="1175"/>
      <c r="K37" s="1167"/>
    </row>
    <row r="38" spans="2:15" ht="21" customHeight="1" thickBot="1">
      <c r="B38" s="1173" t="s">
        <v>806</v>
      </c>
      <c r="C38" s="1173"/>
      <c r="D38" s="1173"/>
      <c r="E38" s="1173"/>
      <c r="F38" s="1173"/>
      <c r="G38" s="1173"/>
      <c r="H38" s="1173"/>
      <c r="I38" s="1173"/>
      <c r="J38" s="1176"/>
      <c r="K38" s="1168">
        <f>IF(+M33&gt;0,0,+M33*-1)</f>
        <v>0</v>
      </c>
    </row>
    <row r="39" spans="2:15" ht="21" customHeight="1">
      <c r="B39" s="681" t="s">
        <v>807</v>
      </c>
      <c r="C39" s="681"/>
      <c r="D39" s="681"/>
      <c r="E39" s="681"/>
      <c r="F39" s="681"/>
      <c r="G39" s="681"/>
      <c r="H39" s="681"/>
      <c r="I39" s="681"/>
      <c r="J39" s="1176">
        <f>+'44-Utility4'!I21</f>
        <v>0</v>
      </c>
      <c r="K39" s="832"/>
    </row>
    <row r="40" spans="2:15">
      <c r="B40" s="1840" t="s">
        <v>805</v>
      </c>
      <c r="C40" s="1840"/>
      <c r="D40" s="1840"/>
      <c r="E40" s="1171" t="str">
        <f>"Balance of Results of "&amp;TEXT('KEY INPUTS'!D34,"0")&amp;" Operation"</f>
        <v>Balance of Results of 2020 Operation</v>
      </c>
      <c r="F40" s="1174"/>
      <c r="G40" s="1174"/>
      <c r="H40" s="1174"/>
      <c r="I40" s="1174"/>
      <c r="J40" s="1159"/>
      <c r="K40" s="1169"/>
    </row>
    <row r="41" spans="2:15" ht="13.8" thickBot="1">
      <c r="B41" s="1841"/>
      <c r="C41" s="1841"/>
      <c r="D41" s="1841"/>
      <c r="E41" s="1151" t="s">
        <v>3216</v>
      </c>
      <c r="F41" s="1151"/>
      <c r="G41" s="1151"/>
      <c r="H41" s="1151"/>
      <c r="I41" s="1151"/>
      <c r="J41" s="1177">
        <f>+K38-J39</f>
        <v>0</v>
      </c>
      <c r="K41" s="1170"/>
      <c r="L41" s="730"/>
      <c r="O41" s="392"/>
    </row>
    <row r="42" spans="2:15" ht="13.8" thickTop="1">
      <c r="J42" s="457"/>
      <c r="K42" s="457"/>
    </row>
    <row r="43" spans="2:15" ht="17.399999999999999">
      <c r="B43" s="1150" t="s">
        <v>808</v>
      </c>
      <c r="C43" s="1096"/>
      <c r="D43" s="1096"/>
      <c r="E43" s="1096"/>
      <c r="F43" s="1096"/>
      <c r="G43" s="1096"/>
      <c r="H43" s="1096"/>
      <c r="I43" s="1096"/>
      <c r="J43" s="832"/>
      <c r="K43" s="832"/>
    </row>
    <row r="44" spans="2:15">
      <c r="B44" s="1171" t="str">
        <f>"The following Item of '"&amp;TEXT('KEY INPUTS'!D35,"0")&amp;" Appropriation Reserves Canceled in "&amp;TEXT('KEY INPUTS'!D34,"0")&amp;"' is Due to the Current Fund TO THE"</f>
        <v>The following Item of '2019 Appropriation Reserves Canceled in 2020' is Due to the Current Fund TO THE</v>
      </c>
      <c r="C44" s="1096"/>
      <c r="D44" s="1096"/>
      <c r="E44" s="1096"/>
      <c r="F44" s="1096"/>
      <c r="G44" s="1096"/>
      <c r="H44" s="1096"/>
      <c r="I44" s="1096"/>
      <c r="J44" s="832"/>
      <c r="K44" s="832"/>
    </row>
    <row r="45" spans="2:15">
      <c r="B45" s="1171" t="str">
        <f>"EXTENT OF the amount received and Due from the General Budget of "&amp;TEXT('KEY INPUTS'!D35,"0")&amp;" for an Anticipated Deficit in the"</f>
        <v>EXTENT OF the amount received and Due from the General Budget of 2019 for an Anticipated Deficit in the</v>
      </c>
      <c r="C45" s="1096"/>
      <c r="D45" s="1096"/>
      <c r="E45" s="1096"/>
      <c r="F45" s="1096"/>
      <c r="G45" s="1096"/>
      <c r="H45" s="1096"/>
      <c r="I45" s="1096"/>
      <c r="J45" s="832"/>
      <c r="K45" s="832"/>
    </row>
    <row r="46" spans="2:15">
      <c r="B46" s="1171" t="str">
        <f>PROPER('KEY INPUTS'!D55)&amp;" Utility for "&amp;TEXT('KEY INPUTS'!D35,"0")&amp;""</f>
        <v xml:space="preserve"> Utility for 2019</v>
      </c>
      <c r="C46" s="1096"/>
      <c r="D46" s="1096"/>
      <c r="E46" s="1096"/>
      <c r="F46" s="1096"/>
      <c r="G46" s="1096"/>
      <c r="H46" s="1096"/>
      <c r="I46" s="1096"/>
      <c r="J46" s="832"/>
      <c r="K46" s="832"/>
      <c r="O46" s="315"/>
    </row>
    <row r="47" spans="2:15">
      <c r="B47" s="1096"/>
      <c r="C47" s="1096"/>
      <c r="D47" s="1096"/>
      <c r="E47" s="1096"/>
      <c r="F47" s="1096"/>
      <c r="G47" s="1096"/>
      <c r="H47" s="1096"/>
      <c r="I47" s="1096"/>
      <c r="J47" s="832"/>
      <c r="K47" s="832"/>
      <c r="O47" s="315"/>
    </row>
    <row r="48" spans="2:15" ht="21" customHeight="1">
      <c r="B48" s="905" t="str">
        <f>TEXT('KEY INPUTS'!D35,"0")&amp;" Appropriation Reserves Canceled in "&amp;TEXT('KEY INPUTS'!D34,0)</f>
        <v>2019 Appropriation Reserves Canceled in 2020</v>
      </c>
      <c r="C48" s="681"/>
      <c r="D48" s="681"/>
      <c r="E48" s="681"/>
      <c r="F48" s="681"/>
      <c r="G48" s="681"/>
      <c r="H48" s="681"/>
      <c r="I48" s="681"/>
      <c r="J48" s="367"/>
      <c r="K48" s="832"/>
      <c r="O48" s="315"/>
    </row>
    <row r="49" spans="2:15" ht="24" customHeight="1">
      <c r="B49" s="681"/>
      <c r="C49" s="1178" t="s">
        <v>799</v>
      </c>
      <c r="D49" s="681"/>
      <c r="E49" s="1836" t="str">
        <f>"Anticipated Deficit in "&amp;TEXT('KEY INPUTS'!D35,"0")&amp;" Budget - Amount Received and Due from Current Fund - If none, enter 'None '"""</f>
        <v>Anticipated Deficit in 2019 Budget - Amount Received and Due from Current Fund - If none, enter 'None '"</v>
      </c>
      <c r="F49" s="1836"/>
      <c r="G49" s="1836"/>
      <c r="H49" s="1836"/>
      <c r="I49" s="1837"/>
      <c r="J49" s="568"/>
      <c r="K49" s="832"/>
      <c r="O49" s="315"/>
    </row>
    <row r="50" spans="2:15" ht="21" customHeight="1">
      <c r="B50" s="681" t="s">
        <v>809</v>
      </c>
      <c r="C50" s="681"/>
      <c r="D50" s="681"/>
      <c r="E50" s="681"/>
      <c r="F50" s="681"/>
      <c r="G50" s="681"/>
      <c r="H50" s="681"/>
      <c r="I50" s="681"/>
      <c r="J50" s="654"/>
      <c r="K50" s="842">
        <f>+MAX(0,J48-J49)</f>
        <v>0</v>
      </c>
    </row>
    <row r="52" spans="2:15">
      <c r="B52" s="456" t="s">
        <v>3215</v>
      </c>
    </row>
    <row r="53" spans="2:15">
      <c r="B53" s="456"/>
    </row>
    <row r="54" spans="2:15">
      <c r="B54" s="456"/>
    </row>
    <row r="55" spans="2:15">
      <c r="B55" s="456"/>
    </row>
    <row r="56" spans="2:15">
      <c r="B56" s="456"/>
    </row>
    <row r="57" spans="2:15" ht="13.8">
      <c r="B57" s="1799" t="s">
        <v>3214</v>
      </c>
      <c r="C57" s="1799"/>
      <c r="D57" s="1799"/>
      <c r="E57" s="1799"/>
      <c r="F57" s="1799"/>
      <c r="G57" s="1799"/>
      <c r="H57" s="1799"/>
      <c r="I57" s="1799"/>
      <c r="J57" s="1799"/>
      <c r="K57" s="1799"/>
    </row>
  </sheetData>
  <sheetProtection algorithmName="SHA-512" hashValue="hYk4uV/5yqRRay4BUY8+UmGGiWML+jteAJfJzO93MOhth6p4MzCBk3X2gaCqMHullT5ShAoNZD87wGJLYV15KQ==" saltValue="LHLvydTlj2FaAiiEKu2xsg=="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1">
    <tabColor theme="2" tint="-0.249977111117893"/>
  </sheetPr>
  <dimension ref="B1:Z52"/>
  <sheetViews>
    <sheetView zoomScaleNormal="100" zoomScaleSheetLayoutView="80" workbookViewId="0">
      <selection activeCell="K11" sqref="K11"/>
    </sheetView>
  </sheetViews>
  <sheetFormatPr defaultColWidth="8.88671875" defaultRowHeight="13.2"/>
  <cols>
    <col min="1" max="5" width="4.6640625" style="391" customWidth="1"/>
    <col min="6" max="8" width="8.88671875" style="391"/>
    <col min="9" max="9" width="6.33203125" style="391" customWidth="1"/>
    <col min="10" max="10" width="8.88671875" style="391"/>
    <col min="11" max="12" width="16.6640625" style="391" customWidth="1"/>
    <col min="13" max="13" width="13.5546875" style="391" bestFit="1" customWidth="1"/>
    <col min="14" max="14" width="11.88671875" style="391" bestFit="1" customWidth="1"/>
    <col min="15" max="16384" width="8.88671875" style="391"/>
  </cols>
  <sheetData>
    <row r="1" spans="2:26">
      <c r="B1" s="1096"/>
      <c r="C1" s="1096"/>
      <c r="D1" s="1096"/>
      <c r="E1" s="1096"/>
      <c r="F1" s="1096"/>
      <c r="G1" s="1096"/>
      <c r="H1" s="1096"/>
      <c r="I1" s="1096"/>
      <c r="J1" s="1096"/>
      <c r="K1" s="1096"/>
      <c r="L1" s="1096"/>
    </row>
    <row r="2" spans="2:26" ht="20.399999999999999">
      <c r="B2" s="1826" t="str">
        <f>"RESULTS  OF  "&amp;TEXT('KEY INPUTS'!D34,"0")&amp;"  OPERATIONS  - "&amp;UPPER('KEY INPUTS'!D55)&amp;" UTILITY"</f>
        <v>RESULTS  OF  2020  OPERATIONS  -  UTILITY</v>
      </c>
      <c r="C2" s="1826"/>
      <c r="D2" s="1826"/>
      <c r="E2" s="1826"/>
      <c r="F2" s="1826"/>
      <c r="G2" s="1826"/>
      <c r="H2" s="1826"/>
      <c r="I2" s="1826"/>
      <c r="J2" s="1826"/>
      <c r="K2" s="1826"/>
      <c r="L2" s="1826"/>
    </row>
    <row r="3" spans="2:26" ht="13.8" thickBot="1">
      <c r="B3" s="1096"/>
      <c r="C3" s="1096"/>
      <c r="D3" s="1096"/>
      <c r="E3" s="1096"/>
      <c r="F3" s="1096"/>
      <c r="G3" s="1096"/>
      <c r="H3" s="1096"/>
      <c r="I3" s="1096"/>
      <c r="J3" s="1096"/>
      <c r="K3" s="1096"/>
      <c r="L3" s="1096"/>
    </row>
    <row r="4" spans="2:26" ht="21" customHeight="1" thickTop="1" thickBot="1">
      <c r="B4" s="1315"/>
      <c r="C4" s="1315"/>
      <c r="D4" s="1315"/>
      <c r="E4" s="1315"/>
      <c r="F4" s="1315"/>
      <c r="G4" s="1315"/>
      <c r="H4" s="1315"/>
      <c r="I4" s="1315"/>
      <c r="J4" s="1315"/>
      <c r="K4" s="1097" t="s">
        <v>101</v>
      </c>
      <c r="L4" s="1098" t="s">
        <v>102</v>
      </c>
    </row>
    <row r="5" spans="2:26" ht="21" customHeight="1" thickTop="1">
      <c r="B5" s="1192" t="s">
        <v>218</v>
      </c>
      <c r="C5" s="1152"/>
      <c r="D5" s="1152"/>
      <c r="E5" s="1152"/>
      <c r="F5" s="1152"/>
      <c r="G5" s="1152"/>
      <c r="H5" s="1152"/>
      <c r="I5" s="1152"/>
      <c r="J5" s="1152"/>
      <c r="K5" s="1184" t="s">
        <v>662</v>
      </c>
      <c r="L5" s="1185">
        <f>IF(+'44-Utility4'!J22&gt;0,+'44-Utility4'!J22,0)</f>
        <v>0</v>
      </c>
      <c r="N5" s="315"/>
      <c r="O5" s="315"/>
      <c r="P5" s="315"/>
      <c r="Q5" s="315"/>
      <c r="R5" s="315"/>
      <c r="S5" s="315"/>
      <c r="T5" s="315"/>
    </row>
    <row r="6" spans="2:26" ht="21" customHeight="1">
      <c r="B6" s="687" t="s">
        <v>219</v>
      </c>
      <c r="C6" s="681"/>
      <c r="D6" s="681"/>
      <c r="E6" s="681"/>
      <c r="F6" s="681"/>
      <c r="G6" s="681"/>
      <c r="H6" s="681"/>
      <c r="I6" s="681"/>
      <c r="J6" s="681"/>
      <c r="K6" s="1186" t="s">
        <v>662</v>
      </c>
      <c r="L6" s="1106">
        <f>+'44-Utility4'!J40</f>
        <v>0</v>
      </c>
      <c r="M6" s="730"/>
      <c r="N6" s="315"/>
      <c r="O6" s="315"/>
      <c r="P6" s="315"/>
      <c r="Q6" s="315"/>
      <c r="R6" s="315"/>
      <c r="S6" s="315"/>
      <c r="T6" s="315"/>
    </row>
    <row r="7" spans="2:26" ht="21" customHeight="1">
      <c r="B7" s="687" t="s">
        <v>220</v>
      </c>
      <c r="C7" s="681"/>
      <c r="D7" s="681"/>
      <c r="E7" s="681"/>
      <c r="F7" s="681"/>
      <c r="G7" s="681"/>
      <c r="H7" s="681"/>
      <c r="I7" s="681"/>
      <c r="J7" s="681"/>
      <c r="K7" s="1186" t="s">
        <v>662</v>
      </c>
      <c r="L7" s="1106">
        <f>'45-Utility4'!J17</f>
        <v>0</v>
      </c>
      <c r="N7" s="370"/>
      <c r="O7" s="315"/>
      <c r="P7" s="315"/>
      <c r="Q7" s="315"/>
      <c r="R7" s="315"/>
      <c r="S7" s="315"/>
      <c r="T7" s="315"/>
    </row>
    <row r="8" spans="2:26" ht="21" customHeight="1">
      <c r="B8" s="1096" t="str">
        <f>"Unexpended Balances of "&amp;TEXT('KEY INPUTS'!D35,"0")&amp;" Appropriations*"</f>
        <v>Unexpended Balances of 2019 Appropriations*</v>
      </c>
      <c r="C8" s="681"/>
      <c r="D8" s="681"/>
      <c r="E8" s="681"/>
      <c r="F8" s="681"/>
      <c r="G8" s="681"/>
      <c r="H8" s="681"/>
      <c r="I8" s="681"/>
      <c r="J8" s="681"/>
      <c r="K8" s="1186" t="s">
        <v>662</v>
      </c>
      <c r="L8" s="1106">
        <f>+'45-Utility4'!K50</f>
        <v>0</v>
      </c>
      <c r="N8" s="315"/>
      <c r="O8" s="315"/>
      <c r="P8" s="315"/>
      <c r="Q8" s="315"/>
      <c r="R8" s="315"/>
      <c r="S8" s="315"/>
      <c r="T8" s="315"/>
    </row>
    <row r="9" spans="2:26" ht="21" customHeight="1">
      <c r="B9" s="696"/>
      <c r="C9" s="639"/>
      <c r="D9" s="639"/>
      <c r="E9" s="639"/>
      <c r="F9" s="639"/>
      <c r="G9" s="639"/>
      <c r="H9" s="639"/>
      <c r="I9" s="681"/>
      <c r="J9" s="681"/>
      <c r="K9" s="649"/>
      <c r="L9" s="601"/>
      <c r="N9" s="315"/>
      <c r="O9" s="315"/>
      <c r="P9" s="315"/>
      <c r="Q9" s="315"/>
      <c r="R9" s="315"/>
      <c r="S9" s="315"/>
      <c r="T9" s="315"/>
    </row>
    <row r="10" spans="2:26" ht="21" customHeight="1">
      <c r="B10" s="1096" t="s">
        <v>3221</v>
      </c>
      <c r="C10" s="1096"/>
      <c r="D10" s="1096"/>
      <c r="E10" s="1096"/>
      <c r="F10" s="1096"/>
      <c r="G10" s="1096"/>
      <c r="H10" s="1096"/>
      <c r="I10" s="1096"/>
      <c r="J10" s="1096"/>
      <c r="K10" s="680">
        <f>IF(+'44-Utility4'!J22&lt;0,-'44-Utility4'!J22,0)</f>
        <v>0</v>
      </c>
      <c r="L10" s="1188" t="s">
        <v>662</v>
      </c>
      <c r="M10" s="392">
        <f>+L9+L8+L7+L6+L5-K11-K10-K9</f>
        <v>0</v>
      </c>
      <c r="N10" s="701" t="s">
        <v>3271</v>
      </c>
      <c r="O10" s="315"/>
      <c r="P10" s="315"/>
      <c r="Q10" s="315"/>
      <c r="R10" s="315"/>
      <c r="S10" s="315"/>
      <c r="T10" s="315"/>
      <c r="V10" s="470">
        <f>-'44-Utility4'!U22</f>
        <v>0</v>
      </c>
    </row>
    <row r="11" spans="2:26" ht="21" customHeight="1">
      <c r="B11" s="693"/>
      <c r="C11" s="1181"/>
      <c r="D11" s="639"/>
      <c r="E11" s="639"/>
      <c r="F11" s="639"/>
      <c r="G11" s="639"/>
      <c r="H11" s="639"/>
      <c r="I11" s="681"/>
      <c r="J11" s="681"/>
      <c r="K11" s="593"/>
      <c r="L11" s="1188" t="s">
        <v>662</v>
      </c>
      <c r="N11" s="315"/>
      <c r="O11" s="315"/>
      <c r="P11" s="315"/>
      <c r="Q11" s="315"/>
      <c r="R11" s="315"/>
      <c r="S11" s="315"/>
      <c r="T11" s="315"/>
      <c r="U11" s="315"/>
      <c r="V11" s="315"/>
      <c r="W11" s="315"/>
      <c r="X11" s="315"/>
      <c r="Y11" s="315"/>
      <c r="Z11" s="315"/>
    </row>
    <row r="12" spans="2:26" ht="21" customHeight="1">
      <c r="B12" s="687" t="s">
        <v>221</v>
      </c>
      <c r="C12" s="1154"/>
      <c r="D12" s="681"/>
      <c r="E12" s="681"/>
      <c r="F12" s="681"/>
      <c r="G12" s="681"/>
      <c r="H12" s="681"/>
      <c r="I12" s="681"/>
      <c r="J12" s="681"/>
      <c r="K12" s="1186" t="s">
        <v>662</v>
      </c>
      <c r="L12" s="1187">
        <f>IF(M10&gt;0,0,M10*-1)</f>
        <v>0</v>
      </c>
      <c r="N12" s="315"/>
      <c r="O12" s="315"/>
      <c r="P12" s="315"/>
      <c r="Q12" s="315"/>
      <c r="R12" s="315"/>
      <c r="S12" s="315"/>
      <c r="T12" s="315"/>
      <c r="U12" s="315"/>
      <c r="V12" s="315"/>
      <c r="W12" s="315"/>
      <c r="X12" s="315"/>
      <c r="Y12" s="315"/>
      <c r="Z12" s="315"/>
    </row>
    <row r="13" spans="2:26" ht="21" customHeight="1" thickBot="1">
      <c r="B13" s="687" t="s">
        <v>222</v>
      </c>
      <c r="C13" s="1154"/>
      <c r="D13" s="681"/>
      <c r="E13" s="681"/>
      <c r="F13" s="681"/>
      <c r="G13" s="681"/>
      <c r="H13" s="681"/>
      <c r="I13" s="681"/>
      <c r="J13" s="681"/>
      <c r="K13" s="680">
        <f>IF(M10&gt;0,M10,0)</f>
        <v>0</v>
      </c>
      <c r="L13" s="1189" t="s">
        <v>662</v>
      </c>
      <c r="M13" s="392"/>
      <c r="N13" s="315"/>
      <c r="O13" s="315"/>
      <c r="P13" s="315"/>
      <c r="Q13" s="315"/>
      <c r="R13" s="315"/>
      <c r="S13" s="315"/>
      <c r="T13" s="315"/>
      <c r="U13" s="315"/>
      <c r="V13" s="469">
        <f>U11</f>
        <v>0</v>
      </c>
      <c r="W13" s="315"/>
      <c r="X13" s="315"/>
      <c r="Y13" s="315"/>
      <c r="Z13" s="315"/>
    </row>
    <row r="14" spans="2:26" ht="21" customHeight="1" thickBot="1">
      <c r="B14" s="1191" t="s">
        <v>3220</v>
      </c>
      <c r="C14" s="1096"/>
      <c r="D14" s="1096"/>
      <c r="E14" s="1096"/>
      <c r="F14" s="1096"/>
      <c r="G14" s="1096"/>
      <c r="H14" s="1096"/>
      <c r="I14" s="1096"/>
      <c r="J14" s="1096"/>
      <c r="K14" s="1113">
        <f>SUM(K5:K13)</f>
        <v>0</v>
      </c>
      <c r="L14" s="1114">
        <f>SUM(L5:L13)</f>
        <v>0</v>
      </c>
      <c r="M14" s="392">
        <f>L14-K14</f>
        <v>0</v>
      </c>
      <c r="N14" s="315"/>
      <c r="O14" s="315"/>
      <c r="P14" s="315"/>
      <c r="Q14" s="315"/>
      <c r="R14" s="315"/>
      <c r="S14" s="315"/>
      <c r="T14" s="315"/>
      <c r="U14" s="315"/>
      <c r="V14" s="315"/>
      <c r="W14" s="315"/>
      <c r="X14" s="315"/>
      <c r="Y14" s="315"/>
      <c r="Z14" s="315"/>
    </row>
    <row r="15" spans="2:26" ht="18.75" customHeight="1" thickTop="1">
      <c r="N15" s="315"/>
      <c r="O15" s="315"/>
      <c r="P15" s="315"/>
      <c r="Q15" s="315"/>
      <c r="R15" s="315"/>
      <c r="S15" s="315"/>
      <c r="T15" s="315"/>
    </row>
    <row r="16" spans="2:26" ht="18.75" customHeight="1">
      <c r="K16" s="392"/>
      <c r="N16" s="315"/>
      <c r="O16" s="315"/>
      <c r="P16" s="315"/>
      <c r="Q16" s="315"/>
      <c r="R16" s="315"/>
      <c r="S16" s="315"/>
      <c r="T16" s="315"/>
    </row>
    <row r="17" spans="2:20" ht="22.8">
      <c r="B17" s="1804" t="str">
        <f>"OPERATING  SURPLUS  - "&amp;UPPER('KEY INPUTS'!D55)&amp;" UTILITY"</f>
        <v>OPERATING  SURPLUS  -  UTILITY</v>
      </c>
      <c r="C17" s="1804"/>
      <c r="D17" s="1804"/>
      <c r="E17" s="1804"/>
      <c r="F17" s="1804"/>
      <c r="G17" s="1804"/>
      <c r="H17" s="1804"/>
      <c r="I17" s="1804"/>
      <c r="J17" s="1804"/>
      <c r="K17" s="1804"/>
      <c r="L17" s="1804"/>
      <c r="N17" s="315"/>
      <c r="O17" s="315"/>
      <c r="P17" s="315"/>
      <c r="Q17" s="315"/>
      <c r="R17" s="315"/>
      <c r="S17" s="315"/>
      <c r="T17" s="315"/>
    </row>
    <row r="18" spans="2:20" ht="6.75" customHeight="1" thickBot="1">
      <c r="B18" s="1096"/>
      <c r="C18" s="1096"/>
      <c r="D18" s="1096"/>
      <c r="E18" s="1096"/>
      <c r="F18" s="1096"/>
      <c r="G18" s="1096"/>
      <c r="H18" s="1096"/>
      <c r="I18" s="1096"/>
      <c r="J18" s="1096"/>
      <c r="K18" s="1096"/>
      <c r="L18" s="1096"/>
      <c r="N18" s="315"/>
      <c r="O18" s="315"/>
      <c r="P18" s="315"/>
      <c r="Q18" s="315"/>
      <c r="R18" s="315"/>
      <c r="S18" s="315"/>
      <c r="T18" s="315"/>
    </row>
    <row r="19" spans="2:20" ht="25.5" customHeight="1" thickTop="1" thickBot="1">
      <c r="B19" s="1315"/>
      <c r="C19" s="1315"/>
      <c r="D19" s="1315"/>
      <c r="E19" s="1315"/>
      <c r="F19" s="1315"/>
      <c r="G19" s="1315"/>
      <c r="H19" s="1315"/>
      <c r="I19" s="1315"/>
      <c r="J19" s="1315"/>
      <c r="K19" s="1097" t="s">
        <v>101</v>
      </c>
      <c r="L19" s="1098" t="s">
        <v>102</v>
      </c>
      <c r="N19" s="315"/>
      <c r="O19" s="315"/>
      <c r="P19" s="315"/>
      <c r="Q19" s="315"/>
      <c r="R19" s="315"/>
      <c r="S19" s="315"/>
      <c r="T19" s="315"/>
    </row>
    <row r="20" spans="2:20" ht="21" customHeight="1" thickTop="1">
      <c r="B20" s="1193" t="str">
        <f>'KEY INPUTS'!D25</f>
        <v>Balance - January 1, 2020</v>
      </c>
      <c r="C20" s="1152"/>
      <c r="D20" s="1152"/>
      <c r="E20" s="1152"/>
      <c r="F20" s="1152"/>
      <c r="G20" s="1152"/>
      <c r="H20" s="1152"/>
      <c r="I20" s="1152"/>
      <c r="J20" s="1152"/>
      <c r="K20" s="1317" t="s">
        <v>662</v>
      </c>
      <c r="L20" s="915"/>
      <c r="N20" s="315"/>
      <c r="O20" s="315"/>
      <c r="P20" s="315"/>
      <c r="Q20" s="315"/>
      <c r="R20" s="315"/>
      <c r="S20" s="315"/>
      <c r="T20" s="315"/>
    </row>
    <row r="21" spans="2:20" ht="21" customHeight="1">
      <c r="B21" s="1182"/>
      <c r="C21" s="639"/>
      <c r="D21" s="639"/>
      <c r="E21" s="639"/>
      <c r="F21" s="639"/>
      <c r="G21" s="639"/>
      <c r="H21" s="639"/>
      <c r="I21" s="639"/>
      <c r="J21" s="639"/>
      <c r="K21" s="1180"/>
      <c r="L21" s="913"/>
      <c r="N21" s="315"/>
      <c r="O21" s="315"/>
      <c r="P21" s="315"/>
      <c r="Q21" s="315"/>
      <c r="R21" s="315"/>
      <c r="S21" s="315"/>
      <c r="T21" s="315"/>
    </row>
    <row r="22" spans="2:20" ht="21" customHeight="1">
      <c r="B22" s="905" t="str">
        <f>"Excess in Results of "&amp;TEXT('KEY INPUTS'!D34,"0")&amp;" Operations"</f>
        <v>Excess in Results of 2020 Operations</v>
      </c>
      <c r="C22" s="681"/>
      <c r="D22" s="681"/>
      <c r="E22" s="681"/>
      <c r="F22" s="681"/>
      <c r="G22" s="681"/>
      <c r="H22" s="681"/>
      <c r="I22" s="681"/>
      <c r="J22" s="681"/>
      <c r="K22" s="1318" t="s">
        <v>662</v>
      </c>
      <c r="L22" s="1319">
        <f>+K13</f>
        <v>0</v>
      </c>
    </row>
    <row r="23" spans="2:20" ht="21" customHeight="1">
      <c r="B23" s="905" t="str">
        <f>"Amount Appropriated in the "&amp;TEXT('KEY INPUTS'!D34,"0")&amp;" Budget - Cash"</f>
        <v>Amount Appropriated in the 2020 Budget - Cash</v>
      </c>
      <c r="C23" s="681"/>
      <c r="D23" s="681"/>
      <c r="E23" s="681"/>
      <c r="F23" s="681"/>
      <c r="G23" s="681"/>
      <c r="H23" s="681"/>
      <c r="I23" s="681"/>
      <c r="J23" s="681"/>
      <c r="K23" s="1320">
        <f>'44-Utility4'!I7</f>
        <v>0</v>
      </c>
      <c r="L23" s="1321" t="s">
        <v>662</v>
      </c>
    </row>
    <row r="24" spans="2:20" ht="11.25" customHeight="1">
      <c r="B24" s="1171" t="str">
        <f>"Amount Appropriated in "&amp;TEXT('KEY INPUTS'!D34,"0")&amp;" Budget with Prior Written"</f>
        <v>Amount Appropriated in 2020 Budget with Prior Written</v>
      </c>
      <c r="C24" s="1096"/>
      <c r="D24" s="1096"/>
      <c r="E24" s="1096"/>
      <c r="F24" s="1096"/>
      <c r="G24" s="1096"/>
      <c r="H24" s="1096"/>
      <c r="I24" s="1096"/>
      <c r="J24" s="1096"/>
      <c r="K24" s="1969"/>
      <c r="L24" s="1967" t="s">
        <v>662</v>
      </c>
    </row>
    <row r="25" spans="2:20" ht="12.75" customHeight="1">
      <c r="B25" s="1110" t="s">
        <v>891</v>
      </c>
      <c r="C25" s="1110"/>
      <c r="D25" s="1110"/>
      <c r="E25" s="1110"/>
      <c r="F25" s="1110"/>
      <c r="G25" s="1110"/>
      <c r="H25" s="1110"/>
      <c r="I25" s="1110"/>
      <c r="J25" s="1110"/>
      <c r="K25" s="1970"/>
      <c r="L25" s="1968"/>
    </row>
    <row r="26" spans="2:20" ht="21" customHeight="1">
      <c r="B26" s="1182"/>
      <c r="C26" s="639"/>
      <c r="D26" s="639"/>
      <c r="E26" s="639"/>
      <c r="F26" s="639"/>
      <c r="G26" s="639"/>
      <c r="H26" s="639"/>
      <c r="I26" s="639"/>
      <c r="J26" s="639"/>
      <c r="K26" s="914"/>
      <c r="L26" s="1183"/>
    </row>
    <row r="27" spans="2:20" ht="21" customHeight="1" thickBot="1">
      <c r="B27" s="681" t="str">
        <f>'KEY INPUTS'!D26</f>
        <v>Balance - December 31, 2020</v>
      </c>
      <c r="C27" s="681"/>
      <c r="D27" s="681"/>
      <c r="E27" s="681"/>
      <c r="F27" s="681"/>
      <c r="G27" s="681"/>
      <c r="H27" s="681"/>
      <c r="I27" s="681"/>
      <c r="J27" s="681"/>
      <c r="K27" s="1322">
        <f>+SUM(L20:L26)-SUM(K21:K26)</f>
        <v>0</v>
      </c>
      <c r="L27" s="1323" t="s">
        <v>662</v>
      </c>
      <c r="N27" s="767" t="s">
        <v>3307</v>
      </c>
    </row>
    <row r="28" spans="2:20" ht="21" customHeight="1" thickBot="1">
      <c r="B28" s="1096"/>
      <c r="C28" s="1096"/>
      <c r="D28" s="1096"/>
      <c r="E28" s="1096"/>
      <c r="F28" s="1096"/>
      <c r="G28" s="1096"/>
      <c r="H28" s="1096"/>
      <c r="I28" s="1096"/>
      <c r="J28" s="1096"/>
      <c r="K28" s="1113">
        <f>SUM(K21:K27)</f>
        <v>0</v>
      </c>
      <c r="L28" s="1114">
        <f>SUM(L20:L27)</f>
        <v>0</v>
      </c>
    </row>
    <row r="29" spans="2:20" ht="13.8" thickTop="1"/>
    <row r="32" spans="2:20" ht="17.399999999999999">
      <c r="B32" s="1843" t="str">
        <f>"ANALYSIS  OF  BALANCE  DECEMBER 31, "&amp;TEXT('KEY INPUTS'!D34,"0")&amp;""</f>
        <v>ANALYSIS  OF  BALANCE  DECEMBER 31, 2020</v>
      </c>
      <c r="C32" s="1843"/>
      <c r="D32" s="1843"/>
      <c r="E32" s="1843"/>
      <c r="F32" s="1843"/>
      <c r="G32" s="1843"/>
      <c r="H32" s="1843"/>
      <c r="I32" s="1843"/>
      <c r="J32" s="1843"/>
      <c r="K32" s="1843"/>
      <c r="L32" s="1843"/>
    </row>
    <row r="33" spans="2:14" ht="17.399999999999999">
      <c r="B33" s="1843" t="str">
        <f>"(FROM "&amp;UPPER('KEY INPUTS'!D55)&amp;" UTILITY  -  TRIAL  BALANCE)"</f>
        <v>(FROM  UTILITY  -  TRIAL  BALANCE)</v>
      </c>
      <c r="C33" s="1843"/>
      <c r="D33" s="1843"/>
      <c r="E33" s="1843"/>
      <c r="F33" s="1843"/>
      <c r="G33" s="1843"/>
      <c r="H33" s="1843"/>
      <c r="I33" s="1843"/>
      <c r="J33" s="1843"/>
      <c r="K33" s="1843"/>
      <c r="L33" s="1843"/>
    </row>
    <row r="34" spans="2:14" ht="13.8" thickBot="1">
      <c r="B34" s="1096"/>
      <c r="C34" s="1096"/>
      <c r="D34" s="1096"/>
      <c r="E34" s="1096"/>
      <c r="F34" s="1096"/>
      <c r="G34" s="1096"/>
      <c r="H34" s="1096"/>
      <c r="I34" s="1096"/>
      <c r="J34" s="1096"/>
      <c r="K34" s="1096"/>
      <c r="L34" s="1096"/>
    </row>
    <row r="35" spans="2:14" ht="21" customHeight="1" thickTop="1">
      <c r="B35" s="1152" t="s">
        <v>202</v>
      </c>
      <c r="C35" s="1152"/>
      <c r="D35" s="1152"/>
      <c r="E35" s="1152"/>
      <c r="F35" s="1152"/>
      <c r="G35" s="1152"/>
      <c r="H35" s="1152"/>
      <c r="I35" s="1152"/>
      <c r="J35" s="1152"/>
      <c r="K35" s="1196"/>
      <c r="L35" s="1195">
        <f>+'41-Utility4'!G13</f>
        <v>0</v>
      </c>
    </row>
    <row r="36" spans="2:14" ht="21" customHeight="1">
      <c r="B36" s="681" t="s">
        <v>335</v>
      </c>
      <c r="C36" s="681"/>
      <c r="D36" s="681"/>
      <c r="E36" s="681"/>
      <c r="F36" s="681"/>
      <c r="G36" s="681"/>
      <c r="H36" s="681"/>
      <c r="I36" s="681"/>
      <c r="J36" s="681"/>
      <c r="K36" s="1197"/>
      <c r="L36" s="623"/>
    </row>
    <row r="37" spans="2:14" ht="21" customHeight="1" thickBot="1">
      <c r="B37" s="681" t="s">
        <v>698</v>
      </c>
      <c r="C37" s="681"/>
      <c r="D37" s="681"/>
      <c r="E37" s="681"/>
      <c r="F37" s="681"/>
      <c r="G37" s="681"/>
      <c r="H37" s="681"/>
      <c r="I37" s="681"/>
      <c r="J37" s="681"/>
      <c r="K37" s="1197"/>
      <c r="L37" s="625"/>
    </row>
    <row r="38" spans="2:14" ht="21" customHeight="1" thickTop="1">
      <c r="B38" s="681"/>
      <c r="C38" s="681"/>
      <c r="D38" s="681" t="s">
        <v>337</v>
      </c>
      <c r="E38" s="681"/>
      <c r="F38" s="681"/>
      <c r="G38" s="681"/>
      <c r="H38" s="681"/>
      <c r="I38" s="681"/>
      <c r="J38" s="681"/>
      <c r="K38" s="1197"/>
      <c r="L38" s="1198">
        <f>SUM(L35:L37)</f>
        <v>0</v>
      </c>
    </row>
    <row r="39" spans="2:14" ht="21" customHeight="1" thickBot="1">
      <c r="B39" s="681" t="s">
        <v>386</v>
      </c>
      <c r="C39" s="681"/>
      <c r="D39" s="681"/>
      <c r="E39" s="681"/>
      <c r="F39" s="681"/>
      <c r="G39" s="681"/>
      <c r="H39" s="681"/>
      <c r="I39" s="681"/>
      <c r="J39" s="681"/>
      <c r="K39" s="1197"/>
      <c r="L39" s="1199">
        <f>+'41-Utility4'!H39</f>
        <v>0</v>
      </c>
    </row>
    <row r="40" spans="2:14" ht="21" customHeight="1" thickTop="1">
      <c r="B40" s="681"/>
      <c r="C40" s="681"/>
      <c r="D40" s="681" t="s">
        <v>216</v>
      </c>
      <c r="E40" s="681"/>
      <c r="F40" s="681"/>
      <c r="G40" s="681"/>
      <c r="H40" s="681"/>
      <c r="I40" s="681"/>
      <c r="J40" s="681"/>
      <c r="K40" s="1197"/>
      <c r="L40" s="1198">
        <f>+L38-L39</f>
        <v>0</v>
      </c>
    </row>
    <row r="41" spans="2:14" ht="21" customHeight="1">
      <c r="B41" s="681" t="s">
        <v>393</v>
      </c>
      <c r="C41" s="681"/>
      <c r="D41" s="681"/>
      <c r="E41" s="681"/>
      <c r="F41" s="681"/>
      <c r="G41" s="681"/>
      <c r="H41" s="681"/>
      <c r="I41" s="681"/>
      <c r="J41" s="681"/>
      <c r="K41" s="682"/>
      <c r="L41" s="1102"/>
    </row>
    <row r="42" spans="2:14" ht="22.5" customHeight="1">
      <c r="B42" s="681"/>
      <c r="C42" s="1842" t="s">
        <v>389</v>
      </c>
      <c r="D42" s="1842"/>
      <c r="E42" s="1842"/>
      <c r="F42" s="1842"/>
      <c r="G42" s="1842"/>
      <c r="H42" s="1205"/>
      <c r="I42" s="681"/>
      <c r="J42" s="681"/>
      <c r="K42" s="593"/>
      <c r="L42" s="1102"/>
    </row>
    <row r="43" spans="2:14" ht="21" customHeight="1">
      <c r="B43" s="681"/>
      <c r="C43" s="681" t="s">
        <v>217</v>
      </c>
      <c r="D43" s="681"/>
      <c r="E43" s="681"/>
      <c r="F43" s="681"/>
      <c r="G43" s="681"/>
      <c r="H43" s="681"/>
      <c r="I43" s="681"/>
      <c r="J43" s="681"/>
      <c r="K43" s="593"/>
      <c r="L43" s="1102"/>
      <c r="M43" s="392"/>
      <c r="N43" s="392"/>
    </row>
    <row r="44" spans="2:14" ht="21" customHeight="1" thickBot="1">
      <c r="B44" s="681"/>
      <c r="C44" s="681"/>
      <c r="D44" s="681" t="s">
        <v>391</v>
      </c>
      <c r="E44" s="681"/>
      <c r="F44" s="681"/>
      <c r="G44" s="681"/>
      <c r="H44" s="681"/>
      <c r="I44" s="681"/>
      <c r="J44" s="681"/>
      <c r="K44" s="1201"/>
      <c r="L44" s="1112">
        <f>SUM(K42:K43)</f>
        <v>0</v>
      </c>
    </row>
    <row r="45" spans="2:14" ht="21" customHeight="1" thickBot="1">
      <c r="B45" s="1202" t="str">
        <f>"# MAY NOT BE ANTICIPATED AS NON-CASH SURPLUS IN "&amp;TEXT('KEY INPUTS'!D34,"0")&amp;" BUDGET."</f>
        <v># MAY NOT BE ANTICIPATED AS NON-CASH SURPLUS IN 2020 BUDGET.</v>
      </c>
      <c r="C45" s="1096"/>
      <c r="D45" s="1096"/>
      <c r="E45" s="1096"/>
      <c r="F45" s="1096"/>
      <c r="G45" s="1096"/>
      <c r="H45" s="1096"/>
      <c r="I45" s="1096"/>
      <c r="J45" s="1096"/>
      <c r="K45" s="1203"/>
      <c r="L45" s="1200">
        <f>+L40+L44</f>
        <v>0</v>
      </c>
      <c r="M45" s="392"/>
      <c r="N45" s="767" t="s">
        <v>3307</v>
      </c>
    </row>
    <row r="46" spans="2:14" ht="13.8" thickTop="1">
      <c r="B46" s="463" t="s">
        <v>223</v>
      </c>
      <c r="C46" s="463"/>
    </row>
    <row r="47" spans="2:14">
      <c r="B47" s="463"/>
      <c r="C47" s="463" t="s">
        <v>3219</v>
      </c>
    </row>
    <row r="52" spans="2:12" ht="13.8">
      <c r="B52" s="1799" t="s">
        <v>3218</v>
      </c>
      <c r="C52" s="1799"/>
      <c r="D52" s="1799"/>
      <c r="E52" s="1799"/>
      <c r="F52" s="1799"/>
      <c r="G52" s="1799"/>
      <c r="H52" s="1799"/>
      <c r="I52" s="1799"/>
      <c r="J52" s="1799"/>
      <c r="K52" s="1799"/>
      <c r="L52" s="1799"/>
    </row>
  </sheetData>
  <sheetProtection algorithmName="SHA-512" hashValue="qiBs19MNKOReDeuwcNQSO56QgDeJUQeijkvBmw8IltMt1Px5PO7gUL90skdTmQQDPfVFkoL/7Vy7p/OAzlyc0Q==" saltValue="UI1mHGTZ9GoxoK7gjag0+w=="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2">
    <tabColor theme="2" tint="-0.249977111117893"/>
  </sheetPr>
  <dimension ref="B3:T69"/>
  <sheetViews>
    <sheetView zoomScaleNormal="100" zoomScaleSheetLayoutView="80" workbookViewId="0">
      <selection activeCell="B1" sqref="B1"/>
    </sheetView>
  </sheetViews>
  <sheetFormatPr defaultColWidth="9.109375" defaultRowHeight="13.2"/>
  <cols>
    <col min="1" max="4" width="4.6640625" style="324" customWidth="1"/>
    <col min="5" max="8" width="9.109375" style="324"/>
    <col min="9" max="9" width="1.6640625" style="324" customWidth="1"/>
    <col min="10" max="10" width="16.6640625" style="324" customWidth="1"/>
    <col min="11" max="11" width="1.6640625" style="324" customWidth="1"/>
    <col min="12" max="12" width="16.6640625" style="324" customWidth="1"/>
    <col min="13" max="16384" width="9.109375" style="324"/>
  </cols>
  <sheetData>
    <row r="3" spans="2:20" ht="17.399999999999999">
      <c r="B3" s="1849" t="str">
        <f>"SCHEDULE  OF "&amp;UPPER('KEY INPUTS'!D55&amp;"  UTILITY  ACCOUNTS  RECEIVABLE")</f>
        <v>SCHEDULE  OF   UTILITY  ACCOUNTS  RECEIVABLE</v>
      </c>
      <c r="C3" s="1849"/>
      <c r="D3" s="1849"/>
      <c r="E3" s="1849"/>
      <c r="F3" s="1849"/>
      <c r="G3" s="1849"/>
      <c r="H3" s="1849"/>
      <c r="I3" s="1849"/>
      <c r="J3" s="1849"/>
      <c r="K3" s="1849"/>
      <c r="L3" s="1849"/>
    </row>
    <row r="6" spans="2:20">
      <c r="B6" s="473" t="str">
        <f>"Balance December 31, "&amp;'KEY INPUTS'!D35</f>
        <v>Balance December 31, 2019</v>
      </c>
      <c r="J6" s="280"/>
      <c r="K6" s="324" t="s">
        <v>397</v>
      </c>
      <c r="L6" s="573"/>
      <c r="N6" s="315"/>
      <c r="O6" s="315"/>
      <c r="P6" s="315"/>
      <c r="Q6" s="315"/>
      <c r="R6" s="315"/>
      <c r="S6" s="315"/>
      <c r="T6" s="315"/>
    </row>
    <row r="7" spans="2:20">
      <c r="J7" s="280"/>
      <c r="K7" s="280"/>
      <c r="L7" s="280"/>
      <c r="N7" s="315"/>
      <c r="O7" s="315"/>
      <c r="P7" s="315"/>
      <c r="Q7" s="315"/>
      <c r="R7" s="315"/>
      <c r="S7" s="315"/>
      <c r="T7" s="315"/>
    </row>
    <row r="8" spans="2:20">
      <c r="J8" s="280"/>
      <c r="K8" s="280"/>
      <c r="L8" s="280"/>
      <c r="N8" s="370"/>
      <c r="O8" s="315"/>
      <c r="P8" s="315"/>
      <c r="Q8" s="315"/>
      <c r="R8" s="315"/>
      <c r="S8" s="315"/>
      <c r="T8" s="315"/>
    </row>
    <row r="9" spans="2:20">
      <c r="J9" s="280"/>
      <c r="K9" s="280"/>
      <c r="L9" s="280"/>
      <c r="N9" s="315"/>
      <c r="O9" s="315"/>
      <c r="P9" s="315"/>
      <c r="Q9" s="315"/>
      <c r="R9" s="315"/>
      <c r="S9" s="315"/>
      <c r="T9" s="315"/>
    </row>
    <row r="10" spans="2:20">
      <c r="B10" s="324" t="s">
        <v>224</v>
      </c>
      <c r="J10" s="280"/>
      <c r="K10" s="280"/>
      <c r="L10" s="280"/>
      <c r="N10" s="315"/>
      <c r="O10" s="315"/>
      <c r="P10" s="315"/>
      <c r="Q10" s="315"/>
      <c r="R10" s="315"/>
      <c r="S10" s="315"/>
      <c r="T10" s="315"/>
    </row>
    <row r="11" spans="2:20">
      <c r="D11" s="1174" t="s">
        <v>3550</v>
      </c>
      <c r="E11" s="1174"/>
      <c r="F11" s="1174"/>
      <c r="G11" s="1096"/>
      <c r="J11" s="280"/>
      <c r="K11" s="324" t="s">
        <v>397</v>
      </c>
      <c r="L11" s="573"/>
      <c r="N11" s="315"/>
      <c r="O11" s="315"/>
      <c r="P11" s="315"/>
      <c r="Q11" s="315"/>
      <c r="R11" s="315"/>
      <c r="S11" s="315"/>
      <c r="T11" s="315"/>
    </row>
    <row r="12" spans="2:20">
      <c r="J12" s="280"/>
      <c r="K12" s="280"/>
      <c r="L12" s="280"/>
      <c r="N12" s="315"/>
      <c r="O12" s="315"/>
      <c r="P12" s="315"/>
      <c r="Q12" s="315"/>
      <c r="R12" s="315"/>
      <c r="S12" s="315"/>
      <c r="T12" s="315"/>
    </row>
    <row r="13" spans="2:20">
      <c r="J13" s="280"/>
      <c r="K13" s="280"/>
      <c r="L13" s="280"/>
      <c r="N13" s="315"/>
      <c r="O13" s="315"/>
      <c r="P13" s="315"/>
      <c r="Q13" s="315"/>
      <c r="R13" s="315"/>
      <c r="S13" s="315"/>
      <c r="T13" s="315"/>
    </row>
    <row r="14" spans="2:20">
      <c r="J14" s="280"/>
      <c r="K14" s="280"/>
      <c r="L14" s="280"/>
      <c r="N14" s="315"/>
      <c r="O14" s="315"/>
      <c r="P14" s="315"/>
      <c r="Q14" s="315"/>
      <c r="R14" s="315"/>
      <c r="S14" s="315"/>
      <c r="T14" s="315"/>
    </row>
    <row r="15" spans="2:20">
      <c r="B15" s="324" t="s">
        <v>225</v>
      </c>
      <c r="J15" s="280"/>
      <c r="K15" s="280"/>
      <c r="L15" s="280"/>
      <c r="N15" s="315"/>
      <c r="O15" s="315"/>
      <c r="P15" s="315"/>
      <c r="Q15" s="315"/>
      <c r="R15" s="315"/>
      <c r="S15" s="315"/>
      <c r="T15" s="315"/>
    </row>
    <row r="16" spans="2:20" ht="21" customHeight="1">
      <c r="D16" s="324" t="s">
        <v>226</v>
      </c>
      <c r="I16" s="324" t="s">
        <v>397</v>
      </c>
      <c r="J16" s="573"/>
      <c r="K16" s="280"/>
      <c r="L16" s="280"/>
      <c r="N16" s="315"/>
      <c r="O16" s="315"/>
      <c r="P16" s="315"/>
      <c r="Q16" s="315"/>
      <c r="R16" s="315"/>
      <c r="S16" s="315"/>
      <c r="T16" s="315"/>
    </row>
    <row r="17" spans="2:20" ht="21" customHeight="1">
      <c r="D17" s="324" t="s">
        <v>227</v>
      </c>
      <c r="I17" s="324" t="s">
        <v>397</v>
      </c>
      <c r="J17" s="573"/>
      <c r="K17" s="280"/>
      <c r="L17" s="280"/>
      <c r="N17" s="315"/>
      <c r="O17" s="315"/>
      <c r="P17" s="315"/>
      <c r="Q17" s="315"/>
      <c r="R17" s="315"/>
      <c r="S17" s="315"/>
      <c r="T17" s="315"/>
    </row>
    <row r="18" spans="2:20" ht="21" customHeight="1">
      <c r="D18" s="1096" t="s">
        <v>3551</v>
      </c>
      <c r="E18" s="1096"/>
      <c r="F18" s="1174"/>
      <c r="G18" s="1174"/>
      <c r="I18" s="324" t="s">
        <v>397</v>
      </c>
      <c r="J18" s="573"/>
      <c r="K18" s="280"/>
      <c r="L18" s="280"/>
      <c r="N18" s="315"/>
      <c r="O18" s="315"/>
      <c r="P18" s="315"/>
      <c r="Q18" s="315"/>
      <c r="R18" s="315"/>
      <c r="S18" s="315"/>
      <c r="T18" s="315"/>
    </row>
    <row r="19" spans="2:20" ht="21" customHeight="1">
      <c r="D19" s="324" t="s">
        <v>228</v>
      </c>
      <c r="I19" s="324" t="s">
        <v>397</v>
      </c>
      <c r="J19" s="573"/>
      <c r="K19" s="280"/>
      <c r="L19" s="280"/>
      <c r="N19" s="315"/>
      <c r="O19" s="315"/>
      <c r="P19" s="315"/>
      <c r="Q19" s="315"/>
      <c r="R19" s="315"/>
      <c r="S19" s="315"/>
      <c r="T19" s="315"/>
    </row>
    <row r="20" spans="2:20">
      <c r="J20" s="280"/>
      <c r="K20" s="280"/>
      <c r="L20" s="280"/>
      <c r="N20" s="315"/>
      <c r="O20" s="315"/>
      <c r="P20" s="315"/>
      <c r="Q20" s="315"/>
      <c r="R20" s="315"/>
      <c r="S20" s="315"/>
      <c r="T20" s="315"/>
    </row>
    <row r="21" spans="2:20">
      <c r="J21" s="280"/>
      <c r="K21" s="324" t="s">
        <v>397</v>
      </c>
      <c r="L21" s="67">
        <f>SUM(J16:J19)</f>
        <v>0</v>
      </c>
      <c r="N21" s="315"/>
      <c r="O21" s="315"/>
      <c r="P21" s="315"/>
      <c r="Q21" s="315"/>
      <c r="R21" s="315"/>
      <c r="S21" s="315"/>
      <c r="T21" s="315"/>
    </row>
    <row r="22" spans="2:20">
      <c r="J22" s="280"/>
      <c r="K22" s="280"/>
      <c r="L22" s="280"/>
      <c r="N22" s="315"/>
      <c r="O22" s="315"/>
      <c r="P22" s="315"/>
      <c r="Q22" s="315"/>
      <c r="R22" s="315"/>
      <c r="S22" s="315"/>
      <c r="T22" s="315"/>
    </row>
    <row r="23" spans="2:20">
      <c r="J23" s="280"/>
      <c r="K23" s="280"/>
      <c r="L23" s="280"/>
    </row>
    <row r="24" spans="2:20" ht="13.8" thickBot="1">
      <c r="B24" s="471" t="str">
        <f>"Balance December 31, "&amp;'KEY INPUTS'!D34</f>
        <v>Balance December 31, 2020</v>
      </c>
      <c r="J24" s="280"/>
      <c r="K24" s="324" t="s">
        <v>397</v>
      </c>
      <c r="L24" s="84">
        <f>+L6+L11-L21</f>
        <v>0</v>
      </c>
    </row>
    <row r="25" spans="2:20" ht="13.8" thickTop="1"/>
    <row r="28" spans="2:20">
      <c r="B28" s="472"/>
      <c r="C28" s="472"/>
      <c r="D28" s="472"/>
      <c r="E28" s="472"/>
      <c r="F28" s="472"/>
      <c r="G28" s="472"/>
      <c r="H28" s="472"/>
      <c r="I28" s="472"/>
      <c r="J28" s="472"/>
      <c r="K28" s="472"/>
      <c r="L28" s="472"/>
    </row>
    <row r="29" spans="2:20" ht="4.5" customHeight="1">
      <c r="B29" s="472"/>
      <c r="C29" s="472"/>
      <c r="D29" s="472"/>
      <c r="E29" s="472"/>
      <c r="F29" s="472"/>
      <c r="G29" s="472"/>
      <c r="H29" s="472"/>
      <c r="I29" s="472"/>
      <c r="J29" s="472"/>
      <c r="K29" s="472"/>
      <c r="L29" s="472"/>
    </row>
    <row r="33" spans="2:12" ht="17.399999999999999">
      <c r="B33" s="1843" t="str">
        <f>"SCHEDULE  OF "&amp;UPPER('KEY INPUTS'!D55)&amp;" UTILITY  LIENS"</f>
        <v>SCHEDULE  OF  UTILITY  LIENS</v>
      </c>
      <c r="C33" s="1843"/>
      <c r="D33" s="1843"/>
      <c r="E33" s="1843"/>
      <c r="F33" s="1843"/>
      <c r="G33" s="1843"/>
      <c r="H33" s="1843"/>
      <c r="I33" s="1843"/>
      <c r="J33" s="1843"/>
      <c r="K33" s="1843"/>
      <c r="L33" s="1843"/>
    </row>
    <row r="36" spans="2:12">
      <c r="B36" s="471" t="str">
        <f>"Balance December 31, "&amp;'KEY INPUTS'!D35</f>
        <v>Balance December 31, 2019</v>
      </c>
      <c r="I36" s="280"/>
      <c r="J36" s="280"/>
      <c r="K36" s="280" t="s">
        <v>397</v>
      </c>
      <c r="L36" s="573"/>
    </row>
    <row r="37" spans="2:12">
      <c r="I37" s="280"/>
      <c r="J37" s="280"/>
      <c r="K37" s="280"/>
      <c r="L37" s="280"/>
    </row>
    <row r="38" spans="2:12">
      <c r="I38" s="280"/>
      <c r="J38" s="280"/>
      <c r="K38" s="280"/>
      <c r="L38" s="280"/>
    </row>
    <row r="39" spans="2:12">
      <c r="I39" s="280"/>
      <c r="J39" s="280"/>
      <c r="K39" s="280"/>
      <c r="L39" s="280"/>
    </row>
    <row r="40" spans="2:12">
      <c r="B40" s="324" t="s">
        <v>224</v>
      </c>
      <c r="I40" s="280"/>
      <c r="J40" s="280"/>
      <c r="K40" s="280"/>
      <c r="L40" s="280"/>
    </row>
    <row r="41" spans="2:12" ht="21" customHeight="1">
      <c r="D41" s="324" t="s">
        <v>229</v>
      </c>
      <c r="I41" s="324" t="s">
        <v>397</v>
      </c>
      <c r="J41" s="573"/>
      <c r="K41" s="280"/>
      <c r="L41" s="280"/>
    </row>
    <row r="42" spans="2:12" ht="21" customHeight="1">
      <c r="D42" s="324" t="s">
        <v>230</v>
      </c>
      <c r="I42" s="324" t="s">
        <v>397</v>
      </c>
      <c r="J42" s="573"/>
      <c r="K42" s="280"/>
      <c r="L42" s="280"/>
    </row>
    <row r="43" spans="2:12" ht="21" customHeight="1">
      <c r="D43" s="324" t="s">
        <v>228</v>
      </c>
      <c r="I43" s="324" t="s">
        <v>397</v>
      </c>
      <c r="J43" s="573"/>
      <c r="K43" s="123"/>
      <c r="L43" s="123"/>
    </row>
    <row r="44" spans="2:12">
      <c r="I44" s="280"/>
      <c r="J44" s="280"/>
      <c r="K44" s="280"/>
      <c r="L44" s="280"/>
    </row>
    <row r="45" spans="2:12">
      <c r="I45" s="280"/>
      <c r="J45" s="280"/>
      <c r="K45" s="324" t="s">
        <v>397</v>
      </c>
      <c r="L45" s="67">
        <f>SUM(J41:J43)</f>
        <v>0</v>
      </c>
    </row>
    <row r="46" spans="2:12">
      <c r="I46" s="280"/>
      <c r="J46" s="280"/>
      <c r="K46" s="280"/>
      <c r="L46" s="280"/>
    </row>
    <row r="47" spans="2:12">
      <c r="B47" s="324" t="s">
        <v>225</v>
      </c>
      <c r="I47" s="280"/>
      <c r="J47" s="280"/>
      <c r="K47" s="280"/>
      <c r="L47" s="280"/>
    </row>
    <row r="48" spans="2:12" ht="21" customHeight="1">
      <c r="D48" s="324" t="s">
        <v>226</v>
      </c>
      <c r="I48" s="324" t="s">
        <v>397</v>
      </c>
      <c r="J48" s="573"/>
      <c r="K48" s="280"/>
      <c r="L48" s="280"/>
    </row>
    <row r="49" spans="2:12" ht="21" customHeight="1">
      <c r="D49" s="324" t="s">
        <v>228</v>
      </c>
      <c r="I49" s="324" t="s">
        <v>397</v>
      </c>
      <c r="J49" s="573"/>
      <c r="K49" s="280"/>
      <c r="L49" s="280"/>
    </row>
    <row r="50" spans="2:12">
      <c r="I50" s="280"/>
      <c r="J50" s="280"/>
      <c r="K50" s="280"/>
      <c r="L50" s="280"/>
    </row>
    <row r="51" spans="2:12">
      <c r="I51" s="280"/>
      <c r="J51" s="280"/>
      <c r="K51" s="324" t="s">
        <v>397</v>
      </c>
      <c r="L51" s="67">
        <f>+J49+J48</f>
        <v>0</v>
      </c>
    </row>
    <row r="52" spans="2:12">
      <c r="I52" s="280"/>
      <c r="J52" s="280"/>
      <c r="K52" s="280"/>
      <c r="L52" s="280"/>
    </row>
    <row r="53" spans="2:12">
      <c r="I53" s="280"/>
      <c r="J53" s="280"/>
      <c r="K53" s="280"/>
      <c r="L53" s="280"/>
    </row>
    <row r="54" spans="2:12" ht="13.8" thickBot="1">
      <c r="B54" s="471" t="str">
        <f>"Balance December 31, "&amp;'KEY INPUTS'!D34</f>
        <v>Balance December 31, 2020</v>
      </c>
      <c r="I54" s="280"/>
      <c r="J54" s="280"/>
      <c r="K54" s="324" t="s">
        <v>397</v>
      </c>
      <c r="L54" s="84">
        <f>+L36+L45-L51</f>
        <v>0</v>
      </c>
    </row>
    <row r="55" spans="2:12" ht="13.8" thickTop="1">
      <c r="I55" s="280"/>
      <c r="J55" s="280"/>
      <c r="K55" s="280"/>
      <c r="L55" s="280"/>
    </row>
    <row r="69" spans="2:12" ht="13.8">
      <c r="B69" s="1850" t="s">
        <v>3222</v>
      </c>
      <c r="C69" s="1850"/>
      <c r="D69" s="1850"/>
      <c r="E69" s="1850"/>
      <c r="F69" s="1850"/>
      <c r="G69" s="1850"/>
      <c r="H69" s="1850"/>
      <c r="I69" s="1850"/>
      <c r="J69" s="1850"/>
      <c r="K69" s="1850"/>
      <c r="L69" s="1850"/>
    </row>
  </sheetData>
  <sheetProtection algorithmName="SHA-512" hashValue="zzLE4P8KIH9BD9jn6jqaa2cFOtB2yCpfOfzuLWrMjriejih9zmjV0kmhDRQmtxyf9KBF3pauLzWXDk4uIT44Xw==" saltValue="YL463R7Fulmeydv/Uhlojg=="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3">
    <tabColor theme="2" tint="-0.249977111117893"/>
  </sheetPr>
  <dimension ref="B1:W69"/>
  <sheetViews>
    <sheetView zoomScaleNormal="100" zoomScaleSheetLayoutView="80" workbookViewId="0"/>
  </sheetViews>
  <sheetFormatPr defaultColWidth="9.109375" defaultRowHeight="13.2"/>
  <cols>
    <col min="1" max="4" width="4.6640625" style="324" customWidth="1"/>
    <col min="5" max="6" width="9.109375" style="324"/>
    <col min="7" max="7" width="1.6640625" style="324" customWidth="1"/>
    <col min="8" max="8" width="14.6640625" style="324" customWidth="1"/>
    <col min="9" max="9" width="1.6640625" style="324" customWidth="1"/>
    <col min="10" max="10" width="14.6640625" style="324" customWidth="1"/>
    <col min="11" max="11" width="1.6640625" style="324" customWidth="1"/>
    <col min="12" max="12" width="14.6640625" style="324" customWidth="1"/>
    <col min="13" max="13" width="1.6640625" style="324" customWidth="1"/>
    <col min="14" max="14" width="14.6640625" style="324" customWidth="1"/>
    <col min="15" max="16384" width="9.109375" style="324"/>
  </cols>
  <sheetData>
    <row r="1" spans="2:23">
      <c r="B1" s="1128"/>
      <c r="C1" s="1128"/>
      <c r="D1" s="1128"/>
      <c r="E1" s="1128"/>
      <c r="F1" s="1128"/>
      <c r="G1" s="1128"/>
      <c r="H1" s="1128"/>
      <c r="I1" s="1128"/>
      <c r="J1" s="1128"/>
      <c r="K1" s="1128"/>
      <c r="L1" s="1128"/>
      <c r="M1" s="1128"/>
      <c r="N1" s="1128"/>
    </row>
    <row r="2" spans="2:23">
      <c r="B2" s="1128"/>
      <c r="C2" s="1128"/>
      <c r="D2" s="1128"/>
      <c r="E2" s="1128"/>
      <c r="F2" s="1128"/>
      <c r="G2" s="1128"/>
      <c r="H2" s="1128"/>
      <c r="I2" s="1128"/>
      <c r="J2" s="1128"/>
      <c r="K2" s="1128"/>
      <c r="L2" s="1128"/>
      <c r="M2" s="1128"/>
      <c r="N2" s="1128"/>
    </row>
    <row r="3" spans="2:23" ht="20.399999999999999">
      <c r="B3" s="1916" t="s">
        <v>918</v>
      </c>
      <c r="C3" s="1916"/>
      <c r="D3" s="1916"/>
      <c r="E3" s="1916"/>
      <c r="F3" s="1916"/>
      <c r="G3" s="1916"/>
      <c r="H3" s="1916"/>
      <c r="I3" s="1916"/>
      <c r="J3" s="1916"/>
      <c r="K3" s="1916"/>
      <c r="L3" s="1916"/>
      <c r="M3" s="1916"/>
      <c r="N3" s="1916"/>
    </row>
    <row r="4" spans="2:23" ht="15.6">
      <c r="B4" s="1974" t="s">
        <v>448</v>
      </c>
      <c r="C4" s="1974"/>
      <c r="D4" s="1974"/>
      <c r="E4" s="1974"/>
      <c r="F4" s="1974"/>
      <c r="G4" s="1974"/>
      <c r="H4" s="1974"/>
      <c r="I4" s="1974"/>
      <c r="J4" s="1974"/>
      <c r="K4" s="1974"/>
      <c r="L4" s="1974"/>
      <c r="M4" s="1974"/>
      <c r="N4" s="1974"/>
    </row>
    <row r="5" spans="2:23" ht="20.399999999999999">
      <c r="B5" s="1826" t="str">
        <f>UPPER('KEY INPUTS'!D55)&amp;" UTILITY  FUND"</f>
        <v xml:space="preserve"> UTILITY  FUND</v>
      </c>
      <c r="C5" s="1826"/>
      <c r="D5" s="1826"/>
      <c r="E5" s="1826"/>
      <c r="F5" s="1826"/>
      <c r="G5" s="1826"/>
      <c r="H5" s="1826"/>
      <c r="I5" s="1826"/>
      <c r="J5" s="1826"/>
      <c r="K5" s="1826"/>
      <c r="L5" s="1826"/>
      <c r="M5" s="1826"/>
      <c r="N5" s="1826"/>
    </row>
    <row r="6" spans="2:23">
      <c r="B6" s="1975" t="s">
        <v>231</v>
      </c>
      <c r="C6" s="1975"/>
      <c r="D6" s="1975"/>
      <c r="E6" s="1975"/>
      <c r="F6" s="1975"/>
      <c r="G6" s="1975"/>
      <c r="H6" s="1975"/>
      <c r="I6" s="1975"/>
      <c r="J6" s="1975"/>
      <c r="K6" s="1975"/>
      <c r="L6" s="1975"/>
      <c r="M6" s="1975"/>
      <c r="N6" s="1975"/>
    </row>
    <row r="7" spans="2:23">
      <c r="B7" s="1128"/>
      <c r="C7" s="1128"/>
      <c r="D7" s="1128"/>
      <c r="E7" s="1128"/>
      <c r="F7" s="1128"/>
      <c r="G7" s="1128"/>
      <c r="H7" s="1128"/>
      <c r="I7" s="1128"/>
      <c r="J7" s="1128"/>
      <c r="K7" s="1128"/>
      <c r="L7" s="1128"/>
      <c r="M7" s="1128"/>
      <c r="N7" s="1128"/>
    </row>
    <row r="8" spans="2:23">
      <c r="B8" s="1128"/>
      <c r="C8" s="1128"/>
      <c r="D8" s="1128"/>
      <c r="E8" s="1128"/>
      <c r="F8" s="1128"/>
      <c r="G8" s="1128"/>
      <c r="H8" s="1123" t="s">
        <v>441</v>
      </c>
      <c r="I8" s="1128"/>
      <c r="J8" s="1128"/>
      <c r="K8" s="1128"/>
      <c r="L8" s="1128"/>
      <c r="M8" s="1128"/>
      <c r="N8" s="1128"/>
    </row>
    <row r="9" spans="2:23">
      <c r="B9" s="1128"/>
      <c r="C9" s="1973" t="s">
        <v>461</v>
      </c>
      <c r="D9" s="1973"/>
      <c r="E9" s="1973"/>
      <c r="F9" s="1128"/>
      <c r="G9" s="1128"/>
      <c r="H9" s="1326" t="str">
        <f>'KEY INPUTS'!D45</f>
        <v>Dec. 31, 2019</v>
      </c>
      <c r="I9" s="1128"/>
      <c r="J9" s="1123" t="s">
        <v>462</v>
      </c>
      <c r="K9" s="1128"/>
      <c r="L9" s="1123" t="s">
        <v>441</v>
      </c>
      <c r="M9" s="1128"/>
      <c r="N9" s="1123" t="s">
        <v>559</v>
      </c>
    </row>
    <row r="10" spans="2:23">
      <c r="B10" s="1128"/>
      <c r="C10" s="1128"/>
      <c r="D10" s="1128"/>
      <c r="E10" s="1128"/>
      <c r="F10" s="1128"/>
      <c r="G10" s="1128"/>
      <c r="H10" s="1123" t="s">
        <v>460</v>
      </c>
      <c r="I10" s="1128"/>
      <c r="J10" s="1123">
        <f>'KEY INPUTS'!D34</f>
        <v>2020</v>
      </c>
      <c r="K10" s="1128"/>
      <c r="L10" s="1123" t="s">
        <v>463</v>
      </c>
      <c r="M10" s="1128"/>
      <c r="N10" s="1123" t="s">
        <v>464</v>
      </c>
    </row>
    <row r="11" spans="2:23">
      <c r="B11" s="1128"/>
      <c r="C11" s="1128"/>
      <c r="D11" s="1128"/>
      <c r="E11" s="1128"/>
      <c r="F11" s="1128"/>
      <c r="G11" s="1128"/>
      <c r="H11" s="1327" t="s">
        <v>459</v>
      </c>
      <c r="I11" s="1128"/>
      <c r="J11" s="1327" t="s">
        <v>564</v>
      </c>
      <c r="K11" s="1128"/>
      <c r="L11" s="1327">
        <f>'KEY INPUTS'!D34</f>
        <v>2020</v>
      </c>
      <c r="M11" s="1128"/>
      <c r="N11" s="1328" t="str">
        <f>'KEY INPUTS'!D46</f>
        <v>Dec. 31, 2020</v>
      </c>
      <c r="Q11" s="315"/>
      <c r="R11" s="315"/>
      <c r="S11" s="315"/>
      <c r="T11" s="315"/>
      <c r="U11" s="315"/>
      <c r="V11" s="315"/>
      <c r="W11" s="315"/>
    </row>
    <row r="12" spans="2:23">
      <c r="B12" s="1329" t="s">
        <v>308</v>
      </c>
      <c r="C12" s="1128" t="s">
        <v>919</v>
      </c>
      <c r="D12" s="1128"/>
      <c r="E12" s="1128"/>
      <c r="F12" s="1128"/>
      <c r="G12" s="1128"/>
      <c r="H12" s="1128"/>
      <c r="I12" s="1128"/>
      <c r="J12" s="1128"/>
      <c r="K12" s="1128"/>
      <c r="L12" s="1128"/>
      <c r="M12" s="1128"/>
      <c r="N12" s="1128"/>
      <c r="Q12" s="315"/>
      <c r="R12" s="315"/>
      <c r="S12" s="315"/>
      <c r="T12" s="315"/>
      <c r="U12" s="315"/>
      <c r="V12" s="315"/>
      <c r="W12" s="315"/>
    </row>
    <row r="13" spans="2:23">
      <c r="B13" s="1329"/>
      <c r="C13" s="1128"/>
      <c r="D13" s="1128" t="s">
        <v>920</v>
      </c>
      <c r="E13" s="1128"/>
      <c r="F13" s="1128"/>
      <c r="G13" s="324" t="s">
        <v>397</v>
      </c>
      <c r="H13" s="573"/>
      <c r="I13" s="324" t="s">
        <v>397</v>
      </c>
      <c r="J13" s="573"/>
      <c r="K13" s="324" t="s">
        <v>397</v>
      </c>
      <c r="L13" s="573"/>
      <c r="M13" s="324" t="s">
        <v>397</v>
      </c>
      <c r="N13" s="661">
        <f>+H13-J13+L13</f>
        <v>0</v>
      </c>
      <c r="Q13" s="370"/>
      <c r="R13" s="315"/>
      <c r="S13" s="315"/>
      <c r="T13" s="315"/>
      <c r="U13" s="315"/>
      <c r="V13" s="315"/>
      <c r="W13" s="315"/>
    </row>
    <row r="14" spans="2:23">
      <c r="B14" s="1329"/>
      <c r="C14" s="1128"/>
      <c r="D14" s="1128"/>
      <c r="E14" s="1128"/>
      <c r="F14" s="1128"/>
      <c r="H14" s="280"/>
      <c r="J14" s="280"/>
      <c r="L14" s="280"/>
      <c r="N14" s="1128"/>
      <c r="Q14" s="315"/>
      <c r="R14" s="315"/>
      <c r="S14" s="315"/>
      <c r="T14" s="315"/>
      <c r="U14" s="315"/>
      <c r="V14" s="315"/>
      <c r="W14" s="315"/>
    </row>
    <row r="15" spans="2:23" ht="21" customHeight="1">
      <c r="B15" s="474" t="s">
        <v>309</v>
      </c>
      <c r="C15" s="660" t="s">
        <v>3190</v>
      </c>
      <c r="D15" s="659"/>
      <c r="E15" s="659"/>
      <c r="F15" s="659"/>
      <c r="G15" s="324" t="s">
        <v>397</v>
      </c>
      <c r="H15" s="573"/>
      <c r="I15" s="324" t="s">
        <v>397</v>
      </c>
      <c r="J15" s="573"/>
      <c r="K15" s="324" t="s">
        <v>397</v>
      </c>
      <c r="L15" s="573"/>
      <c r="M15" s="324" t="s">
        <v>397</v>
      </c>
      <c r="N15" s="1206">
        <f>+H15-J15+L15</f>
        <v>0</v>
      </c>
      <c r="Q15" s="315"/>
      <c r="R15" s="315"/>
      <c r="S15" s="315"/>
      <c r="T15" s="315"/>
      <c r="U15" s="315"/>
      <c r="V15" s="315"/>
      <c r="W15" s="315"/>
    </row>
    <row r="16" spans="2:23" ht="21" customHeight="1">
      <c r="B16" s="474" t="s">
        <v>310</v>
      </c>
      <c r="C16" s="659"/>
      <c r="D16" s="659"/>
      <c r="E16" s="659"/>
      <c r="F16" s="659"/>
      <c r="G16" s="324" t="s">
        <v>397</v>
      </c>
      <c r="H16" s="573"/>
      <c r="I16" s="324" t="s">
        <v>397</v>
      </c>
      <c r="J16" s="573"/>
      <c r="K16" s="324" t="s">
        <v>397</v>
      </c>
      <c r="L16" s="573"/>
      <c r="M16" s="324" t="s">
        <v>397</v>
      </c>
      <c r="N16" s="1206">
        <f>+H16-J16+L16</f>
        <v>0</v>
      </c>
      <c r="Q16" s="315"/>
      <c r="R16" s="315"/>
      <c r="S16" s="315"/>
      <c r="T16" s="315"/>
      <c r="U16" s="315"/>
      <c r="V16" s="315"/>
      <c r="W16" s="315"/>
    </row>
    <row r="17" spans="2:23" ht="21" customHeight="1">
      <c r="B17" s="474" t="s">
        <v>311</v>
      </c>
      <c r="C17" s="659"/>
      <c r="D17" s="659"/>
      <c r="E17" s="659"/>
      <c r="F17" s="659"/>
      <c r="G17" s="324" t="s">
        <v>397</v>
      </c>
      <c r="H17" s="573"/>
      <c r="I17" s="324" t="s">
        <v>397</v>
      </c>
      <c r="J17" s="573"/>
      <c r="K17" s="324" t="s">
        <v>397</v>
      </c>
      <c r="L17" s="573"/>
      <c r="M17" s="324" t="s">
        <v>397</v>
      </c>
      <c r="N17" s="1206">
        <f t="shared" ref="N17:N23" si="0">+H17-J17+L17</f>
        <v>0</v>
      </c>
      <c r="Q17" s="315"/>
      <c r="R17" s="315"/>
      <c r="S17" s="315"/>
      <c r="T17" s="315"/>
      <c r="U17" s="315"/>
      <c r="V17" s="315"/>
      <c r="W17" s="315"/>
    </row>
    <row r="18" spans="2:23" ht="21" customHeight="1">
      <c r="B18" s="474" t="s">
        <v>312</v>
      </c>
      <c r="C18" s="659"/>
      <c r="D18" s="659"/>
      <c r="E18" s="659"/>
      <c r="F18" s="659"/>
      <c r="G18" s="324" t="s">
        <v>397</v>
      </c>
      <c r="H18" s="573"/>
      <c r="I18" s="324" t="s">
        <v>397</v>
      </c>
      <c r="J18" s="573"/>
      <c r="K18" s="324" t="s">
        <v>397</v>
      </c>
      <c r="L18" s="573"/>
      <c r="M18" s="324" t="s">
        <v>397</v>
      </c>
      <c r="N18" s="1206">
        <f t="shared" si="0"/>
        <v>0</v>
      </c>
      <c r="Q18" s="315"/>
      <c r="R18" s="315"/>
      <c r="S18" s="315"/>
      <c r="T18" s="315"/>
      <c r="U18" s="315"/>
      <c r="V18" s="315"/>
      <c r="W18" s="315"/>
    </row>
    <row r="19" spans="2:23" ht="21" customHeight="1">
      <c r="B19" s="474"/>
      <c r="C19" s="1208" t="s">
        <v>3268</v>
      </c>
      <c r="D19" s="1208"/>
      <c r="E19" s="1208"/>
      <c r="F19" s="1208"/>
      <c r="G19" s="731" t="s">
        <v>397</v>
      </c>
      <c r="H19" s="573"/>
      <c r="I19" s="731" t="s">
        <v>397</v>
      </c>
      <c r="J19" s="573"/>
      <c r="K19" s="731" t="s">
        <v>397</v>
      </c>
      <c r="L19" s="573"/>
      <c r="M19" s="324" t="s">
        <v>397</v>
      </c>
      <c r="N19" s="1206">
        <f t="shared" si="0"/>
        <v>0</v>
      </c>
      <c r="Q19" s="315"/>
      <c r="R19" s="315"/>
      <c r="S19" s="315"/>
      <c r="T19" s="315"/>
      <c r="U19" s="315"/>
      <c r="V19" s="315"/>
      <c r="W19" s="315"/>
    </row>
    <row r="20" spans="2:23" ht="21" customHeight="1">
      <c r="B20" s="474"/>
      <c r="C20" s="1209" t="s">
        <v>3269</v>
      </c>
      <c r="D20" s="1110"/>
      <c r="E20" s="1208"/>
      <c r="F20" s="1208"/>
      <c r="G20" s="731" t="s">
        <v>397</v>
      </c>
      <c r="H20" s="1207">
        <f>H13+H15+H16+H17+H18+H19</f>
        <v>0</v>
      </c>
      <c r="I20" s="1118" t="s">
        <v>397</v>
      </c>
      <c r="J20" s="1207">
        <f>J13+J15+J16+J17+J18+J19</f>
        <v>0</v>
      </c>
      <c r="K20" s="1118" t="s">
        <v>397</v>
      </c>
      <c r="L20" s="1207">
        <f>L13+L15+L16+L17+L18+L19</f>
        <v>0</v>
      </c>
      <c r="M20" s="324" t="s">
        <v>397</v>
      </c>
      <c r="N20" s="1207">
        <f>N13+N15+N16+N17+N18+N19</f>
        <v>0</v>
      </c>
      <c r="Q20" s="315"/>
      <c r="R20" s="315"/>
      <c r="S20" s="315"/>
      <c r="T20" s="315"/>
      <c r="U20" s="315"/>
      <c r="V20" s="315"/>
      <c r="W20" s="315"/>
    </row>
    <row r="21" spans="2:23" ht="21" customHeight="1">
      <c r="B21" s="474" t="s">
        <v>313</v>
      </c>
      <c r="C21" s="659"/>
      <c r="D21" s="659"/>
      <c r="E21" s="659"/>
      <c r="F21" s="659"/>
      <c r="G21" s="324" t="s">
        <v>397</v>
      </c>
      <c r="H21" s="573"/>
      <c r="I21" s="324" t="s">
        <v>397</v>
      </c>
      <c r="J21" s="573"/>
      <c r="K21" s="324" t="s">
        <v>397</v>
      </c>
      <c r="L21" s="573"/>
      <c r="M21" s="324" t="s">
        <v>397</v>
      </c>
      <c r="N21" s="1206">
        <f t="shared" si="0"/>
        <v>0</v>
      </c>
      <c r="Q21" s="315"/>
      <c r="R21" s="315"/>
      <c r="S21" s="315"/>
      <c r="T21" s="315"/>
      <c r="U21" s="315"/>
      <c r="V21" s="315"/>
      <c r="W21" s="315"/>
    </row>
    <row r="22" spans="2:23" ht="21" customHeight="1">
      <c r="B22" s="474" t="s">
        <v>314</v>
      </c>
      <c r="C22" s="659"/>
      <c r="D22" s="659"/>
      <c r="E22" s="659"/>
      <c r="F22" s="659"/>
      <c r="G22" s="324" t="s">
        <v>397</v>
      </c>
      <c r="H22" s="573"/>
      <c r="I22" s="324" t="s">
        <v>397</v>
      </c>
      <c r="J22" s="573"/>
      <c r="K22" s="324" t="s">
        <v>397</v>
      </c>
      <c r="L22" s="573"/>
      <c r="M22" s="324" t="s">
        <v>397</v>
      </c>
      <c r="N22" s="1206">
        <f t="shared" si="0"/>
        <v>0</v>
      </c>
      <c r="Q22" s="315"/>
      <c r="R22" s="315"/>
      <c r="S22" s="315"/>
      <c r="T22" s="315"/>
      <c r="U22" s="315"/>
      <c r="V22" s="315"/>
      <c r="W22" s="315"/>
    </row>
    <row r="23" spans="2:23" ht="21" customHeight="1">
      <c r="B23" s="474"/>
      <c r="C23" s="1330" t="s">
        <v>3548</v>
      </c>
      <c r="D23" s="1208"/>
      <c r="E23" s="1208"/>
      <c r="F23" s="1208"/>
      <c r="G23" s="1118" t="s">
        <v>397</v>
      </c>
      <c r="H23" s="1207">
        <f>H21+H22</f>
        <v>0</v>
      </c>
      <c r="I23" s="1118" t="s">
        <v>397</v>
      </c>
      <c r="J23" s="1207">
        <f>J21+J22</f>
        <v>0</v>
      </c>
      <c r="K23" s="1118" t="s">
        <v>397</v>
      </c>
      <c r="L23" s="1207">
        <f>L21+L22</f>
        <v>0</v>
      </c>
      <c r="M23" s="1128" t="s">
        <v>397</v>
      </c>
      <c r="N23" s="1206">
        <f t="shared" si="0"/>
        <v>0</v>
      </c>
      <c r="Q23" s="315"/>
      <c r="R23" s="315"/>
      <c r="S23" s="315"/>
      <c r="T23" s="315"/>
      <c r="U23" s="315"/>
      <c r="V23" s="315"/>
      <c r="W23" s="315"/>
    </row>
    <row r="24" spans="2:23">
      <c r="B24" s="474"/>
      <c r="C24" s="1128"/>
      <c r="D24" s="1128"/>
      <c r="E24" s="1128"/>
      <c r="F24" s="1128"/>
      <c r="G24" s="1128"/>
      <c r="H24" s="1128"/>
      <c r="I24" s="1128"/>
      <c r="J24" s="1128"/>
      <c r="K24" s="1128"/>
      <c r="L24" s="1128"/>
      <c r="M24" s="1128"/>
      <c r="N24" s="1128"/>
      <c r="Q24" s="315"/>
      <c r="R24" s="315"/>
      <c r="S24" s="315"/>
      <c r="T24" s="315"/>
      <c r="U24" s="315"/>
      <c r="V24" s="315"/>
      <c r="W24" s="315"/>
    </row>
    <row r="25" spans="2:23">
      <c r="B25" s="474"/>
      <c r="C25" s="1128" t="s">
        <v>922</v>
      </c>
      <c r="D25" s="1128"/>
      <c r="E25" s="1128"/>
      <c r="F25" s="1128"/>
      <c r="G25" s="1128"/>
      <c r="H25" s="1128"/>
      <c r="I25" s="1128"/>
      <c r="J25" s="1128"/>
      <c r="K25" s="1128"/>
      <c r="L25" s="1128"/>
      <c r="M25" s="1128"/>
      <c r="N25" s="1128"/>
      <c r="Q25" s="315"/>
      <c r="R25" s="315"/>
      <c r="S25" s="315"/>
      <c r="T25" s="315"/>
      <c r="U25" s="315"/>
      <c r="V25" s="315"/>
      <c r="W25" s="315"/>
    </row>
    <row r="26" spans="2:23">
      <c r="B26" s="1329"/>
      <c r="C26" s="1128"/>
      <c r="D26" s="1128"/>
      <c r="E26" s="1128"/>
      <c r="F26" s="1128"/>
      <c r="G26" s="1128"/>
      <c r="H26" s="1128"/>
      <c r="I26" s="1128"/>
      <c r="J26" s="1128"/>
      <c r="K26" s="1128"/>
      <c r="L26" s="1128"/>
      <c r="M26" s="1128"/>
      <c r="N26" s="1128"/>
      <c r="Q26" s="315"/>
      <c r="R26" s="315"/>
      <c r="S26" s="315"/>
      <c r="T26" s="315"/>
      <c r="U26" s="315"/>
      <c r="V26" s="315"/>
      <c r="W26" s="315"/>
    </row>
    <row r="27" spans="2:23">
      <c r="B27" s="1329"/>
      <c r="C27" s="1128"/>
      <c r="D27" s="1128"/>
      <c r="E27" s="1128"/>
      <c r="F27" s="1128"/>
      <c r="G27" s="1128"/>
      <c r="H27" s="1128"/>
      <c r="I27" s="1128"/>
      <c r="J27" s="1128"/>
      <c r="K27" s="1128"/>
      <c r="L27" s="1128"/>
      <c r="M27" s="1128"/>
      <c r="N27" s="1128"/>
      <c r="Q27" s="315"/>
      <c r="R27" s="315"/>
      <c r="S27" s="315"/>
      <c r="T27" s="315"/>
      <c r="U27" s="315"/>
      <c r="V27" s="315"/>
      <c r="W27" s="315"/>
    </row>
    <row r="28" spans="2:23" ht="15.6">
      <c r="B28" s="1971" t="s">
        <v>438</v>
      </c>
      <c r="C28" s="1971"/>
      <c r="D28" s="1971"/>
      <c r="E28" s="1971"/>
      <c r="F28" s="1971"/>
      <c r="G28" s="1971"/>
      <c r="H28" s="1971"/>
      <c r="I28" s="1971"/>
      <c r="J28" s="1971"/>
      <c r="K28" s="1971"/>
      <c r="L28" s="1971"/>
      <c r="M28" s="1971"/>
      <c r="N28" s="1971"/>
    </row>
    <row r="29" spans="2:23" ht="15.6">
      <c r="B29" s="1971" t="s">
        <v>439</v>
      </c>
      <c r="C29" s="1971"/>
      <c r="D29" s="1971"/>
      <c r="E29" s="1971"/>
      <c r="F29" s="1971"/>
      <c r="G29" s="1971"/>
      <c r="H29" s="1971"/>
      <c r="I29" s="1971"/>
      <c r="J29" s="1971"/>
      <c r="K29" s="1971"/>
      <c r="L29" s="1971"/>
      <c r="M29" s="1971"/>
      <c r="N29" s="1971"/>
    </row>
    <row r="30" spans="2:23" ht="6.75" customHeight="1">
      <c r="B30" s="1331"/>
      <c r="C30" s="1331"/>
      <c r="D30" s="1331"/>
      <c r="E30" s="1331"/>
      <c r="F30" s="1331"/>
      <c r="G30" s="1331"/>
      <c r="H30" s="1331"/>
      <c r="I30" s="1331"/>
      <c r="J30" s="1331"/>
      <c r="K30" s="1331"/>
      <c r="L30" s="1331"/>
      <c r="M30" s="1331"/>
      <c r="N30" s="1331"/>
    </row>
    <row r="31" spans="2:23" ht="18" customHeight="1">
      <c r="B31" s="1329"/>
      <c r="C31" s="1128"/>
      <c r="D31" s="1972" t="s">
        <v>18</v>
      </c>
      <c r="E31" s="1972"/>
      <c r="F31" s="1332"/>
      <c r="G31" s="1972" t="s">
        <v>440</v>
      </c>
      <c r="H31" s="1972"/>
      <c r="I31" s="1972"/>
      <c r="J31" s="1972"/>
      <c r="K31" s="1972"/>
      <c r="L31" s="1972"/>
      <c r="M31" s="1332"/>
      <c r="N31" s="1333" t="s">
        <v>441</v>
      </c>
    </row>
    <row r="32" spans="2:23" ht="21" customHeight="1">
      <c r="B32" s="474"/>
      <c r="C32" s="474" t="s">
        <v>308</v>
      </c>
      <c r="D32" s="659"/>
      <c r="E32" s="659"/>
      <c r="G32" s="659"/>
      <c r="H32" s="659"/>
      <c r="I32" s="659"/>
      <c r="J32" s="659"/>
      <c r="K32" s="659"/>
      <c r="L32" s="659"/>
      <c r="M32" s="324" t="s">
        <v>397</v>
      </c>
      <c r="N32" s="369"/>
    </row>
    <row r="33" spans="2:14" ht="21" customHeight="1">
      <c r="B33" s="474"/>
      <c r="C33" s="474" t="s">
        <v>309</v>
      </c>
      <c r="D33" s="659"/>
      <c r="E33" s="659"/>
      <c r="G33" s="659"/>
      <c r="H33" s="659"/>
      <c r="I33" s="659"/>
      <c r="J33" s="659"/>
      <c r="K33" s="659"/>
      <c r="L33" s="659"/>
      <c r="M33" s="324" t="s">
        <v>397</v>
      </c>
      <c r="N33" s="369"/>
    </row>
    <row r="34" spans="2:14" ht="21" customHeight="1">
      <c r="B34" s="474"/>
      <c r="C34" s="474" t="s">
        <v>310</v>
      </c>
      <c r="D34" s="659"/>
      <c r="E34" s="659"/>
      <c r="G34" s="659"/>
      <c r="H34" s="659"/>
      <c r="I34" s="659"/>
      <c r="J34" s="659"/>
      <c r="K34" s="659"/>
      <c r="L34" s="659"/>
      <c r="M34" s="324" t="s">
        <v>397</v>
      </c>
      <c r="N34" s="369"/>
    </row>
    <row r="35" spans="2:14" ht="21" customHeight="1">
      <c r="B35" s="474"/>
      <c r="C35" s="474" t="s">
        <v>311</v>
      </c>
      <c r="D35" s="659"/>
      <c r="E35" s="659"/>
      <c r="G35" s="659"/>
      <c r="H35" s="659"/>
      <c r="I35" s="659"/>
      <c r="J35" s="659"/>
      <c r="K35" s="659"/>
      <c r="L35" s="659"/>
      <c r="M35" s="324" t="s">
        <v>397</v>
      </c>
      <c r="N35" s="369"/>
    </row>
    <row r="36" spans="2:14" ht="21" customHeight="1">
      <c r="B36" s="474"/>
      <c r="C36" s="474" t="s">
        <v>312</v>
      </c>
      <c r="D36" s="659"/>
      <c r="E36" s="659"/>
      <c r="G36" s="659"/>
      <c r="H36" s="659"/>
      <c r="I36" s="659"/>
      <c r="J36" s="659"/>
      <c r="K36" s="659"/>
      <c r="L36" s="659"/>
      <c r="M36" s="324" t="s">
        <v>397</v>
      </c>
      <c r="N36" s="369"/>
    </row>
    <row r="37" spans="2:14">
      <c r="B37" s="1329"/>
      <c r="C37" s="1128"/>
      <c r="D37" s="1128"/>
      <c r="E37" s="1128"/>
      <c r="F37" s="1128"/>
      <c r="G37" s="1128"/>
      <c r="H37" s="1128"/>
      <c r="I37" s="1128"/>
      <c r="J37" s="1128"/>
      <c r="K37" s="1128"/>
      <c r="L37" s="1128"/>
      <c r="M37" s="1128"/>
      <c r="N37" s="1128"/>
    </row>
    <row r="38" spans="2:14">
      <c r="B38" s="1329"/>
      <c r="C38" s="1128"/>
      <c r="D38" s="1128"/>
      <c r="E38" s="1128"/>
      <c r="F38" s="1128"/>
      <c r="G38" s="1128"/>
      <c r="H38" s="1128"/>
      <c r="I38" s="1128"/>
      <c r="J38" s="1128"/>
      <c r="K38" s="1128"/>
      <c r="L38" s="1128"/>
      <c r="M38" s="1128"/>
      <c r="N38" s="1128"/>
    </row>
    <row r="39" spans="2:14">
      <c r="B39" s="1329"/>
      <c r="C39" s="1128"/>
      <c r="D39" s="1128"/>
      <c r="E39" s="1128"/>
      <c r="F39" s="1128"/>
      <c r="G39" s="1128"/>
      <c r="H39" s="1128"/>
      <c r="I39" s="1128"/>
      <c r="J39" s="1128"/>
      <c r="K39" s="1128"/>
      <c r="L39" s="1128"/>
      <c r="M39" s="1128"/>
      <c r="N39" s="1128"/>
    </row>
    <row r="40" spans="2:14" ht="15.6">
      <c r="B40" s="1971" t="s">
        <v>264</v>
      </c>
      <c r="C40" s="1971"/>
      <c r="D40" s="1971"/>
      <c r="E40" s="1971"/>
      <c r="F40" s="1971"/>
      <c r="G40" s="1971"/>
      <c r="H40" s="1971"/>
      <c r="I40" s="1971"/>
      <c r="J40" s="1971"/>
      <c r="K40" s="1971"/>
      <c r="L40" s="1971"/>
      <c r="M40" s="1971"/>
      <c r="N40" s="1971"/>
    </row>
    <row r="41" spans="2:14">
      <c r="B41" s="1329"/>
      <c r="C41" s="1128"/>
      <c r="D41" s="1128"/>
      <c r="E41" s="1128"/>
      <c r="F41" s="1128"/>
      <c r="G41" s="1128"/>
      <c r="H41" s="1128"/>
      <c r="I41" s="1128"/>
      <c r="J41" s="1128"/>
      <c r="K41" s="1128"/>
      <c r="L41" s="1128"/>
      <c r="M41" s="1128"/>
      <c r="N41" s="1128"/>
    </row>
    <row r="42" spans="2:14">
      <c r="B42" s="1329"/>
      <c r="C42" s="1128"/>
      <c r="D42" s="1128"/>
      <c r="E42" s="1128"/>
      <c r="F42" s="1128"/>
      <c r="G42" s="1128"/>
      <c r="H42" s="1128"/>
      <c r="I42" s="1128"/>
      <c r="J42" s="1128"/>
      <c r="K42" s="1128"/>
      <c r="L42" s="1128"/>
      <c r="M42" s="1128"/>
      <c r="N42" s="1123" t="s">
        <v>446</v>
      </c>
    </row>
    <row r="43" spans="2:14">
      <c r="B43" s="1329"/>
      <c r="C43" s="1128"/>
      <c r="D43" s="1128"/>
      <c r="E43" s="1128"/>
      <c r="F43" s="1128"/>
      <c r="G43" s="1128"/>
      <c r="H43" s="1128"/>
      <c r="I43" s="1128"/>
      <c r="J43" s="1128"/>
      <c r="K43" s="1128"/>
      <c r="L43" s="1128"/>
      <c r="M43" s="1128"/>
      <c r="N43" s="1123" t="s">
        <v>447</v>
      </c>
    </row>
    <row r="44" spans="2:14">
      <c r="B44" s="1329"/>
      <c r="C44" s="1128"/>
      <c r="D44" s="1973" t="s">
        <v>443</v>
      </c>
      <c r="E44" s="1973"/>
      <c r="F44" s="1128"/>
      <c r="G44" s="1128"/>
      <c r="H44" s="1973" t="s">
        <v>444</v>
      </c>
      <c r="I44" s="1973"/>
      <c r="J44" s="1327" t="s">
        <v>445</v>
      </c>
      <c r="K44" s="1128"/>
      <c r="L44" s="1327" t="s">
        <v>441</v>
      </c>
      <c r="M44" s="1128"/>
      <c r="N44" s="1327" t="str">
        <f>"Year "&amp;TEXT('KEY INPUTS'!D33,"0")&amp;""</f>
        <v>Year 2021</v>
      </c>
    </row>
    <row r="45" spans="2:14">
      <c r="B45" s="1329"/>
      <c r="C45" s="1128"/>
      <c r="D45" s="1128"/>
      <c r="E45" s="1128"/>
      <c r="F45" s="1128"/>
      <c r="G45" s="1128"/>
      <c r="H45" s="1128"/>
      <c r="I45" s="1128"/>
      <c r="J45" s="1128"/>
      <c r="K45" s="1128"/>
      <c r="L45" s="1128"/>
      <c r="M45" s="1128"/>
      <c r="N45" s="1128"/>
    </row>
    <row r="46" spans="2:14" ht="21" customHeight="1">
      <c r="B46" s="474"/>
      <c r="C46" s="474" t="s">
        <v>308</v>
      </c>
      <c r="D46" s="659"/>
      <c r="E46" s="659"/>
      <c r="F46" s="659"/>
      <c r="G46" s="659"/>
      <c r="H46" s="659"/>
      <c r="I46" s="659"/>
      <c r="J46" s="659"/>
      <c r="K46" s="324" t="s">
        <v>397</v>
      </c>
      <c r="L46" s="369"/>
      <c r="M46" s="658"/>
      <c r="N46" s="369"/>
    </row>
    <row r="47" spans="2:14" ht="21" customHeight="1">
      <c r="B47" s="474"/>
      <c r="C47" s="474" t="s">
        <v>309</v>
      </c>
      <c r="D47" s="659"/>
      <c r="E47" s="659"/>
      <c r="F47" s="659"/>
      <c r="G47" s="659"/>
      <c r="H47" s="659"/>
      <c r="I47" s="659"/>
      <c r="J47" s="659"/>
      <c r="K47" s="324" t="s">
        <v>397</v>
      </c>
      <c r="L47" s="369"/>
      <c r="M47" s="658"/>
      <c r="N47" s="369"/>
    </row>
    <row r="48" spans="2:14" ht="21" customHeight="1">
      <c r="B48" s="474"/>
      <c r="C48" s="474" t="s">
        <v>310</v>
      </c>
      <c r="D48" s="659"/>
      <c r="E48" s="659"/>
      <c r="F48" s="659"/>
      <c r="G48" s="659"/>
      <c r="H48" s="659"/>
      <c r="I48" s="659"/>
      <c r="J48" s="659"/>
      <c r="K48" s="324" t="s">
        <v>397</v>
      </c>
      <c r="L48" s="369"/>
      <c r="M48" s="658"/>
      <c r="N48" s="369"/>
    </row>
    <row r="49" spans="2:14" ht="21" customHeight="1">
      <c r="B49" s="474"/>
      <c r="C49" s="474" t="s">
        <v>311</v>
      </c>
      <c r="D49" s="659"/>
      <c r="E49" s="659"/>
      <c r="F49" s="659"/>
      <c r="G49" s="659"/>
      <c r="H49" s="659"/>
      <c r="I49" s="659"/>
      <c r="J49" s="659"/>
      <c r="K49" s="324" t="s">
        <v>397</v>
      </c>
      <c r="L49" s="369"/>
      <c r="M49" s="658"/>
      <c r="N49" s="369"/>
    </row>
    <row r="50" spans="2:14">
      <c r="B50" s="474"/>
    </row>
    <row r="51" spans="2:14">
      <c r="B51" s="474"/>
    </row>
    <row r="52" spans="2:14">
      <c r="B52" s="474"/>
    </row>
    <row r="53" spans="2:14">
      <c r="B53" s="474"/>
    </row>
    <row r="54" spans="2:14">
      <c r="B54" s="474"/>
    </row>
    <row r="55" spans="2:14">
      <c r="B55" s="474"/>
    </row>
    <row r="56" spans="2:14">
      <c r="B56" s="474"/>
    </row>
    <row r="57" spans="2:14">
      <c r="B57" s="474"/>
    </row>
    <row r="58" spans="2:14">
      <c r="B58" s="474"/>
    </row>
    <row r="59" spans="2:14">
      <c r="B59" s="474"/>
    </row>
    <row r="60" spans="2:14">
      <c r="B60" s="474"/>
    </row>
    <row r="61" spans="2:14" ht="13.8">
      <c r="B61" s="1851" t="s">
        <v>3223</v>
      </c>
      <c r="C61" s="1851"/>
      <c r="D61" s="1851"/>
      <c r="E61" s="1851"/>
      <c r="F61" s="1851"/>
      <c r="G61" s="1851"/>
      <c r="H61" s="1851"/>
      <c r="I61" s="1851"/>
      <c r="J61" s="1851"/>
      <c r="K61" s="1851"/>
      <c r="L61" s="1851"/>
      <c r="M61" s="1851"/>
      <c r="N61" s="1851"/>
    </row>
    <row r="62" spans="2:14">
      <c r="B62" s="474"/>
    </row>
    <row r="63" spans="2:14">
      <c r="B63" s="474"/>
    </row>
    <row r="64" spans="2:14">
      <c r="B64" s="474"/>
    </row>
    <row r="65" spans="2:2">
      <c r="B65" s="474"/>
    </row>
    <row r="66" spans="2:2">
      <c r="B66" s="474"/>
    </row>
    <row r="67" spans="2:2">
      <c r="B67" s="474"/>
    </row>
    <row r="68" spans="2:2">
      <c r="B68" s="474"/>
    </row>
    <row r="69" spans="2:2">
      <c r="B69" s="474"/>
    </row>
  </sheetData>
  <sheetProtection algorithmName="SHA-512" hashValue="4jlFDiIZlnVhlfn9um+hFphXNrv2Pj4ehJz3AhdlnYk62Br64jbR0JTNXXbXn0mB3sTQBH1+IOww1AK319lYCw==" saltValue="iMRk5LiRh+TY4ftp9+Qr/Q=="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3">
    <tabColor theme="2" tint="-0.249977111117893"/>
  </sheetPr>
  <dimension ref="A1:O36"/>
  <sheetViews>
    <sheetView zoomScaleNormal="100" workbookViewId="0">
      <selection activeCell="B31" sqref="B31"/>
    </sheetView>
  </sheetViews>
  <sheetFormatPr defaultColWidth="9.109375" defaultRowHeight="13.2"/>
  <cols>
    <col min="1" max="1" width="5.6640625" style="315" customWidth="1"/>
    <col min="2" max="4" width="4.88671875" style="315" customWidth="1"/>
    <col min="5" max="5" width="46.6640625" style="315" customWidth="1"/>
    <col min="6" max="6" width="7.6640625" style="315" customWidth="1"/>
    <col min="7" max="8" width="16.6640625" style="315" customWidth="1"/>
    <col min="9" max="12" width="15.6640625" style="315" customWidth="1"/>
    <col min="13" max="13" width="10.44140625" style="315" bestFit="1" customWidth="1"/>
    <col min="14" max="16384" width="9.109375" style="315"/>
  </cols>
  <sheetData>
    <row r="1" spans="1:15">
      <c r="B1" s="844"/>
      <c r="C1" s="844"/>
      <c r="D1" s="844"/>
      <c r="E1" s="844"/>
      <c r="F1" s="844"/>
      <c r="G1" s="844"/>
      <c r="H1" s="844"/>
      <c r="I1" s="844"/>
      <c r="J1" s="844"/>
      <c r="K1" s="844"/>
      <c r="L1" s="844"/>
    </row>
    <row r="2" spans="1:15" ht="17.399999999999999">
      <c r="B2" s="1602" t="s">
        <v>3599</v>
      </c>
      <c r="C2" s="1602"/>
      <c r="D2" s="1602"/>
      <c r="E2" s="1602"/>
      <c r="F2" s="1602"/>
      <c r="G2" s="1602"/>
      <c r="H2" s="1602"/>
      <c r="I2" s="1602"/>
      <c r="J2" s="1602"/>
      <c r="K2" s="1602"/>
      <c r="L2" s="1602"/>
    </row>
    <row r="3" spans="1:15">
      <c r="B3" s="844"/>
      <c r="C3" s="844"/>
      <c r="D3" s="844"/>
      <c r="E3" s="844"/>
      <c r="F3" s="844"/>
      <c r="G3" s="844"/>
      <c r="H3" s="844"/>
      <c r="I3" s="844"/>
      <c r="J3" s="844"/>
      <c r="K3" s="844"/>
      <c r="L3" s="844"/>
    </row>
    <row r="4" spans="1:15">
      <c r="B4" s="844"/>
      <c r="C4" s="844"/>
      <c r="D4" s="844"/>
      <c r="E4" s="844"/>
      <c r="F4" s="844"/>
      <c r="G4" s="844"/>
      <c r="H4" s="844"/>
      <c r="I4" s="844"/>
      <c r="J4" s="844"/>
      <c r="K4" s="844"/>
      <c r="L4" s="844"/>
    </row>
    <row r="5" spans="1:15" ht="13.8" thickBot="1">
      <c r="B5" s="844"/>
      <c r="C5" s="844"/>
      <c r="D5" s="844"/>
      <c r="E5" s="844"/>
      <c r="F5" s="844"/>
      <c r="G5" s="844"/>
      <c r="H5" s="844"/>
      <c r="I5" s="844"/>
      <c r="J5" s="844"/>
      <c r="K5" s="844"/>
      <c r="L5" s="844"/>
    </row>
    <row r="6" spans="1:15" ht="13.8" thickTop="1">
      <c r="B6" s="877"/>
      <c r="C6" s="877"/>
      <c r="D6" s="877"/>
      <c r="E6" s="1058"/>
      <c r="F6" s="877"/>
      <c r="G6" s="878"/>
      <c r="H6" s="1059"/>
      <c r="I6" s="878"/>
      <c r="J6" s="877"/>
      <c r="K6" s="877"/>
      <c r="L6" s="854"/>
    </row>
    <row r="7" spans="1:15" ht="15.6">
      <c r="B7" s="1636" t="s">
        <v>18</v>
      </c>
      <c r="C7" s="1636"/>
      <c r="D7" s="1636"/>
      <c r="E7" s="1681" t="s">
        <v>440</v>
      </c>
      <c r="F7" s="1637"/>
      <c r="G7" s="880" t="s">
        <v>441</v>
      </c>
      <c r="H7" s="1506" t="s">
        <v>469</v>
      </c>
      <c r="I7" s="880" t="s">
        <v>559</v>
      </c>
      <c r="J7" s="1687" t="str">
        <f>"REDUCED  IN  "&amp;TEXT('KEY INPUTS'!D34,"0")</f>
        <v>REDUCED  IN  2020</v>
      </c>
      <c r="K7" s="1688"/>
      <c r="L7" s="855" t="s">
        <v>559</v>
      </c>
    </row>
    <row r="8" spans="1:15">
      <c r="B8" s="844"/>
      <c r="C8" s="844"/>
      <c r="D8" s="844"/>
      <c r="E8" s="1060"/>
      <c r="F8" s="844"/>
      <c r="G8" s="880" t="s">
        <v>468</v>
      </c>
      <c r="H8" s="1506" t="s">
        <v>470</v>
      </c>
      <c r="I8" s="883" t="str">
        <f>'KEY INPUTS'!D45</f>
        <v>Dec. 31, 2019</v>
      </c>
      <c r="J8" s="880" t="str">
        <f>"By "&amp;TEXT('KEY INPUTS'!D34,"0")</f>
        <v>By 2020</v>
      </c>
      <c r="K8" s="880" t="s">
        <v>466</v>
      </c>
      <c r="L8" s="856" t="str">
        <f>'KEY INPUTS'!D46</f>
        <v>Dec. 31, 2020</v>
      </c>
    </row>
    <row r="9" spans="1:15" ht="13.8" thickBot="1">
      <c r="B9" s="886"/>
      <c r="C9" s="886"/>
      <c r="D9" s="886"/>
      <c r="E9" s="889"/>
      <c r="F9" s="886"/>
      <c r="G9" s="888"/>
      <c r="H9" s="1061" t="s">
        <v>471</v>
      </c>
      <c r="I9" s="887"/>
      <c r="J9" s="888" t="s">
        <v>564</v>
      </c>
      <c r="K9" s="888" t="s">
        <v>467</v>
      </c>
      <c r="L9" s="857"/>
    </row>
    <row r="10" spans="1:15" ht="21" customHeight="1" thickTop="1">
      <c r="B10" s="1682"/>
      <c r="C10" s="1682"/>
      <c r="D10" s="1683"/>
      <c r="E10" s="584"/>
      <c r="F10" s="563"/>
      <c r="G10" s="585"/>
      <c r="H10" s="585"/>
      <c r="I10" s="586"/>
      <c r="J10" s="586"/>
      <c r="K10" s="586"/>
      <c r="L10" s="1524">
        <f>+I10-J10-K10</f>
        <v>0</v>
      </c>
    </row>
    <row r="11" spans="1:15" ht="21" customHeight="1">
      <c r="B11" s="1684"/>
      <c r="C11" s="1562"/>
      <c r="D11" s="1685"/>
      <c r="E11" s="587"/>
      <c r="F11" s="565"/>
      <c r="G11" s="574"/>
      <c r="H11" s="574"/>
      <c r="I11" s="367"/>
      <c r="J11" s="367"/>
      <c r="K11" s="367"/>
      <c r="L11" s="1525">
        <f>+I11-J11-K11</f>
        <v>0</v>
      </c>
      <c r="M11" s="318"/>
    </row>
    <row r="12" spans="1:15" ht="21" customHeight="1">
      <c r="B12" s="1684"/>
      <c r="C12" s="1562"/>
      <c r="D12" s="1685"/>
      <c r="E12" s="587"/>
      <c r="F12" s="565"/>
      <c r="G12" s="588"/>
      <c r="H12" s="574"/>
      <c r="I12" s="589"/>
      <c r="J12" s="367"/>
      <c r="K12" s="367"/>
      <c r="L12" s="1525">
        <f t="shared" ref="L12:L23" si="0">+I12-J12-K12</f>
        <v>0</v>
      </c>
      <c r="M12" s="318"/>
    </row>
    <row r="13" spans="1:15" ht="21" customHeight="1">
      <c r="B13" s="1562"/>
      <c r="C13" s="1562"/>
      <c r="D13" s="1685"/>
      <c r="E13" s="587"/>
      <c r="F13" s="565"/>
      <c r="G13" s="574"/>
      <c r="H13" s="574"/>
      <c r="I13" s="367"/>
      <c r="J13" s="367"/>
      <c r="K13" s="367"/>
      <c r="L13" s="1525">
        <f t="shared" si="0"/>
        <v>0</v>
      </c>
    </row>
    <row r="14" spans="1:15" ht="21" customHeight="1">
      <c r="B14" s="1684"/>
      <c r="C14" s="1562"/>
      <c r="D14" s="1685"/>
      <c r="E14" s="587"/>
      <c r="F14" s="565"/>
      <c r="G14" s="574"/>
      <c r="H14" s="574"/>
      <c r="I14" s="367"/>
      <c r="J14" s="367"/>
      <c r="K14" s="367"/>
      <c r="L14" s="1525">
        <f t="shared" si="0"/>
        <v>0</v>
      </c>
      <c r="O14" s="370"/>
    </row>
    <row r="15" spans="1:15" ht="21" customHeight="1">
      <c r="B15" s="1684"/>
      <c r="C15" s="1562"/>
      <c r="D15" s="1685"/>
      <c r="E15" s="587"/>
      <c r="F15" s="565"/>
      <c r="G15" s="588"/>
      <c r="H15" s="574"/>
      <c r="I15" s="589"/>
      <c r="J15" s="367"/>
      <c r="K15" s="367"/>
      <c r="L15" s="1525">
        <f t="shared" si="0"/>
        <v>0</v>
      </c>
    </row>
    <row r="16" spans="1:15" ht="21" customHeight="1">
      <c r="A16" s="1613" t="s">
        <v>3600</v>
      </c>
      <c r="B16" s="1562"/>
      <c r="C16" s="1562"/>
      <c r="D16" s="1685"/>
      <c r="E16" s="587"/>
      <c r="F16" s="565"/>
      <c r="G16" s="574"/>
      <c r="H16" s="574"/>
      <c r="I16" s="367"/>
      <c r="J16" s="367"/>
      <c r="K16" s="367"/>
      <c r="L16" s="1525">
        <f t="shared" si="0"/>
        <v>0</v>
      </c>
    </row>
    <row r="17" spans="1:12" ht="21" customHeight="1">
      <c r="A17" s="1613"/>
      <c r="B17" s="1562"/>
      <c r="C17" s="1562"/>
      <c r="D17" s="1685"/>
      <c r="E17" s="587"/>
      <c r="F17" s="565"/>
      <c r="G17" s="574"/>
      <c r="H17" s="574"/>
      <c r="I17" s="367"/>
      <c r="J17" s="367"/>
      <c r="K17" s="367"/>
      <c r="L17" s="1525">
        <f t="shared" si="0"/>
        <v>0</v>
      </c>
    </row>
    <row r="18" spans="1:12" ht="21" customHeight="1">
      <c r="A18" s="1613"/>
      <c r="B18" s="1562"/>
      <c r="C18" s="1562"/>
      <c r="D18" s="1685"/>
      <c r="E18" s="587"/>
      <c r="F18" s="565"/>
      <c r="G18" s="574"/>
      <c r="H18" s="574"/>
      <c r="I18" s="367"/>
      <c r="J18" s="367"/>
      <c r="K18" s="367"/>
      <c r="L18" s="1525">
        <f t="shared" si="0"/>
        <v>0</v>
      </c>
    </row>
    <row r="19" spans="1:12" ht="21" customHeight="1">
      <c r="A19" s="1505"/>
      <c r="B19" s="1504"/>
      <c r="C19" s="1504"/>
      <c r="D19" s="1507"/>
      <c r="E19" s="587"/>
      <c r="F19" s="565"/>
      <c r="G19" s="574"/>
      <c r="H19" s="574"/>
      <c r="I19" s="367"/>
      <c r="J19" s="367"/>
      <c r="K19" s="367"/>
      <c r="L19" s="1525">
        <f t="shared" si="0"/>
        <v>0</v>
      </c>
    </row>
    <row r="20" spans="1:12" ht="21" customHeight="1">
      <c r="A20" s="1505"/>
      <c r="B20" s="1504"/>
      <c r="C20" s="1504"/>
      <c r="D20" s="1507"/>
      <c r="E20" s="587"/>
      <c r="F20" s="565"/>
      <c r="G20" s="574"/>
      <c r="H20" s="574"/>
      <c r="I20" s="367"/>
      <c r="J20" s="367"/>
      <c r="K20" s="367"/>
      <c r="L20" s="1525">
        <f t="shared" si="0"/>
        <v>0</v>
      </c>
    </row>
    <row r="21" spans="1:12" ht="21" customHeight="1">
      <c r="B21" s="1562"/>
      <c r="C21" s="1562"/>
      <c r="D21" s="1685"/>
      <c r="E21" s="587"/>
      <c r="F21" s="565"/>
      <c r="G21" s="574"/>
      <c r="H21" s="574"/>
      <c r="I21" s="367"/>
      <c r="J21" s="367"/>
      <c r="K21" s="367"/>
      <c r="L21" s="1525">
        <f t="shared" si="0"/>
        <v>0</v>
      </c>
    </row>
    <row r="22" spans="1:12" ht="21" customHeight="1">
      <c r="B22" s="1504"/>
      <c r="C22" s="1504"/>
      <c r="D22" s="1507"/>
      <c r="E22" s="587"/>
      <c r="F22" s="565"/>
      <c r="G22" s="574"/>
      <c r="H22" s="574"/>
      <c r="I22" s="367"/>
      <c r="J22" s="367"/>
      <c r="K22" s="367"/>
      <c r="L22" s="1525">
        <f t="shared" si="0"/>
        <v>0</v>
      </c>
    </row>
    <row r="23" spans="1:12" ht="21" customHeight="1">
      <c r="B23" s="1562"/>
      <c r="C23" s="1562"/>
      <c r="D23" s="1685"/>
      <c r="E23" s="587"/>
      <c r="F23" s="565"/>
      <c r="G23" s="574"/>
      <c r="H23" s="574"/>
      <c r="I23" s="367"/>
      <c r="J23" s="367"/>
      <c r="K23" s="367"/>
      <c r="L23" s="1525">
        <f t="shared" si="0"/>
        <v>0</v>
      </c>
    </row>
    <row r="24" spans="1:12" ht="21" customHeight="1" thickBot="1">
      <c r="B24" s="279"/>
      <c r="C24" s="279"/>
      <c r="D24" s="279"/>
      <c r="E24" s="279"/>
      <c r="F24" s="888" t="s">
        <v>674</v>
      </c>
      <c r="G24" s="1006">
        <f t="shared" ref="G24:L24" si="1">SUM(G10:G23)</f>
        <v>0</v>
      </c>
      <c r="H24" s="1006">
        <f t="shared" si="1"/>
        <v>0</v>
      </c>
      <c r="I24" s="1006">
        <f t="shared" si="1"/>
        <v>0</v>
      </c>
      <c r="J24" s="1006">
        <f t="shared" si="1"/>
        <v>0</v>
      </c>
      <c r="K24" s="1006">
        <f t="shared" si="1"/>
        <v>0</v>
      </c>
      <c r="L24" s="853">
        <f t="shared" si="1"/>
        <v>0</v>
      </c>
    </row>
    <row r="25" spans="1:12" ht="12.75" customHeight="1" thickTop="1">
      <c r="B25" s="279"/>
      <c r="C25" s="279"/>
      <c r="D25" s="279"/>
      <c r="E25" s="279"/>
      <c r="F25" s="1048"/>
      <c r="G25" s="1048"/>
      <c r="H25" s="1048"/>
      <c r="I25" s="1062"/>
      <c r="J25" s="1062"/>
      <c r="K25" s="1048"/>
      <c r="L25" s="1048"/>
    </row>
    <row r="26" spans="1:12">
      <c r="B26" s="1520" t="s">
        <v>3596</v>
      </c>
      <c r="C26" s="1048"/>
      <c r="D26" s="1048"/>
      <c r="E26" s="1048"/>
      <c r="F26" s="1048"/>
      <c r="G26" s="1048"/>
      <c r="H26" s="1048"/>
      <c r="I26" s="1048"/>
      <c r="J26" s="1048"/>
      <c r="K26" s="1048"/>
      <c r="L26" s="1048"/>
    </row>
    <row r="27" spans="1:12" ht="13.5" customHeight="1">
      <c r="B27" s="1048" t="s">
        <v>128</v>
      </c>
      <c r="C27" s="1048"/>
      <c r="D27" s="1048"/>
      <c r="E27" s="1048"/>
      <c r="F27" s="279"/>
      <c r="G27" s="279"/>
      <c r="H27" s="279"/>
      <c r="I27" s="279"/>
      <c r="J27" s="279"/>
      <c r="K27" s="279"/>
      <c r="L27" s="279"/>
    </row>
    <row r="28" spans="1:12" ht="13.5" customHeight="1">
      <c r="B28" s="34"/>
      <c r="J28" s="1570"/>
      <c r="K28" s="1570"/>
    </row>
    <row r="29" spans="1:12">
      <c r="B29" s="844"/>
      <c r="C29" s="844"/>
      <c r="D29" s="844"/>
      <c r="E29" s="844"/>
      <c r="F29" s="844"/>
      <c r="G29" s="844"/>
      <c r="H29" s="844"/>
      <c r="I29" s="844"/>
      <c r="J29" s="1686" t="s">
        <v>129</v>
      </c>
      <c r="K29" s="1686"/>
    </row>
    <row r="30" spans="1:12">
      <c r="B30" s="844"/>
      <c r="C30" s="844"/>
      <c r="D30" s="844"/>
      <c r="E30" s="844"/>
      <c r="F30" s="844"/>
      <c r="G30" s="844"/>
      <c r="H30" s="844"/>
      <c r="I30" s="844"/>
      <c r="J30" s="844"/>
      <c r="K30" s="844"/>
    </row>
    <row r="35" spans="9:12">
      <c r="L35" s="318">
        <f>+I24-J24-L24</f>
        <v>0</v>
      </c>
    </row>
    <row r="36" spans="9:12">
      <c r="I36" s="318"/>
      <c r="J36" s="318"/>
    </row>
  </sheetData>
  <sheetProtection algorithmName="SHA-512" hashValue="SPH+t4XU7ZjKhbyzZclvy0ktqIr7GoP3hx9cAYUlA9c1tmvPmp2Bbu01tUgE/5fr5LvsmkI+MrzTEw2n0MLQSg==" saltValue="jYXkuaQa6cNGjlbfeaLLjw=="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4">
    <tabColor theme="2" tint="-0.249977111117893"/>
  </sheetPr>
  <dimension ref="B2:U50"/>
  <sheetViews>
    <sheetView zoomScaleNormal="100" zoomScaleSheetLayoutView="80" workbookViewId="0"/>
  </sheetViews>
  <sheetFormatPr defaultColWidth="8.88671875" defaultRowHeight="13.2"/>
  <cols>
    <col min="1" max="4" width="4.6640625" style="391" customWidth="1"/>
    <col min="5" max="5" width="17.88671875" style="391" customWidth="1"/>
    <col min="6" max="6" width="8.88671875" style="391"/>
    <col min="7" max="7" width="16.6640625" style="391" customWidth="1"/>
    <col min="8" max="8" width="1.6640625" style="391" customWidth="1"/>
    <col min="9" max="9" width="15.6640625" style="391" customWidth="1"/>
    <col min="10" max="10" width="1.6640625" style="391" customWidth="1"/>
    <col min="11" max="11" width="8.6640625" style="391" customWidth="1"/>
    <col min="12" max="12" width="7.6640625" style="391" customWidth="1"/>
    <col min="13" max="15" width="8.88671875" style="391"/>
    <col min="16" max="17" width="10.33203125" style="391" bestFit="1" customWidth="1"/>
    <col min="18" max="16384" width="8.88671875" style="391"/>
  </cols>
  <sheetData>
    <row r="2" spans="2:21" ht="20.399999999999999">
      <c r="B2" s="1826" t="s">
        <v>132</v>
      </c>
      <c r="C2" s="1826"/>
      <c r="D2" s="1826"/>
      <c r="E2" s="1826"/>
      <c r="F2" s="1826"/>
      <c r="G2" s="1826"/>
      <c r="H2" s="1826"/>
      <c r="I2" s="1826"/>
      <c r="J2" s="1826"/>
      <c r="K2" s="1826"/>
      <c r="L2" s="1826"/>
    </row>
    <row r="3" spans="2:21" ht="20.399999999999999">
      <c r="B3" s="1826" t="str">
        <f>"AND  "&amp;TEXT('KEY INPUTS'!D34+1,"0")&amp;"  DEBT  SERVICE  FOR  BONDS"</f>
        <v>AND  2021  DEBT  SERVICE  FOR  BONDS</v>
      </c>
      <c r="C3" s="1826"/>
      <c r="D3" s="1826"/>
      <c r="E3" s="1826"/>
      <c r="F3" s="1826"/>
      <c r="G3" s="1826"/>
      <c r="H3" s="1826"/>
      <c r="I3" s="1826"/>
      <c r="J3" s="1826"/>
      <c r="K3" s="1826"/>
      <c r="L3" s="1826"/>
    </row>
    <row r="4" spans="2:21" ht="15.6">
      <c r="B4" s="1806" t="str">
        <f>UPPER('KEY INPUTS'!D55)&amp;" UTILITY  ASSESSMENT  BONDS"</f>
        <v xml:space="preserve"> UTILITY  ASSESSMENT  BONDS</v>
      </c>
      <c r="C4" s="1806"/>
      <c r="D4" s="1806"/>
      <c r="E4" s="1806"/>
      <c r="F4" s="1806"/>
      <c r="G4" s="1806"/>
      <c r="H4" s="1806"/>
      <c r="I4" s="1806"/>
      <c r="J4" s="1806"/>
      <c r="K4" s="1806"/>
      <c r="L4" s="1806"/>
    </row>
    <row r="5" spans="2:21" ht="9.75" customHeight="1" thickBot="1">
      <c r="B5" s="1361"/>
      <c r="C5" s="1361"/>
      <c r="D5" s="1361"/>
      <c r="E5" s="1361"/>
      <c r="F5" s="1361"/>
      <c r="G5" s="1361"/>
      <c r="H5" s="1361"/>
      <c r="I5" s="1361"/>
      <c r="J5" s="1361"/>
      <c r="K5" s="1361"/>
      <c r="L5" s="1361"/>
    </row>
    <row r="6" spans="2:21" ht="27.75" customHeight="1" thickTop="1" thickBot="1">
      <c r="B6" s="1315"/>
      <c r="C6" s="1315"/>
      <c r="D6" s="1315"/>
      <c r="E6" s="1315"/>
      <c r="F6" s="1315"/>
      <c r="G6" s="1097" t="s">
        <v>101</v>
      </c>
      <c r="H6" s="1978" t="s">
        <v>102</v>
      </c>
      <c r="I6" s="1797"/>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52"/>
      <c r="D7" s="1152"/>
      <c r="E7" s="1152"/>
      <c r="F7" s="1152"/>
      <c r="G7" s="1153" t="s">
        <v>662</v>
      </c>
      <c r="H7" s="1724"/>
      <c r="I7" s="1725"/>
      <c r="K7" s="1096"/>
      <c r="L7" s="1096"/>
      <c r="O7" s="315"/>
      <c r="P7" s="315"/>
      <c r="Q7" s="315"/>
      <c r="R7" s="315"/>
      <c r="S7" s="315"/>
      <c r="T7" s="315"/>
      <c r="U7" s="315"/>
    </row>
    <row r="8" spans="2:21" ht="21" customHeight="1">
      <c r="B8" s="681" t="s">
        <v>97</v>
      </c>
      <c r="C8" s="681"/>
      <c r="D8" s="681"/>
      <c r="E8" s="681"/>
      <c r="F8" s="681"/>
      <c r="G8" s="1156" t="s">
        <v>662</v>
      </c>
      <c r="H8" s="1722"/>
      <c r="I8" s="1723"/>
      <c r="K8" s="1096"/>
      <c r="L8" s="1096"/>
      <c r="O8" s="370"/>
      <c r="P8" s="315"/>
      <c r="Q8" s="315"/>
      <c r="R8" s="315"/>
      <c r="S8" s="315"/>
      <c r="T8" s="315"/>
      <c r="U8" s="315"/>
    </row>
    <row r="9" spans="2:21" ht="21" customHeight="1">
      <c r="B9" s="681"/>
      <c r="C9" s="681"/>
      <c r="D9" s="681"/>
      <c r="E9" s="681"/>
      <c r="F9" s="681"/>
      <c r="G9" s="1156"/>
      <c r="H9" s="1362"/>
      <c r="I9" s="1211"/>
      <c r="K9" s="1096"/>
      <c r="L9" s="1096"/>
      <c r="O9" s="315"/>
      <c r="P9" s="315"/>
      <c r="Q9" s="315"/>
      <c r="R9" s="315"/>
      <c r="S9" s="315"/>
      <c r="T9" s="315"/>
      <c r="U9" s="315"/>
    </row>
    <row r="10" spans="2:21" ht="21" customHeight="1">
      <c r="B10" s="681" t="s">
        <v>268</v>
      </c>
      <c r="C10" s="681"/>
      <c r="D10" s="681"/>
      <c r="E10" s="681"/>
      <c r="F10" s="681"/>
      <c r="G10" s="593"/>
      <c r="H10" s="1874" t="s">
        <v>662</v>
      </c>
      <c r="I10" s="1875"/>
      <c r="K10" s="1096"/>
      <c r="L10" s="1096"/>
      <c r="O10" s="315"/>
      <c r="P10" s="315"/>
      <c r="Q10" s="315"/>
      <c r="R10" s="315"/>
      <c r="S10" s="315"/>
      <c r="T10" s="315"/>
      <c r="U10" s="315"/>
    </row>
    <row r="11" spans="2:21" ht="21" customHeight="1" thickBot="1">
      <c r="B11" s="681" t="str">
        <f>'KEY INPUTS'!D28</f>
        <v>Outstanding - December 31, 2020</v>
      </c>
      <c r="C11" s="681"/>
      <c r="D11" s="681"/>
      <c r="E11" s="681"/>
      <c r="F11" s="681"/>
      <c r="G11" s="1111">
        <f>+H7+H8-G10</f>
        <v>0</v>
      </c>
      <c r="H11" s="1870" t="s">
        <v>662</v>
      </c>
      <c r="I11" s="1871"/>
      <c r="K11" s="1096"/>
      <c r="L11" s="1096"/>
      <c r="O11" s="315"/>
      <c r="P11" s="315"/>
      <c r="Q11" s="315"/>
      <c r="R11" s="315"/>
      <c r="S11" s="315"/>
      <c r="T11" s="315"/>
      <c r="U11" s="315"/>
    </row>
    <row r="12" spans="2:21" ht="21" customHeight="1" thickBot="1">
      <c r="B12" s="1096"/>
      <c r="C12" s="1096"/>
      <c r="D12" s="1096"/>
      <c r="E12" s="1096"/>
      <c r="F12" s="1096"/>
      <c r="G12" s="1113">
        <f>SUM(G7:G11)</f>
        <v>0</v>
      </c>
      <c r="H12" s="1858">
        <f>SUM(H7:I11)</f>
        <v>0</v>
      </c>
      <c r="I12" s="1859"/>
      <c r="K12" s="1096"/>
      <c r="L12" s="1096"/>
      <c r="O12" s="315"/>
      <c r="P12" s="315"/>
      <c r="Q12" s="315"/>
      <c r="R12" s="315"/>
      <c r="S12" s="315"/>
      <c r="T12" s="315"/>
      <c r="U12" s="315"/>
    </row>
    <row r="13" spans="2:21" ht="21" customHeight="1" thickTop="1">
      <c r="B13" s="1364" t="str">
        <f>TEXT('KEY INPUTS'!D34+1,"0")&amp;" Bond Maturities - Assessment Bonds"</f>
        <v>2021 Bond Maturities - Assessment Bonds</v>
      </c>
      <c r="C13" s="1110"/>
      <c r="D13" s="1110"/>
      <c r="E13" s="1110"/>
      <c r="F13" s="1110"/>
      <c r="G13" s="1110"/>
      <c r="H13" s="1110"/>
      <c r="I13" s="1363"/>
      <c r="J13" s="444" t="s">
        <v>397</v>
      </c>
      <c r="K13" s="1748"/>
      <c r="L13" s="1748"/>
      <c r="O13" s="315"/>
      <c r="P13" s="315"/>
      <c r="Q13" s="315"/>
      <c r="R13" s="315"/>
      <c r="S13" s="315"/>
      <c r="T13" s="315"/>
      <c r="U13" s="315"/>
    </row>
    <row r="14" spans="2:21" ht="21" customHeight="1" thickBot="1">
      <c r="B14" s="1365" t="str">
        <f>TEXT('KEY INPUTS'!D34+1,"0")&amp;" Interest on Bonds"</f>
        <v>2021 Interest on Bonds</v>
      </c>
      <c r="C14" s="1214"/>
      <c r="D14" s="1214"/>
      <c r="E14" s="1214"/>
      <c r="F14" s="1214"/>
      <c r="G14" s="1239"/>
      <c r="H14" s="481" t="s">
        <v>397</v>
      </c>
      <c r="I14" s="600"/>
      <c r="J14" s="1096"/>
      <c r="K14" s="1096"/>
      <c r="L14" s="1096"/>
      <c r="O14" s="315"/>
      <c r="P14" s="315"/>
      <c r="Q14" s="315"/>
      <c r="R14" s="315"/>
      <c r="S14" s="315"/>
      <c r="T14" s="315"/>
      <c r="U14" s="315"/>
    </row>
    <row r="15" spans="2:21" ht="16.5" customHeight="1" thickTop="1">
      <c r="B15" s="1997"/>
      <c r="C15" s="1997"/>
      <c r="D15" s="1997"/>
      <c r="E15" s="1997"/>
      <c r="F15" s="1997"/>
      <c r="G15" s="1997"/>
      <c r="H15" s="1997"/>
      <c r="I15" s="1998"/>
      <c r="J15" s="1096"/>
      <c r="K15" s="1096"/>
      <c r="L15" s="1096"/>
      <c r="O15" s="315"/>
      <c r="P15" s="315"/>
      <c r="Q15" s="315"/>
      <c r="R15" s="315"/>
      <c r="S15" s="315"/>
      <c r="T15" s="315"/>
      <c r="U15" s="315"/>
    </row>
    <row r="16" spans="2:21" ht="26.25" customHeight="1" thickBot="1">
      <c r="B16" s="1976" t="str">
        <f>UPPER('KEY INPUTS'!D55) &amp;" UTILITY  CAPITAL  BONDS"</f>
        <v xml:space="preserve"> UTILITY  CAPITAL  BONDS</v>
      </c>
      <c r="C16" s="1976"/>
      <c r="D16" s="1976"/>
      <c r="E16" s="1976"/>
      <c r="F16" s="1976"/>
      <c r="G16" s="1976"/>
      <c r="H16" s="1976"/>
      <c r="I16" s="1977"/>
      <c r="J16" s="1096"/>
      <c r="K16" s="1096"/>
      <c r="L16" s="1096"/>
      <c r="O16" s="315"/>
      <c r="P16" s="315"/>
      <c r="Q16" s="315"/>
      <c r="R16" s="315"/>
      <c r="S16" s="315"/>
      <c r="T16" s="315"/>
      <c r="U16" s="315"/>
    </row>
    <row r="17" spans="2:21" ht="21" customHeight="1" thickTop="1">
      <c r="B17" s="1193" t="str">
        <f>'KEY INPUTS'!D27</f>
        <v>Outstanding - January 1, 2020</v>
      </c>
      <c r="C17" s="1152"/>
      <c r="D17" s="1152"/>
      <c r="E17" s="1152"/>
      <c r="F17" s="1152"/>
      <c r="G17" s="1153" t="s">
        <v>662</v>
      </c>
      <c r="H17" s="1724"/>
      <c r="I17" s="1725"/>
      <c r="J17" s="1096"/>
      <c r="K17" s="1096"/>
      <c r="L17" s="1096"/>
      <c r="O17" s="315"/>
      <c r="P17" s="315"/>
      <c r="Q17" s="315"/>
      <c r="R17" s="315"/>
      <c r="S17" s="315"/>
      <c r="T17" s="315"/>
      <c r="U17" s="315"/>
    </row>
    <row r="18" spans="2:21" ht="21" customHeight="1">
      <c r="B18" s="681" t="s">
        <v>97</v>
      </c>
      <c r="C18" s="681"/>
      <c r="D18" s="681"/>
      <c r="E18" s="681"/>
      <c r="F18" s="681"/>
      <c r="G18" s="1156" t="s">
        <v>662</v>
      </c>
      <c r="H18" s="1722"/>
      <c r="I18" s="1723"/>
      <c r="J18" s="1096"/>
      <c r="K18" s="1096"/>
      <c r="L18" s="1096"/>
      <c r="O18" s="315"/>
      <c r="P18" s="315"/>
      <c r="Q18" s="315"/>
      <c r="R18" s="315"/>
      <c r="S18" s="315"/>
      <c r="T18" s="315"/>
      <c r="U18" s="315"/>
    </row>
    <row r="19" spans="2:21" ht="21" customHeight="1">
      <c r="B19" s="681" t="s">
        <v>268</v>
      </c>
      <c r="C19" s="681"/>
      <c r="D19" s="681"/>
      <c r="E19" s="681"/>
      <c r="F19" s="681"/>
      <c r="G19" s="593"/>
      <c r="H19" s="1874" t="s">
        <v>662</v>
      </c>
      <c r="I19" s="1875"/>
      <c r="J19" s="1096"/>
      <c r="K19" s="1096"/>
      <c r="L19" s="1096"/>
      <c r="O19" s="315"/>
      <c r="P19" s="315"/>
      <c r="Q19" s="315"/>
      <c r="R19" s="315"/>
      <c r="S19" s="315"/>
      <c r="T19" s="315"/>
      <c r="U19" s="315"/>
    </row>
    <row r="20" spans="2:21" ht="21" customHeight="1">
      <c r="B20" s="681"/>
      <c r="C20" s="681"/>
      <c r="D20" s="681"/>
      <c r="E20" s="681"/>
      <c r="F20" s="681"/>
      <c r="G20" s="680"/>
      <c r="H20" s="1860"/>
      <c r="I20" s="1861"/>
      <c r="J20" s="1096"/>
      <c r="K20" s="1096"/>
      <c r="L20" s="1096"/>
      <c r="O20" s="315"/>
      <c r="P20" s="315"/>
      <c r="Q20" s="315"/>
      <c r="R20" s="315"/>
      <c r="S20" s="315"/>
      <c r="T20" s="315"/>
      <c r="U20" s="315"/>
    </row>
    <row r="21" spans="2:21" ht="21" customHeight="1">
      <c r="B21" s="681"/>
      <c r="C21" s="681"/>
      <c r="D21" s="681"/>
      <c r="E21" s="681"/>
      <c r="F21" s="681"/>
      <c r="G21" s="680"/>
      <c r="H21" s="1860"/>
      <c r="I21" s="1861"/>
      <c r="J21" s="1096"/>
      <c r="K21" s="1096"/>
      <c r="L21" s="1096"/>
      <c r="O21" s="315"/>
      <c r="P21" s="315"/>
      <c r="Q21" s="315"/>
      <c r="R21" s="315"/>
      <c r="S21" s="315"/>
      <c r="T21" s="315"/>
      <c r="U21" s="315"/>
    </row>
    <row r="22" spans="2:21" ht="21" customHeight="1" thickBot="1">
      <c r="B22" s="681" t="str">
        <f>'KEY INPUTS'!D28</f>
        <v>Outstanding - December 31, 2020</v>
      </c>
      <c r="C22" s="681"/>
      <c r="D22" s="681"/>
      <c r="E22" s="681"/>
      <c r="F22" s="681"/>
      <c r="G22" s="1111">
        <f>+H17+H18-G19-G20-G21+H20+H21</f>
        <v>0</v>
      </c>
      <c r="H22" s="1870" t="s">
        <v>662</v>
      </c>
      <c r="I22" s="1871"/>
      <c r="J22" s="1096"/>
      <c r="K22" s="1096"/>
      <c r="L22" s="1096"/>
      <c r="O22" s="315"/>
      <c r="P22" s="315"/>
      <c r="Q22" s="315"/>
      <c r="R22" s="315"/>
      <c r="S22" s="315"/>
      <c r="T22" s="315"/>
      <c r="U22" s="315"/>
    </row>
    <row r="23" spans="2:21" ht="21" customHeight="1" thickBot="1">
      <c r="B23" s="1096"/>
      <c r="C23" s="1096"/>
      <c r="D23" s="1096"/>
      <c r="E23" s="1096"/>
      <c r="F23" s="1096"/>
      <c r="G23" s="1113">
        <f>SUM(G17:G22)</f>
        <v>0</v>
      </c>
      <c r="H23" s="1858">
        <f>SUM(H17:I22)</f>
        <v>0</v>
      </c>
      <c r="I23" s="1859"/>
      <c r="J23" s="1096"/>
      <c r="K23" s="1096"/>
      <c r="L23" s="1096"/>
    </row>
    <row r="24" spans="2:21" ht="21" customHeight="1" thickTop="1">
      <c r="B24" s="1364" t="str">
        <f>TEXT('KEY INPUTS'!D34+1,"0")&amp;" Bond Maturities - Capital Bonds"</f>
        <v>2021 Bond Maturities - Capital Bonds</v>
      </c>
      <c r="C24" s="1110"/>
      <c r="D24" s="1110"/>
      <c r="E24" s="1110"/>
      <c r="F24" s="1110"/>
      <c r="G24" s="1110"/>
      <c r="H24" s="1110"/>
      <c r="I24" s="1363"/>
      <c r="J24" s="444" t="s">
        <v>397</v>
      </c>
      <c r="K24" s="1748"/>
      <c r="L24" s="1748"/>
    </row>
    <row r="25" spans="2:21" ht="21" customHeight="1" thickBot="1">
      <c r="B25" s="1365" t="str">
        <f>TEXT('KEY INPUTS'!D34+1,"0")&amp;" Interest on Bonds"</f>
        <v>2021 Interest on Bonds</v>
      </c>
      <c r="C25" s="1214"/>
      <c r="D25" s="1214"/>
      <c r="E25" s="1214"/>
      <c r="F25" s="1214"/>
      <c r="G25" s="1239"/>
      <c r="H25" s="481" t="s">
        <v>397</v>
      </c>
      <c r="I25" s="600"/>
      <c r="J25" s="482"/>
      <c r="K25" s="1214"/>
      <c r="L25" s="1365" t="s">
        <v>3190</v>
      </c>
    </row>
    <row r="26" spans="2:21" ht="21" customHeight="1" thickTop="1">
      <c r="B26" s="1096"/>
      <c r="C26" s="1096"/>
      <c r="D26" s="1096"/>
      <c r="E26" s="1096"/>
      <c r="F26" s="1096"/>
      <c r="G26" s="1096"/>
      <c r="H26" s="1096"/>
      <c r="I26" s="1096"/>
      <c r="J26" s="1096"/>
      <c r="K26" s="1096"/>
      <c r="L26" s="1096"/>
    </row>
    <row r="27" spans="2:21" ht="19.5" customHeight="1" thickBot="1">
      <c r="B27" s="1976" t="str">
        <f>"INTEREST  ON  BONDS  -  "&amp;UPPER('KEY INPUTS'!D55)&amp;"  UTILITY  BUDGET"</f>
        <v>INTEREST  ON  BONDS  -    UTILITY  BUDGET</v>
      </c>
      <c r="C27" s="1976"/>
      <c r="D27" s="1976"/>
      <c r="E27" s="1976"/>
      <c r="F27" s="1976"/>
      <c r="G27" s="1976"/>
      <c r="H27" s="1976"/>
      <c r="I27" s="1976"/>
      <c r="J27" s="1976"/>
      <c r="K27" s="1976"/>
      <c r="L27" s="1976"/>
    </row>
    <row r="28" spans="2:21" ht="21" customHeight="1" thickTop="1">
      <c r="B28" s="1376" t="str">
        <f>TEXT('KEY INPUTS'!D34+1,"0")&amp;" Interest on Bonds (*Items)"</f>
        <v>2021 Interest on Bonds (*Items)</v>
      </c>
      <c r="C28" s="1152"/>
      <c r="D28" s="1152"/>
      <c r="E28" s="1152"/>
      <c r="F28" s="1152"/>
      <c r="G28" s="1152"/>
      <c r="H28" s="450" t="s">
        <v>397</v>
      </c>
      <c r="I28" s="1212">
        <f>+I14+I25</f>
        <v>0</v>
      </c>
      <c r="K28" s="1096"/>
      <c r="L28" s="1096"/>
      <c r="O28" s="457"/>
      <c r="P28" s="457"/>
      <c r="Q28" s="457"/>
      <c r="R28" s="457"/>
    </row>
    <row r="29" spans="2:21" ht="21" customHeight="1">
      <c r="B29" s="905" t="str">
        <f>"Less: Interest Accrued to "&amp;TEXT('KEY INPUTS'!D29,"mm/dd/yyy")&amp;" (Trial Balance)"</f>
        <v>Less: Interest Accrued to 12/31/2020 (Trial Balance)</v>
      </c>
      <c r="C29" s="681"/>
      <c r="D29" s="681"/>
      <c r="E29" s="681"/>
      <c r="F29" s="681"/>
      <c r="G29" s="681"/>
      <c r="H29" s="395" t="s">
        <v>397</v>
      </c>
      <c r="I29" s="663"/>
      <c r="K29" s="1096"/>
      <c r="L29" s="1096"/>
      <c r="O29" s="457"/>
      <c r="P29" s="457"/>
      <c r="Q29" s="457"/>
      <c r="R29" s="457"/>
    </row>
    <row r="30" spans="2:21" ht="21" customHeight="1">
      <c r="B30" s="681"/>
      <c r="C30" s="681" t="s">
        <v>337</v>
      </c>
      <c r="D30" s="681"/>
      <c r="E30" s="681"/>
      <c r="F30" s="681"/>
      <c r="G30" s="681"/>
      <c r="H30" s="395" t="s">
        <v>397</v>
      </c>
      <c r="I30" s="1213">
        <f>+I28-I29</f>
        <v>0</v>
      </c>
      <c r="K30" s="1096"/>
      <c r="L30" s="1096"/>
      <c r="O30" s="457"/>
      <c r="P30" s="457"/>
      <c r="Q30" s="457"/>
      <c r="R30" s="457"/>
    </row>
    <row r="31" spans="2:21" ht="21" customHeight="1">
      <c r="B31" s="905" t="str">
        <f>"Add: Interest to be Accrued as of "&amp;TEXT('KEY INPUTS'!D30,"mm/dd/yyyy")&amp;""</f>
        <v>Add: Interest to be Accrued as of 12/31/2021</v>
      </c>
      <c r="C31" s="681"/>
      <c r="D31" s="681"/>
      <c r="E31" s="681"/>
      <c r="F31" s="681"/>
      <c r="G31" s="681"/>
      <c r="H31" s="395" t="s">
        <v>397</v>
      </c>
      <c r="I31" s="663"/>
      <c r="K31" s="1096"/>
      <c r="L31" s="1096"/>
      <c r="O31" s="457"/>
      <c r="P31" s="457"/>
      <c r="Q31" s="457"/>
      <c r="R31" s="457"/>
    </row>
    <row r="32" spans="2:21" ht="21" customHeight="1">
      <c r="B32" s="905" t="str">
        <f>"Required Appropriation "&amp;TEXT('KEY INPUTS'!D34+1,"0")</f>
        <v>Required Appropriation 2021</v>
      </c>
      <c r="C32" s="681"/>
      <c r="D32" s="681"/>
      <c r="E32" s="681"/>
      <c r="F32" s="681"/>
      <c r="G32" s="681"/>
      <c r="H32" s="395"/>
      <c r="I32" s="1396"/>
      <c r="J32" s="484" t="s">
        <v>397</v>
      </c>
      <c r="K32" s="1880">
        <f>+I30+I31</f>
        <v>0</v>
      </c>
      <c r="L32" s="1881"/>
      <c r="O32" s="457"/>
      <c r="P32" s="457"/>
      <c r="Q32" s="457"/>
      <c r="R32" s="457"/>
    </row>
    <row r="33" spans="2:12" ht="13.5" customHeight="1">
      <c r="B33" s="1174"/>
      <c r="C33" s="1174"/>
      <c r="D33" s="1174"/>
      <c r="E33" s="1174"/>
      <c r="F33" s="1174"/>
      <c r="G33" s="1174"/>
      <c r="H33" s="1174"/>
      <c r="I33" s="1174"/>
      <c r="J33" s="1174"/>
      <c r="K33" s="1409"/>
      <c r="L33" s="1280"/>
    </row>
    <row r="34" spans="2:12" ht="13.5" customHeight="1">
      <c r="B34" s="1174"/>
      <c r="C34" s="1174"/>
      <c r="D34" s="1174"/>
      <c r="E34" s="1174"/>
      <c r="F34" s="1174"/>
      <c r="G34" s="1174"/>
      <c r="H34" s="1174"/>
      <c r="I34" s="1174"/>
      <c r="J34" s="1174"/>
      <c r="K34" s="1409"/>
      <c r="L34" s="1280"/>
    </row>
    <row r="35" spans="2:12" ht="21" customHeight="1" thickBot="1">
      <c r="B35" s="1984" t="str">
        <f>"LIST  OF  BONDS  ISSUED  DURING  "&amp;TEXT('KEY INPUTS'!D34,"0")&amp;""</f>
        <v>LIST  OF  BONDS  ISSUED  DURING  2020</v>
      </c>
      <c r="C35" s="1984"/>
      <c r="D35" s="1984"/>
      <c r="E35" s="1984"/>
      <c r="F35" s="1984"/>
      <c r="G35" s="1984"/>
      <c r="H35" s="1984"/>
      <c r="I35" s="1984"/>
      <c r="J35" s="1984"/>
      <c r="K35" s="1984"/>
      <c r="L35" s="1984"/>
    </row>
    <row r="36" spans="2:12" ht="27" customHeight="1" thickTop="1" thickBot="1">
      <c r="B36" s="1796" t="s">
        <v>440</v>
      </c>
      <c r="C36" s="1796"/>
      <c r="D36" s="1796"/>
      <c r="E36" s="1796"/>
      <c r="F36" s="1796"/>
      <c r="G36" s="1379" t="str">
        <f>TEXT('KEY INPUTS'!D33,"0")&amp;" Maturity"</f>
        <v>2021 Maturity</v>
      </c>
      <c r="H36" s="1978" t="s">
        <v>96</v>
      </c>
      <c r="I36" s="1797"/>
      <c r="J36" s="1995" t="s">
        <v>94</v>
      </c>
      <c r="K36" s="1996"/>
      <c r="L36" s="1395" t="s">
        <v>95</v>
      </c>
    </row>
    <row r="37" spans="2:12" ht="21" customHeight="1" thickTop="1">
      <c r="B37" s="664"/>
      <c r="C37" s="664"/>
      <c r="D37" s="664"/>
      <c r="E37" s="664"/>
      <c r="F37" s="664"/>
      <c r="G37" s="597"/>
      <c r="H37" s="1724"/>
      <c r="I37" s="1725"/>
      <c r="J37" s="1882"/>
      <c r="K37" s="1883"/>
      <c r="L37" s="908"/>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214"/>
      <c r="C41" s="1214"/>
      <c r="D41" s="1214"/>
      <c r="E41" s="1214"/>
      <c r="F41" s="1367"/>
      <c r="G41" s="1113">
        <f>SUM(G37:G40)</f>
        <v>0</v>
      </c>
      <c r="H41" s="1876">
        <f>SUM(H37:I40)</f>
        <v>0</v>
      </c>
      <c r="I41" s="1877"/>
      <c r="J41" s="1368"/>
      <c r="K41" s="1214"/>
      <c r="L41" s="1215"/>
    </row>
    <row r="42" spans="2:12" ht="13.8" thickTop="1">
      <c r="G42" s="773"/>
      <c r="H42" s="773"/>
      <c r="I42" s="773"/>
    </row>
    <row r="50" spans="2:12" ht="13.8">
      <c r="B50" s="1799" t="s">
        <v>3224</v>
      </c>
      <c r="C50" s="1799"/>
      <c r="D50" s="1799"/>
      <c r="E50" s="1799"/>
      <c r="F50" s="1799"/>
      <c r="G50" s="1799"/>
      <c r="H50" s="1799"/>
      <c r="I50" s="1799"/>
      <c r="J50" s="1799"/>
      <c r="K50" s="1799"/>
      <c r="L50" s="1799"/>
    </row>
  </sheetData>
  <sheetProtection algorithmName="SHA-512" hashValue="Dc1BCC3QYjpzDDI4NdT8uXI9iexNUJ0RtqyIW/dDcpSDu+CmJUOTAEC1ifkHSUiEDJrqc9aLzcDAsRH6o/wJ0g==" saltValue="ZLPEGgAwMqkpdM69yFPsJg=="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5">
    <tabColor theme="2" tint="-0.249977111117893"/>
  </sheetPr>
  <dimension ref="B1: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1" spans="2:21">
      <c r="B1" s="1128"/>
      <c r="C1" s="1128"/>
      <c r="D1" s="1128"/>
      <c r="E1" s="1128"/>
      <c r="F1" s="1128"/>
      <c r="G1" s="1128"/>
      <c r="H1" s="1128"/>
      <c r="I1" s="1128"/>
      <c r="J1" s="1128"/>
      <c r="K1" s="1128"/>
      <c r="L1" s="1128"/>
    </row>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INPUTS'!D$55)&amp;"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K7" s="1128"/>
      <c r="L7" s="1128"/>
      <c r="O7" s="315"/>
      <c r="P7" s="315"/>
      <c r="Q7" s="315"/>
      <c r="R7" s="315"/>
      <c r="S7" s="315"/>
      <c r="T7" s="315"/>
      <c r="U7" s="315"/>
    </row>
    <row r="8" spans="2:21" ht="21" customHeight="1">
      <c r="B8" s="681" t="s">
        <v>97</v>
      </c>
      <c r="C8" s="1121"/>
      <c r="D8" s="1121"/>
      <c r="E8" s="1121"/>
      <c r="F8" s="1121"/>
      <c r="G8" s="963" t="s">
        <v>662</v>
      </c>
      <c r="H8" s="1722"/>
      <c r="I8" s="1723"/>
      <c r="K8" s="1128"/>
      <c r="L8" s="1128"/>
      <c r="O8" s="370"/>
      <c r="P8" s="315"/>
      <c r="Q8" s="315"/>
      <c r="R8" s="315"/>
      <c r="S8" s="315"/>
      <c r="T8" s="315"/>
      <c r="U8" s="315"/>
    </row>
    <row r="9" spans="2:21" ht="21" customHeight="1">
      <c r="B9" s="681"/>
      <c r="C9" s="1121"/>
      <c r="D9" s="1121"/>
      <c r="E9" s="1121"/>
      <c r="F9" s="1121"/>
      <c r="G9" s="963"/>
      <c r="H9" s="1371"/>
      <c r="I9" s="1372"/>
      <c r="K9" s="1128"/>
      <c r="L9" s="1128"/>
      <c r="O9" s="315"/>
      <c r="P9" s="315"/>
      <c r="Q9" s="315"/>
      <c r="R9" s="315"/>
      <c r="S9" s="315"/>
      <c r="T9" s="315"/>
      <c r="U9" s="315"/>
    </row>
    <row r="10" spans="2:21" ht="21" customHeight="1">
      <c r="B10" s="681" t="s">
        <v>268</v>
      </c>
      <c r="C10" s="1121"/>
      <c r="D10" s="1121"/>
      <c r="E10" s="1121"/>
      <c r="F10" s="1121"/>
      <c r="G10" s="593"/>
      <c r="H10" s="1743" t="s">
        <v>662</v>
      </c>
      <c r="I10" s="1744"/>
      <c r="K10" s="1128"/>
      <c r="L10" s="1128"/>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K11" s="1128"/>
      <c r="L11" s="1128"/>
      <c r="O11" s="315"/>
      <c r="P11" s="315"/>
      <c r="Q11" s="315"/>
      <c r="R11" s="315"/>
      <c r="S11" s="315"/>
      <c r="T11" s="315"/>
      <c r="U11" s="315"/>
    </row>
    <row r="12" spans="2:21" ht="21" customHeight="1" thickBot="1">
      <c r="B12" s="1096"/>
      <c r="C12" s="1128"/>
      <c r="D12" s="1128"/>
      <c r="E12" s="1128"/>
      <c r="F12" s="1128"/>
      <c r="G12" s="1065">
        <f>SUM(G7:G11)</f>
        <v>0</v>
      </c>
      <c r="H12" s="1741">
        <f>SUM(H7:I11)</f>
        <v>0</v>
      </c>
      <c r="I12" s="1742"/>
      <c r="K12" s="1128"/>
      <c r="L12" s="1128"/>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K14" s="1128"/>
      <c r="L14" s="1128"/>
      <c r="O14" s="315"/>
      <c r="P14" s="315"/>
      <c r="Q14" s="315"/>
      <c r="R14" s="315"/>
      <c r="S14" s="315"/>
      <c r="T14" s="315"/>
      <c r="U14" s="315"/>
    </row>
    <row r="15" spans="2:21" ht="16.5" customHeight="1" thickTop="1">
      <c r="B15" s="2000"/>
      <c r="C15" s="2000"/>
      <c r="D15" s="2000"/>
      <c r="E15" s="2000"/>
      <c r="F15" s="2000"/>
      <c r="G15" s="2000"/>
      <c r="H15" s="2000"/>
      <c r="I15" s="2001"/>
      <c r="J15" s="1128"/>
      <c r="K15" s="1128"/>
      <c r="L15" s="1128"/>
      <c r="O15" s="315"/>
      <c r="P15" s="315"/>
      <c r="Q15" s="315"/>
      <c r="R15" s="315"/>
      <c r="S15" s="315"/>
      <c r="T15" s="315"/>
      <c r="U15" s="315"/>
    </row>
    <row r="16" spans="2:21" ht="26.25" customHeight="1" thickBot="1">
      <c r="B16" s="1976" t="str">
        <f>UPPER('KEY INPUTS'!D$55)&amp;"  UTILITY"&amp;" ________________ LOAN"</f>
        <v xml:space="preserve">  UTILITY ________________ LOAN</v>
      </c>
      <c r="C16" s="1976"/>
      <c r="D16" s="1976"/>
      <c r="E16" s="1976"/>
      <c r="F16" s="1976"/>
      <c r="G16" s="1976"/>
      <c r="H16" s="1976"/>
      <c r="I16" s="1977"/>
      <c r="J16" s="1128"/>
      <c r="K16" s="1128"/>
      <c r="L16" s="1128"/>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J17" s="1128"/>
      <c r="K17" s="1128"/>
      <c r="L17" s="1128"/>
      <c r="O17" s="315"/>
      <c r="P17" s="315"/>
      <c r="Q17" s="315"/>
      <c r="R17" s="315"/>
      <c r="S17" s="315"/>
      <c r="T17" s="315"/>
      <c r="U17" s="315"/>
    </row>
    <row r="18" spans="2:21" ht="21" customHeight="1">
      <c r="B18" s="681" t="s">
        <v>97</v>
      </c>
      <c r="C18" s="1121"/>
      <c r="D18" s="1121"/>
      <c r="E18" s="1121"/>
      <c r="F18" s="1121"/>
      <c r="G18" s="963" t="s">
        <v>662</v>
      </c>
      <c r="H18" s="1722"/>
      <c r="I18" s="1723"/>
      <c r="J18" s="1128"/>
      <c r="K18" s="1128"/>
      <c r="L18" s="1128"/>
      <c r="O18" s="315"/>
      <c r="P18" s="315"/>
      <c r="Q18" s="315"/>
      <c r="R18" s="315"/>
      <c r="S18" s="315"/>
      <c r="T18" s="315"/>
      <c r="U18" s="315"/>
    </row>
    <row r="19" spans="2:21" ht="21" customHeight="1">
      <c r="B19" s="681" t="s">
        <v>268</v>
      </c>
      <c r="C19" s="1121"/>
      <c r="D19" s="1121"/>
      <c r="E19" s="1121"/>
      <c r="F19" s="1121"/>
      <c r="G19" s="593"/>
      <c r="H19" s="1743" t="s">
        <v>662</v>
      </c>
      <c r="I19" s="1744"/>
      <c r="J19" s="1128"/>
      <c r="K19" s="1128"/>
      <c r="L19" s="1128"/>
      <c r="O19" s="315"/>
      <c r="P19" s="315"/>
      <c r="Q19" s="315"/>
      <c r="R19" s="315"/>
      <c r="S19" s="315"/>
      <c r="T19" s="315"/>
      <c r="U19" s="315"/>
    </row>
    <row r="20" spans="2:21" ht="21" customHeight="1">
      <c r="B20" s="681"/>
      <c r="C20" s="1121"/>
      <c r="D20" s="1121"/>
      <c r="E20" s="1121"/>
      <c r="F20" s="1121"/>
      <c r="G20" s="1087"/>
      <c r="H20" s="1745"/>
      <c r="I20" s="1746"/>
      <c r="J20" s="1128"/>
      <c r="K20" s="1128"/>
      <c r="L20" s="1128"/>
      <c r="O20" s="315"/>
      <c r="P20" s="315"/>
      <c r="Q20" s="315"/>
      <c r="R20" s="315"/>
      <c r="S20" s="315"/>
      <c r="T20" s="315"/>
      <c r="U20" s="315"/>
    </row>
    <row r="21" spans="2:21" ht="21" customHeight="1">
      <c r="B21" s="681"/>
      <c r="C21" s="1121"/>
      <c r="D21" s="1121"/>
      <c r="E21" s="1121"/>
      <c r="F21" s="1121"/>
      <c r="G21" s="1087"/>
      <c r="H21" s="1745"/>
      <c r="I21" s="1746"/>
      <c r="J21" s="1128"/>
      <c r="K21" s="1128"/>
      <c r="L21" s="1128"/>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J22" s="1128"/>
      <c r="K22" s="1128"/>
      <c r="L22" s="1128"/>
      <c r="O22" s="315"/>
      <c r="P22" s="315"/>
      <c r="Q22" s="315"/>
      <c r="R22" s="315"/>
      <c r="S22" s="315"/>
      <c r="T22" s="315"/>
      <c r="U22" s="315"/>
    </row>
    <row r="23" spans="2:21" ht="21" customHeight="1" thickBot="1">
      <c r="B23" s="1096"/>
      <c r="C23" s="1128"/>
      <c r="D23" s="1128"/>
      <c r="E23" s="1128"/>
      <c r="F23" s="1128"/>
      <c r="G23" s="1065">
        <f>SUM(G17:G22)</f>
        <v>0</v>
      </c>
      <c r="H23" s="1741">
        <f>SUM(H17:I22)</f>
        <v>0</v>
      </c>
      <c r="I23" s="1742"/>
      <c r="J23" s="1128"/>
      <c r="K23" s="1128"/>
      <c r="L23" s="1128"/>
    </row>
    <row r="24" spans="2:21" ht="21" customHeight="1" thickTop="1">
      <c r="B24" s="1364" t="str">
        <f>TEXT('KEY INPUTS'!D34+1,"0")&amp;" Loan Maturities"</f>
        <v>2021 Loan Maturities</v>
      </c>
      <c r="C24" s="1373"/>
      <c r="D24" s="1373"/>
      <c r="E24" s="1373"/>
      <c r="F24" s="1373"/>
      <c r="G24" s="1373"/>
      <c r="H24" s="1373"/>
      <c r="I24" s="1374"/>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1144"/>
      <c r="L25" s="1144"/>
    </row>
    <row r="26" spans="2:21" ht="21" customHeight="1" thickTop="1">
      <c r="B26" s="1128"/>
      <c r="C26" s="1128"/>
      <c r="D26" s="1128"/>
      <c r="E26" s="1128"/>
      <c r="F26" s="1128"/>
      <c r="G26" s="1128"/>
      <c r="H26" s="1128"/>
      <c r="I26" s="1128"/>
      <c r="J26" s="1128"/>
      <c r="K26" s="1128"/>
      <c r="L26" s="1128"/>
    </row>
    <row r="27" spans="2:21" ht="19.5" customHeight="1" thickBot="1">
      <c r="B27" s="1976" t="str">
        <f>"INTEREST  ON  LOANS  - "&amp;UPPER('KEY INPUTS'!D55)&amp;"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1140" t="s">
        <v>397</v>
      </c>
      <c r="I28" s="1375">
        <f>+I25+I14</f>
        <v>0</v>
      </c>
      <c r="J28" s="1128"/>
      <c r="K28" s="1128"/>
      <c r="L28" s="1128"/>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c r="J29" s="1128"/>
      <c r="K29" s="1128"/>
      <c r="L29" s="1128"/>
    </row>
    <row r="30" spans="2:21" ht="21" customHeight="1">
      <c r="B30" s="681"/>
      <c r="C30" s="681" t="s">
        <v>337</v>
      </c>
      <c r="D30" s="1121"/>
      <c r="E30" s="1121"/>
      <c r="F30" s="1121"/>
      <c r="G30" s="1121"/>
      <c r="H30" s="327" t="s">
        <v>397</v>
      </c>
      <c r="I30" s="1377">
        <f>+I28-I29</f>
        <v>0</v>
      </c>
      <c r="J30" s="1128"/>
      <c r="K30" s="1128"/>
      <c r="L30" s="1128"/>
    </row>
    <row r="31" spans="2:21" ht="21" customHeight="1">
      <c r="B31" s="905" t="str">
        <f>"Add: Interest to be Accrued as of "&amp;TEXT('KEY INPUTS'!D30,"mm/dd/yyyy")&amp;""</f>
        <v>Add: Interest to be Accrued as of 12/31/2021</v>
      </c>
      <c r="C31" s="681"/>
      <c r="D31" s="1121"/>
      <c r="E31" s="1121"/>
      <c r="F31" s="1121"/>
      <c r="G31" s="1121"/>
      <c r="H31" s="327" t="s">
        <v>397</v>
      </c>
      <c r="I31" s="592"/>
      <c r="J31" s="1128"/>
      <c r="K31" s="1128"/>
      <c r="L31" s="1128"/>
    </row>
    <row r="32" spans="2:21" ht="21" customHeight="1">
      <c r="B32" s="905" t="str">
        <f>"Required Appropriation "&amp;TEXT('KEY INPUTS'!D34+1,"0")</f>
        <v>Required Appropriation 2021</v>
      </c>
      <c r="C32" s="681"/>
      <c r="D32" s="1121"/>
      <c r="E32" s="1121"/>
      <c r="F32" s="1121"/>
      <c r="G32" s="1121"/>
      <c r="H32" s="1121"/>
      <c r="I32" s="1410"/>
      <c r="J32" s="499" t="s">
        <v>397</v>
      </c>
      <c r="K32" s="1985">
        <f>+I30+I31</f>
        <v>0</v>
      </c>
      <c r="L32" s="1986"/>
    </row>
    <row r="33" spans="2:12" ht="13.5" customHeight="1">
      <c r="B33" s="1244"/>
      <c r="C33" s="1244"/>
      <c r="D33" s="1244"/>
      <c r="E33" s="1244"/>
      <c r="F33" s="1244"/>
      <c r="G33" s="1244"/>
      <c r="H33" s="1244"/>
      <c r="I33" s="1244"/>
      <c r="J33" s="1244"/>
      <c r="K33" s="1411"/>
      <c r="L33" s="1252"/>
    </row>
    <row r="34" spans="2:12" ht="13.5" customHeight="1">
      <c r="B34" s="1244"/>
      <c r="C34" s="1244"/>
      <c r="D34" s="1244"/>
      <c r="E34" s="1244"/>
      <c r="F34" s="1244"/>
      <c r="G34" s="1244"/>
      <c r="H34" s="1244"/>
      <c r="I34" s="1244"/>
      <c r="J34" s="1244"/>
      <c r="K34" s="1411"/>
      <c r="L34" s="1252"/>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3225</v>
      </c>
      <c r="C51" s="1850"/>
      <c r="D51" s="1850"/>
      <c r="E51" s="1850"/>
      <c r="F51" s="1850"/>
      <c r="G51" s="1850"/>
      <c r="H51" s="1850"/>
      <c r="I51" s="1850"/>
      <c r="J51" s="1850"/>
      <c r="K51" s="1850"/>
      <c r="L51" s="1850"/>
    </row>
  </sheetData>
  <sheetProtection algorithmName="SHA-512" hashValue="nvUSQ0xSMmxmyuD0hM5VYzq6aUft1RZXuUbogcDMWDJRJboMBca0B+oC0zqWhKDf9iHWq3k9RDkaNNRL55nIcA==" saltValue="vaewtQr9Iw7Pr/1q9uO8wg=="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6">
    <tabColor theme="2" tint="-0.249977111117893"/>
  </sheetPr>
  <dimension ref="B1: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1" spans="2:21">
      <c r="B1" s="1128"/>
      <c r="C1" s="1128"/>
      <c r="D1" s="1128"/>
      <c r="E1" s="1128"/>
      <c r="F1" s="1128"/>
      <c r="G1" s="1128"/>
      <c r="H1" s="1128"/>
      <c r="I1" s="1128"/>
      <c r="J1" s="1128"/>
      <c r="K1" s="1128"/>
      <c r="L1" s="1128"/>
    </row>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INPUTS'!D$55)&amp;"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J7" s="1128"/>
      <c r="K7" s="1128"/>
      <c r="L7" s="1128"/>
      <c r="O7" s="315"/>
      <c r="P7" s="315"/>
      <c r="Q7" s="315"/>
      <c r="R7" s="315"/>
      <c r="S7" s="315"/>
      <c r="T7" s="315"/>
      <c r="U7" s="315"/>
    </row>
    <row r="8" spans="2:21" ht="21" customHeight="1">
      <c r="B8" s="681" t="s">
        <v>97</v>
      </c>
      <c r="C8" s="1121"/>
      <c r="D8" s="1121"/>
      <c r="E8" s="1121"/>
      <c r="F8" s="1121"/>
      <c r="G8" s="963" t="s">
        <v>662</v>
      </c>
      <c r="H8" s="1722"/>
      <c r="I8" s="1723"/>
      <c r="J8" s="1128"/>
      <c r="K8" s="1128"/>
      <c r="L8" s="1128"/>
      <c r="O8" s="370"/>
      <c r="P8" s="315"/>
      <c r="Q8" s="315"/>
      <c r="R8" s="315"/>
      <c r="S8" s="315"/>
      <c r="T8" s="315"/>
      <c r="U8" s="315"/>
    </row>
    <row r="9" spans="2:21" ht="21" customHeight="1">
      <c r="B9" s="681"/>
      <c r="C9" s="1121"/>
      <c r="D9" s="1121"/>
      <c r="E9" s="1121"/>
      <c r="F9" s="1121"/>
      <c r="G9" s="963"/>
      <c r="H9" s="1371"/>
      <c r="I9" s="1372"/>
      <c r="J9" s="1128"/>
      <c r="K9" s="1128"/>
      <c r="L9" s="1128"/>
      <c r="O9" s="315"/>
      <c r="P9" s="315"/>
      <c r="Q9" s="315"/>
      <c r="R9" s="315"/>
      <c r="S9" s="315"/>
      <c r="T9" s="315"/>
      <c r="U9" s="315"/>
    </row>
    <row r="10" spans="2:21" ht="21" customHeight="1">
      <c r="B10" s="681" t="s">
        <v>268</v>
      </c>
      <c r="C10" s="1121"/>
      <c r="D10" s="1121"/>
      <c r="E10" s="1121"/>
      <c r="F10" s="1121"/>
      <c r="G10" s="593"/>
      <c r="H10" s="1743" t="s">
        <v>662</v>
      </c>
      <c r="I10" s="1744"/>
      <c r="J10" s="1128"/>
      <c r="K10" s="1128"/>
      <c r="L10" s="1128"/>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J11" s="1128"/>
      <c r="K11" s="1128"/>
      <c r="L11" s="1128"/>
      <c r="O11" s="315"/>
      <c r="P11" s="315"/>
      <c r="Q11" s="315"/>
      <c r="R11" s="315"/>
      <c r="S11" s="315"/>
      <c r="T11" s="315"/>
      <c r="U11" s="315"/>
    </row>
    <row r="12" spans="2:21" ht="21" customHeight="1" thickBot="1">
      <c r="B12" s="1096"/>
      <c r="C12" s="1128"/>
      <c r="D12" s="1128"/>
      <c r="E12" s="1128"/>
      <c r="F12" s="1128"/>
      <c r="G12" s="1065">
        <f>SUM(G7:G11)</f>
        <v>0</v>
      </c>
      <c r="H12" s="1741">
        <f>SUM(H7:I11)</f>
        <v>0</v>
      </c>
      <c r="I12" s="1742"/>
      <c r="J12" s="1128"/>
      <c r="K12" s="1128"/>
      <c r="L12" s="1128"/>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K14" s="1128"/>
      <c r="L14" s="1128"/>
      <c r="O14" s="315"/>
      <c r="P14" s="315"/>
      <c r="Q14" s="315"/>
      <c r="R14" s="315"/>
      <c r="S14" s="315"/>
      <c r="T14" s="315"/>
      <c r="U14" s="315"/>
    </row>
    <row r="15" spans="2:21" ht="16.5" customHeight="1" thickTop="1">
      <c r="B15" s="2000"/>
      <c r="C15" s="2000"/>
      <c r="D15" s="2000"/>
      <c r="E15" s="2000"/>
      <c r="F15" s="2000"/>
      <c r="G15" s="2000"/>
      <c r="H15" s="2000"/>
      <c r="I15" s="2001"/>
      <c r="K15" s="1128"/>
      <c r="L15" s="1128"/>
      <c r="O15" s="315"/>
      <c r="P15" s="315"/>
      <c r="Q15" s="315"/>
      <c r="R15" s="315"/>
      <c r="S15" s="315"/>
      <c r="T15" s="315"/>
      <c r="U15" s="315"/>
    </row>
    <row r="16" spans="2:21" ht="26.25" customHeight="1" thickBot="1">
      <c r="B16" s="1976" t="str">
        <f>UPPER('KEY INPUTS'!D$55)&amp;"  UTILITY"&amp;" ________________ LOAN"</f>
        <v xml:space="preserve">  UTILITY ________________ LOAN</v>
      </c>
      <c r="C16" s="1976"/>
      <c r="D16" s="1976"/>
      <c r="E16" s="1976"/>
      <c r="F16" s="1976"/>
      <c r="G16" s="1976"/>
      <c r="H16" s="1976"/>
      <c r="I16" s="1977"/>
      <c r="K16" s="1128"/>
      <c r="L16" s="1128"/>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K17" s="1128"/>
      <c r="L17" s="1128"/>
      <c r="O17" s="315"/>
      <c r="P17" s="315"/>
      <c r="Q17" s="315"/>
      <c r="R17" s="315"/>
      <c r="S17" s="315"/>
      <c r="T17" s="315"/>
      <c r="U17" s="315"/>
    </row>
    <row r="18" spans="2:21" ht="21" customHeight="1">
      <c r="B18" s="681" t="s">
        <v>97</v>
      </c>
      <c r="C18" s="1121"/>
      <c r="D18" s="1121"/>
      <c r="E18" s="1121"/>
      <c r="F18" s="1121"/>
      <c r="G18" s="963" t="s">
        <v>662</v>
      </c>
      <c r="H18" s="1722"/>
      <c r="I18" s="1723"/>
      <c r="K18" s="1128"/>
      <c r="L18" s="1128"/>
      <c r="O18" s="315"/>
      <c r="P18" s="315"/>
      <c r="Q18" s="315"/>
      <c r="R18" s="315"/>
      <c r="S18" s="315"/>
      <c r="T18" s="315"/>
      <c r="U18" s="315"/>
    </row>
    <row r="19" spans="2:21" ht="21" customHeight="1">
      <c r="B19" s="681" t="s">
        <v>268</v>
      </c>
      <c r="C19" s="1121"/>
      <c r="D19" s="1121"/>
      <c r="E19" s="1121"/>
      <c r="F19" s="1121"/>
      <c r="G19" s="593"/>
      <c r="H19" s="1743" t="s">
        <v>662</v>
      </c>
      <c r="I19" s="1744"/>
      <c r="K19" s="1128"/>
      <c r="L19" s="1128"/>
      <c r="O19" s="315"/>
      <c r="P19" s="315"/>
      <c r="Q19" s="315"/>
      <c r="R19" s="315"/>
      <c r="S19" s="315"/>
      <c r="T19" s="315"/>
      <c r="U19" s="315"/>
    </row>
    <row r="20" spans="2:21" ht="21" customHeight="1">
      <c r="B20" s="681"/>
      <c r="C20" s="1121"/>
      <c r="D20" s="1121"/>
      <c r="E20" s="1121"/>
      <c r="F20" s="1121"/>
      <c r="G20" s="1087"/>
      <c r="H20" s="1745"/>
      <c r="I20" s="1746"/>
      <c r="K20" s="1128"/>
      <c r="L20" s="1128"/>
      <c r="O20" s="315"/>
      <c r="P20" s="315"/>
      <c r="Q20" s="315"/>
      <c r="R20" s="315"/>
      <c r="S20" s="315"/>
      <c r="T20" s="315"/>
      <c r="U20" s="315"/>
    </row>
    <row r="21" spans="2:21" ht="21" customHeight="1">
      <c r="B21" s="681"/>
      <c r="C21" s="1121"/>
      <c r="D21" s="1121"/>
      <c r="E21" s="1121"/>
      <c r="F21" s="1121"/>
      <c r="G21" s="1087"/>
      <c r="H21" s="1745"/>
      <c r="I21" s="1746"/>
      <c r="K21" s="1128"/>
      <c r="L21" s="1128"/>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K22" s="1128"/>
      <c r="L22" s="1128"/>
      <c r="O22" s="315"/>
      <c r="P22" s="315"/>
      <c r="Q22" s="315"/>
      <c r="R22" s="315"/>
      <c r="S22" s="315"/>
      <c r="T22" s="315"/>
      <c r="U22" s="315"/>
    </row>
    <row r="23" spans="2:21" ht="21" customHeight="1" thickBot="1">
      <c r="B23" s="1096"/>
      <c r="C23" s="1128"/>
      <c r="D23" s="1128"/>
      <c r="E23" s="1128"/>
      <c r="F23" s="1128"/>
      <c r="G23" s="1065">
        <f>SUM(G17:G22)</f>
        <v>0</v>
      </c>
      <c r="H23" s="1741">
        <f>SUM(H17:I22)</f>
        <v>0</v>
      </c>
      <c r="I23" s="1742"/>
      <c r="K23" s="1128"/>
      <c r="L23" s="1128"/>
    </row>
    <row r="24" spans="2:21" ht="21" customHeight="1" thickTop="1">
      <c r="B24" s="1364" t="str">
        <f>TEXT('KEY INPUTS'!D34+1,"0")&amp;" Loan Maturities"</f>
        <v>2021 Loan Maturities</v>
      </c>
      <c r="C24" s="1373"/>
      <c r="D24" s="1373"/>
      <c r="E24" s="1373"/>
      <c r="F24" s="1373"/>
      <c r="G24" s="1373"/>
      <c r="H24" s="1373"/>
      <c r="I24" s="1374"/>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1144"/>
      <c r="L25" s="1144"/>
    </row>
    <row r="26" spans="2:21" ht="21" customHeight="1" thickTop="1">
      <c r="B26" s="1128"/>
      <c r="C26" s="1128"/>
      <c r="D26" s="1128"/>
      <c r="E26" s="1128"/>
      <c r="F26" s="1128"/>
      <c r="G26" s="1128"/>
      <c r="H26" s="1128"/>
      <c r="I26" s="1128"/>
      <c r="J26" s="1128"/>
      <c r="K26" s="1128"/>
      <c r="L26" s="1128"/>
    </row>
    <row r="27" spans="2:21" ht="19.5" customHeight="1" thickBot="1">
      <c r="B27" s="1976" t="str">
        <f>"INTEREST  ON  LOANS  - "&amp;UPPER('KEY INPUTS'!D55)&amp;"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1140" t="s">
        <v>397</v>
      </c>
      <c r="I28" s="1375">
        <f>+I25+I14</f>
        <v>0</v>
      </c>
      <c r="J28" s="1128"/>
      <c r="K28" s="1128"/>
      <c r="L28" s="1128"/>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row>
    <row r="30" spans="2:21" ht="21" customHeight="1">
      <c r="B30" s="681"/>
      <c r="C30" s="681" t="s">
        <v>337</v>
      </c>
      <c r="D30" s="1121"/>
      <c r="E30" s="1121"/>
      <c r="F30" s="1121"/>
      <c r="G30" s="1121"/>
      <c r="H30" s="327" t="s">
        <v>397</v>
      </c>
      <c r="I30" s="505">
        <f>+I28-I29</f>
        <v>0</v>
      </c>
      <c r="J30" s="1128"/>
      <c r="K30" s="1128"/>
      <c r="L30" s="1128"/>
    </row>
    <row r="31" spans="2:21" ht="21" customHeight="1">
      <c r="B31" s="905" t="str">
        <f>"Add: Interest to be Accrued as of "&amp;TEXT('KEY INPUTS'!D30,"mm/dd/yyyy")&amp;""</f>
        <v>Add: Interest to be Accrued as of 12/31/2021</v>
      </c>
      <c r="C31" s="681"/>
      <c r="D31" s="1121"/>
      <c r="E31" s="1121"/>
      <c r="F31" s="1121"/>
      <c r="G31" s="1121"/>
      <c r="H31" s="327" t="s">
        <v>397</v>
      </c>
      <c r="I31" s="592"/>
      <c r="J31" s="1128"/>
      <c r="K31" s="1128"/>
      <c r="L31" s="1128"/>
    </row>
    <row r="32" spans="2:21" ht="21" customHeight="1">
      <c r="B32" s="905" t="str">
        <f>"Required Appropriation "&amp;TEXT('KEY INPUTS'!D34+1,"0")</f>
        <v>Required Appropriation 2021</v>
      </c>
      <c r="C32" s="681"/>
      <c r="D32" s="1121"/>
      <c r="E32" s="1121"/>
      <c r="F32" s="1121"/>
      <c r="G32" s="1121"/>
      <c r="H32" s="1121"/>
      <c r="I32" s="1147"/>
      <c r="J32" s="1412" t="s">
        <v>397</v>
      </c>
      <c r="K32" s="1985">
        <f>+I30+I31</f>
        <v>0</v>
      </c>
      <c r="L32" s="1986"/>
    </row>
    <row r="33" spans="2:12" ht="13.5" customHeight="1">
      <c r="B33" s="1244"/>
      <c r="C33" s="1244"/>
      <c r="D33" s="1244"/>
      <c r="E33" s="1244"/>
      <c r="F33" s="1244"/>
      <c r="G33" s="1244"/>
      <c r="H33" s="1244"/>
      <c r="I33" s="1244"/>
      <c r="J33" s="1244"/>
      <c r="K33" s="1411"/>
      <c r="L33" s="1252"/>
    </row>
    <row r="34" spans="2:12" ht="13.5" customHeight="1">
      <c r="B34" s="1244"/>
      <c r="C34" s="1244"/>
      <c r="D34" s="1244"/>
      <c r="E34" s="1244"/>
      <c r="F34" s="1244"/>
      <c r="G34" s="1244"/>
      <c r="H34" s="1244"/>
      <c r="I34" s="1244"/>
      <c r="J34" s="1244"/>
      <c r="K34" s="1411"/>
      <c r="L34" s="1252"/>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3419</v>
      </c>
      <c r="C51" s="1850"/>
      <c r="D51" s="1850"/>
      <c r="E51" s="1850"/>
      <c r="F51" s="1850"/>
      <c r="G51" s="1850"/>
      <c r="H51" s="1850"/>
      <c r="I51" s="1850"/>
      <c r="J51" s="1850"/>
      <c r="K51" s="1850"/>
      <c r="L51" s="1850"/>
    </row>
  </sheetData>
  <sheetProtection algorithmName="SHA-512" hashValue="ZEFk6vy9L45g0Ksu/5Eshl/DIvUef/PMR9NrO8qHjIRlhG81+7eghH0YC+iTABeV6rsUGOmCwTR5aUl5BYuXCQ==" saltValue="CdHeGGLJZRErBFhOWOO4Y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7">
    <tabColor theme="2" tint="-0.249977111117893"/>
  </sheetPr>
  <dimension ref="A2:V30"/>
  <sheetViews>
    <sheetView zoomScaleNormal="100" zoomScaleSheetLayoutView="80" workbookViewId="0"/>
  </sheetViews>
  <sheetFormatPr defaultColWidth="8.88671875" defaultRowHeight="13.2"/>
  <cols>
    <col min="1" max="1" width="5.6640625" style="324" customWidth="1"/>
    <col min="2" max="3" width="4.88671875" style="324" customWidth="1"/>
    <col min="4" max="4" width="30.44140625" style="324" customWidth="1"/>
    <col min="5" max="11" width="15.6640625" style="324" customWidth="1"/>
    <col min="12" max="12" width="1.6640625" style="324" customWidth="1"/>
    <col min="13" max="13" width="12.6640625" style="324" customWidth="1"/>
    <col min="14" max="16384" width="8.88671875" style="324"/>
  </cols>
  <sheetData>
    <row r="2" spans="1:22" ht="20.399999999999999">
      <c r="B2" s="1854" t="str">
        <f>"DEBT  SERVICE  FOR  "&amp;UPPER('KEY INPUTS'!D53)&amp;"  UTILITY  NOTES  (OTHER  THAN  UTILITY  ASSESSMENT  NOTES)"</f>
        <v>DEBT  SERVICE  FOR    UTILITY  NOTES  (OTHER  THAN  UTILITY  ASSESSMENT  NOTES)</v>
      </c>
      <c r="C2" s="1854"/>
      <c r="D2" s="1854"/>
      <c r="E2" s="1854"/>
      <c r="F2" s="1854"/>
      <c r="G2" s="1854"/>
      <c r="H2" s="1854"/>
      <c r="I2" s="1854"/>
      <c r="J2" s="1854"/>
      <c r="K2" s="1854"/>
      <c r="L2" s="1854"/>
      <c r="M2" s="1854"/>
    </row>
    <row r="3" spans="1:22" ht="21" thickBot="1">
      <c r="B3" s="1854"/>
      <c r="C3" s="1854"/>
      <c r="D3" s="1854"/>
      <c r="E3" s="1854"/>
      <c r="F3" s="1854"/>
      <c r="G3" s="1854"/>
      <c r="H3" s="1854"/>
      <c r="I3" s="1854"/>
      <c r="J3" s="1854"/>
      <c r="K3" s="1854"/>
      <c r="L3" s="1854"/>
      <c r="M3" s="1854"/>
    </row>
    <row r="4" spans="1:22" ht="13.5" customHeight="1" thickTop="1">
      <c r="B4" s="418"/>
      <c r="C4" s="418"/>
      <c r="D4" s="418"/>
      <c r="E4" s="419"/>
      <c r="F4" s="419"/>
      <c r="G4" s="419"/>
      <c r="H4" s="419"/>
      <c r="I4" s="419"/>
      <c r="J4" s="418"/>
      <c r="K4" s="1473"/>
      <c r="L4" s="418"/>
      <c r="M4" s="1474"/>
    </row>
    <row r="5" spans="1:22" ht="13.5" customHeight="1">
      <c r="E5" s="415" t="s">
        <v>144</v>
      </c>
      <c r="F5" s="414" t="s">
        <v>144</v>
      </c>
      <c r="G5" s="414" t="s">
        <v>441</v>
      </c>
      <c r="H5" s="414" t="s">
        <v>18</v>
      </c>
      <c r="I5" s="414" t="s">
        <v>572</v>
      </c>
      <c r="J5" s="1898">
        <f>'KEY INPUTS'!D33</f>
        <v>2021</v>
      </c>
      <c r="K5" s="1899"/>
      <c r="L5" s="1475"/>
      <c r="M5" s="1476" t="s">
        <v>573</v>
      </c>
    </row>
    <row r="6" spans="1:22" ht="13.5" customHeight="1">
      <c r="C6" s="1902" t="s">
        <v>143</v>
      </c>
      <c r="D6" s="1903"/>
      <c r="E6" s="415" t="s">
        <v>441</v>
      </c>
      <c r="F6" s="414" t="s">
        <v>145</v>
      </c>
      <c r="G6" s="414" t="s">
        <v>569</v>
      </c>
      <c r="H6" s="414" t="s">
        <v>570</v>
      </c>
      <c r="I6" s="414" t="s">
        <v>570</v>
      </c>
      <c r="J6" s="1900"/>
      <c r="K6" s="1901"/>
      <c r="L6" s="1477"/>
      <c r="M6" s="1476" t="s">
        <v>576</v>
      </c>
    </row>
    <row r="7" spans="1:22" ht="13.5" customHeight="1">
      <c r="E7" s="415" t="s">
        <v>97</v>
      </c>
      <c r="F7" s="415" t="s">
        <v>146</v>
      </c>
      <c r="G7" s="415" t="s">
        <v>206</v>
      </c>
      <c r="H7" s="415" t="s">
        <v>571</v>
      </c>
      <c r="I7" s="415" t="s">
        <v>573</v>
      </c>
      <c r="J7" s="415" t="s">
        <v>118</v>
      </c>
      <c r="K7" s="415" t="s">
        <v>574</v>
      </c>
      <c r="L7" s="414"/>
      <c r="M7" s="1476" t="s">
        <v>577</v>
      </c>
    </row>
    <row r="8" spans="1:22" ht="13.5" customHeight="1" thickBot="1">
      <c r="B8" s="413"/>
      <c r="C8" s="413"/>
      <c r="D8" s="413"/>
      <c r="E8" s="411"/>
      <c r="F8" s="411"/>
      <c r="G8" s="787" t="str">
        <f>'KEY INPUTS'!D46</f>
        <v>Dec. 31, 2020</v>
      </c>
      <c r="H8" s="411"/>
      <c r="I8" s="411"/>
      <c r="J8" s="412"/>
      <c r="K8" s="539"/>
      <c r="L8" s="1478"/>
      <c r="M8" s="1479"/>
      <c r="P8" s="315"/>
      <c r="Q8" s="315"/>
      <c r="R8" s="315"/>
      <c r="S8" s="315"/>
      <c r="T8" s="315"/>
      <c r="U8" s="315"/>
      <c r="V8" s="315"/>
    </row>
    <row r="9" spans="1:22" ht="21" customHeight="1" thickTop="1">
      <c r="B9" s="1480" t="s">
        <v>308</v>
      </c>
      <c r="C9" s="664"/>
      <c r="D9" s="667"/>
      <c r="E9" s="597"/>
      <c r="F9" s="1481"/>
      <c r="G9" s="597"/>
      <c r="H9" s="1482"/>
      <c r="I9" s="789"/>
      <c r="J9" s="597"/>
      <c r="K9" s="597">
        <f>+I9*G9</f>
        <v>0</v>
      </c>
      <c r="L9" s="1483"/>
      <c r="M9" s="1484"/>
      <c r="P9" s="315"/>
      <c r="Q9" s="315"/>
      <c r="R9" s="315"/>
      <c r="S9" s="315"/>
      <c r="T9" s="315"/>
      <c r="U9" s="315"/>
      <c r="V9" s="315"/>
    </row>
    <row r="10" spans="1:22" ht="21" customHeight="1">
      <c r="B10" s="1485" t="s">
        <v>309</v>
      </c>
      <c r="C10" s="1486"/>
      <c r="D10" s="643"/>
      <c r="E10" s="593"/>
      <c r="F10" s="1487"/>
      <c r="G10" s="593"/>
      <c r="H10" s="1488"/>
      <c r="I10" s="615"/>
      <c r="J10" s="1489"/>
      <c r="K10" s="593">
        <f>+I10*G10</f>
        <v>0</v>
      </c>
      <c r="L10" s="623"/>
      <c r="M10" s="1490"/>
      <c r="N10" s="324" t="s">
        <v>3190</v>
      </c>
      <c r="O10" s="324" t="s">
        <v>3190</v>
      </c>
      <c r="P10" s="370"/>
      <c r="Q10" s="315"/>
      <c r="R10" s="315"/>
      <c r="S10" s="315"/>
      <c r="T10" s="315"/>
      <c r="U10" s="315"/>
      <c r="V10" s="315"/>
    </row>
    <row r="11" spans="1:22" ht="21" customHeight="1">
      <c r="B11" s="1485" t="s">
        <v>310</v>
      </c>
      <c r="C11" s="639"/>
      <c r="D11" s="643"/>
      <c r="E11" s="593"/>
      <c r="F11" s="676"/>
      <c r="G11" s="593"/>
      <c r="H11" s="593"/>
      <c r="I11" s="615"/>
      <c r="J11" s="593"/>
      <c r="K11" s="593"/>
      <c r="L11" s="623"/>
      <c r="M11" s="675"/>
      <c r="P11" s="315"/>
      <c r="Q11" s="315"/>
      <c r="R11" s="315"/>
      <c r="S11" s="315"/>
      <c r="T11" s="315"/>
      <c r="U11" s="315"/>
      <c r="V11" s="315"/>
    </row>
    <row r="12" spans="1:22" ht="21" customHeight="1">
      <c r="B12" s="1485" t="s">
        <v>311</v>
      </c>
      <c r="C12" s="639"/>
      <c r="D12" s="643"/>
      <c r="E12" s="593"/>
      <c r="F12" s="676"/>
      <c r="G12" s="593"/>
      <c r="H12" s="593"/>
      <c r="I12" s="615"/>
      <c r="J12" s="593"/>
      <c r="K12" s="593"/>
      <c r="L12" s="623"/>
      <c r="M12" s="675"/>
      <c r="P12" s="315"/>
      <c r="Q12" s="315"/>
      <c r="R12" s="315"/>
      <c r="S12" s="315"/>
      <c r="T12" s="315"/>
      <c r="U12" s="315"/>
      <c r="V12" s="315"/>
    </row>
    <row r="13" spans="1:22" ht="21" customHeight="1">
      <c r="B13" s="1485" t="s">
        <v>312</v>
      </c>
      <c r="C13" s="639"/>
      <c r="D13" s="643"/>
      <c r="E13" s="593"/>
      <c r="F13" s="676"/>
      <c r="G13" s="593"/>
      <c r="H13" s="593"/>
      <c r="I13" s="615"/>
      <c r="J13" s="593"/>
      <c r="K13" s="593"/>
      <c r="L13" s="623"/>
      <c r="M13" s="675"/>
      <c r="P13" s="315"/>
      <c r="Q13" s="315"/>
      <c r="R13" s="315"/>
      <c r="S13" s="315"/>
      <c r="T13" s="315"/>
      <c r="U13" s="315"/>
      <c r="V13" s="315"/>
    </row>
    <row r="14" spans="1:22" ht="21" customHeight="1">
      <c r="B14" s="1485" t="s">
        <v>313</v>
      </c>
      <c r="C14" s="639"/>
      <c r="D14" s="643"/>
      <c r="E14" s="596"/>
      <c r="F14" s="677"/>
      <c r="G14" s="596"/>
      <c r="H14" s="596"/>
      <c r="I14" s="618"/>
      <c r="J14" s="593"/>
      <c r="K14" s="593"/>
      <c r="L14" s="623"/>
      <c r="M14" s="675"/>
      <c r="P14" s="315"/>
      <c r="Q14" s="315"/>
      <c r="R14" s="315"/>
      <c r="S14" s="315"/>
      <c r="T14" s="315"/>
      <c r="U14" s="315"/>
      <c r="V14" s="315"/>
    </row>
    <row r="15" spans="1:22" ht="21" customHeight="1">
      <c r="A15" s="1830" t="s">
        <v>3226</v>
      </c>
      <c r="B15" s="1485" t="s">
        <v>314</v>
      </c>
      <c r="C15" s="678"/>
      <c r="D15" s="679"/>
      <c r="E15" s="593"/>
      <c r="F15" s="676"/>
      <c r="G15" s="593"/>
      <c r="H15" s="593"/>
      <c r="I15" s="615"/>
      <c r="J15" s="593"/>
      <c r="K15" s="593"/>
      <c r="L15" s="623"/>
      <c r="M15" s="675"/>
      <c r="P15" s="315"/>
      <c r="Q15" s="315"/>
      <c r="R15" s="315"/>
      <c r="S15" s="315"/>
      <c r="T15" s="315"/>
      <c r="U15" s="315"/>
      <c r="V15" s="315"/>
    </row>
    <row r="16" spans="1:22" ht="21" customHeight="1">
      <c r="A16" s="1830"/>
      <c r="B16" s="1485" t="s">
        <v>409</v>
      </c>
      <c r="C16" s="639"/>
      <c r="D16" s="643"/>
      <c r="E16" s="593"/>
      <c r="F16" s="676"/>
      <c r="G16" s="593"/>
      <c r="H16" s="593"/>
      <c r="I16" s="615"/>
      <c r="J16" s="593"/>
      <c r="K16" s="593"/>
      <c r="L16" s="623"/>
      <c r="M16" s="675"/>
      <c r="P16" s="315"/>
      <c r="Q16" s="315"/>
      <c r="R16" s="315"/>
      <c r="S16" s="315"/>
      <c r="T16" s="315"/>
      <c r="U16" s="315"/>
      <c r="V16" s="315"/>
    </row>
    <row r="17" spans="1:22" ht="21" customHeight="1">
      <c r="A17" s="1830"/>
      <c r="B17" s="1485" t="s">
        <v>410</v>
      </c>
      <c r="C17" s="639"/>
      <c r="D17" s="643"/>
      <c r="E17" s="593"/>
      <c r="F17" s="676"/>
      <c r="G17" s="593"/>
      <c r="H17" s="593"/>
      <c r="I17" s="615"/>
      <c r="J17" s="593"/>
      <c r="K17" s="593"/>
      <c r="L17" s="623"/>
      <c r="M17" s="675"/>
      <c r="P17" s="315"/>
      <c r="Q17" s="315"/>
      <c r="R17" s="315"/>
      <c r="S17" s="315"/>
      <c r="T17" s="315"/>
      <c r="U17" s="315"/>
      <c r="V17" s="315"/>
    </row>
    <row r="18" spans="1:22" ht="21" customHeight="1">
      <c r="A18" s="538"/>
      <c r="B18" s="1491" t="s">
        <v>834</v>
      </c>
      <c r="C18" s="327"/>
      <c r="D18" s="407"/>
      <c r="E18" s="118">
        <f>SUM(E9:E17)</f>
        <v>0</v>
      </c>
      <c r="F18" s="1492"/>
      <c r="G18" s="118">
        <f>SUM(G9:G17)</f>
        <v>0</v>
      </c>
      <c r="H18" s="118"/>
      <c r="I18" s="1493"/>
      <c r="J18" s="118">
        <f>SUM(J9:J17)</f>
        <v>0</v>
      </c>
      <c r="K18" s="118">
        <f>SUM(K9:K17)</f>
        <v>0</v>
      </c>
      <c r="L18" s="1494"/>
      <c r="M18" s="1495"/>
      <c r="P18" s="315"/>
      <c r="Q18" s="315"/>
      <c r="R18" s="315"/>
      <c r="S18" s="315"/>
      <c r="T18" s="315"/>
      <c r="U18" s="315"/>
      <c r="V18" s="315"/>
    </row>
    <row r="19" spans="1:22" ht="21" customHeight="1">
      <c r="A19" s="538"/>
      <c r="B19" s="474"/>
      <c r="E19" s="189"/>
      <c r="G19" s="189"/>
      <c r="H19" s="189"/>
      <c r="I19" s="1496"/>
      <c r="J19" s="189"/>
      <c r="K19" s="189"/>
      <c r="L19" s="189"/>
      <c r="P19" s="315"/>
      <c r="Q19" s="315"/>
      <c r="R19" s="315"/>
      <c r="S19" s="315"/>
      <c r="T19" s="315"/>
      <c r="U19" s="315"/>
      <c r="V19" s="315"/>
    </row>
    <row r="20" spans="1:22" ht="21" customHeight="1">
      <c r="A20" s="538"/>
      <c r="B20" s="474"/>
      <c r="E20" s="189"/>
      <c r="G20" s="189"/>
      <c r="H20" s="189"/>
      <c r="I20" s="1496"/>
      <c r="J20" s="189"/>
      <c r="K20" s="189"/>
      <c r="L20" s="189"/>
      <c r="P20" s="315"/>
      <c r="Q20" s="315"/>
      <c r="R20" s="315"/>
      <c r="S20" s="315"/>
      <c r="T20" s="315"/>
      <c r="U20" s="315"/>
      <c r="V20" s="315"/>
    </row>
    <row r="21" spans="1:22" ht="13.5" customHeight="1">
      <c r="B21" s="1497"/>
      <c r="C21" s="404"/>
      <c r="D21" s="795"/>
      <c r="J21" s="791"/>
      <c r="P21" s="315"/>
      <c r="Q21" s="315"/>
      <c r="R21" s="315"/>
      <c r="S21" s="315"/>
      <c r="T21" s="315"/>
      <c r="U21" s="315"/>
      <c r="V21" s="315"/>
    </row>
    <row r="22" spans="1:22">
      <c r="B22" s="1498" t="s">
        <v>44</v>
      </c>
      <c r="C22" s="791"/>
      <c r="D22" s="1499"/>
      <c r="E22" s="791"/>
      <c r="I22" s="1857"/>
      <c r="J22" s="1857"/>
      <c r="K22" s="1857"/>
      <c r="L22" s="1857"/>
      <c r="M22" s="1857"/>
      <c r="P22" s="315"/>
      <c r="Q22" s="315"/>
      <c r="R22" s="315"/>
      <c r="S22" s="315"/>
      <c r="T22" s="315"/>
      <c r="U22" s="315"/>
      <c r="V22" s="315"/>
    </row>
    <row r="23" spans="1:22" ht="15.6" customHeight="1">
      <c r="B23" s="1500" t="s">
        <v>45</v>
      </c>
      <c r="C23" s="1500"/>
      <c r="D23" s="1498" t="s">
        <v>46</v>
      </c>
      <c r="E23" s="791"/>
      <c r="M23" s="280"/>
      <c r="P23" s="315"/>
      <c r="Q23" s="315"/>
      <c r="R23" s="315"/>
      <c r="S23" s="315"/>
      <c r="T23" s="315"/>
      <c r="U23" s="315"/>
      <c r="V23" s="315"/>
    </row>
    <row r="24" spans="1:22" ht="15.6" customHeight="1">
      <c r="B24" s="1498"/>
      <c r="C24" s="1498"/>
      <c r="D24" s="1500" t="s">
        <v>47</v>
      </c>
      <c r="E24" s="791"/>
      <c r="M24" s="1501"/>
      <c r="P24" s="315"/>
      <c r="Q24" s="315"/>
      <c r="R24" s="315"/>
      <c r="S24" s="315"/>
      <c r="T24" s="315"/>
      <c r="U24" s="315"/>
      <c r="V24" s="315"/>
    </row>
    <row r="25" spans="1:22" ht="15.6" customHeight="1">
      <c r="B25" s="1498"/>
      <c r="C25" s="1498"/>
      <c r="D25" s="1498" t="s">
        <v>48</v>
      </c>
      <c r="E25" s="791"/>
      <c r="M25" s="280"/>
    </row>
    <row r="26" spans="1:22" ht="15.6" customHeight="1">
      <c r="B26" s="1498"/>
      <c r="C26" s="1498"/>
      <c r="D26" s="1498" t="str">
        <f>"All notes with an original date of issue of "&amp;'KEY INPUTS'!D33-3&amp;" or prior require one legally payable installment to be budgeted if it"</f>
        <v>All notes with an original date of issue of 2018 or prior require one legally payable installment to be budgeted if it</v>
      </c>
      <c r="E26" s="791"/>
      <c r="M26" s="1501"/>
    </row>
    <row r="27" spans="1:22" ht="15.6" customHeight="1">
      <c r="B27" s="1498"/>
      <c r="C27" s="1498"/>
      <c r="D27" s="1498" t="str">
        <f>"is contemplated that such notes will be renewed in "&amp;TEXT('KEY INPUTS'!D34+1,"0")&amp;" or written intent of permanent financing submitted."</f>
        <v>is contemplated that such notes will be renewed in 2021 or written intent of permanent financing submitted.</v>
      </c>
      <c r="E27" s="791"/>
      <c r="M27" s="280"/>
    </row>
    <row r="28" spans="1:22">
      <c r="B28" s="1498"/>
      <c r="C28" s="1498"/>
      <c r="D28" s="1498" t="s">
        <v>49</v>
      </c>
      <c r="E28" s="791"/>
    </row>
    <row r="29" spans="1:22">
      <c r="B29" s="791"/>
      <c r="C29" s="791"/>
      <c r="D29" s="1500" t="s">
        <v>50</v>
      </c>
      <c r="E29" s="791"/>
    </row>
    <row r="30" spans="1:22">
      <c r="J30" s="791" t="s">
        <v>103</v>
      </c>
    </row>
  </sheetData>
  <sheetProtection algorithmName="SHA-512" hashValue="/mY7GuaHFEc7vQj2nKXywdy4V6Zrw9kwTiBbcK968MwvmgW3q3UQPz8M/dAXCVrdHSdTyyKGNr6PmQC9rjNYvQ==" saltValue="rnC2vuhdCI3gf605mCeND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7">
    <tabColor theme="2" tint="-0.249977111117893"/>
  </sheetPr>
  <dimension ref="A1:V30"/>
  <sheetViews>
    <sheetView zoomScaleNormal="100" zoomScaleSheetLayoutView="80" workbookViewId="0"/>
  </sheetViews>
  <sheetFormatPr defaultColWidth="8.88671875" defaultRowHeight="13.2"/>
  <cols>
    <col min="1" max="1" width="5.6640625" style="391" customWidth="1"/>
    <col min="2" max="3" width="4.88671875" style="391" customWidth="1"/>
    <col min="4" max="4" width="30.44140625" style="391" customWidth="1"/>
    <col min="5" max="11" width="15.6640625" style="391" customWidth="1"/>
    <col min="12" max="12" width="1.6640625" style="391" customWidth="1"/>
    <col min="13" max="13" width="12.6640625" style="391" customWidth="1"/>
    <col min="14" max="16384" width="8.88671875" style="391"/>
  </cols>
  <sheetData>
    <row r="1" spans="1:22">
      <c r="B1" s="1096"/>
      <c r="C1" s="1096"/>
      <c r="D1" s="1096"/>
      <c r="E1" s="1096"/>
      <c r="F1" s="1096"/>
      <c r="G1" s="1096"/>
      <c r="H1" s="1096"/>
      <c r="I1" s="1096"/>
      <c r="J1" s="1096"/>
      <c r="K1" s="1096"/>
      <c r="L1" s="1096"/>
      <c r="M1" s="1096"/>
    </row>
    <row r="2" spans="1:22" ht="20.399999999999999">
      <c r="B2" s="1826" t="str">
        <f>"DEBT  SERVICE  FOR  "&amp;UPPER('KEY INPUTS'!D55)&amp;"  UTILITY  NOTES  (OTHER  THAN  UTILITY  ASSESSMENT  NOTES)"</f>
        <v>DEBT  SERVICE  FOR    UTILITY  NOTES  (OTHER  THAN  UTILITY  ASSESSMENT  NOTES)</v>
      </c>
      <c r="C2" s="1826"/>
      <c r="D2" s="1826"/>
      <c r="E2" s="1826"/>
      <c r="F2" s="1826"/>
      <c r="G2" s="1826"/>
      <c r="H2" s="1826"/>
      <c r="I2" s="1826"/>
      <c r="J2" s="1826"/>
      <c r="K2" s="1826"/>
      <c r="L2" s="1826"/>
      <c r="M2" s="1826"/>
    </row>
    <row r="3" spans="1:22" ht="21" thickBot="1">
      <c r="B3" s="1826"/>
      <c r="C3" s="1826"/>
      <c r="D3" s="1826"/>
      <c r="E3" s="1826"/>
      <c r="F3" s="1826"/>
      <c r="G3" s="1826"/>
      <c r="H3" s="1826"/>
      <c r="I3" s="1826"/>
      <c r="J3" s="1826"/>
      <c r="K3" s="1826"/>
      <c r="L3" s="1826"/>
      <c r="M3" s="1826"/>
    </row>
    <row r="4" spans="1:22" ht="13.5" customHeight="1" thickTop="1">
      <c r="B4" s="1219"/>
      <c r="C4" s="1219"/>
      <c r="D4" s="1219"/>
      <c r="E4" s="1220"/>
      <c r="F4" s="1220"/>
      <c r="G4" s="1220"/>
      <c r="H4" s="1220"/>
      <c r="I4" s="1220"/>
      <c r="J4" s="1219"/>
      <c r="K4" s="1221"/>
      <c r="L4" s="1219"/>
      <c r="M4" s="1222"/>
    </row>
    <row r="5" spans="1:22" ht="13.5" customHeight="1">
      <c r="B5" s="1096"/>
      <c r="C5" s="1096"/>
      <c r="D5" s="1096"/>
      <c r="E5" s="1223" t="s">
        <v>144</v>
      </c>
      <c r="F5" s="1224" t="s">
        <v>144</v>
      </c>
      <c r="G5" s="1224" t="s">
        <v>441</v>
      </c>
      <c r="H5" s="1224" t="s">
        <v>18</v>
      </c>
      <c r="I5" s="1224" t="s">
        <v>572</v>
      </c>
      <c r="J5" s="1910">
        <f>'KEY INPUTS'!D33</f>
        <v>2021</v>
      </c>
      <c r="K5" s="1911"/>
      <c r="L5" s="1251"/>
      <c r="M5" s="1226" t="s">
        <v>573</v>
      </c>
    </row>
    <row r="6" spans="1:22" ht="13.5" customHeight="1">
      <c r="B6" s="1096"/>
      <c r="C6" s="1908" t="s">
        <v>143</v>
      </c>
      <c r="D6" s="1909"/>
      <c r="E6" s="1223" t="s">
        <v>441</v>
      </c>
      <c r="F6" s="1224" t="s">
        <v>145</v>
      </c>
      <c r="G6" s="1224" t="s">
        <v>569</v>
      </c>
      <c r="H6" s="1224" t="s">
        <v>570</v>
      </c>
      <c r="I6" s="1224" t="s">
        <v>570</v>
      </c>
      <c r="J6" s="1912"/>
      <c r="K6" s="1913"/>
      <c r="L6" s="1227"/>
      <c r="M6" s="1226" t="s">
        <v>576</v>
      </c>
    </row>
    <row r="7" spans="1:22" ht="13.5" customHeight="1">
      <c r="B7" s="1096"/>
      <c r="C7" s="1096"/>
      <c r="D7" s="1096"/>
      <c r="E7" s="1223" t="s">
        <v>97</v>
      </c>
      <c r="F7" s="1223" t="s">
        <v>146</v>
      </c>
      <c r="G7" s="1223" t="s">
        <v>206</v>
      </c>
      <c r="H7" s="1223" t="s">
        <v>571</v>
      </c>
      <c r="I7" s="1223" t="s">
        <v>573</v>
      </c>
      <c r="J7" s="1223" t="s">
        <v>118</v>
      </c>
      <c r="K7" s="1223" t="s">
        <v>574</v>
      </c>
      <c r="L7" s="1224"/>
      <c r="M7" s="1226" t="s">
        <v>577</v>
      </c>
    </row>
    <row r="8" spans="1:22" ht="13.5" customHeight="1" thickBot="1">
      <c r="B8" s="1151"/>
      <c r="C8" s="1151"/>
      <c r="D8" s="1151"/>
      <c r="E8" s="1228"/>
      <c r="F8" s="1228"/>
      <c r="G8" s="1229" t="str">
        <f>'KEY INPUTS'!D46</f>
        <v>Dec. 31, 2020</v>
      </c>
      <c r="H8" s="1228"/>
      <c r="I8" s="1228"/>
      <c r="J8" s="1230"/>
      <c r="K8" s="1231"/>
      <c r="L8" s="1232"/>
      <c r="M8" s="1233"/>
      <c r="P8" s="315"/>
      <c r="Q8" s="315"/>
      <c r="R8" s="315"/>
      <c r="S8" s="315"/>
      <c r="T8" s="315"/>
      <c r="U8" s="315"/>
      <c r="V8" s="315"/>
    </row>
    <row r="9" spans="1:22" ht="21" customHeight="1" thickTop="1">
      <c r="B9" s="530" t="s">
        <v>308</v>
      </c>
      <c r="C9" s="666"/>
      <c r="D9" s="667"/>
      <c r="E9" s="610"/>
      <c r="F9" s="668"/>
      <c r="G9" s="610"/>
      <c r="H9" s="669"/>
      <c r="I9" s="612"/>
      <c r="J9" s="610"/>
      <c r="K9" s="610"/>
      <c r="L9" s="621"/>
      <c r="M9" s="670"/>
      <c r="P9" s="315"/>
      <c r="Q9" s="315"/>
      <c r="R9" s="315"/>
      <c r="S9" s="315"/>
      <c r="T9" s="315"/>
      <c r="U9" s="315"/>
      <c r="V9" s="315"/>
    </row>
    <row r="10" spans="1:22" ht="21" customHeight="1">
      <c r="B10" s="529" t="s">
        <v>309</v>
      </c>
      <c r="C10" s="671"/>
      <c r="D10" s="643"/>
      <c r="E10" s="593"/>
      <c r="F10" s="672"/>
      <c r="G10" s="593"/>
      <c r="H10" s="593"/>
      <c r="I10" s="673"/>
      <c r="J10" s="674"/>
      <c r="K10" s="593"/>
      <c r="L10" s="623"/>
      <c r="M10" s="675"/>
      <c r="N10" s="391" t="s">
        <v>3190</v>
      </c>
      <c r="O10" s="391" t="s">
        <v>3190</v>
      </c>
      <c r="P10" s="370"/>
      <c r="Q10" s="315"/>
      <c r="R10" s="315"/>
      <c r="S10" s="315"/>
      <c r="T10" s="315"/>
      <c r="U10" s="315"/>
      <c r="V10" s="315"/>
    </row>
    <row r="11" spans="1:22" ht="21" customHeight="1">
      <c r="B11" s="529" t="s">
        <v>310</v>
      </c>
      <c r="C11" s="639"/>
      <c r="D11" s="643"/>
      <c r="E11" s="593"/>
      <c r="F11" s="676"/>
      <c r="G11" s="593"/>
      <c r="H11" s="593"/>
      <c r="I11" s="615"/>
      <c r="J11" s="593"/>
      <c r="K11" s="593"/>
      <c r="L11" s="623"/>
      <c r="M11" s="675"/>
      <c r="P11" s="315"/>
      <c r="Q11" s="315"/>
      <c r="R11" s="315"/>
      <c r="S11" s="315"/>
      <c r="T11" s="315"/>
      <c r="U11" s="315"/>
      <c r="V11" s="315"/>
    </row>
    <row r="12" spans="1:22" ht="21" customHeight="1">
      <c r="B12" s="529" t="s">
        <v>311</v>
      </c>
      <c r="C12" s="639"/>
      <c r="D12" s="643"/>
      <c r="E12" s="593"/>
      <c r="F12" s="676"/>
      <c r="G12" s="593"/>
      <c r="H12" s="593"/>
      <c r="I12" s="615"/>
      <c r="J12" s="593"/>
      <c r="K12" s="593"/>
      <c r="L12" s="623"/>
      <c r="M12" s="675"/>
      <c r="P12" s="315"/>
      <c r="Q12" s="315"/>
      <c r="R12" s="315"/>
      <c r="S12" s="315"/>
      <c r="T12" s="315"/>
      <c r="U12" s="315"/>
      <c r="V12" s="315"/>
    </row>
    <row r="13" spans="1:22" ht="21" customHeight="1">
      <c r="B13" s="529" t="s">
        <v>312</v>
      </c>
      <c r="C13" s="639"/>
      <c r="D13" s="643"/>
      <c r="E13" s="593"/>
      <c r="F13" s="676"/>
      <c r="G13" s="593"/>
      <c r="H13" s="593"/>
      <c r="I13" s="615"/>
      <c r="J13" s="593"/>
      <c r="K13" s="593"/>
      <c r="L13" s="623"/>
      <c r="M13" s="675"/>
      <c r="P13" s="315"/>
      <c r="Q13" s="315"/>
      <c r="R13" s="315"/>
      <c r="S13" s="315"/>
      <c r="T13" s="315"/>
      <c r="U13" s="315"/>
      <c r="V13" s="315"/>
    </row>
    <row r="14" spans="1:22" ht="21" customHeight="1">
      <c r="B14" s="529" t="s">
        <v>313</v>
      </c>
      <c r="C14" s="639"/>
      <c r="D14" s="643"/>
      <c r="E14" s="596"/>
      <c r="F14" s="677"/>
      <c r="G14" s="596"/>
      <c r="H14" s="596"/>
      <c r="I14" s="618"/>
      <c r="J14" s="593"/>
      <c r="K14" s="593"/>
      <c r="L14" s="623"/>
      <c r="M14" s="675"/>
      <c r="P14" s="315"/>
      <c r="Q14" s="315"/>
      <c r="R14" s="315"/>
      <c r="S14" s="315"/>
      <c r="T14" s="315"/>
      <c r="U14" s="315"/>
      <c r="V14" s="315"/>
    </row>
    <row r="15" spans="1:22" ht="21" customHeight="1">
      <c r="A15" s="1907" t="s">
        <v>3226</v>
      </c>
      <c r="B15" s="529" t="s">
        <v>314</v>
      </c>
      <c r="C15" s="678"/>
      <c r="D15" s="679"/>
      <c r="E15" s="593"/>
      <c r="F15" s="676"/>
      <c r="G15" s="593"/>
      <c r="H15" s="593"/>
      <c r="I15" s="615"/>
      <c r="J15" s="593"/>
      <c r="K15" s="593"/>
      <c r="L15" s="623"/>
      <c r="M15" s="675"/>
      <c r="P15" s="315"/>
      <c r="Q15" s="315"/>
      <c r="R15" s="315"/>
      <c r="S15" s="315"/>
      <c r="T15" s="315"/>
      <c r="U15" s="315"/>
      <c r="V15" s="315"/>
    </row>
    <row r="16" spans="1:22" ht="21" customHeight="1">
      <c r="A16" s="1907"/>
      <c r="B16" s="529" t="s">
        <v>409</v>
      </c>
      <c r="C16" s="639"/>
      <c r="D16" s="643"/>
      <c r="E16" s="593"/>
      <c r="F16" s="676"/>
      <c r="G16" s="593"/>
      <c r="H16" s="593"/>
      <c r="I16" s="615"/>
      <c r="J16" s="593"/>
      <c r="K16" s="593"/>
      <c r="L16" s="623"/>
      <c r="M16" s="675"/>
      <c r="P16" s="315"/>
      <c r="Q16" s="315"/>
      <c r="R16" s="315"/>
      <c r="S16" s="315"/>
      <c r="T16" s="315"/>
      <c r="U16" s="315"/>
      <c r="V16" s="315"/>
    </row>
    <row r="17" spans="1:22" ht="21" customHeight="1">
      <c r="A17" s="1907"/>
      <c r="B17" s="529" t="s">
        <v>410</v>
      </c>
      <c r="C17" s="639"/>
      <c r="D17" s="643"/>
      <c r="E17" s="593"/>
      <c r="F17" s="676"/>
      <c r="G17" s="593"/>
      <c r="H17" s="593"/>
      <c r="I17" s="615"/>
      <c r="J17" s="593"/>
      <c r="K17" s="593"/>
      <c r="L17" s="623"/>
      <c r="M17" s="675"/>
      <c r="P17" s="315"/>
      <c r="Q17" s="315"/>
      <c r="R17" s="315"/>
      <c r="S17" s="315"/>
      <c r="T17" s="315"/>
      <c r="U17" s="315"/>
      <c r="V17" s="315"/>
    </row>
    <row r="18" spans="1:22" ht="21" customHeight="1">
      <c r="A18" s="528"/>
      <c r="B18" s="687" t="s">
        <v>834</v>
      </c>
      <c r="C18" s="681"/>
      <c r="D18" s="682"/>
      <c r="E18" s="680">
        <f>SUM(E9:E17)+'50-Utility4'!E18</f>
        <v>0</v>
      </c>
      <c r="F18" s="683"/>
      <c r="G18" s="680">
        <f>SUM(G9:G17)+'50-Utility4'!G18</f>
        <v>0</v>
      </c>
      <c r="H18" s="680"/>
      <c r="I18" s="684"/>
      <c r="J18" s="680">
        <f>SUM(J9:J17)+'50-Utility4'!J18</f>
        <v>0</v>
      </c>
      <c r="K18" s="680">
        <f>SUM(K9:K17)+'50-Utility4'!K18</f>
        <v>0</v>
      </c>
      <c r="L18" s="685"/>
      <c r="M18" s="686"/>
      <c r="P18" s="315"/>
      <c r="Q18" s="315"/>
      <c r="R18" s="315"/>
      <c r="S18" s="315"/>
      <c r="T18" s="315"/>
      <c r="U18" s="315"/>
      <c r="V18" s="315"/>
    </row>
    <row r="19" spans="1:22" ht="21" customHeight="1">
      <c r="A19" s="528"/>
      <c r="B19" s="1334"/>
      <c r="C19" s="1174"/>
      <c r="D19" s="1174"/>
      <c r="E19" s="1335"/>
      <c r="F19" s="1174"/>
      <c r="G19" s="1335"/>
      <c r="H19" s="1335"/>
      <c r="I19" s="1336"/>
      <c r="J19" s="1335"/>
      <c r="K19" s="1335"/>
      <c r="L19" s="1335"/>
      <c r="M19" s="1174"/>
      <c r="P19" s="315"/>
      <c r="Q19" s="315"/>
      <c r="R19" s="315"/>
      <c r="S19" s="315"/>
      <c r="T19" s="315"/>
      <c r="U19" s="315"/>
      <c r="V19" s="315"/>
    </row>
    <row r="20" spans="1:22" ht="21" customHeight="1">
      <c r="A20" s="528"/>
      <c r="B20" s="1334"/>
      <c r="C20" s="1174"/>
      <c r="D20" s="1174"/>
      <c r="E20" s="1335"/>
      <c r="F20" s="1174"/>
      <c r="G20" s="1335"/>
      <c r="H20" s="1335"/>
      <c r="I20" s="1336"/>
      <c r="J20" s="1335"/>
      <c r="K20" s="1335"/>
      <c r="L20" s="1335"/>
      <c r="M20" s="1174"/>
      <c r="P20" s="315"/>
      <c r="Q20" s="315"/>
      <c r="R20" s="315"/>
      <c r="S20" s="315"/>
      <c r="T20" s="315"/>
      <c r="U20" s="315"/>
      <c r="V20" s="315"/>
    </row>
    <row r="21" spans="1:22" ht="13.5" customHeight="1" thickBot="1">
      <c r="B21" s="1337"/>
      <c r="C21" s="1338"/>
      <c r="D21" s="1339"/>
      <c r="E21" s="1174"/>
      <c r="F21" s="1174"/>
      <c r="G21" s="1174"/>
      <c r="H21" s="1174"/>
      <c r="I21" s="1174"/>
      <c r="J21" s="1340"/>
      <c r="K21" s="1174"/>
      <c r="L21" s="1174"/>
      <c r="M21" s="1174"/>
      <c r="P21" s="315"/>
      <c r="Q21" s="315"/>
      <c r="R21" s="315"/>
      <c r="S21" s="315"/>
      <c r="T21" s="315"/>
      <c r="U21" s="315"/>
      <c r="V21" s="315"/>
    </row>
    <row r="22" spans="1:22" ht="14.4" thickTop="1" thickBot="1">
      <c r="B22" s="1202" t="s">
        <v>44</v>
      </c>
      <c r="C22" s="1101"/>
      <c r="D22" s="1341"/>
      <c r="E22" s="1101"/>
      <c r="F22" s="1096"/>
      <c r="G22" s="1096"/>
      <c r="H22" s="1096"/>
      <c r="I22" s="1904" t="str">
        <f>"INTEREST  ON  NOTES  -  "&amp;UPPER('KEY INPUTS'!D55)&amp;" UTILITY  BUDGET"</f>
        <v>INTEREST  ON  NOTES  -   UTILITY  BUDGET</v>
      </c>
      <c r="J22" s="1905"/>
      <c r="K22" s="1905"/>
      <c r="L22" s="1905"/>
      <c r="M22" s="1906"/>
      <c r="P22" s="315"/>
      <c r="Q22" s="315"/>
      <c r="R22" s="315"/>
      <c r="S22" s="315"/>
      <c r="T22" s="315"/>
      <c r="U22" s="315"/>
      <c r="V22" s="315"/>
    </row>
    <row r="23" spans="1:22" ht="15.6" customHeight="1">
      <c r="B23" s="1342" t="s">
        <v>45</v>
      </c>
      <c r="C23" s="1342"/>
      <c r="D23" s="1202" t="s">
        <v>46</v>
      </c>
      <c r="E23" s="1101"/>
      <c r="F23" s="1096"/>
      <c r="G23" s="1096"/>
      <c r="H23" s="1096"/>
      <c r="I23" s="1343" t="str">
        <f>TEXT('KEY INPUTS'!D34+1,"0")&amp;"  Interest on Notes"</f>
        <v>2021  Interest on Notes</v>
      </c>
      <c r="J23" s="1173"/>
      <c r="K23" s="1173"/>
      <c r="L23" s="1344" t="s">
        <v>397</v>
      </c>
      <c r="M23" s="1216">
        <f>K18</f>
        <v>0</v>
      </c>
      <c r="P23" s="315"/>
      <c r="Q23" s="315"/>
      <c r="R23" s="315"/>
      <c r="S23" s="315"/>
      <c r="T23" s="315"/>
      <c r="U23" s="315"/>
      <c r="V23" s="315"/>
    </row>
    <row r="24" spans="1:22" ht="15.6" customHeight="1">
      <c r="B24" s="1202"/>
      <c r="C24" s="1202"/>
      <c r="D24" s="1342" t="s">
        <v>47</v>
      </c>
      <c r="E24" s="1101"/>
      <c r="F24" s="1096"/>
      <c r="G24" s="1096"/>
      <c r="H24" s="1096"/>
      <c r="I24" s="1397" t="str">
        <f>"Less: Interest Accrued to "&amp;TEXT('KEY INPUTS'!D29,"mm/dd/yyyy")&amp;" (Trial Balance)"</f>
        <v>Less: Interest Accrued to 12/31/2020 (Trial Balance)</v>
      </c>
      <c r="J24" s="681"/>
      <c r="K24" s="681"/>
      <c r="L24" s="517" t="s">
        <v>397</v>
      </c>
      <c r="M24" s="663"/>
      <c r="P24" s="315"/>
      <c r="Q24" s="315"/>
      <c r="R24" s="315"/>
      <c r="S24" s="315"/>
      <c r="T24" s="315"/>
      <c r="U24" s="315"/>
      <c r="V24" s="315"/>
    </row>
    <row r="25" spans="1:22" ht="15.6" customHeight="1">
      <c r="B25" s="1202"/>
      <c r="C25" s="1202"/>
      <c r="D25" s="1202" t="s">
        <v>48</v>
      </c>
      <c r="E25" s="1101"/>
      <c r="F25" s="1096"/>
      <c r="G25" s="1096"/>
      <c r="H25" s="1096"/>
      <c r="I25" s="1103"/>
      <c r="J25" s="681" t="s">
        <v>337</v>
      </c>
      <c r="K25" s="681"/>
      <c r="L25" s="517" t="s">
        <v>397</v>
      </c>
      <c r="M25" s="1217">
        <f>+M23-M24</f>
        <v>0</v>
      </c>
    </row>
    <row r="26" spans="1:22" ht="15.6" customHeight="1">
      <c r="B26" s="1202"/>
      <c r="C26" s="1202"/>
      <c r="D26" s="1202" t="str">
        <f>"All notes with an original date of issue of "&amp;'KEY INPUTS'!D33-3&amp;" or prior require one legally payable installment to be budgeted if it"</f>
        <v>All notes with an original date of issue of 2018 or prior require one legally payable installment to be budgeted if it</v>
      </c>
      <c r="E26" s="1101"/>
      <c r="F26" s="1096"/>
      <c r="G26" s="1096"/>
      <c r="H26" s="1096"/>
      <c r="I26" s="1397" t="str">
        <f>"Add: Interest to be Accrued as of "&amp;TEXT('KEY INPUTS'!D30,"mm/dd/yyyy")&amp;""</f>
        <v>Add: Interest to be Accrued as of 12/31/2021</v>
      </c>
      <c r="J26" s="681"/>
      <c r="K26" s="681"/>
      <c r="L26" s="517" t="s">
        <v>397</v>
      </c>
      <c r="M26" s="663"/>
    </row>
    <row r="27" spans="1:22" ht="15.6" customHeight="1" thickBot="1">
      <c r="B27" s="1202"/>
      <c r="C27" s="1202"/>
      <c r="D27" s="1202" t="str">
        <f>"is contemplated that such notes will be renewed in "&amp;TEXT('KEY INPUTS'!D34+1,"0")&amp;" or written intent of permanent financing submitted."</f>
        <v>is contemplated that such notes will be renewed in 2021 or written intent of permanent financing submitted.</v>
      </c>
      <c r="E27" s="1101"/>
      <c r="F27" s="1096"/>
      <c r="G27" s="1096"/>
      <c r="H27" s="1096"/>
      <c r="I27" s="1398" t="str">
        <f>"Required Appropriation - "&amp;TEXT('KEY INPUTS'!D34+1,"0")&amp;""</f>
        <v>Required Appropriation - 2021</v>
      </c>
      <c r="J27" s="1151"/>
      <c r="K27" s="1151"/>
      <c r="L27" s="515" t="s">
        <v>397</v>
      </c>
      <c r="M27" s="1218">
        <f>+M25+M26</f>
        <v>0</v>
      </c>
    </row>
    <row r="28" spans="1:22" ht="13.8" thickTop="1">
      <c r="B28" s="1202"/>
      <c r="C28" s="1202"/>
      <c r="D28" s="1202" t="s">
        <v>49</v>
      </c>
      <c r="E28" s="1101"/>
      <c r="F28" s="1096"/>
      <c r="G28" s="1096"/>
      <c r="H28" s="1096"/>
      <c r="I28" s="1096"/>
    </row>
    <row r="29" spans="1:22">
      <c r="B29" s="1101"/>
      <c r="C29" s="1101"/>
      <c r="D29" s="1342" t="s">
        <v>50</v>
      </c>
      <c r="E29" s="1101"/>
      <c r="F29" s="1096"/>
      <c r="G29" s="1096"/>
      <c r="H29" s="1096"/>
      <c r="I29" s="1096"/>
    </row>
    <row r="30" spans="1:22">
      <c r="J30" s="511" t="s">
        <v>103</v>
      </c>
    </row>
  </sheetData>
  <sheetProtection algorithmName="SHA-512" hashValue="bLBmcg/M6KkolsJalEN719yTTTSA21pN3wFt5e8Og9LtFbQrOH4gKcebYVCuVDnH/nkBnr7t/4cFQNVNYSgoTA==" saltValue="EBzb7hWN0bFIpX1NvmJ9i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8">
    <tabColor theme="2" tint="-0.249977111117893"/>
  </sheetPr>
  <dimension ref="A1:T29"/>
  <sheetViews>
    <sheetView zoomScaleNormal="100" zoomScaleSheetLayoutView="80" workbookViewId="0"/>
  </sheetViews>
  <sheetFormatPr defaultColWidth="9.109375" defaultRowHeight="13.2"/>
  <cols>
    <col min="1" max="1" width="5.6640625" style="324" customWidth="1"/>
    <col min="2" max="3" width="4.88671875" style="324" customWidth="1"/>
    <col min="4" max="4" width="31.5546875" style="324" customWidth="1"/>
    <col min="5" max="12" width="15.6640625" style="324" customWidth="1"/>
    <col min="13" max="16384" width="9.109375" style="324"/>
  </cols>
  <sheetData>
    <row r="1" spans="1:20">
      <c r="B1" s="1128"/>
      <c r="C1" s="1128"/>
      <c r="D1" s="1128"/>
      <c r="E1" s="1128"/>
      <c r="F1" s="1128"/>
      <c r="G1" s="1128"/>
      <c r="H1" s="1128"/>
      <c r="I1" s="1128"/>
      <c r="J1" s="1128"/>
      <c r="K1" s="1128"/>
      <c r="L1" s="1128"/>
    </row>
    <row r="2" spans="1:20" ht="20.399999999999999">
      <c r="B2" s="1826" t="str">
        <f>"DEBT  SERVICE  SCHEDULE  FOR  "&amp;UPPER('KEY INPUTS'!D55) &amp;"  UTILITY  ASSESSMENT  NOTES"</f>
        <v>DEBT  SERVICE  SCHEDULE  FOR    UTILITY  ASSESSMENT  NOTES</v>
      </c>
      <c r="C2" s="1826"/>
      <c r="D2" s="1826"/>
      <c r="E2" s="1826"/>
      <c r="F2" s="1826"/>
      <c r="G2" s="1826"/>
      <c r="H2" s="1826"/>
      <c r="I2" s="1826"/>
      <c r="J2" s="1826"/>
      <c r="K2" s="1826"/>
      <c r="L2" s="1826"/>
    </row>
    <row r="3" spans="1:20" ht="21" thickBot="1">
      <c r="B3" s="1916"/>
      <c r="C3" s="1916"/>
      <c r="D3" s="1916"/>
      <c r="E3" s="1916"/>
      <c r="F3" s="1916"/>
      <c r="G3" s="1916"/>
      <c r="H3" s="1916"/>
      <c r="I3" s="1916"/>
      <c r="J3" s="1916"/>
      <c r="K3" s="1916"/>
      <c r="L3" s="1916"/>
    </row>
    <row r="4" spans="1:20" ht="13.5" customHeight="1" thickTop="1">
      <c r="B4" s="1987"/>
      <c r="C4" s="1987"/>
      <c r="D4" s="1988"/>
      <c r="E4" s="1220"/>
      <c r="F4" s="1125"/>
      <c r="G4" s="1125"/>
      <c r="H4" s="1125"/>
      <c r="I4" s="1125"/>
      <c r="J4" s="1124"/>
      <c r="K4" s="1124"/>
      <c r="L4" s="1127"/>
    </row>
    <row r="5" spans="1:20" ht="13.5" customHeight="1">
      <c r="B5" s="1128"/>
      <c r="C5" s="1128"/>
      <c r="D5" s="1128"/>
      <c r="E5" s="1129" t="s">
        <v>144</v>
      </c>
      <c r="F5" s="1133" t="s">
        <v>144</v>
      </c>
      <c r="G5" s="1133" t="s">
        <v>441</v>
      </c>
      <c r="H5" s="1133" t="s">
        <v>18</v>
      </c>
      <c r="I5" s="1133" t="s">
        <v>572</v>
      </c>
      <c r="J5" s="1910">
        <f>'KEY INPUTS'!D33</f>
        <v>2021</v>
      </c>
      <c r="K5" s="1911"/>
      <c r="L5" s="1131" t="s">
        <v>573</v>
      </c>
    </row>
    <row r="6" spans="1:20" ht="13.5" customHeight="1">
      <c r="B6" s="1128"/>
      <c r="C6" s="1825" t="s">
        <v>143</v>
      </c>
      <c r="D6" s="1917"/>
      <c r="E6" s="1129" t="s">
        <v>441</v>
      </c>
      <c r="F6" s="1133" t="s">
        <v>145</v>
      </c>
      <c r="G6" s="1133" t="s">
        <v>569</v>
      </c>
      <c r="H6" s="1133" t="s">
        <v>570</v>
      </c>
      <c r="I6" s="1133" t="s">
        <v>570</v>
      </c>
      <c r="J6" s="1912"/>
      <c r="K6" s="1913"/>
      <c r="L6" s="1131" t="s">
        <v>576</v>
      </c>
    </row>
    <row r="7" spans="1:20" ht="13.5" customHeight="1">
      <c r="B7" s="1128"/>
      <c r="C7" s="1128"/>
      <c r="D7" s="1128"/>
      <c r="E7" s="1129" t="s">
        <v>97</v>
      </c>
      <c r="F7" s="1129" t="s">
        <v>146</v>
      </c>
      <c r="G7" s="1129" t="s">
        <v>206</v>
      </c>
      <c r="H7" s="1129" t="s">
        <v>571</v>
      </c>
      <c r="I7" s="1129" t="s">
        <v>573</v>
      </c>
      <c r="J7" s="1129" t="s">
        <v>118</v>
      </c>
      <c r="K7" s="1129" t="s">
        <v>574</v>
      </c>
      <c r="L7" s="1131" t="s">
        <v>577</v>
      </c>
      <c r="N7" s="315"/>
      <c r="O7" s="315"/>
      <c r="P7" s="315"/>
      <c r="Q7" s="315"/>
      <c r="R7" s="315"/>
      <c r="S7" s="315"/>
      <c r="T7" s="315"/>
    </row>
    <row r="8" spans="1:20" ht="13.5" customHeight="1" thickBot="1">
      <c r="B8" s="1135"/>
      <c r="C8" s="1135"/>
      <c r="D8" s="1135"/>
      <c r="E8" s="1136"/>
      <c r="F8" s="1136"/>
      <c r="G8" s="1346" t="str">
        <f>'KEY INPUTS'!D46</f>
        <v>Dec. 31, 2020</v>
      </c>
      <c r="H8" s="1136"/>
      <c r="I8" s="1136"/>
      <c r="J8" s="1137"/>
      <c r="K8" s="1237" t="s">
        <v>575</v>
      </c>
      <c r="L8" s="1139"/>
      <c r="N8" s="315"/>
      <c r="O8" s="315"/>
      <c r="P8" s="315"/>
      <c r="Q8" s="315"/>
      <c r="R8" s="315"/>
      <c r="S8" s="315"/>
      <c r="T8" s="315"/>
    </row>
    <row r="9" spans="1:20" ht="21" customHeight="1" thickTop="1">
      <c r="B9" s="1920"/>
      <c r="C9" s="1920"/>
      <c r="D9" s="1921"/>
      <c r="E9" s="597"/>
      <c r="F9" s="788"/>
      <c r="G9" s="597"/>
      <c r="H9" s="597"/>
      <c r="I9" s="789"/>
      <c r="J9" s="597"/>
      <c r="K9" s="597"/>
      <c r="L9" s="790"/>
      <c r="N9" s="370"/>
      <c r="O9" s="315"/>
      <c r="P9" s="315"/>
      <c r="Q9" s="315"/>
      <c r="R9" s="315"/>
      <c r="S9" s="315"/>
      <c r="T9" s="315"/>
    </row>
    <row r="10" spans="1:20" ht="21" customHeight="1">
      <c r="B10" s="1914"/>
      <c r="C10" s="1914"/>
      <c r="D10" s="1915"/>
      <c r="E10" s="593"/>
      <c r="F10" s="676"/>
      <c r="G10" s="593"/>
      <c r="H10" s="593"/>
      <c r="I10" s="615"/>
      <c r="J10" s="593"/>
      <c r="K10" s="593"/>
      <c r="L10" s="690"/>
      <c r="N10" s="315"/>
      <c r="O10" s="315"/>
      <c r="P10" s="315"/>
      <c r="Q10" s="315"/>
      <c r="R10" s="315"/>
      <c r="S10" s="315"/>
      <c r="T10" s="315"/>
    </row>
    <row r="11" spans="1:20" ht="21" customHeight="1">
      <c r="B11" s="1914"/>
      <c r="C11" s="1914"/>
      <c r="D11" s="1915"/>
      <c r="E11" s="593"/>
      <c r="F11" s="676"/>
      <c r="G11" s="593"/>
      <c r="H11" s="593"/>
      <c r="I11" s="615"/>
      <c r="J11" s="593"/>
      <c r="K11" s="593"/>
      <c r="L11" s="690"/>
      <c r="N11" s="315"/>
      <c r="O11" s="315"/>
      <c r="P11" s="315"/>
      <c r="Q11" s="315"/>
      <c r="R11" s="315"/>
      <c r="S11" s="315"/>
      <c r="T11" s="315"/>
    </row>
    <row r="12" spans="1:20" ht="21" customHeight="1">
      <c r="B12" s="1914"/>
      <c r="C12" s="1914"/>
      <c r="D12" s="1915"/>
      <c r="E12" s="593"/>
      <c r="F12" s="676"/>
      <c r="G12" s="593"/>
      <c r="H12" s="593"/>
      <c r="I12" s="615"/>
      <c r="J12" s="593"/>
      <c r="K12" s="593"/>
      <c r="L12" s="690"/>
      <c r="N12" s="315"/>
      <c r="O12" s="315"/>
      <c r="P12" s="315"/>
      <c r="Q12" s="315"/>
      <c r="R12" s="315"/>
      <c r="S12" s="315"/>
      <c r="T12" s="315"/>
    </row>
    <row r="13" spans="1:20" ht="21" customHeight="1">
      <c r="B13" s="1914"/>
      <c r="C13" s="1914"/>
      <c r="D13" s="1915"/>
      <c r="E13" s="593"/>
      <c r="F13" s="676"/>
      <c r="G13" s="593"/>
      <c r="H13" s="593"/>
      <c r="I13" s="615"/>
      <c r="J13" s="593"/>
      <c r="K13" s="593"/>
      <c r="L13" s="690"/>
      <c r="N13" s="315"/>
      <c r="O13" s="315"/>
      <c r="P13" s="315"/>
      <c r="Q13" s="315"/>
      <c r="R13" s="315"/>
      <c r="S13" s="315"/>
      <c r="T13" s="315"/>
    </row>
    <row r="14" spans="1:20" ht="21" customHeight="1">
      <c r="B14" s="1914"/>
      <c r="C14" s="1914"/>
      <c r="D14" s="1915"/>
      <c r="E14" s="596"/>
      <c r="F14" s="677"/>
      <c r="G14" s="596"/>
      <c r="H14" s="596"/>
      <c r="I14" s="618"/>
      <c r="J14" s="593"/>
      <c r="K14" s="593"/>
      <c r="L14" s="690"/>
      <c r="N14" s="315"/>
      <c r="O14" s="315"/>
      <c r="P14" s="315"/>
      <c r="Q14" s="315"/>
      <c r="R14" s="315"/>
      <c r="S14" s="315"/>
      <c r="T14" s="315"/>
    </row>
    <row r="15" spans="1:20" ht="21" customHeight="1">
      <c r="A15" s="1830" t="s">
        <v>3227</v>
      </c>
      <c r="B15" s="1914"/>
      <c r="C15" s="1914"/>
      <c r="D15" s="1915"/>
      <c r="E15" s="593"/>
      <c r="F15" s="676"/>
      <c r="G15" s="593"/>
      <c r="H15" s="593"/>
      <c r="I15" s="615"/>
      <c r="J15" s="593"/>
      <c r="K15" s="593"/>
      <c r="L15" s="690"/>
      <c r="N15" s="315"/>
      <c r="O15" s="315"/>
      <c r="P15" s="315"/>
      <c r="Q15" s="315"/>
      <c r="R15" s="315"/>
      <c r="S15" s="315"/>
      <c r="T15" s="315"/>
    </row>
    <row r="16" spans="1:20" ht="21" customHeight="1">
      <c r="A16" s="1830"/>
      <c r="B16" s="1914"/>
      <c r="C16" s="1914"/>
      <c r="D16" s="1915"/>
      <c r="E16" s="593"/>
      <c r="F16" s="676"/>
      <c r="G16" s="593"/>
      <c r="H16" s="593"/>
      <c r="I16" s="615"/>
      <c r="J16" s="593"/>
      <c r="K16" s="593"/>
      <c r="L16" s="690"/>
      <c r="N16" s="315"/>
      <c r="O16" s="315"/>
      <c r="P16" s="315"/>
      <c r="Q16" s="315"/>
      <c r="R16" s="315"/>
      <c r="S16" s="315"/>
      <c r="T16" s="315"/>
    </row>
    <row r="17" spans="1:20" ht="21" customHeight="1">
      <c r="A17" s="1830"/>
      <c r="B17" s="1914"/>
      <c r="C17" s="1914"/>
      <c r="D17" s="1915"/>
      <c r="E17" s="593"/>
      <c r="F17" s="676"/>
      <c r="G17" s="593"/>
      <c r="H17" s="593"/>
      <c r="I17" s="615"/>
      <c r="J17" s="593"/>
      <c r="K17" s="593"/>
      <c r="L17" s="690"/>
      <c r="N17" s="315"/>
      <c r="O17" s="315"/>
      <c r="P17" s="315"/>
      <c r="Q17" s="315"/>
      <c r="R17" s="315"/>
      <c r="S17" s="315"/>
      <c r="T17" s="315"/>
    </row>
    <row r="18" spans="1:20" ht="21" customHeight="1">
      <c r="A18" s="538"/>
      <c r="B18" s="1914"/>
      <c r="C18" s="1914"/>
      <c r="D18" s="1915"/>
      <c r="E18" s="593"/>
      <c r="F18" s="676"/>
      <c r="G18" s="593"/>
      <c r="H18" s="593"/>
      <c r="I18" s="615"/>
      <c r="J18" s="593"/>
      <c r="K18" s="593"/>
      <c r="L18" s="690"/>
      <c r="N18" s="315"/>
      <c r="O18" s="315"/>
      <c r="P18" s="315"/>
      <c r="Q18" s="315"/>
      <c r="R18" s="315"/>
      <c r="S18" s="315"/>
      <c r="T18" s="315"/>
    </row>
    <row r="19" spans="1:20" ht="21" customHeight="1">
      <c r="B19" s="1914"/>
      <c r="C19" s="1914"/>
      <c r="D19" s="1915"/>
      <c r="E19" s="593"/>
      <c r="F19" s="676"/>
      <c r="G19" s="593"/>
      <c r="H19" s="593"/>
      <c r="I19" s="615"/>
      <c r="J19" s="593"/>
      <c r="K19" s="593"/>
      <c r="L19" s="690"/>
      <c r="N19" s="315"/>
      <c r="O19" s="315"/>
      <c r="P19" s="315"/>
      <c r="Q19" s="315"/>
      <c r="R19" s="315"/>
      <c r="S19" s="315"/>
      <c r="T19" s="315"/>
    </row>
    <row r="20" spans="1:20" ht="21" customHeight="1">
      <c r="B20" s="1914"/>
      <c r="C20" s="1914"/>
      <c r="D20" s="1915"/>
      <c r="E20" s="593"/>
      <c r="F20" s="676"/>
      <c r="G20" s="593"/>
      <c r="H20" s="593"/>
      <c r="I20" s="615"/>
      <c r="J20" s="593"/>
      <c r="K20" s="593"/>
      <c r="L20" s="690"/>
      <c r="N20" s="315"/>
      <c r="O20" s="315"/>
      <c r="P20" s="315"/>
      <c r="Q20" s="315"/>
      <c r="R20" s="315"/>
      <c r="S20" s="315"/>
      <c r="T20" s="315"/>
    </row>
    <row r="21" spans="1:20" ht="21" customHeight="1">
      <c r="B21" s="1914"/>
      <c r="C21" s="1914"/>
      <c r="D21" s="1915"/>
      <c r="E21" s="593"/>
      <c r="F21" s="676"/>
      <c r="G21" s="593"/>
      <c r="H21" s="593"/>
      <c r="I21" s="615"/>
      <c r="J21" s="593"/>
      <c r="K21" s="593"/>
      <c r="L21" s="690"/>
      <c r="N21" s="315"/>
      <c r="O21" s="315"/>
      <c r="P21" s="315"/>
      <c r="Q21" s="315"/>
      <c r="R21" s="315"/>
      <c r="S21" s="315"/>
      <c r="T21" s="315"/>
    </row>
    <row r="22" spans="1:20" ht="21" customHeight="1">
      <c r="B22" s="1914"/>
      <c r="C22" s="1914"/>
      <c r="D22" s="1915"/>
      <c r="E22" s="593"/>
      <c r="F22" s="676"/>
      <c r="G22" s="593"/>
      <c r="H22" s="593"/>
      <c r="I22" s="615"/>
      <c r="J22" s="593"/>
      <c r="K22" s="593"/>
      <c r="L22" s="690"/>
      <c r="N22" s="315"/>
      <c r="O22" s="315"/>
      <c r="P22" s="315"/>
      <c r="Q22" s="315"/>
      <c r="R22" s="315"/>
      <c r="S22" s="315"/>
      <c r="T22" s="315"/>
    </row>
    <row r="23" spans="1:20" ht="21" customHeight="1" thickBot="1">
      <c r="B23" s="1454"/>
      <c r="C23" s="1455"/>
      <c r="D23" s="1456"/>
      <c r="E23" s="1347">
        <f>SUM(E9:E22)</f>
        <v>0</v>
      </c>
      <c r="F23" s="1401"/>
      <c r="G23" s="1347">
        <f>SUM(G9:G22)</f>
        <v>0</v>
      </c>
      <c r="H23" s="1347"/>
      <c r="I23" s="1347"/>
      <c r="J23" s="1347">
        <f>SUM(J9:J22)</f>
        <v>0</v>
      </c>
      <c r="K23" s="1347">
        <f>SUM(K9:K22)</f>
        <v>0</v>
      </c>
      <c r="L23" s="1402"/>
      <c r="N23" s="315"/>
      <c r="O23" s="315"/>
      <c r="P23" s="315"/>
      <c r="Q23" s="315"/>
      <c r="R23" s="315"/>
      <c r="S23" s="315"/>
      <c r="T23" s="315"/>
    </row>
    <row r="24" spans="1:20" ht="13.5" customHeight="1" thickTop="1">
      <c r="B24" s="1348" t="s">
        <v>44</v>
      </c>
      <c r="C24" s="1349"/>
      <c r="D24" s="1350"/>
      <c r="E24" s="1128"/>
      <c r="F24" s="1128"/>
      <c r="G24" s="1128"/>
      <c r="H24" s="1128"/>
      <c r="I24" s="1128"/>
      <c r="J24" s="1351"/>
      <c r="K24" s="1351"/>
      <c r="L24" s="1128"/>
    </row>
    <row r="25" spans="1:20" ht="13.5" customHeight="1">
      <c r="B25" s="1348" t="s">
        <v>579</v>
      </c>
      <c r="C25" s="1349"/>
      <c r="D25" s="1350"/>
      <c r="E25" s="1128"/>
      <c r="F25" s="1128"/>
      <c r="G25" s="1128"/>
      <c r="H25" s="1128"/>
      <c r="I25" s="1128"/>
      <c r="J25" s="1128"/>
      <c r="K25" s="1128"/>
      <c r="L25" s="1128"/>
    </row>
    <row r="26" spans="1:20" ht="13.5" customHeight="1">
      <c r="B26" s="1348"/>
      <c r="C26" s="1349" t="str">
        <f>"Utility Assessment Notes with an original date of issue of December 31, "&amp;'KEY INPUTS'!D33-3&amp;" or prior must be appropriated in full in the "&amp;TEXT('KEY INPUTS'!D34+1,"0")&amp;" Dedicated Utility Assessment Budget or written intent of"</f>
        <v>Utility Assessment Notes with an original date of issue of December 31, 2018 or prior must be appropriated in full in the 2021 Dedicated Utility Assessment Budget or written intent of</v>
      </c>
      <c r="D26" s="1350"/>
      <c r="E26" s="1128"/>
      <c r="F26" s="1128"/>
      <c r="G26" s="1128"/>
      <c r="H26" s="1128"/>
      <c r="I26" s="1128"/>
      <c r="J26" s="1128"/>
      <c r="K26" s="1128"/>
      <c r="L26" s="1128"/>
    </row>
    <row r="27" spans="1:20" ht="13.5" customHeight="1">
      <c r="B27" s="1348"/>
      <c r="C27" s="1349"/>
      <c r="D27" s="1352" t="s">
        <v>532</v>
      </c>
      <c r="E27" s="1128"/>
      <c r="F27" s="1128"/>
      <c r="G27" s="1128"/>
      <c r="H27" s="1128"/>
      <c r="I27" s="1128"/>
      <c r="J27" s="1128"/>
      <c r="K27" s="1128"/>
      <c r="L27" s="1128"/>
    </row>
    <row r="28" spans="1:20" ht="13.5" customHeight="1">
      <c r="B28" s="1348"/>
      <c r="C28" s="1349" t="s">
        <v>318</v>
      </c>
      <c r="D28" s="1350"/>
      <c r="E28" s="1128"/>
      <c r="F28" s="1128"/>
      <c r="G28" s="1128"/>
      <c r="H28" s="1128"/>
      <c r="I28" s="1128"/>
      <c r="J28" s="1353"/>
      <c r="K28" s="1128"/>
      <c r="L28" s="1128"/>
    </row>
    <row r="29" spans="1:20">
      <c r="B29" s="534"/>
      <c r="C29" s="404"/>
      <c r="D29" s="404"/>
    </row>
  </sheetData>
  <sheetProtection algorithmName="SHA-512" hashValue="8wuV+1MU3QW0FGAL/LBSOOtVRBJZgf6PlvTrHS/Nzz1NulyOM8nhgYG0EcIF27yIvuxT41DihVUBM5mFcr3LOA==" saltValue="k6+RpYlfhPX2YGQ0xsUH+g==" spinCount="100000" sheet="1" objects="1" scenarios="1"/>
  <mergeCells count="20">
    <mergeCell ref="A15:A17"/>
    <mergeCell ref="B2:L2"/>
    <mergeCell ref="B3:L3"/>
    <mergeCell ref="B4:D4"/>
    <mergeCell ref="J5:K6"/>
    <mergeCell ref="C6:D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9">
    <tabColor theme="2" tint="-0.249977111117893"/>
  </sheetPr>
  <dimension ref="A1:R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5.88671875" style="324" customWidth="1"/>
    <col min="5" max="6" width="15.6640625" style="324" customWidth="1"/>
    <col min="7" max="9" width="30.6640625" style="324" customWidth="1"/>
    <col min="10" max="16384" width="9.109375" style="324"/>
  </cols>
  <sheetData>
    <row r="1" spans="1:18">
      <c r="B1" s="1128"/>
      <c r="C1" s="1128"/>
      <c r="D1" s="1128"/>
      <c r="E1" s="1128"/>
      <c r="F1" s="1128"/>
      <c r="G1" s="1128"/>
      <c r="H1" s="1128"/>
      <c r="I1" s="1128"/>
    </row>
    <row r="2" spans="1:18" ht="20.399999999999999">
      <c r="B2" s="1826" t="str">
        <f>"SCHEDULE  OF  CAPITAL  LEASE  PROGRAM  OBLIGATIONS "&amp;UPPER('KEY INPUTS'!D55)&amp;"  UTILITY"</f>
        <v>SCHEDULE  OF  CAPITAL  LEASE  PROGRAM  OBLIGATIONS   UTILITY</v>
      </c>
      <c r="C2" s="1826"/>
      <c r="D2" s="1826"/>
      <c r="E2" s="1826"/>
      <c r="F2" s="1826"/>
      <c r="G2" s="1826"/>
      <c r="H2" s="1826"/>
      <c r="I2" s="1826"/>
    </row>
    <row r="3" spans="1:18" ht="21" thickBot="1">
      <c r="B3" s="1916"/>
      <c r="C3" s="1916"/>
      <c r="D3" s="1916"/>
      <c r="E3" s="1916"/>
      <c r="F3" s="1916"/>
      <c r="G3" s="1916"/>
      <c r="H3" s="1916"/>
      <c r="I3" s="1916"/>
    </row>
    <row r="4" spans="1:18" ht="13.5" customHeight="1" thickTop="1">
      <c r="B4" s="1987"/>
      <c r="C4" s="1987"/>
      <c r="D4" s="1987"/>
      <c r="E4" s="1987"/>
      <c r="F4" s="1988"/>
      <c r="G4" s="1345"/>
      <c r="H4" s="1124"/>
      <c r="I4" s="1249"/>
    </row>
    <row r="5" spans="1:18" ht="13.5" customHeight="1">
      <c r="B5" s="1128"/>
      <c r="C5" s="1128"/>
      <c r="D5" s="1128"/>
      <c r="E5" s="1123"/>
      <c r="F5" s="1123"/>
      <c r="G5" s="1133" t="s">
        <v>441</v>
      </c>
      <c r="H5" s="1989" t="str">
        <f>'KEY INPUTS'!D34+1&amp;" Budget Requirements"</f>
        <v>2021 Budget Requirements</v>
      </c>
      <c r="I5" s="1990"/>
      <c r="J5" s="765"/>
    </row>
    <row r="6" spans="1:18" ht="13.5" customHeight="1">
      <c r="B6" s="1128"/>
      <c r="C6" s="1825" t="s">
        <v>440</v>
      </c>
      <c r="D6" s="1825"/>
      <c r="E6" s="1123"/>
      <c r="F6" s="1123"/>
      <c r="G6" s="1133" t="s">
        <v>457</v>
      </c>
      <c r="H6" s="1991"/>
      <c r="I6" s="1992"/>
      <c r="J6" s="765"/>
    </row>
    <row r="7" spans="1:18" ht="13.5" customHeight="1">
      <c r="B7" s="1128"/>
      <c r="C7" s="1128"/>
      <c r="D7" s="1128"/>
      <c r="E7" s="1123"/>
      <c r="F7" s="1253"/>
      <c r="G7" s="1254" t="str">
        <f>'KEY INPUTS'!D46</f>
        <v>Dec. 31, 2020</v>
      </c>
      <c r="H7" s="1129" t="s">
        <v>3229</v>
      </c>
      <c r="I7" s="1131" t="s">
        <v>458</v>
      </c>
      <c r="L7" s="315"/>
      <c r="M7" s="315"/>
      <c r="N7" s="315"/>
      <c r="O7" s="315"/>
      <c r="P7" s="315"/>
      <c r="Q7" s="315"/>
      <c r="R7" s="315"/>
    </row>
    <row r="8" spans="1:18" ht="13.5" customHeight="1" thickBot="1">
      <c r="B8" s="1135"/>
      <c r="C8" s="1135"/>
      <c r="D8" s="1135"/>
      <c r="E8" s="1135"/>
      <c r="F8" s="1255"/>
      <c r="G8" s="1256"/>
      <c r="H8" s="1137"/>
      <c r="I8" s="1257"/>
      <c r="L8" s="315"/>
      <c r="M8" s="315"/>
      <c r="N8" s="315"/>
      <c r="O8" s="315"/>
      <c r="P8" s="315"/>
      <c r="Q8" s="315"/>
      <c r="R8" s="315"/>
    </row>
    <row r="9" spans="1:18" ht="21" customHeight="1" thickTop="1">
      <c r="B9" s="1920"/>
      <c r="C9" s="1920"/>
      <c r="D9" s="1920"/>
      <c r="E9" s="1920"/>
      <c r="F9" s="1921"/>
      <c r="G9" s="792"/>
      <c r="H9" s="597"/>
      <c r="I9" s="793"/>
      <c r="L9" s="370"/>
      <c r="M9" s="315"/>
      <c r="N9" s="315"/>
      <c r="O9" s="315"/>
      <c r="P9" s="315"/>
      <c r="Q9" s="315"/>
      <c r="R9" s="315"/>
    </row>
    <row r="10" spans="1:18" ht="21" customHeight="1">
      <c r="B10" s="1914"/>
      <c r="C10" s="1914"/>
      <c r="D10" s="1914"/>
      <c r="E10" s="1914"/>
      <c r="F10" s="1915"/>
      <c r="G10" s="623"/>
      <c r="H10" s="593"/>
      <c r="I10" s="594"/>
      <c r="L10" s="315"/>
      <c r="M10" s="315"/>
      <c r="N10" s="315"/>
      <c r="O10" s="315"/>
      <c r="P10" s="315"/>
      <c r="Q10" s="315"/>
      <c r="R10" s="315"/>
    </row>
    <row r="11" spans="1:18" ht="21" customHeight="1">
      <c r="B11" s="1914"/>
      <c r="C11" s="1914"/>
      <c r="D11" s="1914"/>
      <c r="E11" s="1914"/>
      <c r="F11" s="1915"/>
      <c r="G11" s="623"/>
      <c r="H11" s="593"/>
      <c r="I11" s="594"/>
      <c r="L11" s="315"/>
      <c r="M11" s="315"/>
      <c r="N11" s="315"/>
      <c r="O11" s="315"/>
      <c r="P11" s="315"/>
      <c r="Q11" s="315"/>
      <c r="R11" s="315"/>
    </row>
    <row r="12" spans="1:18" ht="21" customHeight="1">
      <c r="B12" s="1914"/>
      <c r="C12" s="1914"/>
      <c r="D12" s="1914"/>
      <c r="E12" s="1914"/>
      <c r="F12" s="1915"/>
      <c r="G12" s="623"/>
      <c r="H12" s="593"/>
      <c r="I12" s="594"/>
      <c r="L12" s="315"/>
      <c r="M12" s="315"/>
      <c r="N12" s="315"/>
      <c r="O12" s="315"/>
      <c r="P12" s="315"/>
      <c r="Q12" s="315"/>
      <c r="R12" s="315"/>
    </row>
    <row r="13" spans="1:18" ht="21" customHeight="1">
      <c r="B13" s="1914"/>
      <c r="C13" s="1914"/>
      <c r="D13" s="1914"/>
      <c r="E13" s="1914"/>
      <c r="F13" s="1915"/>
      <c r="G13" s="623"/>
      <c r="H13" s="593"/>
      <c r="I13" s="594"/>
      <c r="L13" s="315"/>
      <c r="M13" s="315"/>
      <c r="N13" s="315"/>
      <c r="O13" s="315"/>
      <c r="P13" s="315"/>
      <c r="Q13" s="315"/>
      <c r="R13" s="315"/>
    </row>
    <row r="14" spans="1:18" ht="21" customHeight="1">
      <c r="B14" s="1914"/>
      <c r="C14" s="1914"/>
      <c r="D14" s="1914"/>
      <c r="E14" s="1914"/>
      <c r="F14" s="1915"/>
      <c r="G14" s="624"/>
      <c r="H14" s="593"/>
      <c r="I14" s="594"/>
      <c r="L14" s="315"/>
      <c r="M14" s="315"/>
      <c r="N14" s="315"/>
      <c r="O14" s="315"/>
      <c r="P14" s="315"/>
      <c r="Q14" s="315"/>
      <c r="R14" s="315"/>
    </row>
    <row r="15" spans="1:18" ht="21" customHeight="1">
      <c r="A15" s="1830" t="s">
        <v>3228</v>
      </c>
      <c r="B15" s="1914"/>
      <c r="C15" s="1914"/>
      <c r="D15" s="1914"/>
      <c r="E15" s="1914"/>
      <c r="F15" s="1915"/>
      <c r="G15" s="623"/>
      <c r="H15" s="593"/>
      <c r="I15" s="594"/>
      <c r="L15" s="315"/>
      <c r="M15" s="315"/>
      <c r="N15" s="315"/>
      <c r="O15" s="315"/>
      <c r="P15" s="315"/>
      <c r="Q15" s="315"/>
      <c r="R15" s="315"/>
    </row>
    <row r="16" spans="1:18" ht="21" customHeight="1">
      <c r="A16" s="1830"/>
      <c r="B16" s="1914"/>
      <c r="C16" s="1914"/>
      <c r="D16" s="1914"/>
      <c r="E16" s="1914"/>
      <c r="F16" s="1915"/>
      <c r="G16" s="623"/>
      <c r="H16" s="593"/>
      <c r="I16" s="594"/>
      <c r="L16" s="315"/>
      <c r="M16" s="315"/>
      <c r="N16" s="315"/>
      <c r="O16" s="315"/>
      <c r="P16" s="315"/>
      <c r="Q16" s="315"/>
      <c r="R16" s="315"/>
    </row>
    <row r="17" spans="1:18" ht="21" customHeight="1">
      <c r="A17" s="1830"/>
      <c r="B17" s="1914"/>
      <c r="C17" s="1914"/>
      <c r="D17" s="1914"/>
      <c r="E17" s="1914"/>
      <c r="F17" s="1915"/>
      <c r="G17" s="623"/>
      <c r="H17" s="593"/>
      <c r="I17" s="594"/>
      <c r="L17" s="315"/>
      <c r="M17" s="315"/>
      <c r="N17" s="315"/>
      <c r="O17" s="315"/>
      <c r="P17" s="315"/>
      <c r="Q17" s="315"/>
      <c r="R17" s="315"/>
    </row>
    <row r="18" spans="1:18" ht="21" customHeight="1">
      <c r="A18" s="538"/>
      <c r="B18" s="1914"/>
      <c r="C18" s="1914"/>
      <c r="D18" s="1914"/>
      <c r="E18" s="1914"/>
      <c r="F18" s="1915"/>
      <c r="G18" s="623"/>
      <c r="H18" s="593"/>
      <c r="I18" s="594"/>
      <c r="L18" s="315"/>
      <c r="M18" s="315"/>
      <c r="N18" s="315"/>
      <c r="O18" s="315"/>
      <c r="P18" s="315"/>
      <c r="Q18" s="315"/>
      <c r="R18" s="315"/>
    </row>
    <row r="19" spans="1:18" ht="21" customHeight="1">
      <c r="B19" s="1914"/>
      <c r="C19" s="1914"/>
      <c r="D19" s="1914"/>
      <c r="E19" s="1914"/>
      <c r="F19" s="1915"/>
      <c r="G19" s="623"/>
      <c r="H19" s="593"/>
      <c r="I19" s="594"/>
      <c r="L19" s="315"/>
      <c r="M19" s="315"/>
      <c r="N19" s="315"/>
      <c r="O19" s="315"/>
      <c r="P19" s="315"/>
      <c r="Q19" s="315"/>
      <c r="R19" s="315"/>
    </row>
    <row r="20" spans="1:18" ht="21" customHeight="1">
      <c r="B20" s="1914"/>
      <c r="C20" s="1914"/>
      <c r="D20" s="1914"/>
      <c r="E20" s="1914"/>
      <c r="F20" s="1915"/>
      <c r="G20" s="623"/>
      <c r="H20" s="593"/>
      <c r="I20" s="594"/>
      <c r="L20" s="315"/>
      <c r="M20" s="315"/>
      <c r="N20" s="315"/>
      <c r="O20" s="315"/>
      <c r="P20" s="315"/>
      <c r="Q20" s="315"/>
      <c r="R20" s="315"/>
    </row>
    <row r="21" spans="1:18" ht="21" customHeight="1">
      <c r="B21" s="1914"/>
      <c r="C21" s="1914"/>
      <c r="D21" s="1914"/>
      <c r="E21" s="1914"/>
      <c r="F21" s="1915"/>
      <c r="G21" s="623"/>
      <c r="H21" s="593"/>
      <c r="I21" s="594"/>
      <c r="L21" s="315"/>
      <c r="M21" s="315"/>
      <c r="N21" s="315"/>
      <c r="O21" s="315"/>
      <c r="P21" s="315"/>
      <c r="Q21" s="315"/>
      <c r="R21" s="315"/>
    </row>
    <row r="22" spans="1:18" ht="21" customHeight="1" thickBot="1">
      <c r="B22" s="1914"/>
      <c r="C22" s="1914"/>
      <c r="D22" s="1914"/>
      <c r="E22" s="1914"/>
      <c r="F22" s="1915"/>
      <c r="G22" s="625"/>
      <c r="H22" s="619"/>
      <c r="I22" s="626"/>
      <c r="L22" s="315"/>
      <c r="M22" s="315"/>
      <c r="N22" s="315"/>
      <c r="O22" s="315"/>
      <c r="P22" s="315"/>
      <c r="Q22" s="315"/>
      <c r="R22" s="315"/>
    </row>
    <row r="23" spans="1:18" ht="21" customHeight="1" thickTop="1" thickBot="1">
      <c r="B23" s="1238"/>
      <c r="C23" s="1144"/>
      <c r="D23" s="1355" t="s">
        <v>142</v>
      </c>
      <c r="E23" s="1044"/>
      <c r="F23" s="1255"/>
      <c r="G23" s="1356">
        <f>SUM(G9:G22)</f>
        <v>0</v>
      </c>
      <c r="H23" s="1065">
        <f>SUM(H9:H22)</f>
        <v>0</v>
      </c>
      <c r="I23" s="1143">
        <f>SUM(I9:I22)</f>
        <v>0</v>
      </c>
      <c r="L23" s="315"/>
      <c r="M23" s="315"/>
      <c r="N23" s="315"/>
      <c r="O23" s="315"/>
      <c r="P23" s="315"/>
      <c r="Q23" s="315"/>
      <c r="R23" s="315"/>
    </row>
    <row r="24" spans="1:18" ht="13.5" customHeight="1" thickTop="1">
      <c r="B24" s="794"/>
      <c r="C24" s="404"/>
      <c r="D24" s="795"/>
      <c r="H24" s="497"/>
      <c r="I24" s="497"/>
    </row>
    <row r="25" spans="1:18" ht="13.5" customHeight="1">
      <c r="B25" s="794"/>
      <c r="C25" s="404"/>
      <c r="D25" s="795"/>
    </row>
    <row r="26" spans="1:18" ht="13.5" customHeight="1">
      <c r="B26" s="794"/>
      <c r="C26" s="404"/>
      <c r="D26" s="795"/>
      <c r="H26" s="791"/>
    </row>
    <row r="27" spans="1:18">
      <c r="B27" s="534"/>
      <c r="C27" s="404"/>
      <c r="D27" s="404"/>
    </row>
  </sheetData>
  <sheetProtection algorithmName="SHA-512" hashValue="iHmJBpvkqLsrrCcPLDYKc0mSRwKx3Xqd9lfNHiQcYmnoIXuX0l1NshO4uH8x9yn8/ENYTDjajZgRwLo4WRsstw==" saltValue="qJ/443a6MdVxE4JEme+z2w=="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0">
    <tabColor theme="2" tint="-0.249977111117893"/>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INPUTS'!D55)&amp;"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692"/>
      <c r="C9" s="664"/>
      <c r="D9" s="667"/>
      <c r="E9" s="610"/>
      <c r="F9" s="610"/>
      <c r="G9" s="610"/>
      <c r="H9" s="610"/>
      <c r="I9" s="610"/>
      <c r="J9" s="610"/>
      <c r="K9" s="610"/>
      <c r="L9" s="622"/>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3230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537"/>
      <c r="C27" s="406"/>
      <c r="D27" s="507" t="s">
        <v>3424</v>
      </c>
      <c r="E27" s="135">
        <f t="shared" ref="E27:L27" si="0">SUM(E9:E26)</f>
        <v>0</v>
      </c>
      <c r="F27" s="135">
        <f t="shared" si="0"/>
        <v>0</v>
      </c>
      <c r="G27" s="135">
        <f t="shared" si="0"/>
        <v>0</v>
      </c>
      <c r="H27" s="135">
        <f t="shared" si="0"/>
        <v>0</v>
      </c>
      <c r="I27" s="135">
        <f t="shared" si="0"/>
        <v>0</v>
      </c>
      <c r="J27" s="135">
        <f t="shared" si="0"/>
        <v>0</v>
      </c>
      <c r="K27" s="135">
        <f t="shared" si="0"/>
        <v>0</v>
      </c>
      <c r="L27" s="155">
        <f t="shared" si="0"/>
        <v>0</v>
      </c>
    </row>
    <row r="28" spans="1:21" ht="13.5" customHeight="1" thickTop="1">
      <c r="B28" s="542"/>
      <c r="C28" s="541" t="s">
        <v>551</v>
      </c>
      <c r="D28" s="540"/>
      <c r="E28" s="503"/>
      <c r="F28" s="503"/>
      <c r="G28" s="503"/>
      <c r="H28" s="503"/>
      <c r="I28" s="503"/>
      <c r="J28" s="503"/>
      <c r="K28" s="536"/>
      <c r="L28" s="536"/>
    </row>
    <row r="42" spans="11:12">
      <c r="K42" s="324" t="s">
        <v>3272</v>
      </c>
      <c r="L42" s="546">
        <f>K27+L27</f>
        <v>0</v>
      </c>
    </row>
  </sheetData>
  <sheetProtection algorithmName="SHA-512" hashValue="cjvjimqVum9xhxrKpJKHRJa4Id6PpTGMbDvrm82GRxXq+5R+fLkN9o8sl4rbwm3OrrGodNbOy6MIVhYD/J/MsQ==" saltValue="onmIxKAhBLdPfwYguUY/H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1">
    <tabColor theme="2" tint="-0.249977111117893"/>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INPUTS'!D55)&amp;"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+'52-Utility4'!E27</f>
        <v>0</v>
      </c>
      <c r="F9" s="1259">
        <f>+'52-Utility4'!F27</f>
        <v>0</v>
      </c>
      <c r="G9" s="1259">
        <f>+'52-Utility4'!G27</f>
        <v>0</v>
      </c>
      <c r="H9" s="1259">
        <f>+'52-Utility4'!H27</f>
        <v>0</v>
      </c>
      <c r="I9" s="1259">
        <f>+'52-Utility4'!I27</f>
        <v>0</v>
      </c>
      <c r="J9" s="1259">
        <f>+'52-Utility4'!J27</f>
        <v>0</v>
      </c>
      <c r="K9" s="1259">
        <f>+'52-Utility4'!K27</f>
        <v>0</v>
      </c>
      <c r="L9" s="1263">
        <f>+'52-Utility4'!L27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f84hSr1NOBKAgxtEHVVa/AKHKgZ7m/TG2lEaR8KL4guDlp7EXmRMs6TlvHd48aVVoxWwdU1WY5yFy4bASeCf4A==" saltValue="6f2rh/n2XzRYZKnNe6ZYBg=="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2">
    <tabColor theme="2" tint="-0.249977111117893"/>
  </sheetPr>
  <dimension ref="A1:U42"/>
  <sheetViews>
    <sheetView topLeftCell="B1"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INPUTS'!D55)&amp;"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3429</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+'52.1-Utility4'!E27</f>
        <v>0</v>
      </c>
      <c r="F9" s="1259">
        <f>+'52.1-Utility4'!F27</f>
        <v>0</v>
      </c>
      <c r="G9" s="1259">
        <f>+'52.1-Utility4'!G27</f>
        <v>0</v>
      </c>
      <c r="H9" s="1259">
        <f>+'52.1-Utility4'!H27</f>
        <v>0</v>
      </c>
      <c r="I9" s="1259">
        <f>+'52.1-Utility4'!I27</f>
        <v>0</v>
      </c>
      <c r="J9" s="1259">
        <f>+'52.1-Utility4'!J27</f>
        <v>0</v>
      </c>
      <c r="K9" s="1259">
        <f>+'52.1-Utility4'!K27</f>
        <v>0</v>
      </c>
      <c r="L9" s="1263">
        <f>+'52.1-Utility4'!L27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3421</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0GkAf6qEYNjYJqFpm4tKK8OdvkgxxLE2bF/Qa0OC5BMCfU3q/rX7pYCWo9OX7e+wz3tQvIV7ypf39QpPqZ0ObA==" saltValue="3MiSHYuGdHRVc5b8S+zVZ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3">
    <tabColor theme="2" tint="-0.249977111117893"/>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INPUTS'!D55)&amp;"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+'52.2-Utility4'!E27</f>
        <v>0</v>
      </c>
      <c r="F9" s="1259">
        <f>+'52.2-Utility4'!F27</f>
        <v>0</v>
      </c>
      <c r="G9" s="1259">
        <f>+'52.2-Utility4'!G27</f>
        <v>0</v>
      </c>
      <c r="H9" s="1259">
        <f>+'52.2-Utility4'!H27</f>
        <v>0</v>
      </c>
      <c r="I9" s="1259">
        <f>+'52.2-Utility4'!I27</f>
        <v>0</v>
      </c>
      <c r="J9" s="1259">
        <f>+'52.2-Utility4'!J27</f>
        <v>0</v>
      </c>
      <c r="K9" s="1259">
        <f>+'52.2-Utility4'!K27</f>
        <v>0</v>
      </c>
      <c r="L9" s="1263">
        <f>+'52.2-Utility4'!L27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3422</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WRPsSiEWSmRaPsVIbO5UW8dHh2QAmBVW9COcwDdsRutEvD7ioPcvDHhZI/j9jKnCYSD/mNtXHw4PX3MM6LzItQ==" saltValue="Zeut7hA2cBIGhDoXUxE2B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4">
    <tabColor theme="2" tint="-0.249977111117893"/>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INPUTS'!D55)&amp;"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260" t="s">
        <v>3324</v>
      </c>
      <c r="C9" s="1261"/>
      <c r="D9" s="1262"/>
      <c r="E9" s="1259">
        <f>+'52.3-Utility4'!E27</f>
        <v>0</v>
      </c>
      <c r="F9" s="1259">
        <f>+'52.3-Utility4'!F27</f>
        <v>0</v>
      </c>
      <c r="G9" s="1259">
        <f>+'52.3-Utility4'!G27</f>
        <v>0</v>
      </c>
      <c r="H9" s="1259">
        <f>+'52.3-Utility4'!H27</f>
        <v>0</v>
      </c>
      <c r="I9" s="1259">
        <f>+'52.3-Utility4'!I27</f>
        <v>0</v>
      </c>
      <c r="J9" s="1259">
        <f>+'52.3-Utility4'!J27</f>
        <v>0</v>
      </c>
      <c r="K9" s="1259">
        <f>+'52.3-Utility4'!K27</f>
        <v>0</v>
      </c>
      <c r="L9" s="1263">
        <f>+'52.3-Utility4'!L27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3425</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847</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yIbTDA4cqUXeqGrAc6FEC5CnLxlIVV0gN+cBwbSkEXp8I8AafHT3hdImu8KxnMtvFIgqV78ad+s7U1FEd4I7Fw==" saltValue="nHX8jhBH4BL40EV9spdyq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5">
    <tabColor theme="2" tint="-0.249977111117893"/>
  </sheetPr>
  <dimension ref="B1:S54"/>
  <sheetViews>
    <sheetView zoomScaleNormal="100" zoomScaleSheetLayoutView="80" workbookViewId="0">
      <selection activeCell="B1" sqref="B1"/>
    </sheetView>
  </sheetViews>
  <sheetFormatPr defaultColWidth="9.109375" defaultRowHeight="13.2"/>
  <cols>
    <col min="1" max="3" width="4.6640625" style="324" customWidth="1"/>
    <col min="4" max="4" width="4.5546875" style="324" customWidth="1"/>
    <col min="5" max="6" width="9.109375" style="324"/>
    <col min="7" max="7" width="14.44140625" style="324" customWidth="1"/>
    <col min="8" max="8" width="15" style="324" customWidth="1"/>
    <col min="9" max="10" width="16.6640625" style="324" customWidth="1"/>
    <col min="11" max="16384" width="9.109375" style="324"/>
  </cols>
  <sheetData>
    <row r="1" spans="2:19">
      <c r="B1" s="1128"/>
      <c r="C1" s="1128"/>
      <c r="D1" s="1128"/>
      <c r="E1" s="1128"/>
      <c r="F1" s="1128"/>
      <c r="G1" s="1128"/>
      <c r="H1" s="1128"/>
      <c r="I1" s="1128"/>
      <c r="J1" s="1128"/>
    </row>
    <row r="2" spans="2:19">
      <c r="B2" s="1128"/>
      <c r="C2" s="1128"/>
      <c r="D2" s="1128"/>
      <c r="E2" s="1128"/>
      <c r="F2" s="1128"/>
      <c r="G2" s="1128"/>
      <c r="H2" s="1128"/>
      <c r="I2" s="1128"/>
      <c r="J2" s="1128"/>
    </row>
    <row r="3" spans="2:19" ht="22.8">
      <c r="B3" s="1804" t="str">
        <f>UPPER('KEY INPUTS'!D$55)&amp;" UTILITY  CAPITAL  FUND"</f>
        <v xml:space="preserve"> UTILITY  CAPITAL  FUND</v>
      </c>
      <c r="C3" s="1804"/>
      <c r="D3" s="1804"/>
      <c r="E3" s="1804"/>
      <c r="F3" s="1804"/>
      <c r="G3" s="1804"/>
      <c r="H3" s="1804"/>
      <c r="I3" s="1804"/>
      <c r="J3" s="1804"/>
    </row>
    <row r="4" spans="2:19">
      <c r="B4" s="1128"/>
      <c r="C4" s="1128"/>
      <c r="D4" s="1128"/>
      <c r="E4" s="1128"/>
      <c r="F4" s="1128"/>
      <c r="G4" s="1128"/>
      <c r="H4" s="1128"/>
      <c r="I4" s="1128"/>
      <c r="J4" s="1128"/>
    </row>
    <row r="5" spans="2:19" ht="15.6">
      <c r="B5" s="1821" t="s">
        <v>555</v>
      </c>
      <c r="C5" s="1821"/>
      <c r="D5" s="1821"/>
      <c r="E5" s="1821"/>
      <c r="F5" s="1821"/>
      <c r="G5" s="1821"/>
      <c r="H5" s="1821"/>
      <c r="I5" s="1821"/>
      <c r="J5" s="1821"/>
    </row>
    <row r="6" spans="2:19" ht="13.8" thickBot="1">
      <c r="B6" s="1128"/>
      <c r="C6" s="1128"/>
      <c r="D6" s="1128"/>
      <c r="E6" s="1128"/>
      <c r="F6" s="1128"/>
      <c r="G6" s="1128"/>
      <c r="H6" s="1128"/>
      <c r="I6" s="1128"/>
      <c r="J6" s="1128"/>
    </row>
    <row r="7" spans="2:19" ht="28.5" customHeight="1" thickTop="1" thickBot="1">
      <c r="B7" s="1370"/>
      <c r="C7" s="1370"/>
      <c r="D7" s="1370"/>
      <c r="E7" s="1370"/>
      <c r="F7" s="1370"/>
      <c r="G7" s="1370"/>
      <c r="H7" s="1370"/>
      <c r="I7" s="1116" t="s">
        <v>101</v>
      </c>
      <c r="J7" s="1117" t="s">
        <v>102</v>
      </c>
    </row>
    <row r="8" spans="2:19" ht="21" customHeight="1" thickTop="1">
      <c r="B8" s="1140" t="str">
        <f>'KEY INPUTS'!D25</f>
        <v>Balance - January 1, 2020</v>
      </c>
      <c r="C8" s="1140"/>
      <c r="D8" s="1140"/>
      <c r="E8" s="1140"/>
      <c r="F8" s="1140"/>
      <c r="G8" s="1140"/>
      <c r="H8" s="1382"/>
      <c r="I8" s="1070" t="s">
        <v>662</v>
      </c>
      <c r="J8" s="630"/>
    </row>
    <row r="9" spans="2:19" ht="21" customHeight="1">
      <c r="B9" s="1121" t="str">
        <f>"Received from "&amp;'KEY INPUTS'!D34&amp;" Budget Appropriation"</f>
        <v>Received from 2020 Budget Appropriation</v>
      </c>
      <c r="C9" s="1121"/>
      <c r="D9" s="1121"/>
      <c r="E9" s="1121"/>
      <c r="F9" s="1121"/>
      <c r="G9" s="1121"/>
      <c r="H9" s="1383"/>
      <c r="I9" s="963" t="s">
        <v>662</v>
      </c>
      <c r="J9" s="601"/>
      <c r="M9" s="315"/>
      <c r="N9" s="315"/>
      <c r="O9" s="315"/>
      <c r="P9" s="315"/>
      <c r="Q9" s="315"/>
      <c r="R9" s="315"/>
      <c r="S9" s="315"/>
    </row>
    <row r="10" spans="2:19" ht="21" customHeight="1">
      <c r="B10" s="639"/>
      <c r="C10" s="639"/>
      <c r="D10" s="639"/>
      <c r="E10" s="639"/>
      <c r="F10" s="639"/>
      <c r="G10" s="639"/>
      <c r="H10" s="639"/>
      <c r="I10" s="963" t="s">
        <v>662</v>
      </c>
      <c r="J10" s="601"/>
      <c r="M10" s="315"/>
      <c r="N10" s="315"/>
      <c r="O10" s="315"/>
      <c r="P10" s="315"/>
      <c r="Q10" s="315"/>
      <c r="R10" s="315"/>
      <c r="S10" s="315"/>
    </row>
    <row r="11" spans="2:19" ht="11.25" customHeight="1">
      <c r="B11" s="1384" t="s">
        <v>183</v>
      </c>
      <c r="C11" s="1385"/>
      <c r="D11" s="1385"/>
      <c r="E11" s="1385"/>
      <c r="F11" s="1385"/>
      <c r="G11" s="1385"/>
      <c r="H11" s="1386"/>
      <c r="I11" s="1950" t="s">
        <v>662</v>
      </c>
      <c r="J11" s="1948"/>
      <c r="M11" s="370"/>
      <c r="N11" s="315"/>
      <c r="O11" s="315"/>
      <c r="P11" s="315"/>
      <c r="Q11" s="315"/>
      <c r="R11" s="315"/>
      <c r="S11" s="315"/>
    </row>
    <row r="12" spans="2:19" ht="12.75" customHeight="1">
      <c r="B12" s="1373"/>
      <c r="C12" s="1387" t="s">
        <v>184</v>
      </c>
      <c r="D12" s="1373"/>
      <c r="E12" s="1373"/>
      <c r="F12" s="1373"/>
      <c r="G12" s="1373"/>
      <c r="H12" s="1388"/>
      <c r="I12" s="1951"/>
      <c r="J12" s="1949"/>
      <c r="M12" s="315"/>
      <c r="N12" s="315"/>
      <c r="O12" s="315"/>
      <c r="P12" s="315"/>
      <c r="Q12" s="315"/>
      <c r="R12" s="315"/>
      <c r="S12" s="315"/>
    </row>
    <row r="13" spans="2:19" ht="21" customHeight="1">
      <c r="B13" s="659"/>
      <c r="C13" s="1264"/>
      <c r="D13" s="659"/>
      <c r="E13" s="659"/>
      <c r="F13" s="659"/>
      <c r="G13" s="659"/>
      <c r="H13" s="659"/>
      <c r="I13" s="674"/>
      <c r="J13" s="369"/>
      <c r="M13" s="315"/>
      <c r="N13" s="315"/>
      <c r="O13" s="315"/>
      <c r="P13" s="315"/>
      <c r="Q13" s="315"/>
      <c r="R13" s="315"/>
      <c r="S13" s="315"/>
    </row>
    <row r="14" spans="2:19" ht="21" customHeight="1">
      <c r="B14" s="1121" t="s">
        <v>185</v>
      </c>
      <c r="C14" s="1121"/>
      <c r="D14" s="1121"/>
      <c r="E14" s="1121"/>
      <c r="F14" s="1121"/>
      <c r="G14" s="1121"/>
      <c r="H14" s="1121"/>
      <c r="I14" s="963" t="s">
        <v>662</v>
      </c>
      <c r="J14" s="967" t="s">
        <v>662</v>
      </c>
      <c r="M14" s="315"/>
      <c r="N14" s="315"/>
      <c r="O14" s="315"/>
      <c r="P14" s="315"/>
      <c r="Q14" s="315"/>
      <c r="R14" s="315"/>
      <c r="S14" s="315"/>
    </row>
    <row r="15" spans="2:19" ht="21" customHeight="1">
      <c r="B15" s="639"/>
      <c r="C15" s="639"/>
      <c r="D15" s="639"/>
      <c r="E15" s="639"/>
      <c r="F15" s="639"/>
      <c r="G15" s="639"/>
      <c r="H15" s="639"/>
      <c r="I15" s="593"/>
      <c r="J15" s="967" t="s">
        <v>662</v>
      </c>
      <c r="M15" s="315"/>
      <c r="N15" s="315"/>
      <c r="O15" s="315"/>
      <c r="P15" s="315"/>
      <c r="Q15" s="315"/>
      <c r="R15" s="315"/>
      <c r="S15" s="315"/>
    </row>
    <row r="16" spans="2:19" ht="21" customHeight="1">
      <c r="B16" s="639"/>
      <c r="C16" s="639"/>
      <c r="D16" s="639"/>
      <c r="E16" s="639"/>
      <c r="F16" s="639"/>
      <c r="G16" s="639"/>
      <c r="H16" s="639"/>
      <c r="I16" s="593"/>
      <c r="J16" s="967" t="s">
        <v>662</v>
      </c>
      <c r="M16" s="315"/>
      <c r="N16" s="315"/>
      <c r="O16" s="315"/>
      <c r="P16" s="315"/>
      <c r="Q16" s="315"/>
      <c r="R16" s="315"/>
      <c r="S16" s="315"/>
    </row>
    <row r="17" spans="2:19" ht="21" customHeight="1">
      <c r="B17" s="639"/>
      <c r="C17" s="639"/>
      <c r="D17" s="639"/>
      <c r="E17" s="639"/>
      <c r="F17" s="639"/>
      <c r="G17" s="639"/>
      <c r="H17" s="639"/>
      <c r="I17" s="593"/>
      <c r="J17" s="967" t="s">
        <v>662</v>
      </c>
      <c r="M17" s="315"/>
      <c r="N17" s="315"/>
      <c r="O17" s="315"/>
      <c r="P17" s="315"/>
      <c r="Q17" s="315"/>
      <c r="R17" s="315"/>
      <c r="S17" s="315"/>
    </row>
    <row r="18" spans="2:19" ht="21" customHeight="1">
      <c r="B18" s="639"/>
      <c r="C18" s="639"/>
      <c r="D18" s="639"/>
      <c r="E18" s="639"/>
      <c r="F18" s="639"/>
      <c r="G18" s="639"/>
      <c r="H18" s="639"/>
      <c r="I18" s="593"/>
      <c r="J18" s="967" t="s">
        <v>662</v>
      </c>
      <c r="M18" s="315"/>
      <c r="N18" s="315"/>
      <c r="O18" s="315"/>
      <c r="P18" s="315"/>
      <c r="Q18" s="315"/>
      <c r="R18" s="315"/>
      <c r="S18" s="315"/>
    </row>
    <row r="19" spans="2:19" ht="21" customHeight="1">
      <c r="B19" s="639"/>
      <c r="C19" s="639"/>
      <c r="D19" s="639"/>
      <c r="E19" s="639"/>
      <c r="F19" s="639"/>
      <c r="G19" s="639"/>
      <c r="H19" s="639"/>
      <c r="I19" s="593"/>
      <c r="J19" s="967" t="s">
        <v>662</v>
      </c>
      <c r="M19" s="315"/>
      <c r="N19" s="315"/>
      <c r="O19" s="315"/>
      <c r="P19" s="315"/>
      <c r="Q19" s="315"/>
      <c r="R19" s="315"/>
      <c r="S19" s="315"/>
    </row>
    <row r="20" spans="2:19" ht="21" customHeight="1">
      <c r="B20" s="639"/>
      <c r="C20" s="639"/>
      <c r="D20" s="639"/>
      <c r="E20" s="639"/>
      <c r="F20" s="639"/>
      <c r="G20" s="639"/>
      <c r="H20" s="639"/>
      <c r="I20" s="593"/>
      <c r="J20" s="967" t="s">
        <v>662</v>
      </c>
      <c r="M20" s="315"/>
      <c r="N20" s="315"/>
      <c r="O20" s="315"/>
      <c r="P20" s="315"/>
      <c r="Q20" s="315"/>
      <c r="R20" s="315"/>
      <c r="S20" s="315"/>
    </row>
    <row r="21" spans="2:19" ht="21" customHeight="1">
      <c r="B21" s="639"/>
      <c r="C21" s="639"/>
      <c r="D21" s="639"/>
      <c r="E21" s="639"/>
      <c r="F21" s="639"/>
      <c r="G21" s="639"/>
      <c r="H21" s="639"/>
      <c r="I21" s="593"/>
      <c r="J21" s="967" t="s">
        <v>662</v>
      </c>
      <c r="M21" s="315"/>
      <c r="N21" s="315"/>
      <c r="O21" s="315"/>
      <c r="P21" s="315"/>
      <c r="Q21" s="315"/>
      <c r="R21" s="315"/>
      <c r="S21" s="315"/>
    </row>
    <row r="22" spans="2:19" ht="21" customHeight="1">
      <c r="B22" s="1121" t="s">
        <v>186</v>
      </c>
      <c r="C22" s="1121"/>
      <c r="D22" s="1121"/>
      <c r="E22" s="1121"/>
      <c r="F22" s="1121"/>
      <c r="G22" s="1121"/>
      <c r="H22" s="1383"/>
      <c r="I22" s="593"/>
      <c r="J22" s="967" t="s">
        <v>662</v>
      </c>
      <c r="M22" s="315"/>
      <c r="N22" s="315"/>
      <c r="O22" s="315"/>
      <c r="P22" s="315"/>
      <c r="Q22" s="315"/>
      <c r="R22" s="315"/>
      <c r="S22" s="315"/>
    </row>
    <row r="23" spans="2:19" ht="21" customHeight="1">
      <c r="B23" s="639"/>
      <c r="C23" s="639"/>
      <c r="D23" s="639"/>
      <c r="E23" s="639"/>
      <c r="F23" s="639"/>
      <c r="G23" s="639"/>
      <c r="H23" s="639"/>
      <c r="I23" s="593"/>
      <c r="J23" s="967" t="s">
        <v>662</v>
      </c>
      <c r="M23" s="315"/>
      <c r="N23" s="315"/>
      <c r="O23" s="315"/>
      <c r="P23" s="315"/>
      <c r="Q23" s="315"/>
      <c r="R23" s="315"/>
      <c r="S23" s="315"/>
    </row>
    <row r="24" spans="2:19" ht="21" customHeight="1" thickBot="1">
      <c r="B24" s="1121" t="str">
        <f>'KEY INPUTS'!D26</f>
        <v>Balance - December 31, 2020</v>
      </c>
      <c r="C24" s="1121"/>
      <c r="D24" s="1121"/>
      <c r="E24" s="1121"/>
      <c r="F24" s="1121"/>
      <c r="G24" s="1121"/>
      <c r="H24" s="1383"/>
      <c r="I24" s="1088">
        <f>+SUM(J8:J13)-SUM(I13:I23)</f>
        <v>0</v>
      </c>
      <c r="J24" s="1086" t="s">
        <v>662</v>
      </c>
      <c r="M24" s="315"/>
      <c r="N24" s="315"/>
      <c r="O24" s="315"/>
      <c r="P24" s="315"/>
      <c r="Q24" s="315"/>
      <c r="R24" s="315"/>
      <c r="S24" s="315"/>
    </row>
    <row r="25" spans="2:19" ht="21" customHeight="1" thickTop="1" thickBot="1">
      <c r="B25" s="1128"/>
      <c r="C25" s="1128"/>
      <c r="D25" s="1128"/>
      <c r="E25" s="1128"/>
      <c r="F25" s="1128"/>
      <c r="G25" s="1128"/>
      <c r="H25" s="1128"/>
      <c r="I25" s="1046">
        <f>SUM(I8:I24)</f>
        <v>0</v>
      </c>
      <c r="J25" s="1089">
        <f>SUM(J8:J24)</f>
        <v>0</v>
      </c>
      <c r="M25" s="315"/>
      <c r="N25" s="315"/>
      <c r="O25" s="315"/>
      <c r="P25" s="315"/>
      <c r="Q25" s="315"/>
      <c r="R25" s="315"/>
      <c r="S25" s="315"/>
    </row>
    <row r="26" spans="2:19" ht="13.8" thickTop="1">
      <c r="B26" s="1128"/>
      <c r="C26" s="1128"/>
      <c r="D26" s="1128"/>
      <c r="E26" s="1128"/>
      <c r="F26" s="1128"/>
      <c r="G26" s="1128"/>
      <c r="H26" s="1128"/>
      <c r="I26" s="1128"/>
      <c r="J26" s="1128"/>
    </row>
    <row r="27" spans="2:19">
      <c r="B27" s="1128"/>
      <c r="C27" s="1128"/>
      <c r="D27" s="1128"/>
      <c r="E27" s="1128"/>
      <c r="F27" s="1128"/>
      <c r="G27" s="1128"/>
      <c r="H27" s="1128"/>
      <c r="I27" s="1128"/>
      <c r="J27" s="1128"/>
    </row>
    <row r="28" spans="2:19">
      <c r="B28" s="1128"/>
      <c r="C28" s="1128"/>
      <c r="D28" s="1128"/>
      <c r="E28" s="1128"/>
      <c r="F28" s="1128"/>
      <c r="G28" s="1128"/>
      <c r="H28" s="1128"/>
      <c r="I28" s="1128"/>
      <c r="J28" s="1128"/>
    </row>
    <row r="29" spans="2:19">
      <c r="B29" s="1128"/>
      <c r="C29" s="1128"/>
      <c r="D29" s="1128"/>
      <c r="E29" s="1128"/>
      <c r="F29" s="1128"/>
      <c r="G29" s="1128"/>
      <c r="H29" s="1128"/>
      <c r="I29" s="1128"/>
      <c r="J29" s="1128"/>
    </row>
    <row r="30" spans="2:19" ht="22.8">
      <c r="B30" s="1804" t="str">
        <f>UPPER('KEY INPUTS'!D$55)&amp;" UTILITY  CAPITAL  FUND"</f>
        <v xml:space="preserve"> UTILITY  CAPITAL  FUND</v>
      </c>
      <c r="C30" s="1804"/>
      <c r="D30" s="1804"/>
      <c r="E30" s="1804"/>
      <c r="F30" s="1804"/>
      <c r="G30" s="1804"/>
      <c r="H30" s="1804"/>
      <c r="I30" s="1804"/>
      <c r="J30" s="1804"/>
    </row>
    <row r="31" spans="2:19" ht="7.5" customHeight="1">
      <c r="B31" s="1128"/>
      <c r="C31" s="1128"/>
      <c r="D31" s="1128"/>
      <c r="E31" s="1128"/>
      <c r="F31" s="1128"/>
      <c r="G31" s="1128"/>
      <c r="H31" s="1128"/>
      <c r="I31" s="1128"/>
      <c r="J31" s="1128"/>
    </row>
    <row r="32" spans="2:19" ht="15.6">
      <c r="B32" s="1821" t="s">
        <v>188</v>
      </c>
      <c r="C32" s="1821"/>
      <c r="D32" s="1821"/>
      <c r="E32" s="1821"/>
      <c r="F32" s="1821"/>
      <c r="G32" s="1821"/>
      <c r="H32" s="1821"/>
      <c r="I32" s="1821"/>
      <c r="J32" s="1821"/>
    </row>
    <row r="33" spans="2:10" ht="13.8" thickBot="1">
      <c r="B33" s="1128"/>
      <c r="C33" s="1128"/>
      <c r="D33" s="1128"/>
      <c r="E33" s="1128"/>
      <c r="F33" s="1128"/>
      <c r="G33" s="1128"/>
      <c r="H33" s="1128"/>
      <c r="I33" s="1128"/>
      <c r="J33" s="1128"/>
    </row>
    <row r="34" spans="2:10" ht="26.25" customHeight="1" thickTop="1" thickBot="1">
      <c r="B34" s="1370"/>
      <c r="C34" s="1370"/>
      <c r="D34" s="1370"/>
      <c r="E34" s="1370"/>
      <c r="F34" s="1370"/>
      <c r="G34" s="1370"/>
      <c r="H34" s="1370"/>
      <c r="I34" s="1116" t="s">
        <v>101</v>
      </c>
      <c r="J34" s="1117" t="s">
        <v>102</v>
      </c>
    </row>
    <row r="35" spans="2:10" ht="21" customHeight="1" thickTop="1">
      <c r="B35" s="1140" t="str">
        <f>'KEY INPUTS'!D25</f>
        <v>Balance - January 1, 2020</v>
      </c>
      <c r="C35" s="1140"/>
      <c r="D35" s="1140"/>
      <c r="E35" s="1140"/>
      <c r="F35" s="1140"/>
      <c r="G35" s="1140"/>
      <c r="H35" s="1382"/>
      <c r="I35" s="1070" t="s">
        <v>662</v>
      </c>
      <c r="J35" s="630"/>
    </row>
    <row r="36" spans="2:10" ht="21" customHeight="1">
      <c r="B36" s="1121" t="str">
        <f>"Received from "&amp;TEXT('KEY INPUTS'!D34,"0")&amp;" Budget Appropriation *"</f>
        <v>Received from 2020 Budget Appropriation *</v>
      </c>
      <c r="C36" s="1121"/>
      <c r="D36" s="1121"/>
      <c r="E36" s="1121"/>
      <c r="F36" s="1121"/>
      <c r="G36" s="1121"/>
      <c r="H36" s="1383"/>
      <c r="I36" s="963" t="s">
        <v>662</v>
      </c>
      <c r="J36" s="601"/>
    </row>
    <row r="37" spans="2:10" ht="21" customHeight="1">
      <c r="B37" s="1121" t="str">
        <f>"Received from "&amp;TEXT('KEY INPUTS'!D34,"0")&amp;" Emergency Appropriation *"</f>
        <v>Received from 2020 Emergency Appropriation *</v>
      </c>
      <c r="C37" s="1121"/>
      <c r="D37" s="1121"/>
      <c r="E37" s="1121"/>
      <c r="F37" s="1121"/>
      <c r="G37" s="1121"/>
      <c r="H37" s="1383"/>
      <c r="I37" s="963" t="s">
        <v>662</v>
      </c>
      <c r="J37" s="601"/>
    </row>
    <row r="38" spans="2:10" ht="21" customHeight="1">
      <c r="B38" s="659"/>
      <c r="C38" s="1264"/>
      <c r="D38" s="659"/>
      <c r="E38" s="1373"/>
      <c r="F38" s="1373"/>
      <c r="G38" s="1373"/>
      <c r="H38" s="1373"/>
      <c r="I38" s="674"/>
      <c r="J38" s="369"/>
    </row>
    <row r="39" spans="2:10" ht="21" customHeight="1">
      <c r="B39" s="1121" t="s">
        <v>186</v>
      </c>
      <c r="C39" s="1121"/>
      <c r="D39" s="1121"/>
      <c r="E39" s="1121"/>
      <c r="F39" s="1121"/>
      <c r="G39" s="1121"/>
      <c r="H39" s="1383"/>
      <c r="I39" s="593"/>
      <c r="J39" s="967" t="s">
        <v>662</v>
      </c>
    </row>
    <row r="40" spans="2:10" ht="21" customHeight="1">
      <c r="B40" s="639"/>
      <c r="C40" s="639"/>
      <c r="D40" s="639"/>
      <c r="E40" s="1121"/>
      <c r="F40" s="1121"/>
      <c r="G40" s="1121"/>
      <c r="H40" s="1121"/>
      <c r="I40" s="593"/>
      <c r="J40" s="967" t="s">
        <v>662</v>
      </c>
    </row>
    <row r="41" spans="2:10" ht="21" customHeight="1" thickBot="1">
      <c r="B41" s="1121" t="str">
        <f>'KEY INPUTS'!D26</f>
        <v>Balance - December 31, 2020</v>
      </c>
      <c r="C41" s="1121"/>
      <c r="D41" s="1121"/>
      <c r="E41" s="1121"/>
      <c r="F41" s="1121"/>
      <c r="G41" s="1121"/>
      <c r="H41" s="1383"/>
      <c r="I41" s="1265">
        <f>SUM(J35:J38)-SUM(I38:I40)</f>
        <v>0</v>
      </c>
      <c r="J41" s="1086" t="s">
        <v>662</v>
      </c>
    </row>
    <row r="42" spans="2:10" ht="21" customHeight="1" thickTop="1" thickBot="1">
      <c r="B42" s="1128"/>
      <c r="C42" s="1128"/>
      <c r="D42" s="1128"/>
      <c r="E42" s="1128"/>
      <c r="F42" s="1128"/>
      <c r="G42" s="1128"/>
      <c r="H42" s="1128"/>
      <c r="I42" s="1046">
        <f>SUM(I35:I41)</f>
        <v>0</v>
      </c>
      <c r="J42" s="1089">
        <f>SUM(J35:J41)</f>
        <v>0</v>
      </c>
    </row>
    <row r="43" spans="2:10" ht="21" customHeight="1" thickTop="1">
      <c r="I43" s="189"/>
      <c r="J43" s="189"/>
    </row>
    <row r="44" spans="2:10" ht="21" customHeight="1"/>
    <row r="45" spans="2:10" ht="13.5" customHeight="1">
      <c r="B45" s="547" t="str">
        <f>"*The full amount of the "&amp;TEXT('KEY INPUTS'!D34,"0")&amp;"  budget appropriation should be transferred to this account unless the balance of the"</f>
        <v>*The full amount of the 2020  budget appropriation should be transferred to this account unless the balance of the</v>
      </c>
      <c r="C45" s="547"/>
    </row>
    <row r="46" spans="2:10" ht="13.5" customHeight="1">
      <c r="B46" s="547"/>
      <c r="C46" s="547" t="s">
        <v>187</v>
      </c>
    </row>
    <row r="47" spans="2:10" ht="13.5" customHeight="1">
      <c r="B47" s="547"/>
      <c r="C47" s="547"/>
    </row>
    <row r="48" spans="2:10" ht="13.5" customHeight="1">
      <c r="B48" s="547"/>
      <c r="C48" s="547"/>
    </row>
    <row r="49" spans="2:10" ht="13.5" customHeight="1">
      <c r="B49" s="547"/>
      <c r="C49" s="547"/>
    </row>
    <row r="50" spans="2:10" ht="13.5" customHeight="1">
      <c r="B50" s="547"/>
      <c r="C50" s="547"/>
    </row>
    <row r="51" spans="2:10" ht="13.5" customHeight="1">
      <c r="B51" s="547"/>
      <c r="C51" s="547"/>
    </row>
    <row r="52" spans="2:10" ht="13.5" customHeight="1">
      <c r="B52" s="547"/>
      <c r="C52" s="547"/>
    </row>
    <row r="53" spans="2:10" ht="13.5" customHeight="1">
      <c r="B53" s="547"/>
      <c r="C53" s="547"/>
    </row>
    <row r="54" spans="2:10" ht="13.8">
      <c r="B54" s="1850" t="s">
        <v>3231</v>
      </c>
      <c r="C54" s="1850"/>
      <c r="D54" s="1850"/>
      <c r="E54" s="1850"/>
      <c r="F54" s="1850"/>
      <c r="G54" s="1850"/>
      <c r="H54" s="1850"/>
      <c r="I54" s="1850"/>
      <c r="J54" s="1850"/>
    </row>
  </sheetData>
  <sheetProtection algorithmName="SHA-512" hashValue="wLOIG+9DS1KhWfc9nn/WwAq4TMn/emJydkwtslrqD/yVqj9tTjAOkhrH393/IkRYEYGKIEqezUMvNm9YdOlx/A==" saltValue="iwRe9F0vKnrZ742P9wbqRQ==" spinCount="100000" sheet="1" objects="1" scenarios="1"/>
  <mergeCells count="7">
    <mergeCell ref="B3:J3"/>
    <mergeCell ref="B5:J5"/>
    <mergeCell ref="B30:J30"/>
    <mergeCell ref="B32:J32"/>
    <mergeCell ref="B54:J54"/>
    <mergeCell ref="J11:J12"/>
    <mergeCell ref="I11:I12"/>
  </mergeCells>
  <pageMargins left="0.25" right="0.25" top="0.5" bottom="0.5" header="0.25" footer="0.25"/>
  <pageSetup paperSize="5" orientation="portrait" r:id="rId1"/>
  <headerFooter alignWithMargins="0"/>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6">
    <tabColor theme="2" tint="-0.249977111117893"/>
  </sheetPr>
  <dimension ref="B1:AC52"/>
  <sheetViews>
    <sheetView zoomScaleNormal="100" zoomScaleSheetLayoutView="80" workbookViewId="0">
      <selection activeCell="B1" sqref="B1"/>
    </sheetView>
  </sheetViews>
  <sheetFormatPr defaultColWidth="8.88671875" defaultRowHeight="13.2"/>
  <cols>
    <col min="1" max="3" width="4.6640625" style="391" customWidth="1"/>
    <col min="4" max="4" width="4.5546875" style="391" customWidth="1"/>
    <col min="5" max="5" width="8.88671875" style="391"/>
    <col min="6" max="6" width="6.6640625" style="391" customWidth="1"/>
    <col min="7" max="10" width="16.6640625" style="391" customWidth="1"/>
    <col min="11" max="20" width="8.88671875" style="391"/>
    <col min="21" max="23" width="4.6640625" style="315" customWidth="1"/>
    <col min="24" max="24" width="8.88671875" style="315"/>
    <col min="25" max="25" width="6.6640625" style="315" customWidth="1"/>
    <col min="26" max="29" width="16.6640625" style="315" customWidth="1"/>
    <col min="30" max="16384" width="8.88671875" style="391"/>
  </cols>
  <sheetData>
    <row r="1" spans="2:19">
      <c r="B1" s="1096"/>
      <c r="C1" s="1096"/>
      <c r="D1" s="1204"/>
      <c r="E1" s="1204"/>
      <c r="F1" s="1096"/>
      <c r="G1" s="1096"/>
      <c r="H1" s="1096"/>
      <c r="I1" s="1096"/>
      <c r="J1" s="1096"/>
    </row>
    <row r="2" spans="2:19">
      <c r="B2" s="1096"/>
      <c r="C2" s="1096"/>
      <c r="D2" s="1204"/>
      <c r="E2" s="1204"/>
      <c r="F2" s="1096"/>
      <c r="G2" s="1096"/>
      <c r="H2" s="1096"/>
      <c r="I2" s="1096"/>
      <c r="J2" s="1096"/>
    </row>
    <row r="3" spans="2:19" ht="24.6">
      <c r="B3" s="1993" t="str">
        <f>UPPER('KEY INPUTS'!D$55)&amp;" UTILITY FUND"</f>
        <v xml:space="preserve"> UTILITY FUND</v>
      </c>
      <c r="C3" s="1993"/>
      <c r="D3" s="1993"/>
      <c r="E3" s="1993"/>
      <c r="F3" s="1993"/>
      <c r="G3" s="1993"/>
      <c r="H3" s="1993"/>
      <c r="I3" s="1993"/>
      <c r="J3" s="1993"/>
    </row>
    <row r="4" spans="2:19">
      <c r="B4" s="1096"/>
      <c r="C4" s="1096"/>
      <c r="D4" s="1096"/>
      <c r="E4" s="1096"/>
      <c r="F4" s="1096"/>
      <c r="G4" s="1096"/>
      <c r="H4" s="1096"/>
      <c r="I4" s="1096"/>
      <c r="J4" s="1096"/>
    </row>
    <row r="5" spans="2:19" ht="17.399999999999999">
      <c r="B5" s="1843" t="str">
        <f>"CAPITAL  IMPROVEMENTS  AUTHORIZED  IN "&amp;TEXT('KEY INPUTS'!D34,"0")&amp;""</f>
        <v>CAPITAL  IMPROVEMENTS  AUTHORIZED  IN 2020</v>
      </c>
      <c r="C5" s="1843"/>
      <c r="D5" s="1843"/>
      <c r="E5" s="1843"/>
      <c r="F5" s="1843"/>
      <c r="G5" s="1843"/>
      <c r="H5" s="1843"/>
      <c r="I5" s="1843"/>
      <c r="J5" s="1843"/>
    </row>
    <row r="6" spans="2:19" ht="17.399999999999999">
      <c r="B6" s="1843" t="s">
        <v>210</v>
      </c>
      <c r="C6" s="1843"/>
      <c r="D6" s="1843"/>
      <c r="E6" s="1843"/>
      <c r="F6" s="1843"/>
      <c r="G6" s="1843"/>
      <c r="H6" s="1843"/>
      <c r="I6" s="1843"/>
      <c r="J6" s="1843"/>
    </row>
    <row r="7" spans="2:19" ht="13.8" thickBot="1">
      <c r="B7" s="1096"/>
      <c r="C7" s="1096"/>
      <c r="D7" s="1096"/>
      <c r="E7" s="1096"/>
      <c r="F7" s="1096"/>
      <c r="G7" s="1096"/>
      <c r="H7" s="1096"/>
      <c r="I7" s="1096"/>
      <c r="J7" s="1096"/>
    </row>
    <row r="8" spans="2:19" ht="13.8" thickTop="1">
      <c r="B8" s="1219"/>
      <c r="C8" s="1219"/>
      <c r="D8" s="1219"/>
      <c r="E8" s="1219"/>
      <c r="F8" s="1219"/>
      <c r="G8" s="1220"/>
      <c r="H8" s="1220"/>
      <c r="I8" s="1220"/>
      <c r="J8" s="1284" t="s">
        <v>251</v>
      </c>
    </row>
    <row r="9" spans="2:19">
      <c r="B9" s="1096"/>
      <c r="C9" s="1908" t="s">
        <v>440</v>
      </c>
      <c r="D9" s="1908"/>
      <c r="E9" s="1908"/>
      <c r="F9" s="1096"/>
      <c r="G9" s="1223" t="s">
        <v>441</v>
      </c>
      <c r="H9" s="1223" t="s">
        <v>209</v>
      </c>
      <c r="I9" s="1223" t="s">
        <v>213</v>
      </c>
      <c r="J9" s="1281" t="s">
        <v>252</v>
      </c>
    </row>
    <row r="10" spans="2:19">
      <c r="B10" s="1096"/>
      <c r="C10" s="1096"/>
      <c r="D10" s="1096"/>
      <c r="E10" s="1096"/>
      <c r="F10" s="1096"/>
      <c r="G10" s="1223" t="s">
        <v>211</v>
      </c>
      <c r="H10" s="1223" t="s">
        <v>212</v>
      </c>
      <c r="I10" s="1223" t="s">
        <v>214</v>
      </c>
      <c r="J10" s="1389" t="str">
        <f>"of " &amp;TEXT('KEY INPUTS'!D34,"0")&amp;" or Prior"</f>
        <v>of 2020 or Prior</v>
      </c>
    </row>
    <row r="11" spans="2:19" ht="13.8" thickBot="1">
      <c r="B11" s="1151"/>
      <c r="C11" s="1151"/>
      <c r="D11" s="1151"/>
      <c r="E11" s="1151"/>
      <c r="F11" s="1151"/>
      <c r="G11" s="1230"/>
      <c r="H11" s="1230" t="s">
        <v>468</v>
      </c>
      <c r="I11" s="1230" t="s">
        <v>250</v>
      </c>
      <c r="J11" s="1390" t="s">
        <v>253</v>
      </c>
      <c r="M11" s="315"/>
      <c r="N11" s="315"/>
      <c r="O11" s="315"/>
      <c r="P11" s="315"/>
      <c r="Q11" s="315"/>
      <c r="R11" s="315"/>
      <c r="S11" s="315"/>
    </row>
    <row r="12" spans="2:19" ht="21" customHeight="1" thickTop="1">
      <c r="B12" s="664"/>
      <c r="C12" s="664"/>
      <c r="D12" s="664"/>
      <c r="E12" s="664"/>
      <c r="F12" s="664"/>
      <c r="G12" s="597"/>
      <c r="H12" s="597"/>
      <c r="I12" s="597"/>
      <c r="J12" s="630"/>
      <c r="M12" s="315"/>
      <c r="N12" s="315"/>
      <c r="O12" s="315"/>
      <c r="P12" s="315"/>
      <c r="Q12" s="315"/>
      <c r="R12" s="315"/>
      <c r="S12" s="315"/>
    </row>
    <row r="13" spans="2:19" ht="21" customHeight="1">
      <c r="B13" s="639"/>
      <c r="C13" s="639"/>
      <c r="D13" s="639"/>
      <c r="E13" s="639"/>
      <c r="F13" s="639"/>
      <c r="G13" s="593"/>
      <c r="H13" s="593"/>
      <c r="I13" s="593"/>
      <c r="J13" s="601"/>
      <c r="M13" s="370"/>
      <c r="N13" s="315"/>
      <c r="O13" s="315"/>
      <c r="P13" s="315"/>
      <c r="Q13" s="315"/>
      <c r="R13" s="315"/>
      <c r="S13" s="315"/>
    </row>
    <row r="14" spans="2:19" ht="21" customHeight="1">
      <c r="B14" s="639"/>
      <c r="C14" s="639"/>
      <c r="D14" s="639"/>
      <c r="E14" s="639"/>
      <c r="F14" s="639"/>
      <c r="G14" s="593"/>
      <c r="H14" s="593"/>
      <c r="I14" s="593"/>
      <c r="J14" s="601"/>
      <c r="M14" s="315"/>
      <c r="N14" s="315"/>
      <c r="O14" s="315"/>
      <c r="P14" s="315"/>
      <c r="Q14" s="315"/>
      <c r="R14" s="315"/>
      <c r="S14" s="315"/>
    </row>
    <row r="15" spans="2:19" ht="21" customHeight="1">
      <c r="B15" s="639"/>
      <c r="C15" s="639"/>
      <c r="D15" s="639"/>
      <c r="E15" s="639"/>
      <c r="F15" s="639"/>
      <c r="G15" s="593"/>
      <c r="H15" s="593"/>
      <c r="I15" s="593"/>
      <c r="J15" s="601"/>
      <c r="M15" s="315"/>
      <c r="N15" s="315"/>
      <c r="O15" s="315"/>
      <c r="P15" s="315"/>
      <c r="Q15" s="315"/>
      <c r="R15" s="315"/>
      <c r="S15" s="315"/>
    </row>
    <row r="16" spans="2:19" ht="21" customHeight="1">
      <c r="B16" s="639"/>
      <c r="C16" s="639"/>
      <c r="D16" s="639"/>
      <c r="E16" s="639"/>
      <c r="F16" s="639"/>
      <c r="G16" s="593"/>
      <c r="H16" s="593"/>
      <c r="I16" s="593"/>
      <c r="J16" s="601"/>
      <c r="M16" s="315"/>
      <c r="N16" s="315"/>
      <c r="O16" s="315"/>
      <c r="P16" s="315"/>
      <c r="Q16" s="315"/>
      <c r="R16" s="315"/>
      <c r="S16" s="315"/>
    </row>
    <row r="17" spans="2:19" ht="21" customHeight="1">
      <c r="B17" s="639"/>
      <c r="C17" s="639"/>
      <c r="D17" s="639"/>
      <c r="E17" s="639"/>
      <c r="F17" s="639"/>
      <c r="G17" s="593"/>
      <c r="H17" s="593"/>
      <c r="I17" s="593"/>
      <c r="J17" s="601"/>
      <c r="M17" s="315"/>
      <c r="N17" s="315"/>
      <c r="O17" s="315"/>
      <c r="P17" s="315"/>
      <c r="Q17" s="315"/>
      <c r="R17" s="315"/>
      <c r="S17" s="315"/>
    </row>
    <row r="18" spans="2:19" ht="21" customHeight="1">
      <c r="B18" s="639"/>
      <c r="C18" s="639"/>
      <c r="D18" s="639"/>
      <c r="E18" s="639"/>
      <c r="F18" s="639"/>
      <c r="G18" s="593"/>
      <c r="H18" s="593"/>
      <c r="I18" s="593"/>
      <c r="J18" s="601"/>
      <c r="M18" s="315"/>
      <c r="N18" s="315"/>
      <c r="O18" s="315"/>
      <c r="P18" s="315"/>
      <c r="Q18" s="315"/>
      <c r="R18" s="315"/>
      <c r="S18" s="315"/>
    </row>
    <row r="19" spans="2:19" ht="21" customHeight="1">
      <c r="B19" s="639"/>
      <c r="C19" s="639"/>
      <c r="D19" s="639"/>
      <c r="E19" s="639"/>
      <c r="F19" s="639"/>
      <c r="G19" s="593"/>
      <c r="H19" s="593"/>
      <c r="I19" s="593"/>
      <c r="J19" s="601"/>
      <c r="M19" s="315"/>
      <c r="N19" s="315"/>
      <c r="O19" s="315"/>
      <c r="P19" s="315"/>
      <c r="Q19" s="315"/>
      <c r="R19" s="315"/>
      <c r="S19" s="315"/>
    </row>
    <row r="20" spans="2:19" ht="21" customHeight="1">
      <c r="B20" s="639"/>
      <c r="C20" s="639"/>
      <c r="D20" s="639"/>
      <c r="E20" s="639"/>
      <c r="F20" s="639"/>
      <c r="G20" s="593"/>
      <c r="H20" s="593"/>
      <c r="I20" s="593"/>
      <c r="J20" s="601"/>
      <c r="M20" s="315"/>
      <c r="N20" s="315"/>
      <c r="O20" s="315"/>
      <c r="P20" s="315"/>
      <c r="Q20" s="315"/>
      <c r="R20" s="315"/>
      <c r="S20" s="315"/>
    </row>
    <row r="21" spans="2:19" ht="21" customHeight="1" thickBot="1">
      <c r="B21" s="639"/>
      <c r="C21" s="639"/>
      <c r="D21" s="639"/>
      <c r="E21" s="639"/>
      <c r="F21" s="639"/>
      <c r="G21" s="619"/>
      <c r="H21" s="619"/>
      <c r="I21" s="619"/>
      <c r="J21" s="662"/>
      <c r="M21" s="315"/>
      <c r="N21" s="315"/>
      <c r="O21" s="315"/>
      <c r="P21" s="315"/>
      <c r="Q21" s="315"/>
      <c r="R21" s="315"/>
      <c r="S21" s="315"/>
    </row>
    <row r="22" spans="2:19" ht="21" customHeight="1" thickTop="1" thickBot="1">
      <c r="B22" s="1151"/>
      <c r="C22" s="1151"/>
      <c r="D22" s="1151"/>
      <c r="E22" s="1151"/>
      <c r="F22" s="1151"/>
      <c r="G22" s="1113">
        <f>SUM(G12:G21)</f>
        <v>0</v>
      </c>
      <c r="H22" s="1113">
        <f>SUM(H12:H21)</f>
        <v>0</v>
      </c>
      <c r="I22" s="1113">
        <f>SUM(I12:I21)</f>
        <v>0</v>
      </c>
      <c r="J22" s="1391">
        <f>SUM(J12:J21)</f>
        <v>0</v>
      </c>
      <c r="M22" s="315"/>
      <c r="N22" s="315"/>
      <c r="O22" s="315"/>
      <c r="P22" s="315"/>
      <c r="Q22" s="315"/>
      <c r="R22" s="315"/>
      <c r="S22" s="315"/>
    </row>
    <row r="23" spans="2:19" ht="13.8" thickTop="1">
      <c r="B23" s="1096"/>
      <c r="C23" s="1096"/>
      <c r="D23" s="1096"/>
      <c r="E23" s="1096"/>
      <c r="F23" s="1096"/>
      <c r="G23" s="1096"/>
      <c r="H23" s="1096"/>
      <c r="I23" s="1096"/>
      <c r="J23" s="1096"/>
      <c r="M23" s="315"/>
      <c r="N23" s="315"/>
      <c r="O23" s="315"/>
      <c r="P23" s="315"/>
      <c r="Q23" s="315"/>
      <c r="R23" s="315"/>
      <c r="S23" s="315"/>
    </row>
    <row r="24" spans="2:19">
      <c r="B24" s="1096"/>
      <c r="C24" s="1096"/>
      <c r="D24" s="1096"/>
      <c r="E24" s="1096"/>
      <c r="F24" s="1096"/>
      <c r="G24" s="1096"/>
      <c r="H24" s="1096"/>
      <c r="I24" s="1096"/>
      <c r="J24" s="1096"/>
      <c r="M24" s="315"/>
      <c r="N24" s="315"/>
      <c r="O24" s="315"/>
      <c r="P24" s="315"/>
      <c r="Q24" s="315"/>
      <c r="R24" s="315"/>
      <c r="S24" s="315"/>
    </row>
    <row r="25" spans="2:19">
      <c r="B25" s="1096"/>
      <c r="C25" s="1096"/>
      <c r="D25" s="1096"/>
      <c r="E25" s="1096"/>
      <c r="F25" s="1096"/>
      <c r="G25" s="1096"/>
      <c r="H25" s="1096"/>
      <c r="I25" s="1096"/>
      <c r="J25" s="1096"/>
      <c r="M25" s="315"/>
      <c r="N25" s="315"/>
      <c r="O25" s="315"/>
      <c r="P25" s="315"/>
      <c r="Q25" s="315"/>
      <c r="R25" s="315"/>
      <c r="S25" s="315"/>
    </row>
    <row r="26" spans="2:19">
      <c r="B26" s="1096"/>
      <c r="C26" s="1096"/>
      <c r="D26" s="1096"/>
      <c r="E26" s="1096"/>
      <c r="F26" s="1096"/>
      <c r="G26" s="1096"/>
      <c r="H26" s="1096"/>
      <c r="I26" s="1096"/>
      <c r="J26" s="1096"/>
      <c r="M26" s="315"/>
      <c r="N26" s="315"/>
      <c r="O26" s="315"/>
      <c r="P26" s="315"/>
      <c r="Q26" s="315"/>
      <c r="R26" s="315"/>
      <c r="S26" s="315"/>
    </row>
    <row r="27" spans="2:19">
      <c r="B27" s="1096"/>
      <c r="C27" s="1096"/>
      <c r="D27" s="1096"/>
      <c r="E27" s="1096"/>
      <c r="F27" s="1096"/>
      <c r="G27" s="1096"/>
      <c r="H27" s="1096"/>
      <c r="I27" s="1096"/>
      <c r="J27" s="1096"/>
      <c r="M27" s="315"/>
      <c r="N27" s="315"/>
      <c r="O27" s="315"/>
      <c r="P27" s="315"/>
      <c r="Q27" s="315"/>
      <c r="R27" s="315"/>
      <c r="S27" s="315"/>
    </row>
    <row r="28" spans="2:19" ht="22.8">
      <c r="B28" s="1804" t="str">
        <f>UPPER('KEY INPUTS'!D$55)&amp;" UTILITY  CAPITAL  FUND"</f>
        <v xml:space="preserve"> UTILITY  CAPITAL  FUND</v>
      </c>
      <c r="C28" s="1804"/>
      <c r="D28" s="1804"/>
      <c r="E28" s="1804"/>
      <c r="F28" s="1804"/>
      <c r="G28" s="1804"/>
      <c r="H28" s="1804"/>
      <c r="I28" s="1804"/>
      <c r="J28" s="1804"/>
    </row>
    <row r="29" spans="2:19" ht="22.8">
      <c r="B29" s="1804" t="s">
        <v>160</v>
      </c>
      <c r="C29" s="1804"/>
      <c r="D29" s="1804"/>
      <c r="E29" s="1804"/>
      <c r="F29" s="1804"/>
      <c r="G29" s="1804"/>
      <c r="H29" s="1804"/>
      <c r="I29" s="1804"/>
      <c r="J29" s="1804"/>
    </row>
    <row r="30" spans="2:19">
      <c r="B30" s="1096"/>
      <c r="C30" s="1096"/>
      <c r="D30" s="1096"/>
      <c r="E30" s="1096"/>
      <c r="F30" s="1096"/>
      <c r="G30" s="1096"/>
      <c r="H30" s="1096"/>
      <c r="I30" s="1096"/>
      <c r="J30" s="1096"/>
    </row>
    <row r="31" spans="2:19" ht="15.6">
      <c r="B31" s="1800" t="str">
        <f>"YEAR  "&amp;TEXT('KEY INPUTS'!D34,"0")&amp;""</f>
        <v>YEAR  2020</v>
      </c>
      <c r="C31" s="1800"/>
      <c r="D31" s="1800"/>
      <c r="E31" s="1800"/>
      <c r="F31" s="1800"/>
      <c r="G31" s="1800"/>
      <c r="H31" s="1800"/>
      <c r="I31" s="1800"/>
      <c r="J31" s="1800"/>
    </row>
    <row r="32" spans="2:19" ht="13.8" thickBot="1">
      <c r="B32" s="1096"/>
      <c r="C32" s="1096"/>
      <c r="D32" s="1096"/>
      <c r="E32" s="1096"/>
      <c r="F32" s="1096"/>
      <c r="G32" s="1096"/>
      <c r="H32" s="1096"/>
      <c r="I32" s="1096"/>
      <c r="J32" s="1096"/>
    </row>
    <row r="33" spans="2:10" ht="28.5" customHeight="1" thickTop="1" thickBot="1">
      <c r="B33" s="1315"/>
      <c r="C33" s="1315"/>
      <c r="D33" s="1315"/>
      <c r="E33" s="1315"/>
      <c r="F33" s="1315"/>
      <c r="G33" s="1315"/>
      <c r="H33" s="1315"/>
      <c r="I33" s="1097" t="s">
        <v>101</v>
      </c>
      <c r="J33" s="1098" t="s">
        <v>102</v>
      </c>
    </row>
    <row r="34" spans="2:10" ht="21" customHeight="1" thickTop="1">
      <c r="B34" s="698" t="str">
        <f>'KEY INPUTS'!D25</f>
        <v>Balance - January 1, 2020</v>
      </c>
      <c r="C34" s="1152"/>
      <c r="D34" s="1152"/>
      <c r="E34" s="1152"/>
      <c r="F34" s="1152"/>
      <c r="G34" s="1152"/>
      <c r="H34" s="1152"/>
      <c r="I34" s="1153" t="s">
        <v>662</v>
      </c>
      <c r="J34" s="629"/>
    </row>
    <row r="35" spans="2:10" ht="21" customHeight="1">
      <c r="B35" s="395" t="s">
        <v>161</v>
      </c>
      <c r="C35" s="681"/>
      <c r="D35" s="681"/>
      <c r="E35" s="681"/>
      <c r="F35" s="681"/>
      <c r="G35" s="681"/>
      <c r="H35" s="681"/>
      <c r="I35" s="1156" t="s">
        <v>662</v>
      </c>
      <c r="J35" s="571"/>
    </row>
    <row r="36" spans="2:10" ht="21" customHeight="1">
      <c r="B36" s="395" t="s">
        <v>162</v>
      </c>
      <c r="C36" s="681"/>
      <c r="D36" s="681"/>
      <c r="E36" s="681"/>
      <c r="F36" s="681"/>
      <c r="G36" s="681"/>
      <c r="H36" s="681"/>
      <c r="I36" s="1156" t="s">
        <v>662</v>
      </c>
      <c r="J36" s="571"/>
    </row>
    <row r="37" spans="2:10" ht="21" customHeight="1">
      <c r="B37" s="639" t="s">
        <v>3273</v>
      </c>
      <c r="C37" s="639"/>
      <c r="D37" s="639"/>
      <c r="E37" s="639"/>
      <c r="F37" s="639"/>
      <c r="G37" s="639"/>
      <c r="H37" s="681"/>
      <c r="I37" s="367"/>
      <c r="J37" s="571"/>
    </row>
    <row r="38" spans="2:10" ht="21" customHeight="1">
      <c r="B38" s="639"/>
      <c r="C38" s="639"/>
      <c r="D38" s="639"/>
      <c r="E38" s="639"/>
      <c r="F38" s="639"/>
      <c r="G38" s="639"/>
      <c r="H38" s="681"/>
      <c r="I38" s="367"/>
      <c r="J38" s="571"/>
    </row>
    <row r="39" spans="2:10" ht="21" customHeight="1">
      <c r="B39" s="639"/>
      <c r="C39" s="639"/>
      <c r="D39" s="639"/>
      <c r="E39" s="639"/>
      <c r="F39" s="639"/>
      <c r="G39" s="639"/>
      <c r="H39" s="681"/>
      <c r="I39" s="367"/>
      <c r="J39" s="571"/>
    </row>
    <row r="40" spans="2:10" ht="21" customHeight="1">
      <c r="B40" s="681" t="s">
        <v>3233</v>
      </c>
      <c r="C40" s="681"/>
      <c r="D40" s="681"/>
      <c r="E40" s="681"/>
      <c r="F40" s="681"/>
      <c r="G40" s="681"/>
      <c r="H40" s="681"/>
      <c r="I40" s="367"/>
      <c r="J40" s="1282" t="s">
        <v>662</v>
      </c>
    </row>
    <row r="41" spans="2:10" ht="21" customHeight="1">
      <c r="B41" s="905" t="str">
        <f>"Appropriation to "&amp;'KEY INPUTS'!D34&amp;" Budget Reserve"</f>
        <v>Appropriation to 2020 Budget Reserve</v>
      </c>
      <c r="C41" s="681"/>
      <c r="D41" s="681"/>
      <c r="E41" s="681"/>
      <c r="F41" s="681"/>
      <c r="G41" s="1393"/>
      <c r="H41" s="681"/>
      <c r="I41" s="568"/>
      <c r="J41" s="1282" t="s">
        <v>662</v>
      </c>
    </row>
    <row r="42" spans="2:10" ht="21" customHeight="1">
      <c r="B42" s="681" t="str">
        <f>'KEY INPUTS'!D26</f>
        <v>Balance - December 31, 2020</v>
      </c>
      <c r="C42" s="681"/>
      <c r="D42" s="681"/>
      <c r="E42" s="681"/>
      <c r="F42" s="681"/>
      <c r="G42" s="681"/>
      <c r="H42" s="681"/>
      <c r="I42" s="833">
        <f>SUM(J34:J39)-SUM(I37:I41)</f>
        <v>0</v>
      </c>
      <c r="J42" s="1282" t="s">
        <v>662</v>
      </c>
    </row>
    <row r="43" spans="2:10" ht="21" customHeight="1" thickBot="1">
      <c r="B43" s="1096"/>
      <c r="C43" s="1096"/>
      <c r="D43" s="1096"/>
      <c r="E43" s="1096"/>
      <c r="F43" s="1096"/>
      <c r="G43" s="1096"/>
      <c r="H43" s="1096"/>
      <c r="I43" s="1091">
        <f>SUM(I34:I42)</f>
        <v>0</v>
      </c>
      <c r="J43" s="1394">
        <f>SUM(J34:J42)</f>
        <v>0</v>
      </c>
    </row>
    <row r="44" spans="2:10" ht="21" customHeight="1" thickTop="1">
      <c r="J44" s="766"/>
    </row>
    <row r="45" spans="2:10" ht="21" customHeight="1"/>
    <row r="46" spans="2:10" ht="21" customHeight="1"/>
    <row r="47" spans="2:10" ht="21" customHeight="1"/>
    <row r="48" spans="2:10" ht="21" customHeight="1"/>
    <row r="49" spans="2:10" ht="21" customHeight="1"/>
    <row r="52" spans="2:10" ht="13.8">
      <c r="B52" s="1799" t="s">
        <v>3232</v>
      </c>
      <c r="C52" s="1799"/>
      <c r="D52" s="1799"/>
      <c r="E52" s="1799"/>
      <c r="F52" s="1799"/>
      <c r="G52" s="1799"/>
      <c r="H52" s="1799"/>
      <c r="I52" s="1799"/>
      <c r="J52" s="1799"/>
    </row>
  </sheetData>
  <sheetProtection password="CAF9"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7">
    <tabColor theme="7" tint="0.39997558519241921"/>
  </sheetPr>
  <dimension ref="B1:R57"/>
  <sheetViews>
    <sheetView zoomScaleNormal="100" zoomScaleSheetLayoutView="80" workbookViewId="0">
      <selection activeCell="H26" sqref="H26"/>
    </sheetView>
  </sheetViews>
  <sheetFormatPr defaultColWidth="8.88671875" defaultRowHeight="13.2"/>
  <cols>
    <col min="1" max="1" width="4.6640625" style="391" customWidth="1"/>
    <col min="2" max="2" width="4.88671875" style="391" customWidth="1"/>
    <col min="3" max="4" width="4.6640625" style="391" customWidth="1"/>
    <col min="5" max="5" width="30.6640625" style="391" customWidth="1"/>
    <col min="6" max="6" width="15.6640625" style="391" customWidth="1"/>
    <col min="7" max="8" width="16.6640625" style="391" customWidth="1"/>
    <col min="9" max="9" width="3.6640625" style="391" bestFit="1" customWidth="1"/>
    <col min="10" max="10" width="13.5546875" style="391" bestFit="1" customWidth="1"/>
    <col min="11" max="16384" width="8.88671875" style="391"/>
  </cols>
  <sheetData>
    <row r="1" spans="2:18">
      <c r="B1" s="1096"/>
      <c r="C1" s="1096"/>
      <c r="D1" s="1096"/>
      <c r="E1" s="1096"/>
      <c r="F1" s="1096"/>
      <c r="G1" s="1096"/>
      <c r="H1" s="1096"/>
    </row>
    <row r="2" spans="2:18">
      <c r="B2" s="1803" t="s">
        <v>37</v>
      </c>
      <c r="C2" s="1803"/>
      <c r="D2" s="1803"/>
      <c r="E2" s="1803"/>
      <c r="F2" s="1803"/>
      <c r="G2" s="1803"/>
      <c r="H2" s="1803"/>
    </row>
    <row r="3" spans="2:18">
      <c r="B3" s="1803" t="s">
        <v>476</v>
      </c>
      <c r="C3" s="1803"/>
      <c r="D3" s="1803"/>
      <c r="E3" s="1803"/>
      <c r="F3" s="1803"/>
      <c r="G3" s="1803"/>
      <c r="H3" s="1803"/>
    </row>
    <row r="4" spans="2:18">
      <c r="B4" s="1096"/>
      <c r="C4" s="1096"/>
      <c r="D4" s="1096"/>
      <c r="E4" s="1096"/>
      <c r="F4" s="1096"/>
      <c r="G4" s="1096"/>
      <c r="H4" s="1096"/>
    </row>
    <row r="5" spans="2:18" ht="22.8">
      <c r="B5" s="1804" t="s">
        <v>451</v>
      </c>
      <c r="C5" s="1804"/>
      <c r="D5" s="1804"/>
      <c r="E5" s="1804"/>
      <c r="F5" s="1804"/>
      <c r="G5" s="1804"/>
      <c r="H5" s="1804"/>
    </row>
    <row r="6" spans="2:18" ht="22.8">
      <c r="B6" s="1804" t="str">
        <f>"TRIAL  BALANCE - "&amp;UPPER('KEY INPUTS'!D56)&amp;"  UTILITY  FUND"</f>
        <v>TRIAL  BALANCE -   UTILITY  FUND</v>
      </c>
      <c r="C6" s="1804"/>
      <c r="D6" s="1804"/>
      <c r="E6" s="1804"/>
      <c r="F6" s="1804"/>
      <c r="G6" s="1804"/>
      <c r="H6" s="1804"/>
    </row>
    <row r="7" spans="2:18" ht="15.6">
      <c r="B7" s="1805" t="str">
        <f>'KEY INPUTS'!D44</f>
        <v>AS  AT  DECEMBER  31, 2020</v>
      </c>
      <c r="C7" s="1806"/>
      <c r="D7" s="1806"/>
      <c r="E7" s="1806"/>
      <c r="F7" s="1806"/>
      <c r="G7" s="1806"/>
      <c r="H7" s="1806"/>
    </row>
    <row r="8" spans="2:18" ht="15.6">
      <c r="B8" s="1800" t="s">
        <v>477</v>
      </c>
      <c r="C8" s="1800"/>
      <c r="D8" s="1800"/>
      <c r="E8" s="1800"/>
      <c r="F8" s="1800"/>
      <c r="G8" s="1800"/>
      <c r="H8" s="1800"/>
    </row>
    <row r="9" spans="2:18">
      <c r="B9" s="1801" t="s">
        <v>75</v>
      </c>
      <c r="C9" s="1801"/>
      <c r="D9" s="1801"/>
      <c r="E9" s="1801"/>
      <c r="F9" s="1801"/>
      <c r="G9" s="1801"/>
      <c r="H9" s="1801"/>
    </row>
    <row r="10" spans="2:18" ht="15" customHeight="1" thickBot="1">
      <c r="B10" s="1802" t="s">
        <v>76</v>
      </c>
      <c r="C10" s="1802"/>
      <c r="D10" s="1802"/>
      <c r="E10" s="1802"/>
      <c r="F10" s="1802"/>
      <c r="G10" s="1802"/>
      <c r="H10" s="1802"/>
    </row>
    <row r="11" spans="2:18" ht="36" customHeight="1" thickTop="1" thickBot="1">
      <c r="B11" s="1796" t="s">
        <v>100</v>
      </c>
      <c r="C11" s="1796"/>
      <c r="D11" s="1796"/>
      <c r="E11" s="1796"/>
      <c r="F11" s="1797"/>
      <c r="G11" s="1097" t="s">
        <v>101</v>
      </c>
      <c r="H11" s="1098" t="s">
        <v>102</v>
      </c>
      <c r="L11" s="315"/>
      <c r="M11" s="315"/>
      <c r="N11" s="315"/>
      <c r="O11" s="315"/>
      <c r="P11" s="315"/>
      <c r="Q11" s="315"/>
      <c r="R11" s="315"/>
    </row>
    <row r="12" spans="2:18" ht="21" customHeight="1" thickTop="1">
      <c r="B12" s="1096"/>
      <c r="C12" s="1096"/>
      <c r="D12" s="1096"/>
      <c r="E12" s="1096"/>
      <c r="F12" s="1096"/>
      <c r="G12" s="1099"/>
      <c r="H12" s="1100"/>
      <c r="L12" s="315"/>
      <c r="M12" s="315"/>
      <c r="N12" s="315"/>
      <c r="O12" s="315"/>
      <c r="P12" s="315"/>
      <c r="Q12" s="315"/>
      <c r="R12" s="315"/>
    </row>
    <row r="13" spans="2:18" ht="21" customHeight="1">
      <c r="B13" s="681" t="s">
        <v>202</v>
      </c>
      <c r="C13" s="681"/>
      <c r="D13" s="681"/>
      <c r="E13" s="681"/>
      <c r="F13" s="681"/>
      <c r="G13" s="593"/>
      <c r="H13" s="601"/>
      <c r="J13" s="730"/>
      <c r="L13" s="370"/>
      <c r="M13" s="315"/>
      <c r="N13" s="315"/>
      <c r="O13" s="315"/>
      <c r="P13" s="315"/>
      <c r="Q13" s="315"/>
      <c r="R13" s="315"/>
    </row>
    <row r="14" spans="2:18" ht="21" customHeight="1">
      <c r="B14" s="639" t="s">
        <v>335</v>
      </c>
      <c r="C14" s="639"/>
      <c r="D14" s="639"/>
      <c r="E14" s="639"/>
      <c r="F14" s="643"/>
      <c r="G14" s="593"/>
      <c r="H14" s="601"/>
      <c r="J14" s="730"/>
      <c r="L14" s="315"/>
      <c r="M14" s="315"/>
      <c r="N14" s="315"/>
      <c r="O14" s="315"/>
      <c r="P14" s="315"/>
      <c r="Q14" s="315"/>
      <c r="R14" s="315"/>
    </row>
    <row r="15" spans="2:18" ht="21" customHeight="1">
      <c r="B15" s="640"/>
      <c r="C15" s="640"/>
      <c r="D15" s="640"/>
      <c r="E15" s="640"/>
      <c r="F15" s="640"/>
      <c r="G15" s="593"/>
      <c r="H15" s="601"/>
      <c r="L15" s="315"/>
      <c r="M15" s="315"/>
      <c r="N15" s="315"/>
      <c r="O15" s="315"/>
      <c r="P15" s="315"/>
      <c r="Q15" s="315"/>
      <c r="R15" s="315"/>
    </row>
    <row r="16" spans="2:18" ht="21" customHeight="1">
      <c r="B16" s="639" t="s">
        <v>3274</v>
      </c>
      <c r="C16" s="639"/>
      <c r="D16" s="639"/>
      <c r="E16" s="639"/>
      <c r="F16" s="639"/>
      <c r="G16" s="1093"/>
      <c r="H16" s="1093"/>
      <c r="L16" s="315"/>
      <c r="M16" s="315"/>
      <c r="N16" s="315"/>
      <c r="O16" s="315"/>
      <c r="P16" s="315"/>
      <c r="Q16" s="315"/>
      <c r="R16" s="315"/>
    </row>
    <row r="17" spans="2:18" ht="21" customHeight="1">
      <c r="B17" s="639" t="s">
        <v>3274</v>
      </c>
      <c r="C17" s="639"/>
      <c r="D17" s="639"/>
      <c r="E17" s="639"/>
      <c r="F17" s="639"/>
      <c r="G17" s="1093"/>
      <c r="H17" s="1093"/>
      <c r="L17" s="315"/>
      <c r="M17" s="315"/>
      <c r="N17" s="315"/>
      <c r="O17" s="315"/>
      <c r="P17" s="315"/>
      <c r="Q17" s="315"/>
      <c r="R17" s="315"/>
    </row>
    <row r="18" spans="2:18" ht="21" customHeight="1">
      <c r="B18" s="639"/>
      <c r="C18" s="639"/>
      <c r="D18" s="639"/>
      <c r="E18" s="639"/>
      <c r="F18" s="639"/>
      <c r="G18" s="1093"/>
      <c r="H18" s="1093"/>
      <c r="L18" s="315"/>
      <c r="M18" s="315"/>
      <c r="N18" s="315"/>
      <c r="O18" s="315"/>
      <c r="P18" s="315"/>
      <c r="Q18" s="315"/>
      <c r="R18" s="315"/>
    </row>
    <row r="19" spans="2:18" ht="21" customHeight="1">
      <c r="B19" s="1101" t="s">
        <v>3263</v>
      </c>
      <c r="C19" s="1096"/>
      <c r="D19" s="1096"/>
      <c r="E19" s="1096"/>
      <c r="F19" s="1096"/>
      <c r="G19" s="1102"/>
      <c r="H19" s="1103"/>
      <c r="L19" s="315"/>
      <c r="M19" s="315"/>
      <c r="N19" s="315"/>
      <c r="O19" s="315"/>
      <c r="P19" s="315"/>
      <c r="Q19" s="315"/>
      <c r="R19" s="315"/>
    </row>
    <row r="20" spans="2:18" ht="21" customHeight="1">
      <c r="B20" s="681" t="s">
        <v>3264</v>
      </c>
      <c r="C20" s="681"/>
      <c r="D20" s="681"/>
      <c r="E20" s="681"/>
      <c r="F20" s="681"/>
      <c r="G20" s="1104">
        <f>+'47-Utility5'!L24</f>
        <v>0</v>
      </c>
      <c r="H20" s="1105"/>
      <c r="L20" s="315"/>
      <c r="M20" s="315"/>
      <c r="N20" s="315"/>
      <c r="O20" s="315"/>
      <c r="P20" s="315"/>
      <c r="Q20" s="315"/>
      <c r="R20" s="315"/>
    </row>
    <row r="21" spans="2:18" ht="21" customHeight="1">
      <c r="B21" s="681" t="s">
        <v>3265</v>
      </c>
      <c r="C21" s="681"/>
      <c r="D21" s="681"/>
      <c r="E21" s="681"/>
      <c r="F21" s="681"/>
      <c r="G21" s="680">
        <f>+'47-Utility5'!L54</f>
        <v>0</v>
      </c>
      <c r="H21" s="1096"/>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J23" s="730"/>
      <c r="L23" s="315"/>
      <c r="M23" s="315"/>
      <c r="N23" s="315"/>
      <c r="O23" s="315"/>
      <c r="P23" s="315"/>
      <c r="Q23" s="315"/>
      <c r="R23" s="315"/>
    </row>
    <row r="24" spans="2:18" ht="21" customHeight="1">
      <c r="B24" s="639"/>
      <c r="C24" s="639"/>
      <c r="D24" s="639"/>
      <c r="E24" s="639"/>
      <c r="F24" s="639"/>
      <c r="G24" s="593"/>
      <c r="H24" s="601"/>
      <c r="J24" s="730"/>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81" t="s">
        <v>3266</v>
      </c>
      <c r="C26" s="681"/>
      <c r="D26" s="681"/>
      <c r="E26" s="681"/>
      <c r="F26" s="681"/>
      <c r="G26" s="680"/>
      <c r="H26" s="1106"/>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1107" t="s">
        <v>3267</v>
      </c>
      <c r="C30" s="681"/>
      <c r="D30" s="681"/>
      <c r="E30" s="681"/>
      <c r="F30" s="681"/>
      <c r="G30" s="680"/>
      <c r="H30" s="1106"/>
    </row>
    <row r="31" spans="2:18" ht="21" customHeight="1">
      <c r="B31" s="681" t="s">
        <v>3194</v>
      </c>
      <c r="C31" s="681"/>
      <c r="D31" s="681"/>
      <c r="E31" s="681"/>
      <c r="F31" s="681"/>
      <c r="G31" s="593"/>
      <c r="H31" s="1106">
        <f>+'44-Utility5'!I37</f>
        <v>0</v>
      </c>
      <c r="J31" s="730"/>
    </row>
    <row r="32" spans="2:18" ht="21" customHeight="1">
      <c r="B32" s="681" t="s">
        <v>3193</v>
      </c>
      <c r="C32" s="681"/>
      <c r="D32" s="681"/>
      <c r="E32" s="681"/>
      <c r="F32" s="681"/>
      <c r="G32" s="593"/>
      <c r="H32" s="601"/>
    </row>
    <row r="33" spans="2:18" ht="21" customHeight="1">
      <c r="B33" s="681" t="s">
        <v>3192</v>
      </c>
      <c r="C33" s="681"/>
      <c r="D33" s="681"/>
      <c r="E33" s="681"/>
      <c r="F33" s="681"/>
      <c r="G33" s="593"/>
      <c r="H33" s="1108">
        <f>+'49-Utility5'!I29+'49a-Utility5'!I29+'50.1-Utility5'!M24+'49a.1-Utility5'!I29</f>
        <v>0</v>
      </c>
      <c r="J33" s="730"/>
    </row>
    <row r="34" spans="2:18" ht="21" customHeight="1">
      <c r="B34" s="639" t="s">
        <v>3275</v>
      </c>
      <c r="C34" s="639"/>
      <c r="D34" s="639"/>
      <c r="E34" s="639"/>
      <c r="F34" s="643"/>
      <c r="G34" s="593"/>
      <c r="H34" s="601"/>
    </row>
    <row r="35" spans="2:18" ht="21" customHeight="1">
      <c r="B35" s="639"/>
      <c r="C35" s="639"/>
      <c r="D35" s="639"/>
      <c r="E35" s="639"/>
      <c r="F35" s="639"/>
      <c r="G35" s="593"/>
      <c r="H35" s="601"/>
      <c r="L35" s="315"/>
      <c r="M35" s="315"/>
      <c r="N35" s="315"/>
      <c r="O35" s="315"/>
      <c r="P35" s="315"/>
      <c r="Q35" s="315"/>
      <c r="R35" s="315"/>
    </row>
    <row r="36" spans="2:18" ht="21" customHeight="1">
      <c r="B36" s="639"/>
      <c r="C36" s="639"/>
      <c r="D36" s="639"/>
      <c r="E36" s="639"/>
      <c r="F36" s="639"/>
      <c r="G36" s="593"/>
      <c r="H36" s="601"/>
      <c r="J36" s="730"/>
      <c r="L36" s="315"/>
      <c r="M36" s="315"/>
      <c r="N36" s="315"/>
      <c r="O36" s="315"/>
      <c r="P36" s="315"/>
      <c r="Q36" s="315"/>
      <c r="R36" s="315"/>
    </row>
    <row r="37" spans="2:18" ht="21" customHeight="1">
      <c r="B37" s="639"/>
      <c r="C37" s="639"/>
      <c r="D37" s="639"/>
      <c r="E37" s="639"/>
      <c r="F37" s="639"/>
      <c r="G37" s="593"/>
      <c r="H37" s="601"/>
      <c r="J37" s="730"/>
      <c r="L37" s="315"/>
      <c r="M37" s="315"/>
      <c r="N37" s="315"/>
      <c r="O37" s="315"/>
      <c r="P37" s="315"/>
      <c r="Q37" s="315"/>
      <c r="R37" s="315"/>
    </row>
    <row r="38" spans="2:18" ht="21" customHeight="1" thickBot="1">
      <c r="B38" s="639"/>
      <c r="C38" s="639"/>
      <c r="D38" s="639"/>
      <c r="E38" s="639"/>
      <c r="F38" s="639"/>
      <c r="G38" s="593"/>
      <c r="H38" s="625"/>
      <c r="L38" s="315"/>
      <c r="M38" s="315"/>
      <c r="N38" s="315"/>
      <c r="O38" s="315"/>
      <c r="P38" s="315"/>
      <c r="Q38" s="315"/>
      <c r="R38" s="315"/>
    </row>
    <row r="39" spans="2:18" ht="21" customHeight="1" thickTop="1">
      <c r="B39" s="681"/>
      <c r="C39" s="681" t="s">
        <v>3191</v>
      </c>
      <c r="D39" s="681"/>
      <c r="E39" s="681"/>
      <c r="F39" s="1266"/>
      <c r="G39" s="1267"/>
      <c r="H39" s="1109">
        <f>SUM(H30:H38)</f>
        <v>0</v>
      </c>
      <c r="I39" s="391" t="s">
        <v>844</v>
      </c>
    </row>
    <row r="40" spans="2:18" ht="21" customHeight="1">
      <c r="B40" s="1110" t="s">
        <v>3276</v>
      </c>
      <c r="C40" s="1110"/>
      <c r="D40" s="1110"/>
      <c r="E40" s="1110"/>
      <c r="F40" s="1110"/>
      <c r="G40" s="1105"/>
      <c r="H40" s="1093"/>
    </row>
    <row r="41" spans="2:18" ht="21" customHeight="1">
      <c r="B41" s="681"/>
      <c r="C41" s="681"/>
      <c r="D41" s="681"/>
      <c r="E41" s="681"/>
      <c r="F41" s="681"/>
      <c r="G41" s="680"/>
      <c r="H41" s="1106"/>
    </row>
    <row r="42" spans="2:18" ht="21" customHeight="1">
      <c r="B42" s="681" t="s">
        <v>652</v>
      </c>
      <c r="C42" s="681"/>
      <c r="D42" s="681"/>
      <c r="E42" s="681"/>
      <c r="F42" s="681"/>
      <c r="G42" s="680"/>
      <c r="H42" s="1106">
        <f>+'46-Utility5'!K27</f>
        <v>0</v>
      </c>
    </row>
    <row r="43" spans="2:18" ht="21" customHeight="1" thickBot="1">
      <c r="B43" s="681"/>
      <c r="C43" s="681"/>
      <c r="D43" s="681"/>
      <c r="E43" s="681"/>
      <c r="F43" s="681"/>
      <c r="G43" s="1111"/>
      <c r="H43" s="1112"/>
    </row>
    <row r="44" spans="2:18" ht="21" customHeight="1" thickBot="1">
      <c r="B44" s="681" t="s">
        <v>3277</v>
      </c>
      <c r="C44" s="681"/>
      <c r="D44" s="681"/>
      <c r="E44" s="681"/>
      <c r="F44" s="681"/>
      <c r="G44" s="1113">
        <f>SUM(G12:G43)</f>
        <v>0</v>
      </c>
      <c r="H44" s="1114">
        <f>SUM(H39:H43)</f>
        <v>0</v>
      </c>
      <c r="J44" s="392">
        <f>G44-H44</f>
        <v>0</v>
      </c>
    </row>
    <row r="45" spans="2:18" ht="13.8" thickTop="1">
      <c r="B45" s="1908" t="s">
        <v>103</v>
      </c>
      <c r="C45" s="1908"/>
      <c r="D45" s="1908"/>
      <c r="E45" s="1908"/>
      <c r="F45" s="1908"/>
      <c r="G45" s="1908"/>
      <c r="H45" s="1908"/>
    </row>
    <row r="46" spans="2:18">
      <c r="B46" s="1281"/>
      <c r="C46" s="1281"/>
      <c r="D46" s="1281"/>
      <c r="E46" s="1281"/>
      <c r="F46" s="1281"/>
      <c r="G46" s="1281"/>
      <c r="H46" s="1281"/>
    </row>
    <row r="47" spans="2:18">
      <c r="B47" s="1281"/>
      <c r="C47" s="1281"/>
      <c r="D47" s="1281"/>
      <c r="E47" s="1281"/>
      <c r="F47" s="1281"/>
      <c r="G47" s="1281"/>
      <c r="H47" s="1281"/>
    </row>
    <row r="48" spans="2:18">
      <c r="B48" s="1281"/>
      <c r="C48" s="1281"/>
      <c r="D48" s="1281"/>
      <c r="E48" s="1281"/>
      <c r="F48" s="1281"/>
      <c r="G48" s="1281"/>
      <c r="H48" s="1281"/>
    </row>
    <row r="49" spans="2:8">
      <c r="B49" s="1281"/>
      <c r="C49" s="1281"/>
      <c r="D49" s="1281"/>
      <c r="E49" s="1281"/>
      <c r="F49" s="1281"/>
      <c r="G49" s="1281"/>
      <c r="H49" s="1281"/>
    </row>
    <row r="50" spans="2:8" ht="13.8">
      <c r="B50" s="1994" t="s">
        <v>3189</v>
      </c>
      <c r="C50" s="1994"/>
      <c r="D50" s="1994"/>
      <c r="E50" s="1994"/>
      <c r="F50" s="1994"/>
      <c r="G50" s="1994"/>
      <c r="H50" s="1994"/>
    </row>
    <row r="54" spans="2:8">
      <c r="H54" s="392"/>
    </row>
    <row r="57" spans="2:8">
      <c r="H57" s="392">
        <f>+H44-G44</f>
        <v>0</v>
      </c>
    </row>
  </sheetData>
  <sheetProtection algorithmName="SHA-512" hashValue="OtE79LB3PgKdtkMVDbsYPGQ/JEDajnhNtUFIrSTK8lIE9+siYUhW6wH0COVdK1Yf7wQqGg7K5YcRwJTZaMS9pQ==" saltValue="amQwYbcReUPI0HgUcSdVNw=="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8">
    <tabColor theme="7" tint="0.39997558519241921"/>
  </sheetPr>
  <dimension ref="B1:Q55"/>
  <sheetViews>
    <sheetView zoomScaleNormal="100" zoomScaleSheetLayoutView="80" workbookViewId="0">
      <selection activeCell="B1" sqref="B1"/>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INPUTS'!D56)&amp;"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1096"/>
      <c r="C12" s="1096"/>
      <c r="D12" s="1096"/>
      <c r="E12" s="1096"/>
      <c r="F12" s="1096"/>
      <c r="G12" s="1099"/>
      <c r="H12" s="1100"/>
    </row>
    <row r="13" spans="2:17" ht="21" customHeight="1">
      <c r="B13" s="1107" t="s">
        <v>677</v>
      </c>
      <c r="C13" s="681"/>
      <c r="D13" s="681"/>
      <c r="E13" s="681"/>
      <c r="F13" s="681"/>
      <c r="G13" s="680"/>
      <c r="H13" s="1106"/>
      <c r="K13" s="315"/>
      <c r="L13" s="315"/>
      <c r="M13" s="315"/>
      <c r="N13" s="315"/>
      <c r="O13" s="315"/>
      <c r="P13" s="315"/>
      <c r="Q13" s="315"/>
    </row>
    <row r="14" spans="2:17" ht="21" customHeight="1">
      <c r="B14" s="681"/>
      <c r="C14" s="681"/>
      <c r="D14" s="681"/>
      <c r="E14" s="681"/>
      <c r="F14" s="681"/>
      <c r="G14" s="680"/>
      <c r="H14" s="1106"/>
      <c r="K14" s="315"/>
      <c r="L14" s="315"/>
      <c r="M14" s="315"/>
      <c r="N14" s="315"/>
      <c r="O14" s="315"/>
      <c r="P14" s="315"/>
      <c r="Q14" s="315"/>
    </row>
    <row r="15" spans="2:17" ht="21" customHeight="1">
      <c r="B15" s="1096" t="s">
        <v>200</v>
      </c>
      <c r="C15" s="681"/>
      <c r="D15" s="681"/>
      <c r="E15" s="681"/>
      <c r="F15" s="681"/>
      <c r="G15" s="365"/>
      <c r="H15" s="1282" t="s">
        <v>662</v>
      </c>
      <c r="K15" s="370"/>
      <c r="L15" s="315"/>
      <c r="M15" s="315"/>
      <c r="N15" s="315"/>
      <c r="O15" s="315"/>
      <c r="P15" s="315"/>
      <c r="Q15" s="315"/>
    </row>
    <row r="16" spans="2:17" ht="21" customHeight="1">
      <c r="B16" s="681" t="s">
        <v>201</v>
      </c>
      <c r="C16" s="681"/>
      <c r="D16" s="681"/>
      <c r="E16" s="681"/>
      <c r="F16" s="681"/>
      <c r="G16" s="1156" t="s">
        <v>662</v>
      </c>
      <c r="H16" s="904">
        <f>+G15</f>
        <v>0</v>
      </c>
      <c r="K16" s="315"/>
      <c r="L16" s="315"/>
      <c r="M16" s="315"/>
      <c r="N16" s="315"/>
      <c r="O16" s="315"/>
      <c r="P16" s="315"/>
      <c r="Q16" s="315"/>
    </row>
    <row r="17" spans="2:17" ht="21" customHeight="1">
      <c r="B17" s="681"/>
      <c r="C17" s="681"/>
      <c r="D17" s="681"/>
      <c r="E17" s="681"/>
      <c r="F17" s="681"/>
      <c r="G17" s="897"/>
      <c r="H17" s="904"/>
      <c r="K17" s="315"/>
      <c r="L17" s="315"/>
      <c r="M17" s="315"/>
      <c r="N17" s="315"/>
      <c r="O17" s="315"/>
      <c r="P17" s="315"/>
      <c r="Q17" s="315"/>
    </row>
    <row r="18" spans="2:17" ht="21" customHeight="1">
      <c r="B18" s="681"/>
      <c r="C18" s="681" t="s">
        <v>375</v>
      </c>
      <c r="D18" s="681"/>
      <c r="E18" s="681"/>
      <c r="F18" s="681"/>
      <c r="G18" s="365"/>
      <c r="H18" s="561"/>
      <c r="K18" s="315"/>
      <c r="L18" s="315"/>
      <c r="M18" s="315"/>
      <c r="N18" s="315"/>
      <c r="O18" s="315"/>
      <c r="P18" s="315"/>
      <c r="Q18" s="315"/>
    </row>
    <row r="19" spans="2:17" ht="21" customHeight="1">
      <c r="B19" s="395"/>
      <c r="C19" s="639"/>
      <c r="D19" s="639"/>
      <c r="E19" s="639"/>
      <c r="F19" s="639"/>
      <c r="G19" s="365"/>
      <c r="H19" s="561"/>
      <c r="K19" s="315"/>
      <c r="L19" s="315"/>
      <c r="M19" s="315"/>
      <c r="N19" s="315"/>
      <c r="O19" s="315"/>
      <c r="P19" s="315"/>
      <c r="Q19" s="315"/>
    </row>
    <row r="20" spans="2:17" ht="21" customHeight="1">
      <c r="B20" s="681"/>
      <c r="C20" s="681" t="s">
        <v>942</v>
      </c>
      <c r="D20" s="681"/>
      <c r="E20" s="681"/>
      <c r="F20" s="681"/>
      <c r="G20" s="365"/>
      <c r="H20" s="561"/>
      <c r="K20" s="315"/>
      <c r="L20" s="315"/>
      <c r="M20" s="315"/>
      <c r="N20" s="315"/>
      <c r="O20" s="315"/>
      <c r="P20" s="315"/>
      <c r="Q20" s="315"/>
    </row>
    <row r="21" spans="2:17" ht="21" customHeight="1">
      <c r="B21" s="681"/>
      <c r="C21" s="681" t="s">
        <v>678</v>
      </c>
      <c r="D21" s="681"/>
      <c r="E21" s="681"/>
      <c r="F21" s="681"/>
      <c r="G21" s="897"/>
      <c r="H21" s="898"/>
      <c r="K21" s="315"/>
      <c r="L21" s="315"/>
      <c r="M21" s="315"/>
      <c r="N21" s="315"/>
      <c r="O21" s="315"/>
      <c r="P21" s="315"/>
      <c r="Q21" s="315"/>
    </row>
    <row r="22" spans="2:17" ht="21" customHeight="1">
      <c r="B22" s="681"/>
      <c r="C22" s="681"/>
      <c r="D22" s="681" t="s">
        <v>92</v>
      </c>
      <c r="E22" s="681"/>
      <c r="F22" s="681"/>
      <c r="G22" s="365"/>
      <c r="H22" s="561"/>
      <c r="K22" s="315"/>
      <c r="L22" s="315"/>
      <c r="M22" s="315"/>
      <c r="N22" s="315"/>
      <c r="O22" s="315"/>
      <c r="P22" s="315"/>
      <c r="Q22" s="315"/>
    </row>
    <row r="23" spans="2:17" ht="21" customHeight="1">
      <c r="B23" s="681"/>
      <c r="C23" s="681"/>
      <c r="D23" s="681" t="s">
        <v>706</v>
      </c>
      <c r="E23" s="681"/>
      <c r="F23" s="681"/>
      <c r="G23" s="365"/>
      <c r="H23" s="561"/>
      <c r="K23" s="315"/>
      <c r="L23" s="315"/>
      <c r="M23" s="315"/>
      <c r="N23" s="315"/>
      <c r="O23" s="315"/>
      <c r="P23" s="315"/>
      <c r="Q23" s="315"/>
    </row>
    <row r="24" spans="2:17" ht="21" customHeight="1">
      <c r="B24" s="395"/>
      <c r="C24" s="639"/>
      <c r="D24" s="639" t="s">
        <v>3190</v>
      </c>
      <c r="E24" s="639"/>
      <c r="F24" s="639"/>
      <c r="G24" s="365"/>
      <c r="H24" s="581"/>
      <c r="K24" s="315"/>
      <c r="L24" s="315"/>
      <c r="M24" s="315"/>
      <c r="N24" s="315"/>
      <c r="O24" s="315"/>
      <c r="P24" s="315"/>
      <c r="Q24" s="315"/>
    </row>
    <row r="25" spans="2:17" ht="21" customHeight="1">
      <c r="B25" s="395"/>
      <c r="C25" s="639"/>
      <c r="D25" s="639" t="s">
        <v>3190</v>
      </c>
      <c r="E25" s="639"/>
      <c r="F25" s="639"/>
      <c r="G25" s="365"/>
      <c r="H25" s="581" t="s">
        <v>3190</v>
      </c>
    </row>
    <row r="26" spans="2:17" ht="21" customHeight="1">
      <c r="B26" s="395"/>
      <c r="C26" s="640"/>
      <c r="D26" s="639"/>
      <c r="E26" s="639"/>
      <c r="F26" s="639"/>
      <c r="G26" s="365"/>
      <c r="H26" s="642"/>
    </row>
    <row r="27" spans="2:17" ht="21" customHeight="1">
      <c r="B27" s="395"/>
      <c r="C27" s="639" t="s">
        <v>3190</v>
      </c>
      <c r="D27" s="639"/>
      <c r="E27" s="639"/>
      <c r="F27" s="639"/>
      <c r="G27" s="365"/>
      <c r="H27" s="581" t="s">
        <v>3190</v>
      </c>
    </row>
    <row r="28" spans="2:17" ht="21" customHeight="1">
      <c r="B28" s="395"/>
      <c r="C28" s="639"/>
      <c r="D28" s="639"/>
      <c r="E28" s="639"/>
      <c r="F28" s="639"/>
      <c r="G28" s="365"/>
      <c r="H28" s="581"/>
    </row>
    <row r="29" spans="2:17" ht="21" customHeight="1">
      <c r="B29" s="395"/>
      <c r="C29" s="639"/>
      <c r="D29" s="639" t="s">
        <v>3190</v>
      </c>
      <c r="E29" s="639"/>
      <c r="F29" s="639"/>
      <c r="G29" s="365"/>
      <c r="H29" s="581"/>
      <c r="K29" s="315"/>
      <c r="L29" s="315"/>
      <c r="M29" s="315"/>
      <c r="N29" s="315"/>
      <c r="O29" s="315"/>
      <c r="P29" s="315"/>
      <c r="Q29" s="315"/>
    </row>
    <row r="30" spans="2:17" ht="21" customHeight="1">
      <c r="B30" s="395"/>
      <c r="C30" s="639"/>
      <c r="D30" s="639" t="s">
        <v>3190</v>
      </c>
      <c r="E30" s="639"/>
      <c r="F30" s="639"/>
      <c r="G30" s="365"/>
      <c r="H30" s="581"/>
      <c r="K30" s="315"/>
      <c r="L30" s="315"/>
      <c r="M30" s="315"/>
      <c r="N30" s="315"/>
      <c r="O30" s="315"/>
      <c r="P30" s="315"/>
      <c r="Q30" s="315"/>
    </row>
    <row r="31" spans="2:17" ht="21" customHeight="1">
      <c r="B31" s="395"/>
      <c r="C31" s="639"/>
      <c r="D31" s="639" t="s">
        <v>3190</v>
      </c>
      <c r="E31" s="639"/>
      <c r="F31" s="639"/>
      <c r="G31" s="365"/>
      <c r="H31" s="581" t="s">
        <v>3190</v>
      </c>
    </row>
    <row r="32" spans="2:17" ht="21" customHeight="1">
      <c r="B32" s="395"/>
      <c r="C32" s="640"/>
      <c r="D32" s="639"/>
      <c r="E32" s="639"/>
      <c r="F32" s="639"/>
      <c r="G32" s="365"/>
      <c r="H32" s="642"/>
    </row>
    <row r="33" spans="2:17" ht="21" customHeight="1">
      <c r="B33" s="395"/>
      <c r="C33" s="639" t="s">
        <v>3190</v>
      </c>
      <c r="D33" s="639"/>
      <c r="E33" s="639"/>
      <c r="F33" s="639"/>
      <c r="G33" s="365"/>
      <c r="H33" s="581" t="s">
        <v>3190</v>
      </c>
    </row>
    <row r="34" spans="2:17" ht="21" customHeight="1">
      <c r="B34" s="395"/>
      <c r="C34" s="639"/>
      <c r="D34" s="639"/>
      <c r="E34" s="639"/>
      <c r="F34" s="639"/>
      <c r="G34" s="365"/>
      <c r="H34" s="581"/>
    </row>
    <row r="35" spans="2:17" ht="21" customHeight="1">
      <c r="B35" s="395"/>
      <c r="C35" s="639"/>
      <c r="D35" s="639" t="s">
        <v>3190</v>
      </c>
      <c r="E35" s="639"/>
      <c r="F35" s="639"/>
      <c r="G35" s="365"/>
      <c r="H35" s="581"/>
      <c r="K35" s="315"/>
      <c r="L35" s="315"/>
      <c r="M35" s="315"/>
      <c r="N35" s="315"/>
      <c r="O35" s="315"/>
      <c r="P35" s="315"/>
      <c r="Q35" s="315"/>
    </row>
    <row r="36" spans="2:17" ht="21" customHeight="1">
      <c r="B36" s="395"/>
      <c r="C36" s="639"/>
      <c r="D36" s="639" t="s">
        <v>3190</v>
      </c>
      <c r="E36" s="639"/>
      <c r="F36" s="639"/>
      <c r="G36" s="365"/>
      <c r="H36" s="581" t="s">
        <v>3190</v>
      </c>
    </row>
    <row r="37" spans="2:17" ht="21" customHeight="1">
      <c r="B37" s="395"/>
      <c r="C37" s="640"/>
      <c r="D37" s="639"/>
      <c r="E37" s="639"/>
      <c r="F37" s="639"/>
      <c r="G37" s="365"/>
      <c r="H37" s="642"/>
    </row>
    <row r="38" spans="2:17" ht="21" customHeight="1">
      <c r="B38" s="395"/>
      <c r="C38" s="639" t="s">
        <v>3190</v>
      </c>
      <c r="D38" s="639"/>
      <c r="E38" s="639"/>
      <c r="F38" s="639"/>
      <c r="G38" s="365"/>
      <c r="H38" s="581" t="s">
        <v>3190</v>
      </c>
    </row>
    <row r="39" spans="2:17" ht="21" customHeight="1">
      <c r="B39" s="395"/>
      <c r="C39" s="639"/>
      <c r="D39" s="639"/>
      <c r="E39" s="639"/>
      <c r="F39" s="639"/>
      <c r="G39" s="365"/>
      <c r="H39" s="581"/>
    </row>
    <row r="40" spans="2:17" ht="21" customHeight="1">
      <c r="B40" s="395"/>
      <c r="C40" s="639"/>
      <c r="D40" s="639"/>
      <c r="E40" s="639"/>
      <c r="F40" s="639"/>
      <c r="G40" s="365"/>
      <c r="H40" s="581"/>
    </row>
    <row r="41" spans="2:17" ht="21" customHeight="1">
      <c r="B41" s="395"/>
      <c r="C41" s="639" t="s">
        <v>3190</v>
      </c>
      <c r="D41" s="639"/>
      <c r="E41" s="639"/>
      <c r="F41" s="639"/>
      <c r="G41" s="365"/>
      <c r="H41" s="581" t="s">
        <v>3190</v>
      </c>
    </row>
    <row r="42" spans="2:17" ht="21" customHeight="1">
      <c r="B42" s="395"/>
      <c r="C42" s="639" t="s">
        <v>3190</v>
      </c>
      <c r="D42" s="639"/>
      <c r="E42" s="639"/>
      <c r="F42" s="639"/>
      <c r="G42" s="365"/>
      <c r="H42" s="581" t="s">
        <v>3190</v>
      </c>
    </row>
    <row r="43" spans="2:17" ht="21" customHeight="1" thickBot="1">
      <c r="B43" s="681"/>
      <c r="C43" s="681"/>
      <c r="D43" s="681"/>
      <c r="E43" s="681"/>
      <c r="F43" s="681"/>
      <c r="G43" s="1276"/>
      <c r="H43" s="1277"/>
      <c r="I43" s="392"/>
      <c r="M43" s="392"/>
    </row>
    <row r="44" spans="2:17" ht="21" customHeight="1" thickBot="1">
      <c r="B44" s="681"/>
      <c r="C44" s="681" t="s">
        <v>3323</v>
      </c>
      <c r="D44" s="681"/>
      <c r="E44" s="681"/>
      <c r="F44" s="681"/>
      <c r="G44" s="1278">
        <f>SUM(G15:G42)</f>
        <v>0</v>
      </c>
      <c r="H44" s="1279">
        <f>SUM(H15:H43)</f>
        <v>0</v>
      </c>
      <c r="I44" s="392"/>
      <c r="K44" s="392"/>
    </row>
    <row r="45" spans="2:17" ht="13.8" thickTop="1">
      <c r="B45" s="1961" t="s">
        <v>103</v>
      </c>
      <c r="C45" s="1961"/>
      <c r="D45" s="1961"/>
      <c r="E45" s="1961"/>
      <c r="F45" s="1961"/>
      <c r="G45" s="1962"/>
      <c r="H45" s="1962"/>
    </row>
    <row r="46" spans="2:17">
      <c r="B46" s="1281"/>
      <c r="C46" s="1281"/>
      <c r="D46" s="1281"/>
      <c r="E46" s="1281"/>
      <c r="F46" s="1281"/>
      <c r="G46" s="1281"/>
      <c r="H46" s="1281"/>
    </row>
    <row r="47" spans="2:17">
      <c r="B47" s="1281"/>
      <c r="C47" s="1281"/>
      <c r="D47" s="1281"/>
      <c r="E47" s="1281"/>
      <c r="F47" s="1281"/>
      <c r="G47" s="1281"/>
      <c r="H47" s="1281"/>
    </row>
    <row r="48" spans="2:17">
      <c r="B48" s="1281"/>
      <c r="C48" s="1281"/>
      <c r="D48" s="1281"/>
      <c r="E48" s="1281"/>
      <c r="F48" s="1281"/>
      <c r="G48" s="1281"/>
      <c r="H48" s="1281"/>
    </row>
    <row r="49" spans="2:8">
      <c r="B49" s="1281"/>
      <c r="C49" s="1281"/>
      <c r="D49" s="1281"/>
      <c r="E49" s="1281"/>
      <c r="F49" s="1281"/>
      <c r="G49" s="1281"/>
      <c r="H49" s="1281"/>
    </row>
    <row r="50" spans="2:8" ht="13.8">
      <c r="B50" s="1994" t="s">
        <v>3195</v>
      </c>
      <c r="C50" s="1994"/>
      <c r="D50" s="1994"/>
      <c r="E50" s="1994"/>
      <c r="F50" s="1994"/>
      <c r="G50" s="1994"/>
      <c r="H50" s="1994"/>
    </row>
    <row r="55" spans="2:8">
      <c r="H55" s="392"/>
    </row>
  </sheetData>
  <sheetProtection algorithmName="SHA-512" hashValue="oTMONp2h1/vIh1KzlK45ZEqVhfA4b9PXkEyVdRxJ3sJS8sVVyPBZdCY1ArdHnT9KNuQQp18wXUm7zUK2/fuxKg==" saltValue="ACovUX+ZCIJpQDDk+qtdzA=="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9">
    <tabColor theme="7" tint="0.39997558519241921"/>
  </sheetPr>
  <dimension ref="B1:Q55"/>
  <sheetViews>
    <sheetView zoomScaleNormal="100" zoomScaleSheetLayoutView="80" workbookViewId="0"/>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INPUTS'!D56)&amp;"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681"/>
      <c r="C12" s="681" t="s">
        <v>3324</v>
      </c>
      <c r="D12" s="681"/>
      <c r="E12" s="681"/>
      <c r="F12" s="681"/>
      <c r="G12" s="897">
        <f>'41a-Utility5'!G44</f>
        <v>0</v>
      </c>
      <c r="H12" s="904">
        <f>'41a-Utility5'!H44</f>
        <v>0</v>
      </c>
    </row>
    <row r="13" spans="2:17" ht="21" customHeight="1">
      <c r="C13" s="640"/>
      <c r="D13" s="640"/>
      <c r="E13" s="640"/>
      <c r="F13" s="640"/>
      <c r="G13" s="593"/>
      <c r="H13" s="642"/>
    </row>
    <row r="14" spans="2:17" ht="21" customHeight="1">
      <c r="B14" s="400"/>
      <c r="C14" s="639"/>
      <c r="D14" s="639"/>
      <c r="E14" s="639"/>
      <c r="F14" s="639"/>
      <c r="G14" s="593"/>
      <c r="H14" s="601"/>
      <c r="K14" s="315"/>
      <c r="L14" s="315"/>
      <c r="M14" s="315"/>
      <c r="N14" s="315"/>
      <c r="O14" s="315"/>
      <c r="P14" s="315"/>
      <c r="Q14" s="315"/>
    </row>
    <row r="15" spans="2:17" ht="21" customHeight="1">
      <c r="B15" s="395"/>
      <c r="C15" s="639"/>
      <c r="D15" s="639"/>
      <c r="E15" s="639"/>
      <c r="F15" s="639"/>
      <c r="G15" s="593"/>
      <c r="H15" s="601"/>
      <c r="K15" s="315"/>
      <c r="L15" s="315"/>
      <c r="M15" s="315"/>
      <c r="N15" s="315"/>
      <c r="O15" s="315"/>
      <c r="P15" s="315"/>
      <c r="Q15" s="315"/>
    </row>
    <row r="16" spans="2:17" ht="21" customHeight="1">
      <c r="B16" s="395"/>
      <c r="C16" s="639"/>
      <c r="D16" s="639"/>
      <c r="E16" s="639"/>
      <c r="F16" s="639"/>
      <c r="G16" s="365"/>
      <c r="H16" s="581"/>
      <c r="K16" s="315"/>
      <c r="L16" s="315"/>
      <c r="M16" s="315"/>
      <c r="N16" s="315"/>
      <c r="O16" s="315"/>
      <c r="P16" s="315"/>
      <c r="Q16" s="315"/>
    </row>
    <row r="17" spans="2:17" ht="21" customHeight="1">
      <c r="B17" s="681"/>
      <c r="C17" s="681" t="s">
        <v>3198</v>
      </c>
      <c r="D17" s="681"/>
      <c r="E17" s="681"/>
      <c r="F17" s="681"/>
      <c r="G17" s="897"/>
      <c r="H17" s="904">
        <f>+'49-Utility5'!G22</f>
        <v>0</v>
      </c>
      <c r="K17" s="315"/>
      <c r="L17" s="315"/>
      <c r="M17" s="315"/>
      <c r="N17" s="315"/>
      <c r="O17" s="315"/>
      <c r="P17" s="315"/>
      <c r="Q17" s="315"/>
    </row>
    <row r="18" spans="2:17" ht="21" customHeight="1">
      <c r="B18" s="681"/>
      <c r="C18" s="681" t="s">
        <v>3447</v>
      </c>
      <c r="D18" s="681"/>
      <c r="E18" s="681"/>
      <c r="F18" s="681"/>
      <c r="G18" s="897"/>
      <c r="H18" s="904">
        <f>'49a-Utility5'!G11+'49a-Utility5'!G22+'49a.1-Utility5'!G11+'49a.1-Utility5'!G22</f>
        <v>0</v>
      </c>
    </row>
    <row r="19" spans="2:17" ht="21" customHeight="1">
      <c r="B19" s="681"/>
      <c r="C19" s="681" t="s">
        <v>3457</v>
      </c>
      <c r="D19" s="681"/>
      <c r="E19" s="681"/>
      <c r="F19" s="681"/>
      <c r="G19" s="897"/>
      <c r="H19" s="904">
        <f>+'51a-Utility5'!G23</f>
        <v>0</v>
      </c>
      <c r="K19" s="315"/>
      <c r="L19" s="315"/>
      <c r="M19" s="315"/>
      <c r="N19" s="315"/>
      <c r="O19" s="315"/>
      <c r="P19" s="315"/>
      <c r="Q19" s="315"/>
    </row>
    <row r="20" spans="2:17" ht="21" customHeight="1">
      <c r="B20" s="681"/>
      <c r="C20" s="905" t="s">
        <v>3197</v>
      </c>
      <c r="D20" s="681"/>
      <c r="E20" s="681"/>
      <c r="F20" s="681"/>
      <c r="G20" s="897"/>
      <c r="H20" s="904">
        <f>+'50.1-Utility5'!G18</f>
        <v>0</v>
      </c>
      <c r="K20" s="315"/>
      <c r="L20" s="315"/>
      <c r="M20" s="315"/>
      <c r="N20" s="315"/>
      <c r="O20" s="315"/>
      <c r="P20" s="315"/>
      <c r="Q20" s="315"/>
    </row>
    <row r="21" spans="2:17" ht="21" customHeight="1">
      <c r="B21" s="681"/>
      <c r="C21" s="681" t="s">
        <v>851</v>
      </c>
      <c r="D21" s="681"/>
      <c r="E21" s="681"/>
      <c r="F21" s="681"/>
      <c r="G21" s="897"/>
      <c r="H21" s="904" t="s">
        <v>3190</v>
      </c>
      <c r="K21" s="315"/>
      <c r="L21" s="315"/>
      <c r="M21" s="315"/>
      <c r="N21" s="315"/>
      <c r="O21" s="315"/>
      <c r="P21" s="315"/>
      <c r="Q21" s="315"/>
    </row>
    <row r="22" spans="2:17" ht="21" customHeight="1">
      <c r="B22" s="681"/>
      <c r="C22" s="681"/>
      <c r="D22" s="681" t="s">
        <v>848</v>
      </c>
      <c r="E22" s="681"/>
      <c r="F22" s="681"/>
      <c r="G22" s="897"/>
      <c r="H22" s="904">
        <f>+'52-Utility5'!K27</f>
        <v>0</v>
      </c>
      <c r="J22" s="392"/>
      <c r="K22" s="315"/>
      <c r="L22" s="315"/>
      <c r="M22" s="315"/>
      <c r="N22" s="315"/>
      <c r="O22" s="315"/>
      <c r="P22" s="315"/>
      <c r="Q22" s="315"/>
    </row>
    <row r="23" spans="2:17" ht="21" customHeight="1">
      <c r="B23" s="681"/>
      <c r="C23" s="681"/>
      <c r="D23" s="681" t="s">
        <v>849</v>
      </c>
      <c r="E23" s="681"/>
      <c r="F23" s="681"/>
      <c r="G23" s="897"/>
      <c r="H23" s="904">
        <f>+'52-Utility5'!L27</f>
        <v>0</v>
      </c>
      <c r="J23" s="392"/>
      <c r="K23" s="315"/>
      <c r="L23" s="315"/>
      <c r="M23" s="315"/>
      <c r="N23" s="315"/>
      <c r="O23" s="315"/>
      <c r="P23" s="315"/>
      <c r="Q23" s="315"/>
    </row>
    <row r="24" spans="2:17" ht="21" customHeight="1">
      <c r="B24" s="395"/>
      <c r="C24" s="639" t="s">
        <v>3196</v>
      </c>
      <c r="D24" s="639"/>
      <c r="E24" s="639"/>
      <c r="F24" s="639"/>
      <c r="G24" s="365"/>
      <c r="H24" s="561"/>
    </row>
    <row r="25" spans="2:17" ht="21" customHeight="1">
      <c r="B25" s="395"/>
      <c r="C25" s="639" t="s">
        <v>709</v>
      </c>
      <c r="D25" s="639"/>
      <c r="E25" s="639"/>
      <c r="F25" s="639"/>
      <c r="G25" s="365"/>
      <c r="H25" s="561"/>
    </row>
    <row r="26" spans="2:17" ht="21" customHeight="1">
      <c r="B26" s="395"/>
      <c r="C26" s="639" t="str">
        <f>"DUE TO "&amp;UPPER('KEY INPUTS'!D52)&amp;" OPERATING"</f>
        <v>DUE TO WATER/SEWER UTILITY OPERATING</v>
      </c>
      <c r="D26" s="639"/>
      <c r="E26" s="639"/>
      <c r="F26" s="639"/>
      <c r="G26" s="365"/>
      <c r="H26" s="561"/>
    </row>
    <row r="27" spans="2:17" ht="21" customHeight="1">
      <c r="B27" s="395"/>
      <c r="C27" s="639" t="s">
        <v>708</v>
      </c>
      <c r="D27" s="639"/>
      <c r="E27" s="639"/>
      <c r="F27" s="639"/>
      <c r="G27" s="365"/>
      <c r="H27" s="561"/>
    </row>
    <row r="28" spans="2:17" ht="21" customHeight="1">
      <c r="B28" s="395"/>
      <c r="C28" s="639" t="s">
        <v>707</v>
      </c>
      <c r="D28" s="639"/>
      <c r="E28" s="639"/>
      <c r="F28" s="639"/>
      <c r="G28" s="365"/>
      <c r="H28" s="561"/>
    </row>
    <row r="29" spans="2:17" ht="21" customHeight="1">
      <c r="B29" s="395"/>
      <c r="C29" s="639" t="s">
        <v>303</v>
      </c>
      <c r="D29" s="639"/>
      <c r="E29" s="639"/>
      <c r="F29" s="639"/>
      <c r="G29" s="365"/>
      <c r="H29" s="561"/>
    </row>
    <row r="30" spans="2:17" ht="21" customHeight="1">
      <c r="B30" s="395"/>
      <c r="C30" s="639"/>
      <c r="D30" s="639"/>
      <c r="E30" s="639"/>
      <c r="F30" s="639"/>
      <c r="G30" s="365"/>
      <c r="H30" s="581" t="s">
        <v>3190</v>
      </c>
    </row>
    <row r="31" spans="2:17" ht="21" customHeight="1">
      <c r="B31" s="395"/>
      <c r="C31" s="639"/>
      <c r="D31" s="639"/>
      <c r="E31" s="639"/>
      <c r="F31" s="639"/>
      <c r="G31" s="365"/>
      <c r="H31" s="581" t="s">
        <v>3190</v>
      </c>
    </row>
    <row r="32" spans="2:17" ht="21" customHeight="1">
      <c r="B32" s="395"/>
      <c r="C32" s="639"/>
      <c r="D32" s="639"/>
      <c r="E32" s="639"/>
      <c r="F32" s="639"/>
      <c r="G32" s="365"/>
      <c r="H32" s="642"/>
    </row>
    <row r="33" spans="2:13" ht="21" customHeight="1">
      <c r="B33" s="395"/>
      <c r="C33" s="639"/>
      <c r="D33" s="639"/>
      <c r="E33" s="639"/>
      <c r="F33" s="639"/>
      <c r="G33" s="365"/>
      <c r="H33" s="581" t="s">
        <v>3190</v>
      </c>
    </row>
    <row r="34" spans="2:13" ht="21" customHeight="1">
      <c r="B34" s="395"/>
      <c r="C34" s="639"/>
      <c r="D34" s="639"/>
      <c r="E34" s="639"/>
      <c r="F34" s="639"/>
      <c r="G34" s="365"/>
      <c r="H34" s="581"/>
    </row>
    <row r="35" spans="2:13" ht="21" customHeight="1">
      <c r="B35" s="395"/>
      <c r="C35" s="639"/>
      <c r="D35" s="639"/>
      <c r="E35" s="639"/>
      <c r="F35" s="639"/>
      <c r="G35" s="365"/>
      <c r="H35" s="581"/>
    </row>
    <row r="36" spans="2:13" ht="21" customHeight="1">
      <c r="B36" s="395"/>
      <c r="C36" s="639"/>
      <c r="D36" s="639"/>
      <c r="E36" s="639"/>
      <c r="F36" s="639"/>
      <c r="G36" s="365"/>
      <c r="H36" s="581" t="s">
        <v>3190</v>
      </c>
    </row>
    <row r="37" spans="2:13" ht="21" customHeight="1">
      <c r="B37" s="395"/>
      <c r="C37" s="639"/>
      <c r="D37" s="639"/>
      <c r="E37" s="639"/>
      <c r="F37" s="639"/>
      <c r="G37" s="365"/>
      <c r="H37" s="642"/>
    </row>
    <row r="38" spans="2:13" ht="21" customHeight="1">
      <c r="B38" s="395"/>
      <c r="C38" s="639"/>
      <c r="D38" s="639"/>
      <c r="E38" s="639"/>
      <c r="F38" s="639"/>
      <c r="G38" s="365"/>
      <c r="H38" s="581" t="s">
        <v>3190</v>
      </c>
    </row>
    <row r="39" spans="2:13" ht="21" customHeight="1">
      <c r="B39" s="395"/>
      <c r="C39" s="639"/>
      <c r="D39" s="639"/>
      <c r="E39" s="639"/>
      <c r="F39" s="639"/>
      <c r="G39" s="365"/>
      <c r="H39" s="581"/>
    </row>
    <row r="40" spans="2:13" ht="21" customHeight="1">
      <c r="B40" s="681"/>
      <c r="C40" s="681" t="s">
        <v>3260</v>
      </c>
      <c r="D40" s="681"/>
      <c r="E40" s="681"/>
      <c r="F40" s="681"/>
      <c r="G40" s="897"/>
      <c r="H40" s="904">
        <f>+'53-Utility5'!I41</f>
        <v>0</v>
      </c>
    </row>
    <row r="41" spans="2:13" ht="21" customHeight="1">
      <c r="B41" s="681"/>
      <c r="C41" s="681" t="s">
        <v>852</v>
      </c>
      <c r="D41" s="681"/>
      <c r="E41" s="681"/>
      <c r="F41" s="681"/>
      <c r="G41" s="897"/>
      <c r="H41" s="904">
        <f>+'53-Utility5'!I24</f>
        <v>0</v>
      </c>
    </row>
    <row r="42" spans="2:13" ht="21" customHeight="1">
      <c r="B42" s="681"/>
      <c r="C42" s="681" t="s">
        <v>676</v>
      </c>
      <c r="D42" s="681"/>
      <c r="E42" s="681"/>
      <c r="F42" s="681"/>
      <c r="G42" s="897"/>
      <c r="H42" s="904">
        <f>+'54-Utility5'!I42</f>
        <v>0</v>
      </c>
    </row>
    <row r="43" spans="2:13" ht="21" customHeight="1" thickBot="1">
      <c r="B43" s="681"/>
      <c r="C43" s="681"/>
      <c r="D43" s="681"/>
      <c r="E43" s="681"/>
      <c r="F43" s="681"/>
      <c r="G43" s="1276"/>
      <c r="H43" s="1277"/>
      <c r="I43" s="392"/>
      <c r="M43" s="392"/>
    </row>
    <row r="44" spans="2:13" ht="21" customHeight="1" thickBot="1">
      <c r="B44" s="681"/>
      <c r="C44" s="681" t="s">
        <v>847</v>
      </c>
      <c r="D44" s="681"/>
      <c r="E44" s="681"/>
      <c r="F44" s="681"/>
      <c r="G44" s="1278">
        <f>SUM(G12:G42)</f>
        <v>0</v>
      </c>
      <c r="H44" s="1279">
        <f>SUM(H12:H43)</f>
        <v>0</v>
      </c>
      <c r="I44" s="392"/>
      <c r="K44" s="392"/>
    </row>
    <row r="45" spans="2:13" ht="13.8" thickTop="1">
      <c r="B45" s="1961" t="s">
        <v>103</v>
      </c>
      <c r="C45" s="1961"/>
      <c r="D45" s="1961"/>
      <c r="E45" s="1961"/>
      <c r="F45" s="1961"/>
      <c r="G45" s="1962"/>
      <c r="H45" s="1962"/>
    </row>
    <row r="46" spans="2:13">
      <c r="B46" s="1281"/>
      <c r="C46" s="1281"/>
      <c r="D46" s="1281"/>
      <c r="E46" s="1281"/>
      <c r="F46" s="1281"/>
      <c r="G46" s="1281"/>
      <c r="H46" s="1281"/>
    </row>
    <row r="47" spans="2:13">
      <c r="B47" s="1281"/>
      <c r="C47" s="1281"/>
      <c r="D47" s="1281"/>
      <c r="E47" s="1281"/>
      <c r="F47" s="1281"/>
      <c r="G47" s="1281"/>
      <c r="H47" s="1281"/>
    </row>
    <row r="48" spans="2:13">
      <c r="B48" s="1281"/>
      <c r="C48" s="1281"/>
      <c r="D48" s="1281"/>
      <c r="E48" s="1281"/>
      <c r="F48" s="1281"/>
      <c r="G48" s="1281"/>
      <c r="H48" s="1281"/>
    </row>
    <row r="49" spans="2:8">
      <c r="B49" s="1281"/>
      <c r="C49" s="1281"/>
      <c r="D49" s="1281"/>
      <c r="E49" s="1281"/>
      <c r="F49" s="1281"/>
      <c r="G49" s="1281"/>
      <c r="H49" s="1281"/>
    </row>
    <row r="50" spans="2:8" ht="13.8">
      <c r="B50" s="1994" t="s">
        <v>3459</v>
      </c>
      <c r="C50" s="1994"/>
      <c r="D50" s="1994"/>
      <c r="E50" s="1994"/>
      <c r="F50" s="1994"/>
      <c r="G50" s="1994"/>
      <c r="H50" s="1994"/>
    </row>
    <row r="55" spans="2:8">
      <c r="H55" s="392"/>
    </row>
  </sheetData>
  <sheetProtection password="CAF9"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0">
    <tabColor theme="7" tint="0.39997558519241921"/>
  </sheetPr>
  <dimension ref="B1:R49"/>
  <sheetViews>
    <sheetView topLeftCell="A22" zoomScaleNormal="100" zoomScaleSheetLayoutView="80" workbookViewId="0">
      <selection activeCell="L43" sqref="L43"/>
    </sheetView>
  </sheetViews>
  <sheetFormatPr defaultColWidth="9.109375" defaultRowHeight="13.2"/>
  <cols>
    <col min="1" max="1" width="4.6640625" style="324" customWidth="1"/>
    <col min="2" max="2" width="4.88671875" style="324" customWidth="1"/>
    <col min="3" max="4" width="4.6640625" style="324" customWidth="1"/>
    <col min="5" max="5" width="30.6640625" style="324" customWidth="1"/>
    <col min="6" max="6" width="15.6640625" style="324" customWidth="1"/>
    <col min="7" max="8" width="16.6640625" style="324" customWidth="1"/>
    <col min="9" max="16384" width="9.109375" style="324"/>
  </cols>
  <sheetData>
    <row r="1" spans="2:18">
      <c r="B1" s="1128"/>
      <c r="C1" s="1128"/>
      <c r="D1" s="1128"/>
      <c r="E1" s="1128"/>
      <c r="F1" s="1128"/>
      <c r="G1" s="1128"/>
      <c r="H1" s="1128"/>
    </row>
    <row r="2" spans="2:18">
      <c r="B2" s="1128"/>
      <c r="C2" s="1128"/>
      <c r="D2" s="1128"/>
      <c r="E2" s="1128"/>
      <c r="F2" s="1128"/>
      <c r="G2" s="1128"/>
      <c r="H2" s="1128"/>
    </row>
    <row r="3" spans="2:18" ht="22.8">
      <c r="B3" s="1820" t="s">
        <v>873</v>
      </c>
      <c r="C3" s="1820"/>
      <c r="D3" s="1820"/>
      <c r="E3" s="1820"/>
      <c r="F3" s="1820"/>
      <c r="G3" s="1820"/>
      <c r="H3" s="1820"/>
    </row>
    <row r="4" spans="2:18" ht="22.8">
      <c r="B4" s="1820" t="s">
        <v>874</v>
      </c>
      <c r="C4" s="1820"/>
      <c r="D4" s="1820"/>
      <c r="E4" s="1820"/>
      <c r="F4" s="1820"/>
      <c r="G4" s="1820"/>
      <c r="H4" s="1820"/>
    </row>
    <row r="5" spans="2:18" ht="15.6">
      <c r="B5" s="1821"/>
      <c r="C5" s="1821"/>
      <c r="D5" s="1821"/>
      <c r="E5" s="1821"/>
      <c r="F5" s="1821"/>
      <c r="G5" s="1821"/>
      <c r="H5" s="1821"/>
    </row>
    <row r="6" spans="2:18" ht="13.8">
      <c r="B6" s="1819" t="s">
        <v>875</v>
      </c>
      <c r="C6" s="1819"/>
      <c r="D6" s="1819"/>
      <c r="E6" s="1819"/>
      <c r="F6" s="1819"/>
      <c r="G6" s="1819"/>
      <c r="H6" s="1819"/>
    </row>
    <row r="7" spans="2:18" ht="13.8">
      <c r="B7" s="1819" t="s">
        <v>879</v>
      </c>
      <c r="C7" s="1819"/>
      <c r="D7" s="1819"/>
      <c r="E7" s="1819"/>
      <c r="F7" s="1819"/>
      <c r="G7" s="1819"/>
      <c r="H7" s="1819"/>
    </row>
    <row r="8" spans="2:18" ht="13.8">
      <c r="B8" s="1115"/>
      <c r="C8" s="1115"/>
      <c r="D8" s="1115"/>
      <c r="E8" s="1115"/>
      <c r="F8" s="1115"/>
      <c r="G8" s="1115"/>
      <c r="H8" s="1115"/>
    </row>
    <row r="9" spans="2:18" ht="15" customHeight="1" thickBot="1">
      <c r="B9" s="1822" t="str">
        <f>'KEY INPUTS'!D44</f>
        <v>AS  AT  DECEMBER  31, 2020</v>
      </c>
      <c r="C9" s="1821"/>
      <c r="D9" s="1821"/>
      <c r="E9" s="1821"/>
      <c r="F9" s="1821"/>
      <c r="G9" s="1821"/>
      <c r="H9" s="1821"/>
    </row>
    <row r="10" spans="2:18" ht="36" customHeight="1" thickTop="1" thickBot="1">
      <c r="B10" s="1823" t="s">
        <v>100</v>
      </c>
      <c r="C10" s="1823"/>
      <c r="D10" s="1823"/>
      <c r="E10" s="1823"/>
      <c r="F10" s="1824"/>
      <c r="G10" s="1116" t="s">
        <v>101</v>
      </c>
      <c r="H10" s="1117" t="s">
        <v>102</v>
      </c>
    </row>
    <row r="11" spans="2:18" ht="21" customHeight="1" thickTop="1">
      <c r="B11" s="1118" t="s">
        <v>375</v>
      </c>
      <c r="C11" s="1118"/>
      <c r="D11" s="1118"/>
      <c r="E11" s="1118"/>
      <c r="F11" s="1118"/>
      <c r="G11" s="641"/>
      <c r="H11" s="642"/>
      <c r="L11" s="315"/>
      <c r="M11" s="315"/>
      <c r="N11" s="315"/>
      <c r="O11" s="315"/>
      <c r="P11" s="315"/>
      <c r="Q11" s="315"/>
      <c r="R11" s="315"/>
    </row>
    <row r="12" spans="2:18" ht="21" customHeight="1">
      <c r="B12" s="639"/>
      <c r="C12" s="639"/>
      <c r="D12" s="639"/>
      <c r="E12" s="639"/>
      <c r="F12" s="639"/>
      <c r="G12" s="593"/>
      <c r="H12" s="601"/>
      <c r="L12" s="315"/>
      <c r="M12" s="315"/>
      <c r="N12" s="315"/>
      <c r="O12" s="315"/>
      <c r="P12" s="315"/>
      <c r="Q12" s="315"/>
      <c r="R12" s="315"/>
    </row>
    <row r="13" spans="2:18" ht="21" customHeight="1">
      <c r="B13" s="639"/>
      <c r="C13" s="639"/>
      <c r="D13" s="639"/>
      <c r="E13" s="639"/>
      <c r="F13" s="639"/>
      <c r="G13" s="593"/>
      <c r="H13" s="601"/>
      <c r="L13" s="370"/>
      <c r="M13" s="315"/>
      <c r="N13" s="315"/>
      <c r="O13" s="315"/>
      <c r="P13" s="315"/>
      <c r="Q13" s="315"/>
      <c r="R13" s="315"/>
    </row>
    <row r="14" spans="2:18" ht="21" customHeight="1">
      <c r="B14" s="639"/>
      <c r="C14" s="639"/>
      <c r="D14" s="639"/>
      <c r="E14" s="639"/>
      <c r="F14" s="639"/>
      <c r="G14" s="593"/>
      <c r="H14" s="601"/>
      <c r="L14" s="315"/>
      <c r="M14" s="315"/>
      <c r="N14" s="315"/>
      <c r="O14" s="315"/>
      <c r="P14" s="315"/>
      <c r="Q14" s="315"/>
      <c r="R14" s="315"/>
    </row>
    <row r="15" spans="2:18" ht="21" customHeight="1">
      <c r="B15" s="639"/>
      <c r="C15" s="639"/>
      <c r="D15" s="639"/>
      <c r="E15" s="639"/>
      <c r="F15" s="639"/>
      <c r="G15" s="593"/>
      <c r="H15" s="601"/>
      <c r="L15" s="315"/>
      <c r="M15" s="315"/>
      <c r="N15" s="315"/>
      <c r="O15" s="315"/>
      <c r="P15" s="315"/>
      <c r="Q15" s="315"/>
      <c r="R15" s="315"/>
    </row>
    <row r="16" spans="2:18" ht="21" customHeight="1">
      <c r="B16" s="639"/>
      <c r="C16" s="639"/>
      <c r="D16" s="639"/>
      <c r="E16" s="639"/>
      <c r="F16" s="639"/>
      <c r="G16" s="593"/>
      <c r="H16" s="601"/>
      <c r="L16" s="315"/>
      <c r="M16" s="315"/>
      <c r="N16" s="315"/>
      <c r="O16" s="315"/>
      <c r="P16" s="315"/>
      <c r="Q16" s="315"/>
      <c r="R16" s="315"/>
    </row>
    <row r="17" spans="2:18" ht="21" customHeight="1">
      <c r="B17" s="639"/>
      <c r="C17" s="639"/>
      <c r="D17" s="639"/>
      <c r="E17" s="639"/>
      <c r="F17" s="639"/>
      <c r="G17" s="593"/>
      <c r="H17" s="601"/>
      <c r="L17" s="315"/>
      <c r="M17" s="315"/>
      <c r="N17" s="315"/>
      <c r="O17" s="315"/>
      <c r="P17" s="315"/>
      <c r="Q17" s="315"/>
      <c r="R17" s="315"/>
    </row>
    <row r="18" spans="2:18" ht="21" customHeight="1">
      <c r="B18" s="639"/>
      <c r="C18" s="639"/>
      <c r="D18" s="639"/>
      <c r="E18" s="639"/>
      <c r="F18" s="639"/>
      <c r="G18" s="593"/>
      <c r="H18" s="601"/>
      <c r="L18" s="315"/>
      <c r="M18" s="315"/>
      <c r="N18" s="315"/>
      <c r="O18" s="315"/>
      <c r="P18" s="315"/>
      <c r="Q18" s="315"/>
      <c r="R18" s="315"/>
    </row>
    <row r="19" spans="2:18" ht="21" customHeight="1">
      <c r="B19" s="639"/>
      <c r="C19" s="639"/>
      <c r="D19" s="639"/>
      <c r="E19" s="639"/>
      <c r="F19" s="639"/>
      <c r="G19" s="593"/>
      <c r="H19" s="601"/>
      <c r="L19" s="315"/>
      <c r="M19" s="315"/>
      <c r="N19" s="315"/>
      <c r="O19" s="315"/>
      <c r="P19" s="315"/>
      <c r="Q19" s="315"/>
      <c r="R19" s="315"/>
    </row>
    <row r="20" spans="2:18" ht="21" customHeight="1">
      <c r="B20" s="639"/>
      <c r="C20" s="639"/>
      <c r="D20" s="639"/>
      <c r="E20" s="639"/>
      <c r="F20" s="639"/>
      <c r="G20" s="593"/>
      <c r="H20" s="601"/>
      <c r="L20" s="315"/>
      <c r="M20" s="315"/>
      <c r="N20" s="315"/>
      <c r="O20" s="315"/>
      <c r="P20" s="315"/>
      <c r="Q20" s="315"/>
      <c r="R20" s="315"/>
    </row>
    <row r="21" spans="2:18" ht="21" customHeight="1">
      <c r="B21" s="639"/>
      <c r="C21" s="639"/>
      <c r="D21" s="639"/>
      <c r="E21" s="639"/>
      <c r="F21" s="639"/>
      <c r="G21" s="593"/>
      <c r="H21" s="601"/>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L23" s="315"/>
      <c r="M23" s="315"/>
      <c r="N23" s="315"/>
      <c r="O23" s="315"/>
      <c r="P23" s="315"/>
      <c r="Q23" s="315"/>
      <c r="R23" s="315"/>
    </row>
    <row r="24" spans="2:18" ht="21" customHeight="1">
      <c r="B24" s="639"/>
      <c r="C24" s="639"/>
      <c r="D24" s="639"/>
      <c r="E24" s="639"/>
      <c r="F24" s="639"/>
      <c r="G24" s="593"/>
      <c r="H24" s="601"/>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39"/>
      <c r="C26" s="639"/>
      <c r="D26" s="639"/>
      <c r="E26" s="639"/>
      <c r="F26" s="639"/>
      <c r="G26" s="593"/>
      <c r="H26" s="601"/>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639"/>
      <c r="C30" s="639"/>
      <c r="D30" s="639"/>
      <c r="E30" s="639"/>
      <c r="F30" s="639"/>
      <c r="G30" s="593"/>
      <c r="H30" s="601"/>
    </row>
    <row r="31" spans="2:18" ht="21" customHeight="1">
      <c r="B31" s="639"/>
      <c r="C31" s="639"/>
      <c r="D31" s="639"/>
      <c r="E31" s="639"/>
      <c r="F31" s="639"/>
      <c r="G31" s="593"/>
      <c r="H31" s="601"/>
    </row>
    <row r="32" spans="2:18" ht="21" customHeight="1">
      <c r="B32" s="639"/>
      <c r="C32" s="639"/>
      <c r="D32" s="639"/>
      <c r="E32" s="639"/>
      <c r="F32" s="639"/>
      <c r="G32" s="593"/>
      <c r="H32" s="601"/>
    </row>
    <row r="33" spans="2:8" ht="21" customHeight="1">
      <c r="B33" s="639"/>
      <c r="C33" s="639"/>
      <c r="D33" s="639"/>
      <c r="E33" s="639"/>
      <c r="F33" s="639"/>
      <c r="G33" s="593"/>
      <c r="H33" s="601"/>
    </row>
    <row r="34" spans="2:8" ht="21" customHeight="1">
      <c r="B34" s="639"/>
      <c r="C34" s="639"/>
      <c r="D34" s="639"/>
      <c r="E34" s="639"/>
      <c r="F34" s="639"/>
      <c r="G34" s="593"/>
      <c r="H34" s="601"/>
    </row>
    <row r="35" spans="2:8" ht="21" customHeight="1">
      <c r="B35" s="639"/>
      <c r="C35" s="639"/>
      <c r="D35" s="639"/>
      <c r="E35" s="639"/>
      <c r="F35" s="639"/>
      <c r="G35" s="593"/>
      <c r="H35" s="601"/>
    </row>
    <row r="36" spans="2:8" ht="21" customHeight="1">
      <c r="B36" s="639"/>
      <c r="C36" s="639"/>
      <c r="D36" s="639"/>
      <c r="E36" s="639"/>
      <c r="F36" s="639"/>
      <c r="G36" s="593"/>
      <c r="H36" s="601"/>
    </row>
    <row r="37" spans="2:8" ht="21" customHeight="1">
      <c r="B37" s="639"/>
      <c r="C37" s="639"/>
      <c r="D37" s="639"/>
      <c r="E37" s="639"/>
      <c r="F37" s="639"/>
      <c r="G37" s="593"/>
      <c r="H37" s="601"/>
    </row>
    <row r="38" spans="2:8" ht="21" customHeight="1">
      <c r="B38" s="1119" t="s">
        <v>3261</v>
      </c>
      <c r="C38" s="1119"/>
      <c r="D38" s="1119"/>
      <c r="E38" s="1119"/>
      <c r="F38" s="1119"/>
      <c r="G38" s="593"/>
      <c r="H38" s="1108">
        <f>+'51-Utility5'!G23</f>
        <v>0</v>
      </c>
    </row>
    <row r="39" spans="2:8" ht="21" customHeight="1">
      <c r="B39" s="1119" t="s">
        <v>3262</v>
      </c>
      <c r="C39" s="1119"/>
      <c r="D39" s="1119"/>
      <c r="E39" s="1119"/>
      <c r="F39" s="1119"/>
      <c r="G39" s="593"/>
      <c r="H39" s="1108">
        <f>+'49-Utility5'!G11</f>
        <v>0</v>
      </c>
    </row>
    <row r="40" spans="2:8" ht="21" customHeight="1">
      <c r="B40" s="1119" t="s">
        <v>846</v>
      </c>
      <c r="C40" s="1119"/>
      <c r="D40" s="1119"/>
      <c r="E40" s="1119"/>
      <c r="F40" s="1119"/>
      <c r="G40" s="593"/>
      <c r="H40" s="1108">
        <f>'43-Utility5'!L20</f>
        <v>0</v>
      </c>
    </row>
    <row r="41" spans="2:8" ht="21" customHeight="1">
      <c r="B41" s="639"/>
      <c r="C41" s="639"/>
      <c r="D41" s="639"/>
      <c r="E41" s="639"/>
      <c r="F41" s="639"/>
      <c r="G41" s="593"/>
      <c r="H41" s="601"/>
    </row>
    <row r="42" spans="2:8" ht="21" customHeight="1">
      <c r="B42" s="639"/>
      <c r="C42" s="639"/>
      <c r="D42" s="639"/>
      <c r="E42" s="639"/>
      <c r="F42" s="639"/>
      <c r="G42" s="593"/>
      <c r="H42" s="601"/>
    </row>
    <row r="43" spans="2:8" ht="21" customHeight="1">
      <c r="B43" s="1121"/>
      <c r="C43" s="1121"/>
      <c r="D43" s="1121"/>
      <c r="E43" s="1121"/>
      <c r="F43" s="1121"/>
      <c r="G43" s="1087">
        <f>SUM(G11:G42)</f>
        <v>0</v>
      </c>
      <c r="H43" s="1122">
        <f>SUM(H11:H42)</f>
        <v>0</v>
      </c>
    </row>
    <row r="44" spans="2:8">
      <c r="B44" s="1825" t="s">
        <v>103</v>
      </c>
      <c r="C44" s="1825"/>
      <c r="D44" s="1825"/>
      <c r="E44" s="1825"/>
      <c r="F44" s="1825"/>
      <c r="G44" s="1825"/>
      <c r="H44" s="1825"/>
    </row>
    <row r="45" spans="2:8">
      <c r="B45" s="1123"/>
      <c r="C45" s="1123"/>
      <c r="D45" s="1123"/>
      <c r="E45" s="1123"/>
      <c r="F45" s="1123"/>
      <c r="G45" s="1123"/>
      <c r="H45" s="1123"/>
    </row>
    <row r="46" spans="2:8">
      <c r="B46" s="1123"/>
      <c r="C46" s="1123"/>
      <c r="D46" s="1123"/>
      <c r="E46" s="1123"/>
      <c r="F46" s="1123"/>
      <c r="G46" s="1123"/>
      <c r="H46" s="1123"/>
    </row>
    <row r="47" spans="2:8">
      <c r="B47" s="1123"/>
      <c r="C47" s="1123"/>
      <c r="D47" s="1123"/>
      <c r="E47" s="1123"/>
      <c r="F47" s="1123"/>
      <c r="G47" s="1123"/>
      <c r="H47" s="1123"/>
    </row>
    <row r="48" spans="2:8">
      <c r="B48" s="1123"/>
      <c r="C48" s="1123"/>
      <c r="D48" s="1123"/>
      <c r="E48" s="1123"/>
      <c r="F48" s="1123"/>
      <c r="G48" s="1123"/>
      <c r="H48" s="1123"/>
    </row>
    <row r="49" spans="2:8" ht="13.8">
      <c r="B49" s="1818" t="s">
        <v>3199</v>
      </c>
      <c r="C49" s="1818"/>
      <c r="D49" s="1818"/>
      <c r="E49" s="1818"/>
      <c r="F49" s="1818"/>
      <c r="G49" s="1818"/>
      <c r="H49" s="1818"/>
    </row>
  </sheetData>
  <sheetProtection algorithmName="SHA-512" hashValue="7n6CHEKv/GPTOwrVqfrW5ZWqKQfLI6gOWQEqjdhks1DsUbAf3aZRvCDZkk6ArYFS2wCcN4cOOo7vEKlPTL1WmQ==" saltValue="gNKFsbzTyw2waVwRtgSkxw==" spinCount="100000" sheet="1" objects="1" scenarios="1"/>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1">
    <tabColor theme="7" tint="0.39997558519241921"/>
  </sheetPr>
  <dimension ref="A2:V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0.6640625" style="324" customWidth="1"/>
    <col min="5" max="12" width="15.6640625" style="324" customWidth="1"/>
    <col min="13" max="16384" width="9.109375" style="324"/>
  </cols>
  <sheetData>
    <row r="2" spans="1:22" ht="20.399999999999999">
      <c r="B2" s="1826" t="str">
        <f>"ANALYSIS  OF "&amp;UPPER('KEY INPUTS'!D56)&amp;" UTILITY  ASSESSMENT  TRUST  CASH  AND  INVESTMENTS"</f>
        <v>ANALYSIS  OF  UTILITY  ASSESSMENT  TRUST  CASH  AND  INVESTMENTS</v>
      </c>
      <c r="C2" s="1826"/>
      <c r="D2" s="1826"/>
      <c r="E2" s="1826"/>
      <c r="F2" s="1826"/>
      <c r="G2" s="1826"/>
      <c r="H2" s="1826"/>
      <c r="I2" s="1826"/>
      <c r="J2" s="1826"/>
      <c r="K2" s="1826"/>
      <c r="L2" s="1826"/>
    </row>
    <row r="3" spans="1:22" ht="21" thickBot="1">
      <c r="B3" s="1826" t="s">
        <v>880</v>
      </c>
      <c r="C3" s="1826"/>
      <c r="D3" s="1826"/>
      <c r="E3" s="1826"/>
      <c r="F3" s="1826"/>
      <c r="G3" s="1826"/>
      <c r="H3" s="1826"/>
      <c r="I3" s="1826"/>
      <c r="J3" s="1826"/>
      <c r="K3" s="1826"/>
      <c r="L3" s="1826"/>
    </row>
    <row r="4" spans="1:22" ht="13.8" thickTop="1">
      <c r="B4" s="1124"/>
      <c r="C4" s="1124"/>
      <c r="D4" s="1124"/>
      <c r="E4" s="1125" t="s">
        <v>558</v>
      </c>
      <c r="F4" s="1124"/>
      <c r="G4" s="1124"/>
      <c r="H4" s="1124"/>
      <c r="I4" s="1124"/>
      <c r="J4" s="1126"/>
      <c r="K4" s="1124"/>
      <c r="L4" s="1127"/>
    </row>
    <row r="5" spans="1:22" ht="15.6">
      <c r="B5" s="1128"/>
      <c r="C5" s="1128" t="s">
        <v>566</v>
      </c>
      <c r="D5" s="1128"/>
      <c r="E5" s="1129" t="s">
        <v>559</v>
      </c>
      <c r="F5" s="1827" t="s">
        <v>560</v>
      </c>
      <c r="G5" s="1828"/>
      <c r="H5" s="1828"/>
      <c r="I5" s="1829"/>
      <c r="J5" s="1130"/>
      <c r="K5" s="1128"/>
      <c r="L5" s="1131" t="s">
        <v>559</v>
      </c>
    </row>
    <row r="6" spans="1:22">
      <c r="B6" s="1128"/>
      <c r="C6" s="1128" t="s">
        <v>567</v>
      </c>
      <c r="D6" s="1128"/>
      <c r="E6" s="1132" t="str">
        <f>'KEY INPUTS'!D45</f>
        <v>Dec. 31, 2019</v>
      </c>
      <c r="F6" s="1129" t="s">
        <v>561</v>
      </c>
      <c r="G6" s="1129" t="s">
        <v>262</v>
      </c>
      <c r="H6" s="1130"/>
      <c r="I6" s="1130"/>
      <c r="J6" s="1130"/>
      <c r="K6" s="1133" t="s">
        <v>565</v>
      </c>
      <c r="L6" s="1134" t="str">
        <f>'KEY INPUTS'!D46</f>
        <v>Dec. 31, 2020</v>
      </c>
    </row>
    <row r="7" spans="1:22" ht="13.8" thickBot="1">
      <c r="B7" s="1135"/>
      <c r="C7" s="1135"/>
      <c r="D7" s="1135"/>
      <c r="E7" s="1136"/>
      <c r="F7" s="1137" t="s">
        <v>562</v>
      </c>
      <c r="G7" s="1137" t="s">
        <v>564</v>
      </c>
      <c r="H7" s="1136"/>
      <c r="I7" s="1136"/>
      <c r="J7" s="1136"/>
      <c r="K7" s="1138"/>
      <c r="L7" s="1139"/>
    </row>
    <row r="8" spans="1:22" ht="21" customHeight="1" thickTop="1">
      <c r="B8" s="1140" t="s">
        <v>656</v>
      </c>
      <c r="C8" s="1140"/>
      <c r="D8" s="1141"/>
      <c r="E8" s="1070" t="s">
        <v>662</v>
      </c>
      <c r="F8" s="1070" t="s">
        <v>662</v>
      </c>
      <c r="G8" s="1070" t="s">
        <v>662</v>
      </c>
      <c r="H8" s="1070" t="s">
        <v>662</v>
      </c>
      <c r="I8" s="1070" t="s">
        <v>662</v>
      </c>
      <c r="J8" s="1070" t="s">
        <v>662</v>
      </c>
      <c r="K8" s="1070" t="s">
        <v>662</v>
      </c>
      <c r="L8" s="858" t="s">
        <v>662</v>
      </c>
      <c r="P8" s="315"/>
      <c r="Q8" s="315"/>
      <c r="R8" s="315"/>
      <c r="S8" s="315"/>
      <c r="T8" s="315"/>
      <c r="U8" s="315"/>
      <c r="V8" s="315"/>
    </row>
    <row r="9" spans="1:22" ht="21" customHeight="1">
      <c r="B9" s="639"/>
      <c r="C9" s="639"/>
      <c r="D9" s="643"/>
      <c r="E9" s="593"/>
      <c r="F9" s="593"/>
      <c r="G9" s="593"/>
      <c r="H9" s="593"/>
      <c r="I9" s="593"/>
      <c r="J9" s="593"/>
      <c r="K9" s="593"/>
      <c r="L9" s="1063">
        <f>+E9+F9+G9+H9+I9+J9-K9</f>
        <v>0</v>
      </c>
      <c r="P9" s="315"/>
      <c r="Q9" s="315"/>
      <c r="R9" s="315"/>
      <c r="S9" s="315"/>
      <c r="T9" s="315"/>
      <c r="U9" s="315"/>
      <c r="V9" s="315"/>
    </row>
    <row r="10" spans="1:22" ht="21" customHeight="1">
      <c r="B10" s="639"/>
      <c r="C10" s="639"/>
      <c r="D10" s="643"/>
      <c r="E10" s="593"/>
      <c r="F10" s="593"/>
      <c r="G10" s="593"/>
      <c r="H10" s="593"/>
      <c r="I10" s="593"/>
      <c r="J10" s="593"/>
      <c r="K10" s="593"/>
      <c r="L10" s="1063">
        <f t="shared" ref="L10:L25" si="0">+E10+F10+G10+H10+I10+J10-K10</f>
        <v>0</v>
      </c>
      <c r="P10" s="370"/>
      <c r="Q10" s="315"/>
      <c r="R10" s="315"/>
      <c r="S10" s="315"/>
      <c r="T10" s="315"/>
      <c r="U10" s="315"/>
      <c r="V10" s="315"/>
    </row>
    <row r="11" spans="1:22" ht="21" customHeight="1">
      <c r="B11" s="639"/>
      <c r="C11" s="639"/>
      <c r="D11" s="643"/>
      <c r="E11" s="593"/>
      <c r="F11" s="593"/>
      <c r="G11" s="593"/>
      <c r="H11" s="593"/>
      <c r="I11" s="593"/>
      <c r="J11" s="593"/>
      <c r="K11" s="593"/>
      <c r="L11" s="1063">
        <f t="shared" si="0"/>
        <v>0</v>
      </c>
      <c r="P11" s="315"/>
      <c r="Q11" s="315"/>
      <c r="R11" s="315"/>
      <c r="S11" s="315"/>
      <c r="T11" s="315"/>
      <c r="U11" s="315"/>
      <c r="V11" s="315"/>
    </row>
    <row r="12" spans="1:22" ht="21" customHeight="1">
      <c r="B12" s="639"/>
      <c r="C12" s="639"/>
      <c r="D12" s="643"/>
      <c r="E12" s="593"/>
      <c r="F12" s="593"/>
      <c r="G12" s="593"/>
      <c r="H12" s="593"/>
      <c r="I12" s="593"/>
      <c r="J12" s="593"/>
      <c r="K12" s="593"/>
      <c r="L12" s="1063">
        <f t="shared" si="0"/>
        <v>0</v>
      </c>
      <c r="P12" s="315"/>
      <c r="Q12" s="315"/>
      <c r="R12" s="315"/>
      <c r="S12" s="315"/>
      <c r="T12" s="315"/>
      <c r="U12" s="315"/>
      <c r="V12" s="315"/>
    </row>
    <row r="13" spans="1:22" ht="21" customHeight="1">
      <c r="B13" s="639"/>
      <c r="C13" s="639"/>
      <c r="D13" s="643"/>
      <c r="E13" s="596"/>
      <c r="F13" s="593"/>
      <c r="G13" s="593"/>
      <c r="H13" s="593"/>
      <c r="I13" s="593"/>
      <c r="J13" s="593"/>
      <c r="K13" s="593"/>
      <c r="L13" s="1063">
        <f t="shared" si="0"/>
        <v>0</v>
      </c>
      <c r="P13" s="315"/>
      <c r="Q13" s="315"/>
      <c r="R13" s="315"/>
      <c r="S13" s="315"/>
      <c r="T13" s="315"/>
      <c r="U13" s="315"/>
      <c r="V13" s="315"/>
    </row>
    <row r="14" spans="1:22" ht="21" customHeight="1">
      <c r="B14" s="1121" t="s">
        <v>657</v>
      </c>
      <c r="C14" s="1121"/>
      <c r="D14" s="1147"/>
      <c r="E14" s="963" t="s">
        <v>662</v>
      </c>
      <c r="F14" s="963" t="s">
        <v>662</v>
      </c>
      <c r="G14" s="963" t="s">
        <v>662</v>
      </c>
      <c r="H14" s="963" t="s">
        <v>662</v>
      </c>
      <c r="I14" s="963" t="s">
        <v>662</v>
      </c>
      <c r="J14" s="963" t="s">
        <v>662</v>
      </c>
      <c r="K14" s="963" t="s">
        <v>662</v>
      </c>
      <c r="L14" s="860" t="s">
        <v>662</v>
      </c>
      <c r="P14" s="315"/>
      <c r="Q14" s="315"/>
      <c r="R14" s="315"/>
      <c r="S14" s="315"/>
      <c r="T14" s="315"/>
      <c r="U14" s="315"/>
      <c r="V14" s="315"/>
    </row>
    <row r="15" spans="1:22" ht="21" customHeight="1">
      <c r="A15" s="1830" t="s">
        <v>3200</v>
      </c>
      <c r="B15" s="639"/>
      <c r="C15" s="639"/>
      <c r="D15" s="643"/>
      <c r="E15" s="593"/>
      <c r="F15" s="593"/>
      <c r="G15" s="593"/>
      <c r="H15" s="593"/>
      <c r="I15" s="593"/>
      <c r="J15" s="593"/>
      <c r="K15" s="593"/>
      <c r="L15" s="1063">
        <f t="shared" si="0"/>
        <v>0</v>
      </c>
      <c r="P15" s="315"/>
      <c r="Q15" s="315"/>
      <c r="R15" s="315"/>
      <c r="S15" s="315"/>
      <c r="T15" s="315"/>
      <c r="U15" s="315"/>
      <c r="V15" s="315"/>
    </row>
    <row r="16" spans="1:22" ht="21" customHeight="1">
      <c r="A16" s="1830"/>
      <c r="B16" s="639"/>
      <c r="C16" s="639"/>
      <c r="D16" s="643"/>
      <c r="E16" s="593"/>
      <c r="F16" s="593"/>
      <c r="G16" s="593"/>
      <c r="H16" s="593"/>
      <c r="I16" s="593"/>
      <c r="J16" s="593"/>
      <c r="K16" s="593"/>
      <c r="L16" s="1063">
        <f t="shared" si="0"/>
        <v>0</v>
      </c>
      <c r="P16" s="315"/>
      <c r="Q16" s="315"/>
      <c r="R16" s="315"/>
      <c r="S16" s="315"/>
      <c r="T16" s="315"/>
      <c r="U16" s="315"/>
      <c r="V16" s="315"/>
    </row>
    <row r="17" spans="1:22" ht="21" customHeight="1">
      <c r="A17" s="1830"/>
      <c r="B17" s="639"/>
      <c r="C17" s="639"/>
      <c r="D17" s="643"/>
      <c r="E17" s="593"/>
      <c r="F17" s="593"/>
      <c r="G17" s="593"/>
      <c r="H17" s="593"/>
      <c r="I17" s="593"/>
      <c r="J17" s="593"/>
      <c r="K17" s="593"/>
      <c r="L17" s="1063">
        <f t="shared" si="0"/>
        <v>0</v>
      </c>
      <c r="P17" s="315"/>
      <c r="Q17" s="315"/>
      <c r="R17" s="315"/>
      <c r="S17" s="315"/>
      <c r="T17" s="315"/>
      <c r="U17" s="315"/>
      <c r="V17" s="315"/>
    </row>
    <row r="18" spans="1:22" ht="21" customHeight="1">
      <c r="B18" s="639"/>
      <c r="C18" s="639"/>
      <c r="D18" s="643"/>
      <c r="E18" s="593"/>
      <c r="F18" s="593"/>
      <c r="G18" s="593"/>
      <c r="H18" s="593"/>
      <c r="I18" s="593"/>
      <c r="J18" s="593"/>
      <c r="K18" s="593"/>
      <c r="L18" s="1063">
        <f t="shared" si="0"/>
        <v>0</v>
      </c>
      <c r="P18" s="315"/>
      <c r="Q18" s="315"/>
      <c r="R18" s="315"/>
      <c r="S18" s="315"/>
      <c r="T18" s="315"/>
      <c r="U18" s="315"/>
      <c r="V18" s="315"/>
    </row>
    <row r="19" spans="1:22" ht="21" customHeight="1">
      <c r="B19" s="1121" t="s">
        <v>658</v>
      </c>
      <c r="C19" s="1121"/>
      <c r="D19" s="1147"/>
      <c r="E19" s="593"/>
      <c r="F19" s="593"/>
      <c r="G19" s="593"/>
      <c r="H19" s="593"/>
      <c r="I19" s="593"/>
      <c r="J19" s="593"/>
      <c r="K19" s="593"/>
      <c r="L19" s="1063">
        <f t="shared" si="0"/>
        <v>0</v>
      </c>
      <c r="P19" s="315"/>
      <c r="Q19" s="315"/>
      <c r="R19" s="315"/>
      <c r="S19" s="315"/>
      <c r="T19" s="315"/>
      <c r="U19" s="315"/>
      <c r="V19" s="315"/>
    </row>
    <row r="20" spans="1:22" ht="21" customHeight="1">
      <c r="B20" s="1121" t="s">
        <v>659</v>
      </c>
      <c r="C20" s="1121"/>
      <c r="D20" s="1147"/>
      <c r="E20" s="593"/>
      <c r="F20" s="593"/>
      <c r="G20" s="593"/>
      <c r="H20" s="593"/>
      <c r="I20" s="593"/>
      <c r="J20" s="593"/>
      <c r="K20" s="593"/>
      <c r="L20" s="1063">
        <f t="shared" si="0"/>
        <v>0</v>
      </c>
      <c r="P20" s="315"/>
      <c r="Q20" s="315"/>
      <c r="R20" s="315"/>
      <c r="S20" s="315"/>
      <c r="T20" s="315"/>
      <c r="U20" s="315"/>
      <c r="V20" s="315"/>
    </row>
    <row r="21" spans="1:22" ht="21" customHeight="1">
      <c r="B21" s="1121" t="s">
        <v>263</v>
      </c>
      <c r="C21" s="1121"/>
      <c r="D21" s="1147"/>
      <c r="E21" s="963" t="s">
        <v>662</v>
      </c>
      <c r="F21" s="963" t="s">
        <v>662</v>
      </c>
      <c r="G21" s="963" t="s">
        <v>662</v>
      </c>
      <c r="H21" s="963" t="s">
        <v>662</v>
      </c>
      <c r="I21" s="963" t="s">
        <v>662</v>
      </c>
      <c r="J21" s="963" t="s">
        <v>662</v>
      </c>
      <c r="K21" s="963" t="s">
        <v>662</v>
      </c>
      <c r="L21" s="860" t="s">
        <v>662</v>
      </c>
      <c r="P21" s="315"/>
      <c r="Q21" s="315"/>
      <c r="R21" s="315"/>
      <c r="S21" s="315"/>
      <c r="T21" s="315"/>
      <c r="U21" s="315"/>
      <c r="V21" s="315"/>
    </row>
    <row r="22" spans="1:22" ht="21" customHeight="1">
      <c r="B22" s="639"/>
      <c r="C22" s="639"/>
      <c r="D22" s="643"/>
      <c r="E22" s="593"/>
      <c r="F22" s="593"/>
      <c r="G22" s="593"/>
      <c r="H22" s="593"/>
      <c r="I22" s="593"/>
      <c r="J22" s="593"/>
      <c r="K22" s="593"/>
      <c r="L22" s="1063">
        <f t="shared" si="0"/>
        <v>0</v>
      </c>
      <c r="P22" s="315"/>
      <c r="Q22" s="315"/>
      <c r="R22" s="315"/>
      <c r="S22" s="315"/>
      <c r="T22" s="315"/>
      <c r="U22" s="315"/>
      <c r="V22" s="315"/>
    </row>
    <row r="23" spans="1:22" ht="21" customHeight="1">
      <c r="B23" s="639"/>
      <c r="C23" s="639"/>
      <c r="D23" s="643"/>
      <c r="E23" s="593"/>
      <c r="F23" s="593"/>
      <c r="G23" s="593"/>
      <c r="H23" s="593"/>
      <c r="I23" s="593"/>
      <c r="J23" s="593"/>
      <c r="K23" s="593"/>
      <c r="L23" s="1063">
        <f t="shared" si="0"/>
        <v>0</v>
      </c>
      <c r="P23" s="315"/>
      <c r="Q23" s="315"/>
      <c r="R23" s="315"/>
      <c r="S23" s="315"/>
      <c r="T23" s="315"/>
      <c r="U23" s="315"/>
      <c r="V23" s="315"/>
    </row>
    <row r="24" spans="1:22" ht="21" customHeight="1">
      <c r="B24" s="639"/>
      <c r="C24" s="639"/>
      <c r="D24" s="643"/>
      <c r="E24" s="593"/>
      <c r="F24" s="593"/>
      <c r="G24" s="593"/>
      <c r="H24" s="593"/>
      <c r="I24" s="593"/>
      <c r="J24" s="593"/>
      <c r="K24" s="593"/>
      <c r="L24" s="1063">
        <f t="shared" si="0"/>
        <v>0</v>
      </c>
      <c r="P24" s="315"/>
      <c r="Q24" s="315"/>
      <c r="R24" s="315"/>
      <c r="S24" s="315"/>
      <c r="T24" s="315"/>
      <c r="U24" s="315"/>
      <c r="V24" s="315"/>
    </row>
    <row r="25" spans="1:22" ht="21" customHeight="1" thickBot="1">
      <c r="B25" s="639"/>
      <c r="C25" s="639"/>
      <c r="D25" s="643"/>
      <c r="E25" s="619"/>
      <c r="F25" s="619"/>
      <c r="G25" s="619"/>
      <c r="H25" s="619"/>
      <c r="I25" s="619"/>
      <c r="J25" s="619"/>
      <c r="K25" s="619"/>
      <c r="L25" s="1142">
        <f t="shared" si="0"/>
        <v>0</v>
      </c>
    </row>
    <row r="26" spans="1:22" ht="21" customHeight="1" thickTop="1" thickBot="1">
      <c r="B26" s="1144"/>
      <c r="C26" s="1144"/>
      <c r="D26" s="1145"/>
      <c r="E26" s="1065">
        <f t="shared" ref="E26:K26" si="1">SUM(E9:E25)</f>
        <v>0</v>
      </c>
      <c r="F26" s="1065">
        <f t="shared" si="1"/>
        <v>0</v>
      </c>
      <c r="G26" s="1065">
        <f t="shared" si="1"/>
        <v>0</v>
      </c>
      <c r="H26" s="1065">
        <f t="shared" si="1"/>
        <v>0</v>
      </c>
      <c r="I26" s="1065">
        <f t="shared" si="1"/>
        <v>0</v>
      </c>
      <c r="J26" s="1065">
        <f t="shared" si="1"/>
        <v>0</v>
      </c>
      <c r="K26" s="1065">
        <f t="shared" si="1"/>
        <v>0</v>
      </c>
      <c r="L26" s="1143">
        <f>SUM(L9:L25)</f>
        <v>0</v>
      </c>
    </row>
    <row r="27" spans="1:22" ht="13.8" thickTop="1">
      <c r="B27" s="1146" t="s">
        <v>661</v>
      </c>
      <c r="C27" s="1128"/>
      <c r="D27" s="1128"/>
      <c r="E27" s="1128"/>
      <c r="F27" s="1128"/>
      <c r="G27" s="1128"/>
      <c r="H27" s="1128"/>
      <c r="I27" s="1128"/>
      <c r="J27" s="1128"/>
      <c r="K27" s="1128"/>
      <c r="L27" s="1128"/>
    </row>
  </sheetData>
  <sheetProtection password="CAF9"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2">
    <tabColor theme="7" tint="0.39997558519241921"/>
  </sheetPr>
  <dimension ref="B1:T55"/>
  <sheetViews>
    <sheetView zoomScaleNormal="100" zoomScaleSheetLayoutView="80" workbookViewId="0">
      <selection activeCell="L19" sqref="L19"/>
    </sheetView>
  </sheetViews>
  <sheetFormatPr defaultColWidth="8.88671875" defaultRowHeight="13.2"/>
  <cols>
    <col min="1" max="1" width="4.6640625" style="391" customWidth="1"/>
    <col min="2" max="3" width="3.6640625" style="391" customWidth="1"/>
    <col min="4" max="4" width="4.6640625" style="391" customWidth="1"/>
    <col min="5" max="5" width="8.88671875" style="391"/>
    <col min="6" max="6" width="16.6640625" style="391" customWidth="1"/>
    <col min="7" max="7" width="8.6640625" style="391" customWidth="1"/>
    <col min="8" max="10" width="16.6640625" style="391" customWidth="1"/>
    <col min="11" max="11" width="8.88671875" style="391"/>
    <col min="12" max="12" width="11.33203125" style="391" bestFit="1" customWidth="1"/>
    <col min="13" max="16384" width="8.88671875" style="391"/>
  </cols>
  <sheetData>
    <row r="1" spans="2:20">
      <c r="B1" s="1096"/>
      <c r="C1" s="1096"/>
      <c r="D1" s="1096"/>
      <c r="E1" s="1096"/>
      <c r="F1" s="1096"/>
      <c r="G1" s="1096"/>
      <c r="H1" s="1096"/>
      <c r="I1" s="1096"/>
      <c r="J1" s="1096"/>
    </row>
    <row r="2" spans="2:20" ht="22.8">
      <c r="B2" s="1804" t="str">
        <f>"SCHEDULE  OF "&amp;UPPER('KEY INPUTS'!D56)&amp;" UTILITY  BUDGET  -  "&amp;TEXT('KEY INPUTS'!D34,"0")&amp;""</f>
        <v>SCHEDULE  OF  UTILITY  BUDGET  -  2020</v>
      </c>
      <c r="C2" s="1804"/>
      <c r="D2" s="1804"/>
      <c r="E2" s="1804"/>
      <c r="F2" s="1804"/>
      <c r="G2" s="1804"/>
      <c r="H2" s="1804"/>
      <c r="I2" s="1804"/>
      <c r="J2" s="1804"/>
    </row>
    <row r="3" spans="2:20" ht="12" customHeight="1">
      <c r="B3" s="1283"/>
      <c r="C3" s="1283"/>
      <c r="D3" s="1283"/>
      <c r="E3" s="1283"/>
      <c r="F3" s="1283"/>
      <c r="G3" s="1283"/>
      <c r="H3" s="1283"/>
      <c r="I3" s="1283"/>
      <c r="J3" s="1283"/>
    </row>
    <row r="4" spans="2:20" ht="17.25" customHeight="1" thickBot="1">
      <c r="B4" s="1963" t="s">
        <v>881</v>
      </c>
      <c r="C4" s="1963"/>
      <c r="D4" s="1963"/>
      <c r="E4" s="1963"/>
      <c r="F4" s="1963"/>
      <c r="G4" s="1963"/>
      <c r="H4" s="1963"/>
      <c r="I4" s="1963"/>
      <c r="J4" s="1963"/>
    </row>
    <row r="5" spans="2:20" ht="13.8" thickTop="1">
      <c r="B5" s="1964" t="s">
        <v>172</v>
      </c>
      <c r="C5" s="1964"/>
      <c r="D5" s="1964"/>
      <c r="E5" s="1964"/>
      <c r="F5" s="1964"/>
      <c r="G5" s="1929"/>
      <c r="H5" s="1220" t="s">
        <v>564</v>
      </c>
      <c r="I5" s="1220" t="s">
        <v>672</v>
      </c>
      <c r="J5" s="1284" t="s">
        <v>340</v>
      </c>
    </row>
    <row r="6" spans="2:20" ht="13.8" thickBot="1">
      <c r="B6" s="1965"/>
      <c r="C6" s="1965"/>
      <c r="D6" s="1965"/>
      <c r="E6" s="1965"/>
      <c r="F6" s="1965"/>
      <c r="G6" s="1966"/>
      <c r="H6" s="1285"/>
      <c r="I6" s="1285" t="s">
        <v>339</v>
      </c>
      <c r="J6" s="1286" t="s">
        <v>341</v>
      </c>
    </row>
    <row r="7" spans="2:20" ht="21" customHeight="1" thickTop="1">
      <c r="B7" s="1152" t="s">
        <v>3213</v>
      </c>
      <c r="C7" s="1152"/>
      <c r="D7" s="1152"/>
      <c r="E7" s="1152"/>
      <c r="F7" s="1152"/>
      <c r="G7" s="1287"/>
      <c r="H7" s="597"/>
      <c r="I7" s="1291">
        <f>H7</f>
        <v>0</v>
      </c>
      <c r="J7" s="1185">
        <f>+I7-H7</f>
        <v>0</v>
      </c>
    </row>
    <row r="8" spans="2:20" ht="10.5" customHeight="1">
      <c r="B8" s="1191" t="s">
        <v>3212</v>
      </c>
      <c r="C8" s="1096"/>
      <c r="D8" s="1096"/>
      <c r="E8" s="1096"/>
      <c r="F8" s="1096"/>
      <c r="G8" s="1288"/>
      <c r="H8" s="1290"/>
      <c r="I8" s="1290"/>
      <c r="J8" s="1100"/>
    </row>
    <row r="9" spans="2:20">
      <c r="B9" s="1110" t="s">
        <v>175</v>
      </c>
      <c r="C9" s="1110"/>
      <c r="D9" s="1110"/>
      <c r="E9" s="1110"/>
      <c r="F9" s="1110"/>
      <c r="G9" s="1289"/>
      <c r="H9" s="644"/>
      <c r="I9" s="644"/>
      <c r="J9" s="849">
        <f t="shared" ref="J9:J15" si="0">+I9-H9</f>
        <v>0</v>
      </c>
    </row>
    <row r="10" spans="2:20" ht="21" customHeight="1">
      <c r="B10" s="639"/>
      <c r="C10" s="639"/>
      <c r="D10" s="639"/>
      <c r="E10" s="639"/>
      <c r="F10" s="639"/>
      <c r="G10" s="1148"/>
      <c r="H10" s="771"/>
      <c r="I10" s="771"/>
      <c r="J10" s="1292">
        <f t="shared" si="0"/>
        <v>0</v>
      </c>
      <c r="N10" s="315"/>
      <c r="O10" s="315"/>
      <c r="P10" s="315"/>
      <c r="Q10" s="315"/>
      <c r="R10" s="315"/>
      <c r="S10" s="315"/>
      <c r="T10" s="315"/>
    </row>
    <row r="11" spans="2:20" ht="21" customHeight="1">
      <c r="B11" s="639"/>
      <c r="C11" s="639"/>
      <c r="D11" s="639"/>
      <c r="E11" s="639"/>
      <c r="F11" s="639"/>
      <c r="G11" s="1148"/>
      <c r="H11" s="771"/>
      <c r="I11" s="771"/>
      <c r="J11" s="1106">
        <f t="shared" si="0"/>
        <v>0</v>
      </c>
      <c r="N11" s="315"/>
      <c r="O11" s="315"/>
      <c r="P11" s="315"/>
      <c r="Q11" s="315"/>
      <c r="R11" s="315"/>
      <c r="S11" s="315"/>
      <c r="T11" s="315"/>
    </row>
    <row r="12" spans="2:20" ht="21" customHeight="1">
      <c r="B12" s="639"/>
      <c r="C12" s="639"/>
      <c r="D12" s="639"/>
      <c r="E12" s="639"/>
      <c r="F12" s="639"/>
      <c r="G12" s="1148"/>
      <c r="H12" s="771"/>
      <c r="I12" s="771"/>
      <c r="J12" s="1106">
        <f t="shared" si="0"/>
        <v>0</v>
      </c>
      <c r="N12" s="370"/>
      <c r="O12" s="315"/>
      <c r="P12" s="315"/>
      <c r="Q12" s="315"/>
      <c r="R12" s="315"/>
      <c r="S12" s="315"/>
      <c r="T12" s="315"/>
    </row>
    <row r="13" spans="2:20" ht="21" customHeight="1">
      <c r="B13" s="639"/>
      <c r="C13" s="639"/>
      <c r="D13" s="639"/>
      <c r="E13" s="639"/>
      <c r="F13" s="639"/>
      <c r="G13" s="1148"/>
      <c r="H13" s="771"/>
      <c r="I13" s="771"/>
      <c r="J13" s="1106">
        <f t="shared" si="0"/>
        <v>0</v>
      </c>
      <c r="N13" s="315"/>
      <c r="O13" s="315"/>
      <c r="P13" s="315"/>
      <c r="Q13" s="315"/>
      <c r="R13" s="315"/>
      <c r="S13" s="315"/>
      <c r="T13" s="315"/>
    </row>
    <row r="14" spans="2:20" ht="21" customHeight="1">
      <c r="B14" s="639"/>
      <c r="C14" s="639"/>
      <c r="D14" s="639"/>
      <c r="E14" s="639"/>
      <c r="F14" s="639"/>
      <c r="G14" s="1148"/>
      <c r="H14" s="771"/>
      <c r="I14" s="771"/>
      <c r="J14" s="1106">
        <f t="shared" si="0"/>
        <v>0</v>
      </c>
      <c r="N14" s="315"/>
      <c r="O14" s="315"/>
      <c r="P14" s="315"/>
      <c r="Q14" s="315"/>
      <c r="R14" s="315"/>
      <c r="S14" s="315"/>
      <c r="T14" s="315"/>
    </row>
    <row r="15" spans="2:20" ht="21" customHeight="1">
      <c r="B15" s="681" t="s">
        <v>3211</v>
      </c>
      <c r="C15" s="681"/>
      <c r="D15" s="681"/>
      <c r="E15" s="681"/>
      <c r="F15" s="681"/>
      <c r="G15" s="1289"/>
      <c r="H15" s="771"/>
      <c r="I15" s="771"/>
      <c r="J15" s="1106">
        <f t="shared" si="0"/>
        <v>0</v>
      </c>
      <c r="N15" s="315"/>
      <c r="O15" s="315"/>
      <c r="P15" s="315"/>
      <c r="Q15" s="315"/>
      <c r="R15" s="315"/>
      <c r="S15" s="315"/>
      <c r="T15" s="315"/>
    </row>
    <row r="16" spans="2:20" ht="21" customHeight="1">
      <c r="B16" s="681" t="s">
        <v>3210</v>
      </c>
      <c r="C16" s="681"/>
      <c r="D16" s="681"/>
      <c r="E16" s="681"/>
      <c r="F16" s="681"/>
      <c r="G16" s="1289"/>
      <c r="H16" s="771"/>
      <c r="I16" s="771"/>
      <c r="J16" s="1106"/>
      <c r="N16" s="315"/>
      <c r="O16" s="315"/>
      <c r="P16" s="315"/>
      <c r="Q16" s="315"/>
      <c r="R16" s="315"/>
      <c r="S16" s="315"/>
      <c r="T16" s="315"/>
    </row>
    <row r="17" spans="2:20" ht="21" customHeight="1">
      <c r="B17" s="681" t="s">
        <v>338</v>
      </c>
      <c r="C17" s="681"/>
      <c r="D17" s="681"/>
      <c r="E17" s="681"/>
      <c r="F17" s="681"/>
      <c r="G17" s="1289"/>
      <c r="H17" s="1156" t="s">
        <v>662</v>
      </c>
      <c r="I17" s="1156" t="s">
        <v>662</v>
      </c>
      <c r="J17" s="1282" t="s">
        <v>662</v>
      </c>
      <c r="N17" s="315"/>
      <c r="O17" s="315"/>
      <c r="P17" s="315"/>
      <c r="Q17" s="315"/>
      <c r="R17" s="315"/>
      <c r="S17" s="315"/>
      <c r="T17" s="315"/>
    </row>
    <row r="18" spans="2:20" ht="21" customHeight="1">
      <c r="B18" s="639"/>
      <c r="C18" s="639"/>
      <c r="D18" s="639"/>
      <c r="E18" s="639"/>
      <c r="F18" s="639"/>
      <c r="G18" s="639"/>
      <c r="H18" s="593"/>
      <c r="I18" s="593"/>
      <c r="J18" s="1106">
        <f>I18-H18</f>
        <v>0</v>
      </c>
      <c r="N18" s="315"/>
      <c r="O18" s="315"/>
      <c r="P18" s="315"/>
      <c r="Q18" s="315"/>
      <c r="R18" s="315"/>
      <c r="S18" s="315"/>
      <c r="T18" s="315"/>
    </row>
    <row r="19" spans="2:20" ht="21" customHeight="1" thickBot="1">
      <c r="B19" s="639"/>
      <c r="C19" s="639"/>
      <c r="D19" s="639"/>
      <c r="E19" s="639"/>
      <c r="F19" s="639"/>
      <c r="G19" s="639"/>
      <c r="H19" s="619"/>
      <c r="I19" s="619"/>
      <c r="J19" s="1523">
        <f>I19-H19</f>
        <v>0</v>
      </c>
      <c r="N19" s="315"/>
      <c r="O19" s="315"/>
      <c r="P19" s="315"/>
      <c r="Q19" s="315"/>
      <c r="R19" s="315"/>
      <c r="S19" s="315"/>
      <c r="T19" s="315"/>
    </row>
    <row r="20" spans="2:20" ht="21" customHeight="1" thickTop="1">
      <c r="B20" s="681"/>
      <c r="C20" s="681"/>
      <c r="D20" s="681" t="s">
        <v>337</v>
      </c>
      <c r="E20" s="681"/>
      <c r="F20" s="681"/>
      <c r="G20" s="1294"/>
      <c r="H20" s="1297">
        <f>SUM(H7:H19)</f>
        <v>0</v>
      </c>
      <c r="I20" s="1297">
        <f>SUM(I7:I19)</f>
        <v>0</v>
      </c>
      <c r="J20" s="849">
        <f>SUM(J7:J19)</f>
        <v>0</v>
      </c>
      <c r="N20" s="315"/>
      <c r="O20" s="315"/>
      <c r="P20" s="315"/>
      <c r="Q20" s="315"/>
      <c r="R20" s="315"/>
      <c r="S20" s="315"/>
      <c r="T20" s="315"/>
    </row>
    <row r="21" spans="2:20" ht="21" customHeight="1" thickBot="1">
      <c r="B21" s="681" t="s">
        <v>3209</v>
      </c>
      <c r="C21" s="1295"/>
      <c r="D21" s="1295"/>
      <c r="E21" s="681"/>
      <c r="F21" s="681"/>
      <c r="G21" s="1289"/>
      <c r="H21" s="645"/>
      <c r="I21" s="645"/>
      <c r="J21" s="1100">
        <f>I21-H21</f>
        <v>0</v>
      </c>
      <c r="N21" s="315"/>
      <c r="O21" s="315"/>
      <c r="P21" s="315"/>
      <c r="Q21" s="315"/>
      <c r="R21" s="315"/>
      <c r="S21" s="315"/>
      <c r="T21" s="315"/>
    </row>
    <row r="22" spans="2:20" ht="21" customHeight="1" thickTop="1" thickBot="1">
      <c r="B22" s="1096"/>
      <c r="C22" s="1096"/>
      <c r="D22" s="1096"/>
      <c r="E22" s="1096"/>
      <c r="F22" s="1096"/>
      <c r="G22" s="1296"/>
      <c r="H22" s="1298">
        <f>+H20+H21</f>
        <v>0</v>
      </c>
      <c r="I22" s="1298">
        <f>+I20+I21</f>
        <v>0</v>
      </c>
      <c r="J22" s="1293">
        <f>+J20+J21</f>
        <v>0</v>
      </c>
      <c r="L22" s="392" t="s">
        <v>3190</v>
      </c>
      <c r="N22" s="315"/>
      <c r="O22" s="315"/>
      <c r="P22" s="315"/>
      <c r="Q22" s="315"/>
      <c r="R22" s="315"/>
      <c r="S22" s="315"/>
      <c r="T22" s="315"/>
    </row>
    <row r="23" spans="2:20" ht="13.8" thickTop="1">
      <c r="B23" s="420" t="s">
        <v>3208</v>
      </c>
      <c r="N23" s="315"/>
      <c r="O23" s="315"/>
      <c r="P23" s="315"/>
      <c r="Q23" s="315"/>
      <c r="R23" s="315"/>
      <c r="S23" s="315"/>
      <c r="T23" s="315"/>
    </row>
    <row r="24" spans="2:20">
      <c r="B24" s="420" t="s">
        <v>3207</v>
      </c>
      <c r="N24" s="315"/>
      <c r="O24" s="315"/>
      <c r="P24" s="315"/>
      <c r="Q24" s="315"/>
      <c r="R24" s="315"/>
      <c r="S24" s="315"/>
      <c r="T24" s="315"/>
    </row>
    <row r="25" spans="2:20">
      <c r="N25" s="315"/>
      <c r="O25" s="315"/>
      <c r="P25" s="315"/>
      <c r="Q25" s="315"/>
      <c r="R25" s="315"/>
      <c r="S25" s="315"/>
      <c r="T25" s="315"/>
    </row>
    <row r="26" spans="2:20">
      <c r="N26" s="315"/>
      <c r="O26" s="315"/>
      <c r="P26" s="315"/>
      <c r="Q26" s="315"/>
      <c r="R26" s="315"/>
      <c r="S26" s="315"/>
      <c r="T26" s="315"/>
    </row>
    <row r="27" spans="2:20" ht="17.25" customHeight="1" thickBot="1">
      <c r="B27" s="1963" t="s">
        <v>342</v>
      </c>
      <c r="C27" s="1963"/>
      <c r="D27" s="1963"/>
      <c r="E27" s="1963"/>
      <c r="F27" s="1963"/>
      <c r="G27" s="1963"/>
      <c r="H27" s="1963"/>
      <c r="I27" s="1963"/>
      <c r="J27" s="1963"/>
    </row>
    <row r="28" spans="2:20" ht="21" customHeight="1" thickTop="1">
      <c r="B28" s="1299" t="s">
        <v>343</v>
      </c>
      <c r="C28" s="1300"/>
      <c r="D28" s="1300"/>
      <c r="E28" s="1300"/>
      <c r="F28" s="1300"/>
      <c r="G28" s="1300"/>
      <c r="H28" s="1300"/>
      <c r="I28" s="1301"/>
      <c r="J28" s="1302" t="s">
        <v>662</v>
      </c>
    </row>
    <row r="29" spans="2:20" ht="21" customHeight="1">
      <c r="B29" s="1303"/>
      <c r="C29" s="1304" t="s">
        <v>181</v>
      </c>
      <c r="D29" s="1304"/>
      <c r="E29" s="1304"/>
      <c r="F29" s="1304"/>
      <c r="G29" s="1304"/>
      <c r="H29" s="1304"/>
      <c r="I29" s="1305"/>
      <c r="J29" s="646"/>
    </row>
    <row r="30" spans="2:20" ht="21" customHeight="1">
      <c r="B30" s="1303"/>
      <c r="C30" s="1304" t="s">
        <v>344</v>
      </c>
      <c r="D30" s="1304"/>
      <c r="E30" s="1304"/>
      <c r="F30" s="1304"/>
      <c r="G30" s="1304"/>
      <c r="H30" s="1304"/>
      <c r="I30" s="1305"/>
      <c r="J30" s="646"/>
    </row>
    <row r="31" spans="2:20" ht="21" customHeight="1" thickBot="1">
      <c r="B31" s="1303"/>
      <c r="C31" s="1304" t="s">
        <v>345</v>
      </c>
      <c r="D31" s="1304"/>
      <c r="E31" s="1304"/>
      <c r="F31" s="1304"/>
      <c r="G31" s="1304"/>
      <c r="H31" s="1304"/>
      <c r="I31" s="1305"/>
      <c r="J31" s="648"/>
    </row>
    <row r="32" spans="2:20" ht="21" customHeight="1" thickTop="1">
      <c r="B32" s="1303" t="s">
        <v>346</v>
      </c>
      <c r="C32" s="1304"/>
      <c r="D32" s="1304"/>
      <c r="E32" s="1304"/>
      <c r="F32" s="1304"/>
      <c r="G32" s="1304"/>
      <c r="H32" s="1304"/>
      <c r="I32" s="1306"/>
      <c r="J32" s="1307">
        <f>SUM(J29:J31)</f>
        <v>0</v>
      </c>
    </row>
    <row r="33" spans="2:13" ht="21" customHeight="1" thickBot="1">
      <c r="B33" s="1303" t="s">
        <v>347</v>
      </c>
      <c r="C33" s="1304"/>
      <c r="D33" s="1304"/>
      <c r="E33" s="1304"/>
      <c r="F33" s="1304"/>
      <c r="G33" s="1304"/>
      <c r="H33" s="1304"/>
      <c r="I33" s="1306"/>
      <c r="J33" s="647"/>
    </row>
    <row r="34" spans="2:13" ht="21" customHeight="1" thickTop="1">
      <c r="B34" s="1303" t="s">
        <v>766</v>
      </c>
      <c r="C34" s="1304"/>
      <c r="D34" s="1304"/>
      <c r="E34" s="1304"/>
      <c r="F34" s="1304"/>
      <c r="G34" s="1304"/>
      <c r="H34" s="1304"/>
      <c r="I34" s="1306"/>
      <c r="J34" s="1307">
        <f>+J32+J33</f>
        <v>0</v>
      </c>
    </row>
    <row r="35" spans="2:13" ht="21" customHeight="1">
      <c r="B35" s="1303" t="s">
        <v>348</v>
      </c>
      <c r="C35" s="1304"/>
      <c r="D35" s="1304"/>
      <c r="E35" s="1304"/>
      <c r="F35" s="1304"/>
      <c r="G35" s="1304"/>
      <c r="H35" s="1304"/>
      <c r="I35" s="1306"/>
      <c r="J35" s="1308"/>
    </row>
    <row r="36" spans="2:13" ht="21" customHeight="1">
      <c r="B36" s="1310"/>
      <c r="C36" s="1310" t="s">
        <v>628</v>
      </c>
      <c r="D36" s="1310"/>
      <c r="E36" s="1310"/>
      <c r="F36" s="1310"/>
      <c r="G36" s="1310"/>
      <c r="H36" s="1310"/>
      <c r="I36" s="649"/>
      <c r="J36" s="1309"/>
    </row>
    <row r="37" spans="2:13" ht="21" customHeight="1">
      <c r="B37" s="1310"/>
      <c r="C37" s="1310" t="s">
        <v>770</v>
      </c>
      <c r="D37" s="1310"/>
      <c r="E37" s="1310"/>
      <c r="F37" s="1310"/>
      <c r="G37" s="1310"/>
      <c r="H37" s="1310"/>
      <c r="I37" s="649"/>
      <c r="J37" s="1309"/>
    </row>
    <row r="38" spans="2:13" ht="21" customHeight="1" thickBot="1">
      <c r="B38" s="1310" t="s">
        <v>349</v>
      </c>
      <c r="C38" s="1310"/>
      <c r="D38" s="1310"/>
      <c r="E38" s="1310"/>
      <c r="F38" s="1310"/>
      <c r="G38" s="1310"/>
      <c r="H38" s="1310"/>
      <c r="I38" s="650"/>
      <c r="J38" s="646"/>
      <c r="M38" s="392"/>
    </row>
    <row r="39" spans="2:13" ht="21" customHeight="1" thickTop="1" thickBot="1">
      <c r="B39" s="1310" t="s">
        <v>771</v>
      </c>
      <c r="C39" s="1310"/>
      <c r="D39" s="1310"/>
      <c r="E39" s="1310"/>
      <c r="F39" s="1310"/>
      <c r="G39" s="1310"/>
      <c r="H39" s="1310"/>
      <c r="I39" s="1311"/>
      <c r="J39" s="1313">
        <f>SUM(I36:I38)</f>
        <v>0</v>
      </c>
    </row>
    <row r="40" spans="2:13" ht="21" customHeight="1" thickTop="1" thickBot="1">
      <c r="B40" s="1310" t="s">
        <v>350</v>
      </c>
      <c r="C40" s="1310"/>
      <c r="D40" s="1310"/>
      <c r="E40" s="1310"/>
      <c r="F40" s="1310"/>
      <c r="G40" s="1310"/>
      <c r="H40" s="1310"/>
      <c r="I40" s="1312"/>
      <c r="J40" s="1314">
        <f>+J34-J39</f>
        <v>0</v>
      </c>
      <c r="K40" s="392"/>
    </row>
    <row r="41" spans="2:13" ht="13.8" thickTop="1">
      <c r="B41" s="1096"/>
      <c r="C41" s="1096"/>
      <c r="D41" s="1096"/>
      <c r="E41" s="1096"/>
      <c r="F41" s="1096"/>
      <c r="G41" s="1096"/>
      <c r="H41" s="1096"/>
      <c r="I41" s="1096"/>
      <c r="J41" s="1096"/>
    </row>
    <row r="42" spans="2:13">
      <c r="B42" s="1191" t="s">
        <v>3206</v>
      </c>
      <c r="C42" s="1191"/>
      <c r="D42" s="1191"/>
      <c r="E42" s="1191"/>
      <c r="F42" s="1191"/>
      <c r="G42" s="1096"/>
      <c r="H42" s="1096"/>
      <c r="I42" s="1096"/>
      <c r="J42" s="1096"/>
    </row>
    <row r="43" spans="2:13">
      <c r="B43" s="1191"/>
      <c r="C43" s="1191" t="s">
        <v>3205</v>
      </c>
      <c r="D43" s="1191"/>
      <c r="E43" s="1191"/>
      <c r="F43" s="1191"/>
      <c r="G43" s="1096"/>
      <c r="H43" s="1096"/>
      <c r="I43" s="1096"/>
      <c r="J43" s="1096"/>
    </row>
    <row r="44" spans="2:13">
      <c r="B44" s="1191"/>
      <c r="C44" s="1191"/>
      <c r="D44" s="1191" t="s">
        <v>3204</v>
      </c>
      <c r="E44" s="1191"/>
      <c r="F44" s="1191"/>
      <c r="G44" s="1096"/>
      <c r="H44" s="1096"/>
      <c r="I44" s="1096"/>
      <c r="J44" s="1096"/>
      <c r="M44" s="392"/>
    </row>
    <row r="45" spans="2:13">
      <c r="B45" s="1191"/>
      <c r="C45" s="1191" t="s">
        <v>43</v>
      </c>
      <c r="D45" s="1191"/>
      <c r="E45" s="1191"/>
      <c r="F45" s="1191"/>
      <c r="G45" s="1096"/>
      <c r="H45" s="1096"/>
      <c r="I45" s="1096"/>
      <c r="J45" s="1096"/>
    </row>
    <row r="46" spans="2:13">
      <c r="B46" s="1191"/>
      <c r="C46" s="1191" t="s">
        <v>3203</v>
      </c>
      <c r="D46" s="1191"/>
      <c r="E46" s="1191"/>
      <c r="F46" s="1191"/>
      <c r="G46" s="1096"/>
      <c r="H46" s="1096"/>
      <c r="I46" s="1096"/>
      <c r="J46" s="1096"/>
    </row>
    <row r="47" spans="2:13">
      <c r="B47" s="1191"/>
      <c r="C47" s="1191"/>
      <c r="D47" s="1191" t="s">
        <v>3202</v>
      </c>
      <c r="E47" s="1191"/>
      <c r="F47" s="1191"/>
      <c r="G47" s="1096"/>
      <c r="H47" s="1096"/>
      <c r="I47" s="1096"/>
      <c r="J47" s="1096"/>
    </row>
    <row r="48" spans="2:13">
      <c r="B48" s="420"/>
      <c r="C48" s="420"/>
      <c r="D48" s="420"/>
      <c r="E48" s="420"/>
      <c r="F48" s="420"/>
    </row>
    <row r="55" spans="2:10" ht="13.8">
      <c r="B55" s="1799" t="s">
        <v>3201</v>
      </c>
      <c r="C55" s="1799"/>
      <c r="D55" s="1799"/>
      <c r="E55" s="1799"/>
      <c r="F55" s="1799"/>
      <c r="G55" s="1799"/>
      <c r="H55" s="1799"/>
      <c r="I55" s="1799"/>
      <c r="J55" s="1799"/>
    </row>
  </sheetData>
  <sheetProtection algorithmName="SHA-512" hashValue="czw8j0BRq11TuEISccpvh+TYH1RAuFBfBz+ul/4Dw2UBzn4r9IJ4i9u5s2KyxszTOzisX0snmg5M3pUi4IrG2w==" saltValue="bUwXOQbVHdxTfzebvWJ22w=="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3">
    <tabColor theme="7" tint="0.39997558519241921"/>
  </sheetPr>
  <dimension ref="B1:T57"/>
  <sheetViews>
    <sheetView topLeftCell="A25" zoomScaleNormal="100" zoomScaleSheetLayoutView="80" workbookViewId="0">
      <selection activeCell="B45" sqref="B45"/>
    </sheetView>
  </sheetViews>
  <sheetFormatPr defaultColWidth="8.88671875" defaultRowHeight="13.2"/>
  <cols>
    <col min="1" max="1" width="4.6640625" style="391" customWidth="1"/>
    <col min="2" max="2" width="6.109375" style="391" customWidth="1"/>
    <col min="3" max="3" width="3.33203125" style="391" customWidth="1"/>
    <col min="4" max="4" width="2.6640625" style="391" customWidth="1"/>
    <col min="5" max="5" width="8.88671875" style="391"/>
    <col min="6" max="6" width="5.88671875" style="391" customWidth="1"/>
    <col min="7" max="7" width="8.88671875" style="391"/>
    <col min="8" max="8" width="16" style="391" customWidth="1"/>
    <col min="9" max="9" width="8.88671875" style="391"/>
    <col min="10" max="11" width="16.6640625" style="391" customWidth="1"/>
    <col min="12" max="12" width="8.88671875" style="391"/>
    <col min="13" max="13" width="11.33203125" style="391" customWidth="1"/>
    <col min="14" max="16384" width="8.88671875" style="391"/>
  </cols>
  <sheetData>
    <row r="1" spans="2:20">
      <c r="B1" s="1096"/>
      <c r="C1" s="1096"/>
      <c r="D1" s="1096"/>
      <c r="E1" s="1096"/>
      <c r="F1" s="1096"/>
      <c r="G1" s="1096"/>
      <c r="H1" s="1096"/>
      <c r="I1" s="1096"/>
      <c r="J1" s="1096"/>
      <c r="K1" s="1096"/>
    </row>
    <row r="2" spans="2:20">
      <c r="B2" s="1096"/>
      <c r="C2" s="1096"/>
      <c r="D2" s="1096"/>
      <c r="E2" s="1096"/>
      <c r="F2" s="1096"/>
      <c r="G2" s="1096"/>
      <c r="H2" s="1096"/>
      <c r="I2" s="1096"/>
      <c r="J2" s="1096"/>
      <c r="K2" s="1096"/>
    </row>
    <row r="3" spans="2:20" ht="22.8">
      <c r="B3" s="1804" t="str">
        <f>"STATEMENT  OF  "&amp;TEXT('KEY INPUTS'!D34,"0")&amp;"  OPERATION"</f>
        <v>STATEMENT  OF  2020  OPERATION</v>
      </c>
      <c r="C3" s="1804"/>
      <c r="D3" s="1804"/>
      <c r="E3" s="1804"/>
      <c r="F3" s="1804"/>
      <c r="G3" s="1804"/>
      <c r="H3" s="1804"/>
      <c r="I3" s="1804"/>
      <c r="J3" s="1804"/>
      <c r="K3" s="1804"/>
    </row>
    <row r="4" spans="2:20">
      <c r="B4" s="1096"/>
      <c r="C4" s="1096"/>
      <c r="D4" s="1096"/>
      <c r="E4" s="1096"/>
      <c r="F4" s="1096"/>
      <c r="G4" s="1096"/>
      <c r="H4" s="1096"/>
      <c r="I4" s="1096"/>
      <c r="J4" s="1096"/>
      <c r="K4" s="1096"/>
    </row>
    <row r="5" spans="2:20" ht="20.399999999999999">
      <c r="B5" s="1826" t="str">
        <f>UPPER('KEY INPUTS'!D56)&amp;" UTILITY"</f>
        <v xml:space="preserve"> UTILITY</v>
      </c>
      <c r="C5" s="1826"/>
      <c r="D5" s="1826"/>
      <c r="E5" s="1826"/>
      <c r="F5" s="1826"/>
      <c r="G5" s="1826"/>
      <c r="H5" s="1826"/>
      <c r="I5" s="1826"/>
      <c r="J5" s="1826"/>
      <c r="K5" s="1826"/>
    </row>
    <row r="6" spans="2:20">
      <c r="B6" s="1096"/>
      <c r="C6" s="1096"/>
      <c r="D6" s="1096"/>
      <c r="E6" s="1096"/>
      <c r="F6" s="1096"/>
      <c r="G6" s="1096"/>
      <c r="H6" s="1096"/>
      <c r="I6" s="1096"/>
      <c r="J6" s="1096"/>
      <c r="K6" s="1096"/>
    </row>
    <row r="7" spans="2:20">
      <c r="B7" s="1096"/>
      <c r="C7" s="1096"/>
      <c r="D7" s="1096"/>
      <c r="E7" s="1096"/>
      <c r="F7" s="1096"/>
      <c r="G7" s="1096"/>
      <c r="H7" s="1096"/>
      <c r="I7" s="1096"/>
      <c r="J7" s="1096"/>
      <c r="K7" s="1096"/>
    </row>
    <row r="8" spans="2:20">
      <c r="B8" s="1096" t="s">
        <v>332</v>
      </c>
      <c r="C8" s="1171" t="str">
        <f>"Section 1 of this sheet is required to be filled out ONLY IF the "&amp;TEXT('KEY INPUTS'!D34,"0")&amp;" "&amp;PROPER('KEY INPUTS'!D56)&amp;" Utility Budget contained"</f>
        <v>Section 1 of this sheet is required to be filled out ONLY IF the 2020  Utility Budget contained</v>
      </c>
      <c r="D8" s="1096"/>
      <c r="E8" s="1096"/>
      <c r="F8" s="1096"/>
      <c r="G8" s="1096"/>
      <c r="H8" s="1096"/>
      <c r="I8" s="1096"/>
      <c r="J8" s="1096"/>
      <c r="K8" s="1096"/>
    </row>
    <row r="9" spans="2:20">
      <c r="B9" s="1096"/>
      <c r="C9" s="1096" t="s">
        <v>351</v>
      </c>
      <c r="D9" s="1096"/>
      <c r="E9" s="1096"/>
      <c r="F9" s="1096"/>
      <c r="G9" s="1096"/>
      <c r="H9" s="1096"/>
      <c r="I9" s="1096"/>
      <c r="J9" s="1096"/>
      <c r="K9" s="1096"/>
    </row>
    <row r="10" spans="2:20">
      <c r="B10" s="1096"/>
      <c r="C10" s="1096" t="s">
        <v>352</v>
      </c>
      <c r="D10" s="1096"/>
      <c r="E10" s="1096"/>
      <c r="F10" s="1096"/>
      <c r="G10" s="1096"/>
      <c r="H10" s="1096"/>
      <c r="I10" s="1096"/>
      <c r="J10" s="1096"/>
      <c r="K10" s="1096"/>
    </row>
    <row r="11" spans="2:20">
      <c r="B11" s="1096"/>
      <c r="C11" s="1149" t="s">
        <v>3217</v>
      </c>
      <c r="D11" s="1096"/>
      <c r="E11" s="1096"/>
      <c r="F11" s="1096"/>
      <c r="G11" s="1096"/>
      <c r="H11" s="1096"/>
      <c r="I11" s="1096"/>
      <c r="J11" s="1096"/>
      <c r="K11" s="1096"/>
    </row>
    <row r="12" spans="2:20">
      <c r="B12" s="1096"/>
      <c r="C12" s="1096"/>
      <c r="D12" s="1096"/>
      <c r="E12" s="1096"/>
      <c r="F12" s="1096"/>
      <c r="G12" s="1096"/>
      <c r="H12" s="1096"/>
      <c r="I12" s="1096"/>
      <c r="J12" s="1096"/>
      <c r="K12" s="1096"/>
    </row>
    <row r="13" spans="2:20" ht="17.399999999999999">
      <c r="B13" s="1150" t="s">
        <v>353</v>
      </c>
      <c r="C13" s="1096"/>
      <c r="D13" s="1096"/>
      <c r="E13" s="1096"/>
      <c r="F13" s="1096"/>
      <c r="G13" s="1096"/>
      <c r="H13" s="1096"/>
      <c r="I13" s="1096"/>
      <c r="J13" s="1096"/>
      <c r="K13" s="1096"/>
    </row>
    <row r="14" spans="2:20" ht="13.8" thickBot="1">
      <c r="B14" s="1151"/>
      <c r="C14" s="1151"/>
      <c r="D14" s="1151"/>
      <c r="E14" s="1151"/>
      <c r="F14" s="1151"/>
      <c r="G14" s="1151"/>
      <c r="H14" s="1151"/>
      <c r="I14" s="1151"/>
      <c r="J14" s="1151"/>
      <c r="K14" s="1151"/>
    </row>
    <row r="15" spans="2:20" ht="21" customHeight="1" thickTop="1">
      <c r="B15" s="1152" t="s">
        <v>354</v>
      </c>
      <c r="C15" s="1152"/>
      <c r="D15" s="1152"/>
      <c r="E15" s="1152"/>
      <c r="F15" s="1152"/>
      <c r="G15" s="1152"/>
      <c r="H15" s="1152"/>
      <c r="I15" s="1152"/>
      <c r="J15" s="1153" t="s">
        <v>662</v>
      </c>
      <c r="K15" s="832"/>
      <c r="N15" s="315"/>
      <c r="O15" s="315"/>
      <c r="P15" s="315"/>
      <c r="Q15" s="315"/>
      <c r="R15" s="315"/>
      <c r="S15" s="315"/>
      <c r="T15" s="315"/>
    </row>
    <row r="16" spans="2:20" ht="21" customHeight="1">
      <c r="B16" s="681"/>
      <c r="C16" s="681" t="s">
        <v>355</v>
      </c>
      <c r="D16" s="681"/>
      <c r="E16" s="681"/>
      <c r="F16" s="681"/>
      <c r="G16" s="681"/>
      <c r="H16" s="681"/>
      <c r="I16" s="681"/>
      <c r="J16" s="833">
        <f>+'44-Utility5'!I20</f>
        <v>0</v>
      </c>
      <c r="K16" s="832"/>
      <c r="N16" s="315"/>
      <c r="O16" s="315"/>
      <c r="P16" s="315"/>
      <c r="Q16" s="315"/>
      <c r="R16" s="315"/>
      <c r="S16" s="315"/>
      <c r="T16" s="315"/>
    </row>
    <row r="17" spans="2:20" ht="21" customHeight="1">
      <c r="B17" s="681"/>
      <c r="C17" s="681" t="s">
        <v>356</v>
      </c>
      <c r="D17" s="681"/>
      <c r="E17" s="681"/>
      <c r="F17" s="681"/>
      <c r="G17" s="681"/>
      <c r="H17" s="681"/>
      <c r="I17" s="681"/>
      <c r="J17" s="568"/>
      <c r="K17" s="832"/>
      <c r="N17" s="370"/>
      <c r="O17" s="315"/>
      <c r="P17" s="315"/>
      <c r="Q17" s="315"/>
      <c r="R17" s="315"/>
      <c r="S17" s="315"/>
      <c r="T17" s="315"/>
    </row>
    <row r="18" spans="2:20" ht="21" customHeight="1">
      <c r="B18" s="681"/>
      <c r="C18" s="905" t="str">
        <f>TEXT('KEY INPUTS'!D35,"0")&amp;" Appropriation Reserves Canceled in "&amp;TEXT('KEY INPUTS'!D34,0)</f>
        <v>2019 Appropriation Reserves Canceled in 2020</v>
      </c>
      <c r="D18" s="1154"/>
      <c r="E18" s="1154"/>
      <c r="F18" s="1154"/>
      <c r="G18" s="1154"/>
      <c r="H18" s="681"/>
      <c r="I18" s="681"/>
      <c r="J18" s="367"/>
      <c r="K18" s="832"/>
      <c r="N18" s="315"/>
      <c r="O18" s="315"/>
      <c r="P18" s="315"/>
      <c r="Q18" s="315"/>
      <c r="R18" s="315"/>
      <c r="S18" s="315"/>
      <c r="T18" s="315"/>
    </row>
    <row r="19" spans="2:20" ht="21" customHeight="1">
      <c r="B19" s="681"/>
      <c r="C19" s="639"/>
      <c r="D19" s="639"/>
      <c r="E19" s="639"/>
      <c r="F19" s="639"/>
      <c r="G19" s="639"/>
      <c r="H19" s="639"/>
      <c r="I19" s="639"/>
      <c r="J19" s="367"/>
      <c r="K19" s="832"/>
      <c r="N19" s="315"/>
      <c r="O19" s="315"/>
      <c r="P19" s="315"/>
      <c r="Q19" s="315"/>
      <c r="R19" s="315"/>
      <c r="S19" s="315"/>
      <c r="T19" s="315"/>
    </row>
    <row r="20" spans="2:20" ht="21" customHeight="1">
      <c r="B20" s="681"/>
      <c r="C20" s="639"/>
      <c r="D20" s="639"/>
      <c r="E20" s="639"/>
      <c r="F20" s="639"/>
      <c r="G20" s="639"/>
      <c r="H20" s="639"/>
      <c r="I20" s="639"/>
      <c r="J20" s="367"/>
      <c r="K20" s="832"/>
      <c r="N20" s="315"/>
      <c r="O20" s="315"/>
      <c r="P20" s="315"/>
      <c r="Q20" s="315"/>
      <c r="R20" s="315"/>
      <c r="S20" s="315"/>
      <c r="T20" s="315"/>
    </row>
    <row r="21" spans="2:20" ht="21" customHeight="1">
      <c r="B21" s="681"/>
      <c r="C21" s="681" t="s">
        <v>357</v>
      </c>
      <c r="D21" s="681"/>
      <c r="E21" s="681"/>
      <c r="F21" s="681"/>
      <c r="G21" s="681"/>
      <c r="H21" s="681"/>
      <c r="I21" s="681"/>
      <c r="J21" s="568"/>
      <c r="K21" s="842">
        <f>SUM(J16:J20)</f>
        <v>0</v>
      </c>
      <c r="N21" s="315"/>
      <c r="O21" s="315"/>
      <c r="P21" s="315"/>
      <c r="Q21" s="315"/>
      <c r="R21" s="315"/>
      <c r="S21" s="315"/>
      <c r="T21" s="315"/>
    </row>
    <row r="22" spans="2:20" ht="21" customHeight="1">
      <c r="B22" s="681" t="s">
        <v>358</v>
      </c>
      <c r="C22" s="681"/>
      <c r="D22" s="681"/>
      <c r="E22" s="681"/>
      <c r="F22" s="681"/>
      <c r="G22" s="681"/>
      <c r="H22" s="681"/>
      <c r="I22" s="681"/>
      <c r="J22" s="1156" t="s">
        <v>662</v>
      </c>
      <c r="K22" s="832"/>
      <c r="N22" s="315"/>
      <c r="O22" s="315"/>
      <c r="P22" s="315"/>
      <c r="Q22" s="315"/>
      <c r="R22" s="315"/>
      <c r="S22" s="315"/>
      <c r="T22" s="315"/>
    </row>
    <row r="23" spans="2:20" ht="21" customHeight="1">
      <c r="B23" s="681"/>
      <c r="C23" s="681" t="s">
        <v>359</v>
      </c>
      <c r="D23" s="681"/>
      <c r="E23" s="681"/>
      <c r="F23" s="681"/>
      <c r="G23" s="681"/>
      <c r="H23" s="681"/>
      <c r="I23" s="681"/>
      <c r="J23" s="1156" t="s">
        <v>662</v>
      </c>
      <c r="K23" s="832"/>
      <c r="N23" s="315"/>
      <c r="O23" s="315"/>
      <c r="P23" s="315"/>
      <c r="Q23" s="315"/>
      <c r="R23" s="315"/>
      <c r="S23" s="315"/>
      <c r="T23" s="315"/>
    </row>
    <row r="24" spans="2:20" ht="21" customHeight="1">
      <c r="B24" s="681"/>
      <c r="C24" s="681"/>
      <c r="D24" s="681" t="s">
        <v>628</v>
      </c>
      <c r="E24" s="681"/>
      <c r="F24" s="681"/>
      <c r="G24" s="681"/>
      <c r="H24" s="681"/>
      <c r="I24" s="681"/>
      <c r="J24" s="833">
        <f>+'44-Utility5'!I36</f>
        <v>0</v>
      </c>
      <c r="K24" s="832"/>
      <c r="N24" s="315"/>
      <c r="O24" s="315"/>
      <c r="P24" s="315"/>
      <c r="Q24" s="315"/>
      <c r="R24" s="315"/>
      <c r="S24" s="315"/>
      <c r="T24" s="315"/>
    </row>
    <row r="25" spans="2:20" ht="21" customHeight="1">
      <c r="B25" s="681"/>
      <c r="C25" s="681"/>
      <c r="D25" s="681" t="s">
        <v>770</v>
      </c>
      <c r="E25" s="681"/>
      <c r="F25" s="681"/>
      <c r="G25" s="681"/>
      <c r="H25" s="681"/>
      <c r="I25" s="681"/>
      <c r="J25" s="833">
        <f>+'44-Utility5'!I37</f>
        <v>0</v>
      </c>
      <c r="K25" s="832"/>
      <c r="N25" s="315"/>
      <c r="O25" s="315"/>
      <c r="P25" s="315"/>
      <c r="Q25" s="315"/>
      <c r="R25" s="315"/>
      <c r="S25" s="315"/>
      <c r="T25" s="315"/>
    </row>
    <row r="26" spans="2:20" ht="21" customHeight="1">
      <c r="B26" s="681"/>
      <c r="C26" s="681" t="s">
        <v>360</v>
      </c>
      <c r="D26" s="681"/>
      <c r="E26" s="681"/>
      <c r="F26" s="681"/>
      <c r="G26" s="681"/>
      <c r="H26" s="681"/>
      <c r="I26" s="681"/>
      <c r="J26" s="568"/>
      <c r="K26" s="832"/>
      <c r="N26" s="315"/>
      <c r="O26" s="315"/>
      <c r="P26" s="315"/>
      <c r="Q26" s="315"/>
      <c r="R26" s="315"/>
      <c r="S26" s="315"/>
      <c r="T26" s="315"/>
    </row>
    <row r="27" spans="2:20" ht="21" customHeight="1">
      <c r="B27" s="681"/>
      <c r="C27" s="681" t="s">
        <v>361</v>
      </c>
      <c r="D27" s="681"/>
      <c r="E27" s="681"/>
      <c r="F27" s="681"/>
      <c r="G27" s="681"/>
      <c r="H27" s="681"/>
      <c r="I27" s="681"/>
      <c r="J27" s="568"/>
      <c r="K27" s="832"/>
      <c r="N27" s="315"/>
      <c r="O27" s="315"/>
      <c r="P27" s="315"/>
      <c r="Q27" s="315"/>
      <c r="R27" s="315"/>
      <c r="S27" s="315"/>
      <c r="T27" s="315"/>
    </row>
    <row r="28" spans="2:20" ht="21" customHeight="1" thickBot="1">
      <c r="B28" s="681"/>
      <c r="C28" s="639"/>
      <c r="D28" s="639"/>
      <c r="E28" s="639"/>
      <c r="F28" s="639"/>
      <c r="G28" s="639"/>
      <c r="H28" s="639"/>
      <c r="I28" s="639"/>
      <c r="J28" s="1007"/>
      <c r="K28" s="832"/>
      <c r="N28" s="315"/>
      <c r="O28" s="315"/>
      <c r="P28" s="315"/>
      <c r="Q28" s="315"/>
      <c r="R28" s="315"/>
      <c r="S28" s="315"/>
      <c r="T28" s="315"/>
    </row>
    <row r="29" spans="2:20" ht="21" customHeight="1">
      <c r="B29" s="681"/>
      <c r="C29" s="681"/>
      <c r="D29" s="681"/>
      <c r="E29" s="681"/>
      <c r="F29" s="681" t="s">
        <v>771</v>
      </c>
      <c r="G29" s="681"/>
      <c r="H29" s="681"/>
      <c r="I29" s="681"/>
      <c r="J29" s="839">
        <f>SUM(J24:J28)</f>
        <v>0</v>
      </c>
      <c r="K29" s="832"/>
      <c r="N29" s="315"/>
      <c r="O29" s="315"/>
      <c r="P29" s="315"/>
      <c r="Q29" s="315"/>
      <c r="R29" s="315"/>
      <c r="S29" s="315"/>
      <c r="T29" s="315"/>
    </row>
    <row r="30" spans="2:20" ht="11.25" customHeight="1">
      <c r="B30" s="1096"/>
      <c r="C30" s="1096"/>
      <c r="D30" s="1096"/>
      <c r="E30" s="1096"/>
      <c r="F30" s="1096" t="s">
        <v>799</v>
      </c>
      <c r="G30" s="1096" t="s">
        <v>800</v>
      </c>
      <c r="H30" s="1096"/>
      <c r="I30" s="1096"/>
      <c r="J30" s="1159"/>
      <c r="K30" s="832"/>
      <c r="N30" s="315"/>
      <c r="O30" s="315"/>
      <c r="P30" s="315"/>
      <c r="Q30" s="315"/>
      <c r="R30" s="315"/>
      <c r="S30" s="315"/>
      <c r="T30" s="315"/>
    </row>
    <row r="31" spans="2:20" ht="13.5" customHeight="1">
      <c r="B31" s="1110"/>
      <c r="C31" s="1110"/>
      <c r="D31" s="1110"/>
      <c r="E31" s="1110"/>
      <c r="F31" s="1110"/>
      <c r="G31" s="1110" t="s">
        <v>801</v>
      </c>
      <c r="H31" s="1110"/>
      <c r="I31" s="1160"/>
      <c r="J31" s="1471"/>
      <c r="K31" s="1157"/>
      <c r="N31" s="315"/>
      <c r="O31" s="315"/>
      <c r="P31" s="315"/>
      <c r="Q31" s="315"/>
      <c r="R31" s="315"/>
      <c r="S31" s="315"/>
      <c r="T31" s="315"/>
    </row>
    <row r="32" spans="2:20" ht="21" customHeight="1" thickBot="1">
      <c r="B32" s="1162"/>
      <c r="C32" s="1162"/>
      <c r="D32" s="1162" t="s">
        <v>802</v>
      </c>
      <c r="E32" s="1162"/>
      <c r="F32" s="1162"/>
      <c r="G32" s="1162"/>
      <c r="H32" s="1162"/>
      <c r="I32" s="1162"/>
      <c r="J32" s="1163"/>
      <c r="K32" s="1158">
        <f>+J29-J31</f>
        <v>0</v>
      </c>
    </row>
    <row r="33" spans="2:15" ht="21" customHeight="1" thickTop="1" thickBot="1">
      <c r="B33" s="1164" t="s">
        <v>803</v>
      </c>
      <c r="C33" s="1164"/>
      <c r="D33" s="1164"/>
      <c r="E33" s="1164"/>
      <c r="F33" s="1164"/>
      <c r="G33" s="1164"/>
      <c r="H33" s="1164"/>
      <c r="I33" s="1164"/>
      <c r="J33" s="1165"/>
      <c r="K33" s="1166">
        <f>IF(M33&gt;0,M33,0)</f>
        <v>0</v>
      </c>
      <c r="M33" s="392">
        <f>+K21-K32</f>
        <v>0</v>
      </c>
      <c r="N33" s="701" t="s">
        <v>3435</v>
      </c>
    </row>
    <row r="34" spans="2:15" ht="21" customHeight="1">
      <c r="B34" s="681" t="s">
        <v>804</v>
      </c>
      <c r="C34" s="681"/>
      <c r="D34" s="681"/>
      <c r="E34" s="681"/>
      <c r="F34" s="681"/>
      <c r="G34" s="681"/>
      <c r="H34" s="681"/>
      <c r="I34" s="681"/>
      <c r="J34" s="568"/>
      <c r="K34" s="832"/>
    </row>
    <row r="35" spans="2:15" ht="11.25" customHeight="1">
      <c r="B35" s="1838" t="s">
        <v>805</v>
      </c>
      <c r="C35" s="1838"/>
      <c r="D35" s="1838"/>
      <c r="E35" s="1171" t="str">
        <f>"Balance of Results of "&amp;TEXT('KEY INPUTS'!D34,"0")&amp;" Operation"</f>
        <v>Balance of Results of 2020 Operation</v>
      </c>
      <c r="F35" s="1096"/>
      <c r="G35" s="1096"/>
      <c r="H35" s="1096"/>
      <c r="I35" s="1096"/>
      <c r="J35" s="1159"/>
      <c r="K35" s="832"/>
    </row>
    <row r="36" spans="2:15" ht="12.75" customHeight="1" thickBot="1">
      <c r="B36" s="1839"/>
      <c r="C36" s="1839"/>
      <c r="D36" s="1839"/>
      <c r="E36" s="1110" t="s">
        <v>3549</v>
      </c>
      <c r="F36" s="1110"/>
      <c r="G36" s="1110"/>
      <c r="H36" s="1110"/>
      <c r="I36" s="1110"/>
      <c r="J36" s="1161">
        <f>+K33-J34</f>
        <v>0</v>
      </c>
      <c r="K36" s="832"/>
    </row>
    <row r="37" spans="2:15" ht="21" customHeight="1" thickBot="1">
      <c r="B37" s="1172"/>
      <c r="C37" s="1172"/>
      <c r="D37" s="1172"/>
      <c r="E37" s="1172"/>
      <c r="F37" s="1172"/>
      <c r="G37" s="1172"/>
      <c r="H37" s="1172"/>
      <c r="I37" s="1172"/>
      <c r="J37" s="1175"/>
      <c r="K37" s="1167"/>
    </row>
    <row r="38" spans="2:15" ht="21" customHeight="1" thickBot="1">
      <c r="B38" s="1173" t="s">
        <v>806</v>
      </c>
      <c r="C38" s="1173"/>
      <c r="D38" s="1173"/>
      <c r="E38" s="1173"/>
      <c r="F38" s="1173"/>
      <c r="G38" s="1173"/>
      <c r="H38" s="1173"/>
      <c r="I38" s="1173"/>
      <c r="J38" s="1176"/>
      <c r="K38" s="1168">
        <f>IF(+M33&gt;0,0,+M33*-1)</f>
        <v>0</v>
      </c>
    </row>
    <row r="39" spans="2:15" ht="21" customHeight="1">
      <c r="B39" s="681" t="s">
        <v>807</v>
      </c>
      <c r="C39" s="681"/>
      <c r="D39" s="681"/>
      <c r="E39" s="681"/>
      <c r="F39" s="681"/>
      <c r="G39" s="681"/>
      <c r="H39" s="681"/>
      <c r="I39" s="681"/>
      <c r="J39" s="1176">
        <f>+'44-Utility5'!I21</f>
        <v>0</v>
      </c>
      <c r="K39" s="832"/>
    </row>
    <row r="40" spans="2:15">
      <c r="B40" s="1840" t="s">
        <v>805</v>
      </c>
      <c r="C40" s="1840"/>
      <c r="D40" s="1840"/>
      <c r="E40" s="1171" t="str">
        <f>"Balance of Results of "&amp;TEXT('KEY INPUTS'!D34,"0")&amp;" Operation"</f>
        <v>Balance of Results of 2020 Operation</v>
      </c>
      <c r="F40" s="1174"/>
      <c r="G40" s="1174"/>
      <c r="H40" s="1174"/>
      <c r="I40" s="1174"/>
      <c r="J40" s="1159"/>
      <c r="K40" s="1169"/>
    </row>
    <row r="41" spans="2:15" ht="13.8" thickBot="1">
      <c r="B41" s="1841"/>
      <c r="C41" s="1841"/>
      <c r="D41" s="1841"/>
      <c r="E41" s="1151" t="s">
        <v>3216</v>
      </c>
      <c r="F41" s="1151"/>
      <c r="G41" s="1151"/>
      <c r="H41" s="1151"/>
      <c r="I41" s="1151"/>
      <c r="J41" s="1177">
        <f>+K38-J39</f>
        <v>0</v>
      </c>
      <c r="K41" s="1170"/>
      <c r="L41" s="730"/>
      <c r="O41" s="392"/>
    </row>
    <row r="42" spans="2:15" ht="13.8" thickTop="1">
      <c r="J42" s="457"/>
      <c r="K42" s="457"/>
    </row>
    <row r="43" spans="2:15" ht="17.399999999999999">
      <c r="B43" s="1150" t="s">
        <v>808</v>
      </c>
      <c r="C43" s="1096"/>
      <c r="D43" s="1096"/>
      <c r="E43" s="1096"/>
      <c r="F43" s="1096"/>
      <c r="G43" s="1096"/>
      <c r="H43" s="1096"/>
      <c r="I43" s="1096"/>
      <c r="J43" s="832"/>
      <c r="K43" s="832"/>
    </row>
    <row r="44" spans="2:15">
      <c r="B44" s="1171" t="str">
        <f>"The following Item of '"&amp;TEXT('KEY INPUTS'!D35,"0")&amp;" Appropriation Reserves Canceled in "&amp;TEXT('KEY INPUTS'!D34,"0")&amp;"' is Due to the Current Fund TO THE"</f>
        <v>The following Item of '2019 Appropriation Reserves Canceled in 2020' is Due to the Current Fund TO THE</v>
      </c>
      <c r="C44" s="1096"/>
      <c r="D44" s="1096"/>
      <c r="E44" s="1096"/>
      <c r="F44" s="1096"/>
      <c r="G44" s="1096"/>
      <c r="H44" s="1096"/>
      <c r="I44" s="1096"/>
      <c r="J44" s="832"/>
      <c r="K44" s="832"/>
    </row>
    <row r="45" spans="2:15">
      <c r="B45" s="1171" t="str">
        <f>"EXTENT OF the amount received and Due from the General Budget of "&amp;TEXT('KEY INPUTS'!D35,"0")&amp;" for an Anticipated Deficit in the"</f>
        <v>EXTENT OF the amount received and Due from the General Budget of 2019 for an Anticipated Deficit in the</v>
      </c>
      <c r="C45" s="1096"/>
      <c r="D45" s="1096"/>
      <c r="E45" s="1096"/>
      <c r="F45" s="1096"/>
      <c r="G45" s="1096"/>
      <c r="H45" s="1096"/>
      <c r="I45" s="1096"/>
      <c r="J45" s="832"/>
      <c r="K45" s="832"/>
    </row>
    <row r="46" spans="2:15">
      <c r="B46" s="1171" t="str">
        <f>PROPER('KEY INPUTS'!D56)&amp;" Utility for "&amp;TEXT('KEY INPUTS'!D35,"0")&amp;""</f>
        <v xml:space="preserve"> Utility for 2019</v>
      </c>
      <c r="C46" s="1096"/>
      <c r="D46" s="1096"/>
      <c r="E46" s="1096"/>
      <c r="F46" s="1096"/>
      <c r="G46" s="1096"/>
      <c r="H46" s="1096"/>
      <c r="I46" s="1096"/>
      <c r="J46" s="832"/>
      <c r="K46" s="832"/>
      <c r="O46" s="315"/>
    </row>
    <row r="47" spans="2:15">
      <c r="B47" s="1096"/>
      <c r="C47" s="1096"/>
      <c r="D47" s="1096"/>
      <c r="E47" s="1096"/>
      <c r="F47" s="1096"/>
      <c r="G47" s="1096"/>
      <c r="H47" s="1096"/>
      <c r="I47" s="1096"/>
      <c r="J47" s="832"/>
      <c r="K47" s="832"/>
      <c r="O47" s="315"/>
    </row>
    <row r="48" spans="2:15" ht="21" customHeight="1">
      <c r="B48" s="905" t="str">
        <f>TEXT('KEY INPUTS'!D35,"0")&amp;" Appropriation Reserves Canceled in "&amp;TEXT('KEY INPUTS'!D34,0)</f>
        <v>2019 Appropriation Reserves Canceled in 2020</v>
      </c>
      <c r="C48" s="681"/>
      <c r="D48" s="681"/>
      <c r="E48" s="681"/>
      <c r="F48" s="681"/>
      <c r="G48" s="681"/>
      <c r="H48" s="681"/>
      <c r="I48" s="681"/>
      <c r="J48" s="367"/>
      <c r="K48" s="832"/>
      <c r="O48" s="315"/>
    </row>
    <row r="49" spans="2:15" ht="24" customHeight="1">
      <c r="B49" s="681"/>
      <c r="C49" s="1178" t="s">
        <v>799</v>
      </c>
      <c r="D49" s="681"/>
      <c r="E49" s="1836" t="str">
        <f>"Anticipated Deficit in "&amp;TEXT('KEY INPUTS'!D35,"0")&amp;" Budget - Amount Received and Due from Current Fund - If none, enter 'None '"""</f>
        <v>Anticipated Deficit in 2019 Budget - Amount Received and Due from Current Fund - If none, enter 'None '"</v>
      </c>
      <c r="F49" s="1836"/>
      <c r="G49" s="1836"/>
      <c r="H49" s="1836"/>
      <c r="I49" s="1837"/>
      <c r="J49" s="568"/>
      <c r="K49" s="832"/>
      <c r="O49" s="315"/>
    </row>
    <row r="50" spans="2:15" ht="21" customHeight="1">
      <c r="B50" s="681" t="s">
        <v>809</v>
      </c>
      <c r="C50" s="681"/>
      <c r="D50" s="681"/>
      <c r="E50" s="681"/>
      <c r="F50" s="681"/>
      <c r="G50" s="681"/>
      <c r="H50" s="681"/>
      <c r="I50" s="681"/>
      <c r="J50" s="654"/>
      <c r="K50" s="842">
        <f>+MAX(0,J48-J49)</f>
        <v>0</v>
      </c>
    </row>
    <row r="52" spans="2:15">
      <c r="B52" s="456" t="s">
        <v>3215</v>
      </c>
    </row>
    <row r="53" spans="2:15">
      <c r="B53" s="456"/>
    </row>
    <row r="54" spans="2:15">
      <c r="B54" s="456"/>
    </row>
    <row r="55" spans="2:15">
      <c r="B55" s="456"/>
    </row>
    <row r="56" spans="2:15">
      <c r="B56" s="456"/>
    </row>
    <row r="57" spans="2:15" ht="13.8">
      <c r="B57" s="1799" t="s">
        <v>3214</v>
      </c>
      <c r="C57" s="1799"/>
      <c r="D57" s="1799"/>
      <c r="E57" s="1799"/>
      <c r="F57" s="1799"/>
      <c r="G57" s="1799"/>
      <c r="H57" s="1799"/>
      <c r="I57" s="1799"/>
      <c r="J57" s="1799"/>
      <c r="K57" s="1799"/>
    </row>
  </sheetData>
  <sheetProtection algorithmName="SHA-512" hashValue="/BfePFO0bsX9M85SBChZuiSugnABrxrkfMjWDE5eSMKCsRfiUK5iwvoJYbz245h3ePbTZ8XeLbCJv3wIXPO+OA==" saltValue="7WpnZs2NNH3D7guNg14yiA=="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4">
    <tabColor theme="7" tint="0.39997558519241921"/>
  </sheetPr>
  <dimension ref="B1:Z52"/>
  <sheetViews>
    <sheetView zoomScaleNormal="100" zoomScaleSheetLayoutView="80" workbookViewId="0">
      <selection activeCell="K11" sqref="K11"/>
    </sheetView>
  </sheetViews>
  <sheetFormatPr defaultColWidth="8.88671875" defaultRowHeight="13.2"/>
  <cols>
    <col min="1" max="5" width="4.6640625" style="391" customWidth="1"/>
    <col min="6" max="8" width="8.88671875" style="391"/>
    <col min="9" max="9" width="6.33203125" style="391" customWidth="1"/>
    <col min="10" max="10" width="8.88671875" style="391"/>
    <col min="11" max="12" width="16.6640625" style="391" customWidth="1"/>
    <col min="13" max="13" width="13.5546875" style="391" bestFit="1" customWidth="1"/>
    <col min="14" max="14" width="11.88671875" style="391" bestFit="1" customWidth="1"/>
    <col min="15" max="16384" width="8.88671875" style="391"/>
  </cols>
  <sheetData>
    <row r="1" spans="2:26">
      <c r="B1" s="1096"/>
      <c r="C1" s="1096"/>
      <c r="D1" s="1096"/>
      <c r="E1" s="1096"/>
      <c r="F1" s="1096"/>
      <c r="G1" s="1096"/>
      <c r="H1" s="1096"/>
      <c r="I1" s="1096"/>
      <c r="J1" s="1096"/>
      <c r="K1" s="1096"/>
      <c r="L1" s="1096"/>
    </row>
    <row r="2" spans="2:26" ht="20.399999999999999">
      <c r="B2" s="1826" t="str">
        <f>"RESULTS  OF  "&amp;TEXT('KEY INPUTS'!D34,"0")&amp;"  OPERATIONS  - "&amp;UPPER('KEY INPUTS'!D56)&amp;" UTILITY"</f>
        <v>RESULTS  OF  2020  OPERATIONS  -  UTILITY</v>
      </c>
      <c r="C2" s="1826"/>
      <c r="D2" s="1826"/>
      <c r="E2" s="1826"/>
      <c r="F2" s="1826"/>
      <c r="G2" s="1826"/>
      <c r="H2" s="1826"/>
      <c r="I2" s="1826"/>
      <c r="J2" s="1826"/>
      <c r="K2" s="1826"/>
      <c r="L2" s="1826"/>
    </row>
    <row r="3" spans="2:26" ht="13.8" thickBot="1">
      <c r="B3" s="1096"/>
      <c r="C3" s="1096"/>
      <c r="D3" s="1096"/>
      <c r="E3" s="1096"/>
      <c r="F3" s="1096"/>
      <c r="G3" s="1096"/>
      <c r="H3" s="1096"/>
      <c r="I3" s="1096"/>
      <c r="J3" s="1096"/>
      <c r="K3" s="1096"/>
      <c r="L3" s="1096"/>
    </row>
    <row r="4" spans="2:26" ht="21" customHeight="1" thickTop="1" thickBot="1">
      <c r="B4" s="1315"/>
      <c r="C4" s="1315"/>
      <c r="D4" s="1315"/>
      <c r="E4" s="1315"/>
      <c r="F4" s="1315"/>
      <c r="G4" s="1315"/>
      <c r="H4" s="1315"/>
      <c r="I4" s="1315"/>
      <c r="J4" s="1315"/>
      <c r="K4" s="1097" t="s">
        <v>101</v>
      </c>
      <c r="L4" s="1098" t="s">
        <v>102</v>
      </c>
    </row>
    <row r="5" spans="2:26" ht="21" customHeight="1" thickTop="1">
      <c r="B5" s="1192" t="s">
        <v>218</v>
      </c>
      <c r="C5" s="1152"/>
      <c r="D5" s="1152"/>
      <c r="E5" s="1152"/>
      <c r="F5" s="1152"/>
      <c r="G5" s="1152"/>
      <c r="H5" s="1152"/>
      <c r="I5" s="1152"/>
      <c r="J5" s="1152"/>
      <c r="K5" s="1184" t="s">
        <v>662</v>
      </c>
      <c r="L5" s="1185">
        <f>IF(+'44-Utility5'!J22&gt;0,+'44-Utility5'!J22,0)</f>
        <v>0</v>
      </c>
      <c r="N5" s="315"/>
      <c r="O5" s="315"/>
      <c r="P5" s="315"/>
      <c r="Q5" s="315"/>
      <c r="R5" s="315"/>
      <c r="S5" s="315"/>
      <c r="T5" s="315"/>
    </row>
    <row r="6" spans="2:26" ht="21" customHeight="1">
      <c r="B6" s="687" t="s">
        <v>219</v>
      </c>
      <c r="C6" s="681"/>
      <c r="D6" s="681"/>
      <c r="E6" s="681"/>
      <c r="F6" s="681"/>
      <c r="G6" s="681"/>
      <c r="H6" s="681"/>
      <c r="I6" s="681"/>
      <c r="J6" s="681"/>
      <c r="K6" s="1186" t="s">
        <v>662</v>
      </c>
      <c r="L6" s="1106">
        <f>+'44-Utility5'!J40</f>
        <v>0</v>
      </c>
      <c r="M6" s="730"/>
      <c r="N6" s="315"/>
      <c r="O6" s="315"/>
      <c r="P6" s="315"/>
      <c r="Q6" s="315"/>
      <c r="R6" s="315"/>
      <c r="S6" s="315"/>
      <c r="T6" s="315"/>
    </row>
    <row r="7" spans="2:26" ht="21" customHeight="1">
      <c r="B7" s="687" t="s">
        <v>220</v>
      </c>
      <c r="C7" s="681"/>
      <c r="D7" s="681"/>
      <c r="E7" s="681"/>
      <c r="F7" s="681"/>
      <c r="G7" s="681"/>
      <c r="H7" s="681"/>
      <c r="I7" s="681"/>
      <c r="J7" s="681"/>
      <c r="K7" s="1186" t="s">
        <v>662</v>
      </c>
      <c r="L7" s="1106">
        <f>'45-Utility5'!J17</f>
        <v>0</v>
      </c>
      <c r="N7" s="370"/>
      <c r="O7" s="315"/>
      <c r="P7" s="315"/>
      <c r="Q7" s="315"/>
      <c r="R7" s="315"/>
      <c r="S7" s="315"/>
      <c r="T7" s="315"/>
    </row>
    <row r="8" spans="2:26" ht="21" customHeight="1">
      <c r="B8" s="1096" t="str">
        <f>"Unexpended Balances of "&amp;TEXT('KEY INPUTS'!D35,"0")&amp;" Appropriations*"</f>
        <v>Unexpended Balances of 2019 Appropriations*</v>
      </c>
      <c r="C8" s="681"/>
      <c r="D8" s="681"/>
      <c r="E8" s="681"/>
      <c r="F8" s="681"/>
      <c r="G8" s="681"/>
      <c r="H8" s="681"/>
      <c r="I8" s="681"/>
      <c r="J8" s="681"/>
      <c r="K8" s="1186" t="s">
        <v>662</v>
      </c>
      <c r="L8" s="1106">
        <f>+'45-Utility5'!K50</f>
        <v>0</v>
      </c>
      <c r="N8" s="315"/>
      <c r="O8" s="315"/>
      <c r="P8" s="315"/>
      <c r="Q8" s="315"/>
      <c r="R8" s="315"/>
      <c r="S8" s="315"/>
      <c r="T8" s="315"/>
    </row>
    <row r="9" spans="2:26" ht="21" customHeight="1">
      <c r="B9" s="696"/>
      <c r="C9" s="639"/>
      <c r="D9" s="639"/>
      <c r="E9" s="639"/>
      <c r="F9" s="639"/>
      <c r="G9" s="639"/>
      <c r="H9" s="639"/>
      <c r="I9" s="681"/>
      <c r="J9" s="681"/>
      <c r="K9" s="649"/>
      <c r="L9" s="601"/>
      <c r="N9" s="315"/>
      <c r="O9" s="315"/>
      <c r="P9" s="315"/>
      <c r="Q9" s="315"/>
      <c r="R9" s="315"/>
      <c r="S9" s="315"/>
      <c r="T9" s="315"/>
    </row>
    <row r="10" spans="2:26" ht="21" customHeight="1">
      <c r="B10" s="1096" t="s">
        <v>3221</v>
      </c>
      <c r="C10" s="1096"/>
      <c r="D10" s="1096"/>
      <c r="E10" s="1096"/>
      <c r="F10" s="1096"/>
      <c r="G10" s="1096"/>
      <c r="H10" s="1096"/>
      <c r="I10" s="1096"/>
      <c r="J10" s="1096"/>
      <c r="K10" s="680">
        <f>IF(+'44-Utility5'!J22&lt;0,-'44-Utility5'!J22,0)</f>
        <v>0</v>
      </c>
      <c r="L10" s="1188" t="s">
        <v>662</v>
      </c>
      <c r="M10" s="392">
        <f>+L9+L8+L7+L6+L5-K11-K10-K9</f>
        <v>0</v>
      </c>
      <c r="N10" s="701" t="s">
        <v>3435</v>
      </c>
      <c r="O10" s="315"/>
      <c r="P10" s="315"/>
      <c r="Q10" s="315"/>
      <c r="R10" s="315"/>
      <c r="S10" s="315"/>
      <c r="T10" s="315"/>
      <c r="V10" s="470">
        <f>-'44-Utility5'!U22</f>
        <v>0</v>
      </c>
    </row>
    <row r="11" spans="2:26" ht="21" customHeight="1">
      <c r="B11" s="693"/>
      <c r="C11" s="1181"/>
      <c r="D11" s="639"/>
      <c r="E11" s="639"/>
      <c r="F11" s="639"/>
      <c r="G11" s="639"/>
      <c r="H11" s="639"/>
      <c r="I11" s="681"/>
      <c r="J11" s="681"/>
      <c r="K11" s="593"/>
      <c r="L11" s="1188" t="s">
        <v>662</v>
      </c>
      <c r="N11" s="315"/>
      <c r="O11" s="315"/>
      <c r="P11" s="315"/>
      <c r="Q11" s="315"/>
      <c r="R11" s="315"/>
      <c r="S11" s="315"/>
      <c r="T11" s="315"/>
      <c r="U11" s="315"/>
      <c r="V11" s="315"/>
      <c r="W11" s="315"/>
      <c r="X11" s="315"/>
      <c r="Y11" s="315"/>
      <c r="Z11" s="315"/>
    </row>
    <row r="12" spans="2:26" ht="21" customHeight="1">
      <c r="B12" s="687" t="s">
        <v>221</v>
      </c>
      <c r="C12" s="1154"/>
      <c r="D12" s="681"/>
      <c r="E12" s="681"/>
      <c r="F12" s="681"/>
      <c r="G12" s="681"/>
      <c r="H12" s="681"/>
      <c r="I12" s="681"/>
      <c r="J12" s="681"/>
      <c r="K12" s="1186" t="s">
        <v>662</v>
      </c>
      <c r="L12" s="1187">
        <f>IF(M10&gt;0,0,M10*-1)</f>
        <v>0</v>
      </c>
      <c r="N12" s="315"/>
      <c r="O12" s="315"/>
      <c r="P12" s="315"/>
      <c r="Q12" s="315"/>
      <c r="R12" s="315"/>
      <c r="S12" s="315"/>
      <c r="T12" s="315"/>
      <c r="U12" s="315"/>
      <c r="V12" s="315"/>
      <c r="W12" s="315"/>
      <c r="X12" s="315"/>
      <c r="Y12" s="315"/>
      <c r="Z12" s="315"/>
    </row>
    <row r="13" spans="2:26" ht="21" customHeight="1" thickBot="1">
      <c r="B13" s="687" t="s">
        <v>222</v>
      </c>
      <c r="C13" s="1154"/>
      <c r="D13" s="681"/>
      <c r="E13" s="681"/>
      <c r="F13" s="681"/>
      <c r="G13" s="681"/>
      <c r="H13" s="681"/>
      <c r="I13" s="681"/>
      <c r="J13" s="681"/>
      <c r="K13" s="680">
        <f>IF(M10&gt;0,M10,0)</f>
        <v>0</v>
      </c>
      <c r="L13" s="1189" t="s">
        <v>662</v>
      </c>
      <c r="M13" s="392"/>
      <c r="N13" s="315"/>
      <c r="O13" s="315"/>
      <c r="P13" s="315"/>
      <c r="Q13" s="315"/>
      <c r="R13" s="315"/>
      <c r="S13" s="315"/>
      <c r="T13" s="315"/>
      <c r="U13" s="315"/>
      <c r="V13" s="469">
        <f>U11</f>
        <v>0</v>
      </c>
      <c r="W13" s="315"/>
      <c r="X13" s="315"/>
      <c r="Y13" s="315"/>
      <c r="Z13" s="315"/>
    </row>
    <row r="14" spans="2:26" ht="21" customHeight="1" thickBot="1">
      <c r="B14" s="1191" t="s">
        <v>3220</v>
      </c>
      <c r="C14" s="1096"/>
      <c r="D14" s="1096"/>
      <c r="E14" s="1096"/>
      <c r="F14" s="1096"/>
      <c r="G14" s="1096"/>
      <c r="H14" s="1096"/>
      <c r="I14" s="1096"/>
      <c r="J14" s="1096"/>
      <c r="K14" s="1113">
        <f>SUM(K5:K13)</f>
        <v>0</v>
      </c>
      <c r="L14" s="1114">
        <f>SUM(L5:L13)</f>
        <v>0</v>
      </c>
      <c r="M14" s="392">
        <f>L14-K14</f>
        <v>0</v>
      </c>
      <c r="N14" s="701" t="s">
        <v>3435</v>
      </c>
      <c r="O14" s="315"/>
      <c r="P14" s="315"/>
      <c r="Q14" s="315"/>
      <c r="R14" s="315"/>
      <c r="S14" s="315"/>
      <c r="T14" s="315"/>
      <c r="U14" s="315"/>
      <c r="V14" s="315"/>
      <c r="W14" s="315"/>
      <c r="X14" s="315"/>
      <c r="Y14" s="315"/>
      <c r="Z14" s="315"/>
    </row>
    <row r="15" spans="2:26" ht="18.75" customHeight="1" thickTop="1">
      <c r="N15" s="315"/>
      <c r="O15" s="315"/>
      <c r="P15" s="315"/>
      <c r="Q15" s="315"/>
      <c r="R15" s="315"/>
      <c r="S15" s="315"/>
      <c r="T15" s="315"/>
    </row>
    <row r="16" spans="2:26" ht="18.75" customHeight="1">
      <c r="K16" s="392"/>
      <c r="N16" s="315"/>
      <c r="O16" s="315"/>
      <c r="P16" s="315"/>
      <c r="Q16" s="315"/>
      <c r="R16" s="315"/>
      <c r="S16" s="315"/>
      <c r="T16" s="315"/>
    </row>
    <row r="17" spans="2:20" ht="22.8">
      <c r="B17" s="1804" t="str">
        <f>"OPERATING  SURPLUS  - "&amp;UPPER('KEY INPUTS'!D56)&amp;" UTILITY"</f>
        <v>OPERATING  SURPLUS  -  UTILITY</v>
      </c>
      <c r="C17" s="1804"/>
      <c r="D17" s="1804"/>
      <c r="E17" s="1804"/>
      <c r="F17" s="1804"/>
      <c r="G17" s="1804"/>
      <c r="H17" s="1804"/>
      <c r="I17" s="1804"/>
      <c r="J17" s="1804"/>
      <c r="K17" s="1804"/>
      <c r="L17" s="1804"/>
      <c r="N17" s="315"/>
      <c r="O17" s="315"/>
      <c r="P17" s="315"/>
      <c r="Q17" s="315"/>
      <c r="R17" s="315"/>
      <c r="S17" s="315"/>
      <c r="T17" s="315"/>
    </row>
    <row r="18" spans="2:20" ht="6.75" customHeight="1" thickBot="1">
      <c r="B18" s="1096"/>
      <c r="C18" s="1096"/>
      <c r="D18" s="1096"/>
      <c r="E18" s="1096"/>
      <c r="F18" s="1096"/>
      <c r="G18" s="1096"/>
      <c r="H18" s="1096"/>
      <c r="I18" s="1096"/>
      <c r="J18" s="1096"/>
      <c r="K18" s="1096"/>
      <c r="L18" s="1096"/>
      <c r="N18" s="315"/>
      <c r="O18" s="315"/>
      <c r="P18" s="315"/>
      <c r="Q18" s="315"/>
      <c r="R18" s="315"/>
      <c r="S18" s="315"/>
      <c r="T18" s="315"/>
    </row>
    <row r="19" spans="2:20" ht="25.5" customHeight="1" thickTop="1" thickBot="1">
      <c r="B19" s="1315"/>
      <c r="C19" s="1315"/>
      <c r="D19" s="1315"/>
      <c r="E19" s="1315"/>
      <c r="F19" s="1315"/>
      <c r="G19" s="1315"/>
      <c r="H19" s="1315"/>
      <c r="I19" s="1315"/>
      <c r="J19" s="1315"/>
      <c r="K19" s="1097" t="s">
        <v>101</v>
      </c>
      <c r="L19" s="1098" t="s">
        <v>102</v>
      </c>
      <c r="N19" s="315"/>
      <c r="O19" s="315"/>
      <c r="P19" s="315"/>
      <c r="Q19" s="315"/>
      <c r="R19" s="315"/>
      <c r="S19" s="315"/>
      <c r="T19" s="315"/>
    </row>
    <row r="20" spans="2:20" ht="21" customHeight="1" thickTop="1">
      <c r="B20" s="1193" t="str">
        <f>'KEY INPUTS'!D25</f>
        <v>Balance - January 1, 2020</v>
      </c>
      <c r="C20" s="1152"/>
      <c r="D20" s="1152"/>
      <c r="E20" s="1152"/>
      <c r="F20" s="1152"/>
      <c r="G20" s="1152"/>
      <c r="H20" s="1152"/>
      <c r="I20" s="1152"/>
      <c r="J20" s="1152"/>
      <c r="K20" s="1317" t="s">
        <v>662</v>
      </c>
      <c r="L20" s="915"/>
      <c r="N20" s="315"/>
      <c r="O20" s="315"/>
      <c r="P20" s="315"/>
      <c r="Q20" s="315"/>
      <c r="R20" s="315"/>
      <c r="S20" s="315"/>
      <c r="T20" s="315"/>
    </row>
    <row r="21" spans="2:20" ht="21" customHeight="1">
      <c r="B21" s="1182"/>
      <c r="C21" s="639"/>
      <c r="D21" s="639"/>
      <c r="E21" s="639"/>
      <c r="F21" s="639"/>
      <c r="G21" s="639"/>
      <c r="H21" s="639"/>
      <c r="I21" s="639"/>
      <c r="J21" s="639"/>
      <c r="K21" s="1180"/>
      <c r="L21" s="913"/>
      <c r="N21" s="315"/>
      <c r="O21" s="315"/>
      <c r="P21" s="315"/>
      <c r="Q21" s="315"/>
      <c r="R21" s="315"/>
      <c r="S21" s="315"/>
      <c r="T21" s="315"/>
    </row>
    <row r="22" spans="2:20" ht="21" customHeight="1">
      <c r="B22" s="905" t="str">
        <f>"Excess in Results of "&amp;TEXT('KEY INPUTS'!D34,"0")&amp;" Operations"</f>
        <v>Excess in Results of 2020 Operations</v>
      </c>
      <c r="C22" s="681"/>
      <c r="D22" s="681"/>
      <c r="E22" s="681"/>
      <c r="F22" s="681"/>
      <c r="G22" s="681"/>
      <c r="H22" s="681"/>
      <c r="I22" s="681"/>
      <c r="J22" s="681"/>
      <c r="K22" s="1318" t="s">
        <v>662</v>
      </c>
      <c r="L22" s="1319">
        <f>+K13</f>
        <v>0</v>
      </c>
    </row>
    <row r="23" spans="2:20" ht="21" customHeight="1">
      <c r="B23" s="905" t="str">
        <f>"Amount Appropriated in the "&amp;TEXT('KEY INPUTS'!D34,"0")&amp;" Budget - Cash"</f>
        <v>Amount Appropriated in the 2020 Budget - Cash</v>
      </c>
      <c r="C23" s="681"/>
      <c r="D23" s="681"/>
      <c r="E23" s="681"/>
      <c r="F23" s="681"/>
      <c r="G23" s="681"/>
      <c r="H23" s="681"/>
      <c r="I23" s="681"/>
      <c r="J23" s="681"/>
      <c r="K23" s="1320">
        <f>'44-Utility5'!I7</f>
        <v>0</v>
      </c>
      <c r="L23" s="1321" t="s">
        <v>662</v>
      </c>
    </row>
    <row r="24" spans="2:20" ht="11.25" customHeight="1">
      <c r="B24" s="1171" t="str">
        <f>"Amount Appropriated in "&amp;TEXT('KEY INPUTS'!D34,"0")&amp;" Budget with Prior Written"</f>
        <v>Amount Appropriated in 2020 Budget with Prior Written</v>
      </c>
      <c r="C24" s="1096"/>
      <c r="D24" s="1096"/>
      <c r="E24" s="1096"/>
      <c r="F24" s="1096"/>
      <c r="G24" s="1096"/>
      <c r="H24" s="1096"/>
      <c r="I24" s="1096"/>
      <c r="J24" s="1096"/>
      <c r="K24" s="1969"/>
      <c r="L24" s="1967" t="s">
        <v>662</v>
      </c>
    </row>
    <row r="25" spans="2:20" ht="12.75" customHeight="1">
      <c r="B25" s="1110" t="s">
        <v>891</v>
      </c>
      <c r="C25" s="1110"/>
      <c r="D25" s="1110"/>
      <c r="E25" s="1110"/>
      <c r="F25" s="1110"/>
      <c r="G25" s="1110"/>
      <c r="H25" s="1110"/>
      <c r="I25" s="1110"/>
      <c r="J25" s="1110"/>
      <c r="K25" s="1970"/>
      <c r="L25" s="1968"/>
    </row>
    <row r="26" spans="2:20" ht="21" customHeight="1">
      <c r="B26" s="1182"/>
      <c r="C26" s="639"/>
      <c r="D26" s="639"/>
      <c r="E26" s="639"/>
      <c r="F26" s="639"/>
      <c r="G26" s="639"/>
      <c r="H26" s="639"/>
      <c r="I26" s="639"/>
      <c r="J26" s="639"/>
      <c r="K26" s="914"/>
      <c r="L26" s="1183"/>
    </row>
    <row r="27" spans="2:20" ht="21" customHeight="1" thickBot="1">
      <c r="B27" s="681" t="str">
        <f>'KEY INPUTS'!D26</f>
        <v>Balance - December 31, 2020</v>
      </c>
      <c r="C27" s="681"/>
      <c r="D27" s="681"/>
      <c r="E27" s="681"/>
      <c r="F27" s="681"/>
      <c r="G27" s="681"/>
      <c r="H27" s="681"/>
      <c r="I27" s="681"/>
      <c r="J27" s="681"/>
      <c r="K27" s="1322">
        <f>+SUM(L20:L26)-SUM(K21:K26)</f>
        <v>0</v>
      </c>
      <c r="L27" s="1323" t="s">
        <v>662</v>
      </c>
      <c r="N27" s="767" t="s">
        <v>3307</v>
      </c>
    </row>
    <row r="28" spans="2:20" ht="21" customHeight="1" thickBot="1">
      <c r="B28" s="1096"/>
      <c r="C28" s="1096"/>
      <c r="D28" s="1096"/>
      <c r="E28" s="1096"/>
      <c r="F28" s="1096"/>
      <c r="G28" s="1096"/>
      <c r="H28" s="1096"/>
      <c r="I28" s="1096"/>
      <c r="J28" s="1096"/>
      <c r="K28" s="1324">
        <f>SUM(K21:K27)</f>
        <v>0</v>
      </c>
      <c r="L28" s="1325">
        <f>SUM(L20:L27)</f>
        <v>0</v>
      </c>
    </row>
    <row r="29" spans="2:20" ht="13.8" thickTop="1"/>
    <row r="32" spans="2:20" ht="17.399999999999999">
      <c r="B32" s="1843" t="str">
        <f>"ANALYSIS  OF  BALANCE  DECEMBER 31, "&amp;TEXT('KEY INPUTS'!D34,"0")&amp;""</f>
        <v>ANALYSIS  OF  BALANCE  DECEMBER 31, 2020</v>
      </c>
      <c r="C32" s="1843"/>
      <c r="D32" s="1843"/>
      <c r="E32" s="1843"/>
      <c r="F32" s="1843"/>
      <c r="G32" s="1843"/>
      <c r="H32" s="1843"/>
      <c r="I32" s="1843"/>
      <c r="J32" s="1843"/>
      <c r="K32" s="1843"/>
      <c r="L32" s="1843"/>
    </row>
    <row r="33" spans="2:14" ht="17.399999999999999">
      <c r="B33" s="1843" t="str">
        <f>"(FROM "&amp;UPPER('KEY INPUTS'!D56)&amp;" UTILITY  -  TRIAL  BALANCE)"</f>
        <v>(FROM  UTILITY  -  TRIAL  BALANCE)</v>
      </c>
      <c r="C33" s="1843"/>
      <c r="D33" s="1843"/>
      <c r="E33" s="1843"/>
      <c r="F33" s="1843"/>
      <c r="G33" s="1843"/>
      <c r="H33" s="1843"/>
      <c r="I33" s="1843"/>
      <c r="J33" s="1843"/>
      <c r="K33" s="1843"/>
      <c r="L33" s="1843"/>
    </row>
    <row r="34" spans="2:14" ht="13.8" thickBot="1">
      <c r="B34" s="1096"/>
      <c r="C34" s="1096"/>
      <c r="D34" s="1096"/>
      <c r="E34" s="1096"/>
      <c r="F34" s="1096"/>
      <c r="G34" s="1096"/>
      <c r="H34" s="1096"/>
      <c r="I34" s="1096"/>
      <c r="J34" s="1096"/>
      <c r="K34" s="1096"/>
      <c r="L34" s="1096"/>
    </row>
    <row r="35" spans="2:14" ht="21" customHeight="1" thickTop="1">
      <c r="B35" s="1152" t="s">
        <v>202</v>
      </c>
      <c r="C35" s="1152"/>
      <c r="D35" s="1152"/>
      <c r="E35" s="1152"/>
      <c r="F35" s="1152"/>
      <c r="G35" s="1152"/>
      <c r="H35" s="1152"/>
      <c r="I35" s="1152"/>
      <c r="J35" s="1152"/>
      <c r="K35" s="1196"/>
      <c r="L35" s="1195">
        <f>+'41-Utility5'!G13</f>
        <v>0</v>
      </c>
    </row>
    <row r="36" spans="2:14" ht="21" customHeight="1">
      <c r="B36" s="681" t="s">
        <v>335</v>
      </c>
      <c r="C36" s="681"/>
      <c r="D36" s="681"/>
      <c r="E36" s="681"/>
      <c r="F36" s="681"/>
      <c r="G36" s="681"/>
      <c r="H36" s="681"/>
      <c r="I36" s="681"/>
      <c r="J36" s="681"/>
      <c r="K36" s="1197"/>
      <c r="L36" s="623"/>
    </row>
    <row r="37" spans="2:14" ht="21" customHeight="1" thickBot="1">
      <c r="B37" s="681" t="s">
        <v>698</v>
      </c>
      <c r="C37" s="681"/>
      <c r="D37" s="681"/>
      <c r="E37" s="681"/>
      <c r="F37" s="681"/>
      <c r="G37" s="681"/>
      <c r="H37" s="681"/>
      <c r="I37" s="681"/>
      <c r="J37" s="681"/>
      <c r="K37" s="1197"/>
      <c r="L37" s="625"/>
    </row>
    <row r="38" spans="2:14" ht="21" customHeight="1" thickTop="1">
      <c r="B38" s="681"/>
      <c r="C38" s="681"/>
      <c r="D38" s="681" t="s">
        <v>337</v>
      </c>
      <c r="E38" s="681"/>
      <c r="F38" s="681"/>
      <c r="G38" s="681"/>
      <c r="H38" s="681"/>
      <c r="I38" s="681"/>
      <c r="J38" s="681"/>
      <c r="K38" s="1197"/>
      <c r="L38" s="1198">
        <f>SUM(L35:L37)</f>
        <v>0</v>
      </c>
    </row>
    <row r="39" spans="2:14" ht="21" customHeight="1" thickBot="1">
      <c r="B39" s="681" t="s">
        <v>386</v>
      </c>
      <c r="C39" s="681"/>
      <c r="D39" s="681"/>
      <c r="E39" s="681"/>
      <c r="F39" s="681"/>
      <c r="G39" s="681"/>
      <c r="H39" s="681"/>
      <c r="I39" s="681"/>
      <c r="J39" s="681"/>
      <c r="K39" s="1197"/>
      <c r="L39" s="1199">
        <f>+'41-Utility5'!H39</f>
        <v>0</v>
      </c>
    </row>
    <row r="40" spans="2:14" ht="21" customHeight="1" thickTop="1">
      <c r="B40" s="681"/>
      <c r="C40" s="681"/>
      <c r="D40" s="681" t="s">
        <v>216</v>
      </c>
      <c r="E40" s="681"/>
      <c r="F40" s="681"/>
      <c r="G40" s="681"/>
      <c r="H40" s="681"/>
      <c r="I40" s="681"/>
      <c r="J40" s="681"/>
      <c r="K40" s="1197"/>
      <c r="L40" s="1198">
        <f>+L38-L39</f>
        <v>0</v>
      </c>
    </row>
    <row r="41" spans="2:14" ht="21" customHeight="1">
      <c r="B41" s="681" t="s">
        <v>393</v>
      </c>
      <c r="C41" s="681"/>
      <c r="D41" s="681"/>
      <c r="E41" s="681"/>
      <c r="F41" s="681"/>
      <c r="G41" s="681"/>
      <c r="H41" s="681"/>
      <c r="I41" s="681"/>
      <c r="J41" s="681"/>
      <c r="K41" s="682"/>
      <c r="L41" s="1102"/>
    </row>
    <row r="42" spans="2:14" ht="22.5" customHeight="1">
      <c r="B42" s="681"/>
      <c r="C42" s="1842" t="s">
        <v>389</v>
      </c>
      <c r="D42" s="1842"/>
      <c r="E42" s="1842"/>
      <c r="F42" s="1842"/>
      <c r="G42" s="1842"/>
      <c r="H42" s="1205"/>
      <c r="I42" s="681"/>
      <c r="J42" s="681"/>
      <c r="K42" s="593"/>
      <c r="L42" s="1102"/>
    </row>
    <row r="43" spans="2:14" ht="21" customHeight="1">
      <c r="B43" s="681"/>
      <c r="C43" s="681" t="s">
        <v>217</v>
      </c>
      <c r="D43" s="681"/>
      <c r="E43" s="681"/>
      <c r="F43" s="681"/>
      <c r="G43" s="681"/>
      <c r="H43" s="681"/>
      <c r="I43" s="681"/>
      <c r="J43" s="681"/>
      <c r="K43" s="593"/>
      <c r="L43" s="1102"/>
      <c r="M43" s="392"/>
      <c r="N43" s="392"/>
    </row>
    <row r="44" spans="2:14" ht="21" customHeight="1" thickBot="1">
      <c r="B44" s="681"/>
      <c r="C44" s="681"/>
      <c r="D44" s="681" t="s">
        <v>391</v>
      </c>
      <c r="E44" s="681"/>
      <c r="F44" s="681"/>
      <c r="G44" s="681"/>
      <c r="H44" s="681"/>
      <c r="I44" s="681"/>
      <c r="J44" s="681"/>
      <c r="K44" s="1201"/>
      <c r="L44" s="1112">
        <f>SUM(K42:K43)</f>
        <v>0</v>
      </c>
    </row>
    <row r="45" spans="2:14" ht="21" customHeight="1" thickBot="1">
      <c r="B45" s="1202" t="str">
        <f>"# MAY NOT BE ANTICIPATED AS NON-CASH SURPLUS IN "&amp;TEXT('KEY INPUTS'!D34,"0")&amp;" BUDGET."</f>
        <v># MAY NOT BE ANTICIPATED AS NON-CASH SURPLUS IN 2020 BUDGET.</v>
      </c>
      <c r="C45" s="1096"/>
      <c r="D45" s="1096"/>
      <c r="E45" s="1096"/>
      <c r="F45" s="1096"/>
      <c r="G45" s="1096"/>
      <c r="H45" s="1096"/>
      <c r="I45" s="1096"/>
      <c r="J45" s="1096"/>
      <c r="K45" s="1203"/>
      <c r="L45" s="1200">
        <f>+L40+L44</f>
        <v>0</v>
      </c>
      <c r="M45" s="392"/>
      <c r="N45" s="767" t="s">
        <v>3307</v>
      </c>
    </row>
    <row r="46" spans="2:14" ht="13.8" thickTop="1">
      <c r="B46" s="463" t="s">
        <v>223</v>
      </c>
      <c r="C46" s="463"/>
    </row>
    <row r="47" spans="2:14">
      <c r="B47" s="463"/>
      <c r="C47" s="463" t="s">
        <v>3219</v>
      </c>
    </row>
    <row r="52" spans="2:12" ht="13.8">
      <c r="B52" s="1799" t="s">
        <v>3218</v>
      </c>
      <c r="C52" s="1799"/>
      <c r="D52" s="1799"/>
      <c r="E52" s="1799"/>
      <c r="F52" s="1799"/>
      <c r="G52" s="1799"/>
      <c r="H52" s="1799"/>
      <c r="I52" s="1799"/>
      <c r="J52" s="1799"/>
      <c r="K52" s="1799"/>
      <c r="L52" s="1799"/>
    </row>
  </sheetData>
  <sheetProtection algorithmName="SHA-512" hashValue="ujRevGSCprI7Hr/srdLU8g9KaTswL43b7hLWiUgcECpFf3XXxL1wCojcI/BT9L5r0qtno8vGZqj6xl2Jdncklw==" saltValue="bChw1a3qUHFfUa3IyGTwbQ=="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5">
    <tabColor theme="7" tint="0.39997558519241921"/>
  </sheetPr>
  <dimension ref="B3:T69"/>
  <sheetViews>
    <sheetView zoomScaleNormal="100" zoomScaleSheetLayoutView="80" workbookViewId="0">
      <selection activeCell="B1" sqref="B1"/>
    </sheetView>
  </sheetViews>
  <sheetFormatPr defaultColWidth="9.109375" defaultRowHeight="13.2"/>
  <cols>
    <col min="1" max="4" width="4.6640625" style="324" customWidth="1"/>
    <col min="5" max="8" width="9.109375" style="324"/>
    <col min="9" max="9" width="1.6640625" style="324" customWidth="1"/>
    <col min="10" max="10" width="16.6640625" style="324" customWidth="1"/>
    <col min="11" max="11" width="1.6640625" style="324" customWidth="1"/>
    <col min="12" max="12" width="16.6640625" style="324" customWidth="1"/>
    <col min="13" max="16384" width="9.109375" style="324"/>
  </cols>
  <sheetData>
    <row r="3" spans="2:20" ht="17.399999999999999">
      <c r="B3" s="1849" t="str">
        <f>"SCHEDULE  OF "&amp;UPPER('KEY INPUTS'!D56&amp;"  UTILITY  ACCOUNTS  RECEIVABLE")</f>
        <v>SCHEDULE  OF   UTILITY  ACCOUNTS  RECEIVABLE</v>
      </c>
      <c r="C3" s="1849"/>
      <c r="D3" s="1849"/>
      <c r="E3" s="1849"/>
      <c r="F3" s="1849"/>
      <c r="G3" s="1849"/>
      <c r="H3" s="1849"/>
      <c r="I3" s="1849"/>
      <c r="J3" s="1849"/>
      <c r="K3" s="1849"/>
      <c r="L3" s="1849"/>
    </row>
    <row r="6" spans="2:20">
      <c r="B6" s="473" t="str">
        <f>"Balance December 31, "&amp;'KEY INPUTS'!D35</f>
        <v>Balance December 31, 2019</v>
      </c>
      <c r="J6" s="280"/>
      <c r="K6" s="324" t="s">
        <v>397</v>
      </c>
      <c r="L6" s="573"/>
      <c r="N6" s="315"/>
      <c r="O6" s="315"/>
      <c r="P6" s="315"/>
      <c r="Q6" s="315"/>
      <c r="R6" s="315"/>
      <c r="S6" s="315"/>
      <c r="T6" s="315"/>
    </row>
    <row r="7" spans="2:20">
      <c r="J7" s="280"/>
      <c r="K7" s="280"/>
      <c r="L7" s="280"/>
      <c r="N7" s="315"/>
      <c r="O7" s="315"/>
      <c r="P7" s="315"/>
      <c r="Q7" s="315"/>
      <c r="R7" s="315"/>
      <c r="S7" s="315"/>
      <c r="T7" s="315"/>
    </row>
    <row r="8" spans="2:20">
      <c r="J8" s="280"/>
      <c r="K8" s="280"/>
      <c r="L8" s="280"/>
      <c r="N8" s="370"/>
      <c r="O8" s="315"/>
      <c r="P8" s="315"/>
      <c r="Q8" s="315"/>
      <c r="R8" s="315"/>
      <c r="S8" s="315"/>
      <c r="T8" s="315"/>
    </row>
    <row r="9" spans="2:20">
      <c r="J9" s="280"/>
      <c r="K9" s="280"/>
      <c r="L9" s="280"/>
      <c r="N9" s="315"/>
      <c r="O9" s="315"/>
      <c r="P9" s="315"/>
      <c r="Q9" s="315"/>
      <c r="R9" s="315"/>
      <c r="S9" s="315"/>
      <c r="T9" s="315"/>
    </row>
    <row r="10" spans="2:20">
      <c r="B10" s="324" t="s">
        <v>224</v>
      </c>
      <c r="J10" s="280"/>
      <c r="K10" s="280"/>
      <c r="L10" s="280"/>
      <c r="N10" s="315"/>
      <c r="O10" s="315"/>
      <c r="P10" s="315"/>
      <c r="Q10" s="315"/>
      <c r="R10" s="315"/>
      <c r="S10" s="315"/>
      <c r="T10" s="315"/>
    </row>
    <row r="11" spans="2:20">
      <c r="D11" s="1174" t="s">
        <v>3550</v>
      </c>
      <c r="E11" s="1174"/>
      <c r="F11" s="1174"/>
      <c r="G11" s="1096"/>
      <c r="J11" s="280"/>
      <c r="K11" s="324" t="s">
        <v>397</v>
      </c>
      <c r="L11" s="573"/>
      <c r="N11" s="315"/>
      <c r="O11" s="315"/>
      <c r="P11" s="315"/>
      <c r="Q11" s="315"/>
      <c r="R11" s="315"/>
      <c r="S11" s="315"/>
      <c r="T11" s="315"/>
    </row>
    <row r="12" spans="2:20">
      <c r="J12" s="280"/>
      <c r="K12" s="280"/>
      <c r="L12" s="280"/>
      <c r="N12" s="315"/>
      <c r="O12" s="315"/>
      <c r="P12" s="315"/>
      <c r="Q12" s="315"/>
      <c r="R12" s="315"/>
      <c r="S12" s="315"/>
      <c r="T12" s="315"/>
    </row>
    <row r="13" spans="2:20">
      <c r="J13" s="280"/>
      <c r="K13" s="280"/>
      <c r="L13" s="280"/>
      <c r="N13" s="315"/>
      <c r="O13" s="315"/>
      <c r="P13" s="315"/>
      <c r="Q13" s="315"/>
      <c r="R13" s="315"/>
      <c r="S13" s="315"/>
      <c r="T13" s="315"/>
    </row>
    <row r="14" spans="2:20">
      <c r="J14" s="280"/>
      <c r="K14" s="280"/>
      <c r="L14" s="280"/>
      <c r="N14" s="315"/>
      <c r="O14" s="315"/>
      <c r="P14" s="315"/>
      <c r="Q14" s="315"/>
      <c r="R14" s="315"/>
      <c r="S14" s="315"/>
      <c r="T14" s="315"/>
    </row>
    <row r="15" spans="2:20">
      <c r="B15" s="324" t="s">
        <v>225</v>
      </c>
      <c r="J15" s="280"/>
      <c r="K15" s="280"/>
      <c r="L15" s="280"/>
      <c r="N15" s="315"/>
      <c r="O15" s="315"/>
      <c r="P15" s="315"/>
      <c r="Q15" s="315"/>
      <c r="R15" s="315"/>
      <c r="S15" s="315"/>
      <c r="T15" s="315"/>
    </row>
    <row r="16" spans="2:20" ht="21" customHeight="1">
      <c r="D16" s="324" t="s">
        <v>226</v>
      </c>
      <c r="I16" s="324" t="s">
        <v>397</v>
      </c>
      <c r="J16" s="573"/>
      <c r="K16" s="280"/>
      <c r="L16" s="280"/>
      <c r="N16" s="315"/>
      <c r="O16" s="315"/>
      <c r="P16" s="315"/>
      <c r="Q16" s="315"/>
      <c r="R16" s="315"/>
      <c r="S16" s="315"/>
      <c r="T16" s="315"/>
    </row>
    <row r="17" spans="2:20" ht="21" customHeight="1">
      <c r="D17" s="324" t="s">
        <v>227</v>
      </c>
      <c r="I17" s="324" t="s">
        <v>397</v>
      </c>
      <c r="J17" s="573"/>
      <c r="K17" s="280"/>
      <c r="L17" s="280"/>
      <c r="N17" s="315"/>
      <c r="O17" s="315"/>
      <c r="P17" s="315"/>
      <c r="Q17" s="315"/>
      <c r="R17" s="315"/>
      <c r="S17" s="315"/>
      <c r="T17" s="315"/>
    </row>
    <row r="18" spans="2:20" ht="21" customHeight="1">
      <c r="D18" s="1096" t="s">
        <v>3551</v>
      </c>
      <c r="E18" s="1096"/>
      <c r="F18" s="1174"/>
      <c r="G18" s="1174"/>
      <c r="I18" s="324" t="s">
        <v>397</v>
      </c>
      <c r="J18" s="573"/>
      <c r="K18" s="280"/>
      <c r="L18" s="280"/>
      <c r="N18" s="315"/>
      <c r="O18" s="315"/>
      <c r="P18" s="315"/>
      <c r="Q18" s="315"/>
      <c r="R18" s="315"/>
      <c r="S18" s="315"/>
      <c r="T18" s="315"/>
    </row>
    <row r="19" spans="2:20" ht="21" customHeight="1">
      <c r="D19" s="324" t="s">
        <v>228</v>
      </c>
      <c r="I19" s="324" t="s">
        <v>397</v>
      </c>
      <c r="J19" s="573"/>
      <c r="K19" s="280"/>
      <c r="L19" s="280"/>
      <c r="N19" s="315"/>
      <c r="O19" s="315"/>
      <c r="P19" s="315"/>
      <c r="Q19" s="315"/>
      <c r="R19" s="315"/>
      <c r="S19" s="315"/>
      <c r="T19" s="315"/>
    </row>
    <row r="20" spans="2:20">
      <c r="J20" s="280"/>
      <c r="K20" s="280"/>
      <c r="L20" s="280"/>
      <c r="N20" s="315"/>
      <c r="O20" s="315"/>
      <c r="P20" s="315"/>
      <c r="Q20" s="315"/>
      <c r="R20" s="315"/>
      <c r="S20" s="315"/>
      <c r="T20" s="315"/>
    </row>
    <row r="21" spans="2:20">
      <c r="J21" s="280"/>
      <c r="K21" s="324" t="s">
        <v>397</v>
      </c>
      <c r="L21" s="67">
        <f>SUM(J16:J19)</f>
        <v>0</v>
      </c>
      <c r="N21" s="315"/>
      <c r="O21" s="315"/>
      <c r="P21" s="315"/>
      <c r="Q21" s="315"/>
      <c r="R21" s="315"/>
      <c r="S21" s="315"/>
      <c r="T21" s="315"/>
    </row>
    <row r="22" spans="2:20">
      <c r="J22" s="280"/>
      <c r="K22" s="280"/>
      <c r="L22" s="280"/>
      <c r="N22" s="315"/>
      <c r="O22" s="315"/>
      <c r="P22" s="315"/>
      <c r="Q22" s="315"/>
      <c r="R22" s="315"/>
      <c r="S22" s="315"/>
      <c r="T22" s="315"/>
    </row>
    <row r="23" spans="2:20">
      <c r="J23" s="280"/>
      <c r="K23" s="280"/>
      <c r="L23" s="280"/>
    </row>
    <row r="24" spans="2:20" ht="13.8" thickBot="1">
      <c r="B24" s="471" t="str">
        <f>"Balance December 31, "&amp;'KEY INPUTS'!D34</f>
        <v>Balance December 31, 2020</v>
      </c>
      <c r="J24" s="280"/>
      <c r="K24" s="324" t="s">
        <v>397</v>
      </c>
      <c r="L24" s="84">
        <f>+L6+L11-L21</f>
        <v>0</v>
      </c>
    </row>
    <row r="25" spans="2:20" ht="13.8" thickTop="1"/>
    <row r="28" spans="2:20">
      <c r="B28" s="472"/>
      <c r="C28" s="472"/>
      <c r="D28" s="472"/>
      <c r="E28" s="472"/>
      <c r="F28" s="472"/>
      <c r="G28" s="472"/>
      <c r="H28" s="472"/>
      <c r="I28" s="472"/>
      <c r="J28" s="472"/>
      <c r="K28" s="472"/>
      <c r="L28" s="472"/>
    </row>
    <row r="29" spans="2:20" ht="4.5" customHeight="1">
      <c r="B29" s="472"/>
      <c r="C29" s="472"/>
      <c r="D29" s="472"/>
      <c r="E29" s="472"/>
      <c r="F29" s="472"/>
      <c r="G29" s="472"/>
      <c r="H29" s="472"/>
      <c r="I29" s="472"/>
      <c r="J29" s="472"/>
      <c r="K29" s="472"/>
      <c r="L29" s="472"/>
    </row>
    <row r="33" spans="2:12" ht="17.399999999999999">
      <c r="B33" s="1843" t="str">
        <f>"SCHEDULE  OF "&amp;UPPER('KEY INPUTS'!D56)&amp;" UTILITY  LIENS"</f>
        <v>SCHEDULE  OF  UTILITY  LIENS</v>
      </c>
      <c r="C33" s="1843"/>
      <c r="D33" s="1843"/>
      <c r="E33" s="1843"/>
      <c r="F33" s="1843"/>
      <c r="G33" s="1843"/>
      <c r="H33" s="1843"/>
      <c r="I33" s="1843"/>
      <c r="J33" s="1843"/>
      <c r="K33" s="1843"/>
      <c r="L33" s="1843"/>
    </row>
    <row r="36" spans="2:12">
      <c r="B36" s="471" t="str">
        <f>"Balance December 31, "&amp;'KEY INPUTS'!D35</f>
        <v>Balance December 31, 2019</v>
      </c>
      <c r="I36" s="280"/>
      <c r="J36" s="280"/>
      <c r="K36" s="280" t="s">
        <v>397</v>
      </c>
      <c r="L36" s="573"/>
    </row>
    <row r="37" spans="2:12">
      <c r="I37" s="280"/>
      <c r="J37" s="280"/>
      <c r="K37" s="280"/>
      <c r="L37" s="280"/>
    </row>
    <row r="38" spans="2:12">
      <c r="I38" s="280"/>
      <c r="J38" s="280"/>
      <c r="K38" s="280"/>
      <c r="L38" s="280"/>
    </row>
    <row r="39" spans="2:12">
      <c r="I39" s="280"/>
      <c r="J39" s="280"/>
      <c r="K39" s="280"/>
      <c r="L39" s="280"/>
    </row>
    <row r="40" spans="2:12">
      <c r="B40" s="324" t="s">
        <v>224</v>
      </c>
      <c r="I40" s="280"/>
      <c r="J40" s="280"/>
      <c r="K40" s="280"/>
      <c r="L40" s="280"/>
    </row>
    <row r="41" spans="2:12" ht="21" customHeight="1">
      <c r="D41" s="324" t="s">
        <v>229</v>
      </c>
      <c r="I41" s="324" t="s">
        <v>397</v>
      </c>
      <c r="J41" s="573"/>
      <c r="K41" s="280"/>
      <c r="L41" s="280"/>
    </row>
    <row r="42" spans="2:12" ht="21" customHeight="1">
      <c r="D42" s="324" t="s">
        <v>230</v>
      </c>
      <c r="I42" s="324" t="s">
        <v>397</v>
      </c>
      <c r="J42" s="573"/>
      <c r="K42" s="280"/>
      <c r="L42" s="280"/>
    </row>
    <row r="43" spans="2:12" ht="21" customHeight="1">
      <c r="D43" s="324" t="s">
        <v>228</v>
      </c>
      <c r="I43" s="324" t="s">
        <v>397</v>
      </c>
      <c r="J43" s="573"/>
      <c r="K43" s="123"/>
      <c r="L43" s="123"/>
    </row>
    <row r="44" spans="2:12">
      <c r="I44" s="280"/>
      <c r="J44" s="280"/>
      <c r="K44" s="280"/>
      <c r="L44" s="280"/>
    </row>
    <row r="45" spans="2:12">
      <c r="I45" s="280"/>
      <c r="J45" s="280"/>
      <c r="K45" s="324" t="s">
        <v>397</v>
      </c>
      <c r="L45" s="67">
        <f>SUM(J41:J43)</f>
        <v>0</v>
      </c>
    </row>
    <row r="46" spans="2:12">
      <c r="I46" s="280"/>
      <c r="J46" s="280"/>
      <c r="K46" s="280"/>
      <c r="L46" s="280"/>
    </row>
    <row r="47" spans="2:12">
      <c r="B47" s="324" t="s">
        <v>225</v>
      </c>
      <c r="I47" s="280"/>
      <c r="J47" s="280"/>
      <c r="K47" s="280"/>
      <c r="L47" s="280"/>
    </row>
    <row r="48" spans="2:12" ht="21" customHeight="1">
      <c r="D48" s="324" t="s">
        <v>226</v>
      </c>
      <c r="I48" s="324" t="s">
        <v>397</v>
      </c>
      <c r="J48" s="573"/>
      <c r="K48" s="280"/>
      <c r="L48" s="280"/>
    </row>
    <row r="49" spans="2:12" ht="21" customHeight="1">
      <c r="D49" s="324" t="s">
        <v>228</v>
      </c>
      <c r="I49" s="324" t="s">
        <v>397</v>
      </c>
      <c r="J49" s="573"/>
      <c r="K49" s="280"/>
      <c r="L49" s="280"/>
    </row>
    <row r="50" spans="2:12">
      <c r="I50" s="280"/>
      <c r="J50" s="280"/>
      <c r="K50" s="280"/>
      <c r="L50" s="280"/>
    </row>
    <row r="51" spans="2:12">
      <c r="I51" s="280"/>
      <c r="J51" s="280"/>
      <c r="K51" s="324" t="s">
        <v>397</v>
      </c>
      <c r="L51" s="67">
        <f>+J49+J48</f>
        <v>0</v>
      </c>
    </row>
    <row r="52" spans="2:12">
      <c r="I52" s="280"/>
      <c r="J52" s="280"/>
      <c r="K52" s="280"/>
      <c r="L52" s="280"/>
    </row>
    <row r="53" spans="2:12">
      <c r="I53" s="280"/>
      <c r="J53" s="280"/>
      <c r="K53" s="280"/>
      <c r="L53" s="280"/>
    </row>
    <row r="54" spans="2:12" ht="13.8" thickBot="1">
      <c r="B54" s="471" t="str">
        <f>"Balance December 31, "&amp;'KEY INPUTS'!D34</f>
        <v>Balance December 31, 2020</v>
      </c>
      <c r="I54" s="280"/>
      <c r="J54" s="280"/>
      <c r="K54" s="324" t="s">
        <v>397</v>
      </c>
      <c r="L54" s="84">
        <f>+L36+L45-L51</f>
        <v>0</v>
      </c>
    </row>
    <row r="55" spans="2:12" ht="13.8" thickTop="1">
      <c r="I55" s="280"/>
      <c r="J55" s="280"/>
      <c r="K55" s="280"/>
      <c r="L55" s="280"/>
    </row>
    <row r="69" spans="2:12" ht="13.8">
      <c r="B69" s="1850" t="s">
        <v>3222</v>
      </c>
      <c r="C69" s="1850"/>
      <c r="D69" s="1850"/>
      <c r="E69" s="1850"/>
      <c r="F69" s="1850"/>
      <c r="G69" s="1850"/>
      <c r="H69" s="1850"/>
      <c r="I69" s="1850"/>
      <c r="J69" s="1850"/>
      <c r="K69" s="1850"/>
      <c r="L69" s="1850"/>
    </row>
  </sheetData>
  <sheetProtection algorithmName="SHA-512" hashValue="nFqEi/5iw4FwAFkdGwmQdQxDeEtNDPcEEYHgUJsbHOg39O+N1GKp0mcQk1MW4IinEYjZPLoC69X3n0+EPmw0Hg==" saltValue="C7m7QHQDqF2FYRSJdRHZLw=="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6">
    <tabColor theme="7" tint="0.39997558519241921"/>
  </sheetPr>
  <dimension ref="B1:W69"/>
  <sheetViews>
    <sheetView zoomScaleNormal="100" zoomScaleSheetLayoutView="80" workbookViewId="0"/>
  </sheetViews>
  <sheetFormatPr defaultColWidth="9.109375" defaultRowHeight="13.2"/>
  <cols>
    <col min="1" max="4" width="4.6640625" style="324" customWidth="1"/>
    <col min="5" max="6" width="9.109375" style="324"/>
    <col min="7" max="7" width="1.6640625" style="324" customWidth="1"/>
    <col min="8" max="8" width="14.6640625" style="324" customWidth="1"/>
    <col min="9" max="9" width="1.6640625" style="324" customWidth="1"/>
    <col min="10" max="10" width="14.6640625" style="324" customWidth="1"/>
    <col min="11" max="11" width="1.6640625" style="324" customWidth="1"/>
    <col min="12" max="12" width="14.6640625" style="324" customWidth="1"/>
    <col min="13" max="13" width="1.6640625" style="324" customWidth="1"/>
    <col min="14" max="14" width="14.6640625" style="324" customWidth="1"/>
    <col min="15" max="16384" width="9.109375" style="324"/>
  </cols>
  <sheetData>
    <row r="1" spans="2:23">
      <c r="B1" s="1128"/>
      <c r="C1" s="1128"/>
      <c r="D1" s="1128"/>
      <c r="E1" s="1128"/>
      <c r="F1" s="1128"/>
      <c r="G1" s="1128"/>
      <c r="H1" s="1128"/>
      <c r="I1" s="1128"/>
      <c r="J1" s="1128"/>
      <c r="K1" s="1128"/>
      <c r="L1" s="1128"/>
      <c r="M1" s="1128"/>
      <c r="N1" s="1128"/>
    </row>
    <row r="2" spans="2:23">
      <c r="B2" s="1128"/>
      <c r="C2" s="1128"/>
      <c r="D2" s="1128"/>
      <c r="E2" s="1128"/>
      <c r="F2" s="1128"/>
      <c r="G2" s="1128"/>
      <c r="H2" s="1128"/>
      <c r="I2" s="1128"/>
      <c r="J2" s="1128"/>
      <c r="K2" s="1128"/>
      <c r="L2" s="1128"/>
      <c r="M2" s="1128"/>
      <c r="N2" s="1128"/>
    </row>
    <row r="3" spans="2:23" ht="20.399999999999999">
      <c r="B3" s="1916" t="s">
        <v>918</v>
      </c>
      <c r="C3" s="1916"/>
      <c r="D3" s="1916"/>
      <c r="E3" s="1916"/>
      <c r="F3" s="1916"/>
      <c r="G3" s="1916"/>
      <c r="H3" s="1916"/>
      <c r="I3" s="1916"/>
      <c r="J3" s="1916"/>
      <c r="K3" s="1916"/>
      <c r="L3" s="1916"/>
      <c r="M3" s="1916"/>
      <c r="N3" s="1916"/>
    </row>
    <row r="4" spans="2:23" ht="15.6">
      <c r="B4" s="1974" t="s">
        <v>448</v>
      </c>
      <c r="C4" s="1974"/>
      <c r="D4" s="1974"/>
      <c r="E4" s="1974"/>
      <c r="F4" s="1974"/>
      <c r="G4" s="1974"/>
      <c r="H4" s="1974"/>
      <c r="I4" s="1974"/>
      <c r="J4" s="1974"/>
      <c r="K4" s="1974"/>
      <c r="L4" s="1974"/>
      <c r="M4" s="1974"/>
      <c r="N4" s="1974"/>
    </row>
    <row r="5" spans="2:23" ht="20.399999999999999">
      <c r="B5" s="1826" t="str">
        <f>UPPER('KEY INPUTS'!D56)&amp;" UTILITY  FUND"</f>
        <v xml:space="preserve"> UTILITY  FUND</v>
      </c>
      <c r="C5" s="1826"/>
      <c r="D5" s="1826"/>
      <c r="E5" s="1826"/>
      <c r="F5" s="1826"/>
      <c r="G5" s="1826"/>
      <c r="H5" s="1826"/>
      <c r="I5" s="1826"/>
      <c r="J5" s="1826"/>
      <c r="K5" s="1826"/>
      <c r="L5" s="1826"/>
      <c r="M5" s="1826"/>
      <c r="N5" s="1826"/>
    </row>
    <row r="6" spans="2:23">
      <c r="B6" s="1975" t="s">
        <v>231</v>
      </c>
      <c r="C6" s="1975"/>
      <c r="D6" s="1975"/>
      <c r="E6" s="1975"/>
      <c r="F6" s="1975"/>
      <c r="G6" s="1975"/>
      <c r="H6" s="1975"/>
      <c r="I6" s="1975"/>
      <c r="J6" s="1975"/>
      <c r="K6" s="1975"/>
      <c r="L6" s="1975"/>
      <c r="M6" s="1975"/>
      <c r="N6" s="1975"/>
    </row>
    <row r="7" spans="2:23">
      <c r="B7" s="1128"/>
      <c r="C7" s="1128"/>
      <c r="D7" s="1128"/>
      <c r="E7" s="1128"/>
      <c r="F7" s="1128"/>
      <c r="G7" s="1128"/>
      <c r="H7" s="1128"/>
      <c r="I7" s="1128"/>
      <c r="J7" s="1128"/>
      <c r="K7" s="1128"/>
      <c r="L7" s="1128"/>
      <c r="M7" s="1128"/>
      <c r="N7" s="1128"/>
    </row>
    <row r="8" spans="2:23">
      <c r="B8" s="1128"/>
      <c r="C8" s="1128"/>
      <c r="D8" s="1128"/>
      <c r="E8" s="1128"/>
      <c r="F8" s="1128"/>
      <c r="G8" s="1128"/>
      <c r="H8" s="1123" t="s">
        <v>441</v>
      </c>
      <c r="I8" s="1128"/>
      <c r="J8" s="1128"/>
      <c r="K8" s="1128"/>
      <c r="L8" s="1128"/>
      <c r="M8" s="1128"/>
      <c r="N8" s="1128"/>
    </row>
    <row r="9" spans="2:23">
      <c r="B9" s="1128"/>
      <c r="C9" s="1973" t="s">
        <v>461</v>
      </c>
      <c r="D9" s="1973"/>
      <c r="E9" s="1973"/>
      <c r="F9" s="1128"/>
      <c r="G9" s="1128"/>
      <c r="H9" s="1326" t="str">
        <f>'KEY INPUTS'!D45</f>
        <v>Dec. 31, 2019</v>
      </c>
      <c r="I9" s="1128"/>
      <c r="J9" s="1123" t="s">
        <v>462</v>
      </c>
      <c r="K9" s="1128"/>
      <c r="L9" s="1123" t="s">
        <v>441</v>
      </c>
      <c r="M9" s="1128"/>
      <c r="N9" s="1123" t="s">
        <v>559</v>
      </c>
    </row>
    <row r="10" spans="2:23">
      <c r="B10" s="1128"/>
      <c r="C10" s="1128"/>
      <c r="D10" s="1128"/>
      <c r="E10" s="1128"/>
      <c r="F10" s="1128"/>
      <c r="G10" s="1128"/>
      <c r="H10" s="1123" t="s">
        <v>460</v>
      </c>
      <c r="I10" s="1128"/>
      <c r="J10" s="1123">
        <f>'KEY INPUTS'!D34</f>
        <v>2020</v>
      </c>
      <c r="K10" s="1128"/>
      <c r="L10" s="1123" t="s">
        <v>463</v>
      </c>
      <c r="M10" s="1128"/>
      <c r="N10" s="1123" t="s">
        <v>464</v>
      </c>
    </row>
    <row r="11" spans="2:23">
      <c r="B11" s="1128"/>
      <c r="C11" s="1128"/>
      <c r="D11" s="1128"/>
      <c r="E11" s="1128"/>
      <c r="F11" s="1128"/>
      <c r="G11" s="1128"/>
      <c r="H11" s="1327" t="s">
        <v>459</v>
      </c>
      <c r="I11" s="1128"/>
      <c r="J11" s="1327" t="s">
        <v>564</v>
      </c>
      <c r="K11" s="1128"/>
      <c r="L11" s="1327">
        <f>'KEY INPUTS'!D34</f>
        <v>2020</v>
      </c>
      <c r="M11" s="1128"/>
      <c r="N11" s="1328" t="str">
        <f>'KEY INPUTS'!D46</f>
        <v>Dec. 31, 2020</v>
      </c>
      <c r="Q11" s="315"/>
      <c r="R11" s="315"/>
      <c r="S11" s="315"/>
      <c r="T11" s="315"/>
      <c r="U11" s="315"/>
      <c r="V11" s="315"/>
      <c r="W11" s="315"/>
    </row>
    <row r="12" spans="2:23">
      <c r="B12" s="1329" t="s">
        <v>308</v>
      </c>
      <c r="C12" s="1128" t="s">
        <v>919</v>
      </c>
      <c r="D12" s="1128"/>
      <c r="E12" s="1128"/>
      <c r="F12" s="1128"/>
      <c r="G12" s="1128"/>
      <c r="H12" s="1128"/>
      <c r="I12" s="1128"/>
      <c r="J12" s="1128"/>
      <c r="K12" s="1128"/>
      <c r="L12" s="1128"/>
      <c r="M12" s="1128"/>
      <c r="N12" s="1128"/>
      <c r="Q12" s="315"/>
      <c r="R12" s="315"/>
      <c r="S12" s="315"/>
      <c r="T12" s="315"/>
      <c r="U12" s="315"/>
      <c r="V12" s="315"/>
      <c r="W12" s="315"/>
    </row>
    <row r="13" spans="2:23">
      <c r="B13" s="474"/>
      <c r="D13" s="324" t="s">
        <v>920</v>
      </c>
      <c r="G13" s="324" t="s">
        <v>397</v>
      </c>
      <c r="H13" s="573"/>
      <c r="I13" s="324" t="s">
        <v>397</v>
      </c>
      <c r="J13" s="573"/>
      <c r="K13" s="324" t="s">
        <v>397</v>
      </c>
      <c r="L13" s="573"/>
      <c r="M13" s="324" t="s">
        <v>397</v>
      </c>
      <c r="N13" s="661">
        <f>+H13-J13+L13</f>
        <v>0</v>
      </c>
      <c r="Q13" s="370"/>
      <c r="R13" s="315"/>
      <c r="S13" s="315"/>
      <c r="T13" s="315"/>
      <c r="U13" s="315"/>
      <c r="V13" s="315"/>
      <c r="W13" s="315"/>
    </row>
    <row r="14" spans="2:23">
      <c r="B14" s="474"/>
      <c r="H14" s="280"/>
      <c r="J14" s="280"/>
      <c r="L14" s="280"/>
      <c r="Q14" s="315"/>
      <c r="R14" s="315"/>
      <c r="S14" s="315"/>
      <c r="T14" s="315"/>
      <c r="U14" s="315"/>
      <c r="V14" s="315"/>
      <c r="W14" s="315"/>
    </row>
    <row r="15" spans="2:23" ht="21" customHeight="1">
      <c r="B15" s="474" t="s">
        <v>309</v>
      </c>
      <c r="C15" s="660" t="s">
        <v>3190</v>
      </c>
      <c r="D15" s="659"/>
      <c r="E15" s="659"/>
      <c r="F15" s="659"/>
      <c r="G15" s="324" t="s">
        <v>397</v>
      </c>
      <c r="H15" s="573"/>
      <c r="I15" s="324" t="s">
        <v>397</v>
      </c>
      <c r="J15" s="573"/>
      <c r="K15" s="324" t="s">
        <v>397</v>
      </c>
      <c r="L15" s="573"/>
      <c r="M15" s="324" t="s">
        <v>397</v>
      </c>
      <c r="N15" s="1206">
        <f>+H15-J15+L15</f>
        <v>0</v>
      </c>
      <c r="Q15" s="315"/>
      <c r="R15" s="315"/>
      <c r="S15" s="315"/>
      <c r="T15" s="315"/>
      <c r="U15" s="315"/>
      <c r="V15" s="315"/>
      <c r="W15" s="315"/>
    </row>
    <row r="16" spans="2:23" ht="21" customHeight="1">
      <c r="B16" s="474" t="s">
        <v>310</v>
      </c>
      <c r="C16" s="659"/>
      <c r="D16" s="659"/>
      <c r="E16" s="659"/>
      <c r="F16" s="659"/>
      <c r="G16" s="324" t="s">
        <v>397</v>
      </c>
      <c r="H16" s="573"/>
      <c r="I16" s="324" t="s">
        <v>397</v>
      </c>
      <c r="J16" s="573"/>
      <c r="K16" s="324" t="s">
        <v>397</v>
      </c>
      <c r="L16" s="573"/>
      <c r="M16" s="324" t="s">
        <v>397</v>
      </c>
      <c r="N16" s="1206">
        <f>+H16-J16+L16</f>
        <v>0</v>
      </c>
      <c r="Q16" s="315"/>
      <c r="R16" s="315"/>
      <c r="S16" s="315"/>
      <c r="T16" s="315"/>
      <c r="U16" s="315"/>
      <c r="V16" s="315"/>
      <c r="W16" s="315"/>
    </row>
    <row r="17" spans="2:23" ht="21" customHeight="1">
      <c r="B17" s="474" t="s">
        <v>311</v>
      </c>
      <c r="C17" s="659"/>
      <c r="D17" s="659"/>
      <c r="E17" s="659"/>
      <c r="F17" s="659"/>
      <c r="G17" s="324" t="s">
        <v>397</v>
      </c>
      <c r="H17" s="573"/>
      <c r="I17" s="324" t="s">
        <v>397</v>
      </c>
      <c r="J17" s="573"/>
      <c r="K17" s="324" t="s">
        <v>397</v>
      </c>
      <c r="L17" s="573"/>
      <c r="M17" s="324" t="s">
        <v>397</v>
      </c>
      <c r="N17" s="1206">
        <f t="shared" ref="N17:N23" si="0">+H17-J17+L17</f>
        <v>0</v>
      </c>
      <c r="Q17" s="315"/>
      <c r="R17" s="315"/>
      <c r="S17" s="315"/>
      <c r="T17" s="315"/>
      <c r="U17" s="315"/>
      <c r="V17" s="315"/>
      <c r="W17" s="315"/>
    </row>
    <row r="18" spans="2:23" ht="21" customHeight="1">
      <c r="B18" s="474" t="s">
        <v>312</v>
      </c>
      <c r="C18" s="659"/>
      <c r="D18" s="659"/>
      <c r="E18" s="659"/>
      <c r="F18" s="659"/>
      <c r="G18" s="324" t="s">
        <v>397</v>
      </c>
      <c r="H18" s="573"/>
      <c r="I18" s="324" t="s">
        <v>397</v>
      </c>
      <c r="J18" s="573"/>
      <c r="K18" s="324" t="s">
        <v>397</v>
      </c>
      <c r="L18" s="573"/>
      <c r="M18" s="324" t="s">
        <v>397</v>
      </c>
      <c r="N18" s="1206">
        <f t="shared" si="0"/>
        <v>0</v>
      </c>
      <c r="Q18" s="315"/>
      <c r="R18" s="315"/>
      <c r="S18" s="315"/>
      <c r="T18" s="315"/>
      <c r="U18" s="315"/>
      <c r="V18" s="315"/>
      <c r="W18" s="315"/>
    </row>
    <row r="19" spans="2:23" ht="21" customHeight="1">
      <c r="B19" s="474"/>
      <c r="C19" s="1208" t="s">
        <v>3268</v>
      </c>
      <c r="D19" s="1208"/>
      <c r="E19" s="1208"/>
      <c r="F19" s="1208"/>
      <c r="G19" s="731" t="s">
        <v>397</v>
      </c>
      <c r="H19" s="573"/>
      <c r="I19" s="731" t="s">
        <v>397</v>
      </c>
      <c r="J19" s="573"/>
      <c r="K19" s="731" t="s">
        <v>397</v>
      </c>
      <c r="L19" s="573"/>
      <c r="M19" s="324" t="s">
        <v>397</v>
      </c>
      <c r="N19" s="1206">
        <f t="shared" si="0"/>
        <v>0</v>
      </c>
      <c r="Q19" s="315"/>
      <c r="R19" s="315"/>
      <c r="S19" s="315"/>
      <c r="T19" s="315"/>
      <c r="U19" s="315"/>
      <c r="V19" s="315"/>
      <c r="W19" s="315"/>
    </row>
    <row r="20" spans="2:23" ht="21" customHeight="1">
      <c r="B20" s="474"/>
      <c r="C20" s="1330" t="s">
        <v>3269</v>
      </c>
      <c r="D20" s="1208"/>
      <c r="E20" s="1208"/>
      <c r="F20" s="1208"/>
      <c r="G20" s="731" t="s">
        <v>397</v>
      </c>
      <c r="H20" s="1207">
        <f>H13+H15+H16+H17+H18+H19</f>
        <v>0</v>
      </c>
      <c r="I20" s="731" t="s">
        <v>397</v>
      </c>
      <c r="J20" s="1207">
        <f>J13+J15+J16+J17+J18+J19</f>
        <v>0</v>
      </c>
      <c r="K20" s="731" t="s">
        <v>397</v>
      </c>
      <c r="L20" s="1207">
        <f>L13+L15+L16+L17+L18+L19</f>
        <v>0</v>
      </c>
      <c r="M20" s="324" t="s">
        <v>397</v>
      </c>
      <c r="N20" s="1207">
        <f>N13+N15+N16+N17+N18+N19</f>
        <v>0</v>
      </c>
      <c r="Q20" s="315"/>
      <c r="R20" s="315"/>
      <c r="S20" s="315"/>
      <c r="T20" s="315"/>
      <c r="U20" s="315"/>
      <c r="V20" s="315"/>
      <c r="W20" s="315"/>
    </row>
    <row r="21" spans="2:23" ht="21" customHeight="1">
      <c r="B21" s="474" t="s">
        <v>313</v>
      </c>
      <c r="C21" s="659"/>
      <c r="D21" s="659"/>
      <c r="E21" s="659"/>
      <c r="F21" s="659"/>
      <c r="G21" s="324" t="s">
        <v>397</v>
      </c>
      <c r="H21" s="573"/>
      <c r="I21" s="324" t="s">
        <v>397</v>
      </c>
      <c r="J21" s="573"/>
      <c r="K21" s="324" t="s">
        <v>397</v>
      </c>
      <c r="L21" s="573"/>
      <c r="M21" s="324" t="s">
        <v>397</v>
      </c>
      <c r="N21" s="1206">
        <f t="shared" si="0"/>
        <v>0</v>
      </c>
      <c r="Q21" s="315"/>
      <c r="R21" s="315"/>
      <c r="S21" s="315"/>
      <c r="T21" s="315"/>
      <c r="U21" s="315"/>
      <c r="V21" s="315"/>
      <c r="W21" s="315"/>
    </row>
    <row r="22" spans="2:23" ht="21" customHeight="1">
      <c r="B22" s="474" t="s">
        <v>314</v>
      </c>
      <c r="C22" s="659"/>
      <c r="D22" s="659"/>
      <c r="E22" s="659"/>
      <c r="F22" s="659"/>
      <c r="G22" s="324" t="s">
        <v>397</v>
      </c>
      <c r="H22" s="573"/>
      <c r="I22" s="324" t="s">
        <v>397</v>
      </c>
      <c r="J22" s="573"/>
      <c r="K22" s="324" t="s">
        <v>397</v>
      </c>
      <c r="L22" s="573"/>
      <c r="M22" s="324" t="s">
        <v>397</v>
      </c>
      <c r="N22" s="1206">
        <f t="shared" si="0"/>
        <v>0</v>
      </c>
      <c r="Q22" s="315"/>
      <c r="R22" s="315"/>
      <c r="S22" s="315"/>
      <c r="T22" s="315"/>
      <c r="U22" s="315"/>
      <c r="V22" s="315"/>
      <c r="W22" s="315"/>
    </row>
    <row r="23" spans="2:23" ht="21" customHeight="1">
      <c r="B23" s="474"/>
      <c r="C23" s="1330" t="s">
        <v>3548</v>
      </c>
      <c r="D23" s="1208"/>
      <c r="E23" s="1208"/>
      <c r="F23" s="1208"/>
      <c r="G23" s="731" t="s">
        <v>397</v>
      </c>
      <c r="H23" s="1207">
        <f>H21+H22</f>
        <v>0</v>
      </c>
      <c r="I23" s="731" t="s">
        <v>397</v>
      </c>
      <c r="J23" s="1207">
        <f>J21+J22</f>
        <v>0</v>
      </c>
      <c r="K23" s="731" t="s">
        <v>397</v>
      </c>
      <c r="L23" s="1207">
        <f>L21+L22</f>
        <v>0</v>
      </c>
      <c r="M23" s="324" t="s">
        <v>397</v>
      </c>
      <c r="N23" s="1206">
        <f t="shared" si="0"/>
        <v>0</v>
      </c>
      <c r="Q23" s="315"/>
      <c r="R23" s="315"/>
      <c r="S23" s="315"/>
      <c r="T23" s="315"/>
      <c r="U23" s="315"/>
      <c r="V23" s="315"/>
      <c r="W23" s="315"/>
    </row>
    <row r="24" spans="2:23">
      <c r="B24" s="474"/>
      <c r="Q24" s="315"/>
      <c r="R24" s="315"/>
      <c r="S24" s="315"/>
      <c r="T24" s="315"/>
      <c r="U24" s="315"/>
      <c r="V24" s="315"/>
      <c r="W24" s="315"/>
    </row>
    <row r="25" spans="2:23">
      <c r="B25" s="474"/>
      <c r="C25" s="324" t="s">
        <v>922</v>
      </c>
      <c r="Q25" s="315"/>
      <c r="R25" s="315"/>
      <c r="S25" s="315"/>
      <c r="T25" s="315"/>
      <c r="U25" s="315"/>
      <c r="V25" s="315"/>
      <c r="W25" s="315"/>
    </row>
    <row r="26" spans="2:23">
      <c r="B26" s="474"/>
      <c r="Q26" s="315"/>
      <c r="R26" s="315"/>
      <c r="S26" s="315"/>
      <c r="T26" s="315"/>
      <c r="U26" s="315"/>
      <c r="V26" s="315"/>
      <c r="W26" s="315"/>
    </row>
    <row r="27" spans="2:23">
      <c r="B27" s="474"/>
      <c r="Q27" s="315"/>
      <c r="R27" s="315"/>
      <c r="S27" s="315"/>
      <c r="T27" s="315"/>
      <c r="U27" s="315"/>
      <c r="V27" s="315"/>
      <c r="W27" s="315"/>
    </row>
    <row r="28" spans="2:23" ht="15.6">
      <c r="B28" s="1971" t="s">
        <v>438</v>
      </c>
      <c r="C28" s="1971"/>
      <c r="D28" s="1971"/>
      <c r="E28" s="1971"/>
      <c r="F28" s="1971"/>
      <c r="G28" s="1971"/>
      <c r="H28" s="1971"/>
      <c r="I28" s="1971"/>
      <c r="J28" s="1971"/>
      <c r="K28" s="1971"/>
      <c r="L28" s="1971"/>
      <c r="M28" s="1971"/>
      <c r="N28" s="1971"/>
    </row>
    <row r="29" spans="2:23" ht="15.6">
      <c r="B29" s="1971" t="s">
        <v>439</v>
      </c>
      <c r="C29" s="1971"/>
      <c r="D29" s="1971"/>
      <c r="E29" s="1971"/>
      <c r="F29" s="1971"/>
      <c r="G29" s="1971"/>
      <c r="H29" s="1971"/>
      <c r="I29" s="1971"/>
      <c r="J29" s="1971"/>
      <c r="K29" s="1971"/>
      <c r="L29" s="1971"/>
      <c r="M29" s="1971"/>
      <c r="N29" s="1971"/>
    </row>
    <row r="30" spans="2:23" ht="6.75" customHeight="1">
      <c r="B30" s="1331"/>
      <c r="C30" s="1331"/>
      <c r="D30" s="1331"/>
      <c r="E30" s="1331"/>
      <c r="F30" s="1331"/>
      <c r="G30" s="1331"/>
      <c r="H30" s="1331"/>
      <c r="I30" s="1331"/>
      <c r="J30" s="1331"/>
      <c r="K30" s="1331"/>
      <c r="L30" s="1331"/>
      <c r="M30" s="1331"/>
      <c r="N30" s="1331"/>
    </row>
    <row r="31" spans="2:23" ht="18" customHeight="1">
      <c r="B31" s="1329"/>
      <c r="C31" s="1128"/>
      <c r="D31" s="1972" t="s">
        <v>18</v>
      </c>
      <c r="E31" s="1972"/>
      <c r="F31" s="1332"/>
      <c r="G31" s="1972" t="s">
        <v>440</v>
      </c>
      <c r="H31" s="1972"/>
      <c r="I31" s="1972"/>
      <c r="J31" s="1972"/>
      <c r="K31" s="1972"/>
      <c r="L31" s="1972"/>
      <c r="M31" s="1332"/>
      <c r="N31" s="1333" t="s">
        <v>441</v>
      </c>
    </row>
    <row r="32" spans="2:23" ht="21" customHeight="1">
      <c r="B32" s="474"/>
      <c r="C32" s="474" t="s">
        <v>308</v>
      </c>
      <c r="D32" s="659"/>
      <c r="E32" s="659"/>
      <c r="G32" s="659"/>
      <c r="H32" s="659"/>
      <c r="I32" s="659"/>
      <c r="J32" s="659"/>
      <c r="K32" s="659"/>
      <c r="L32" s="659"/>
      <c r="M32" s="324" t="s">
        <v>397</v>
      </c>
      <c r="N32" s="369"/>
    </row>
    <row r="33" spans="2:14" ht="21" customHeight="1">
      <c r="B33" s="474"/>
      <c r="C33" s="474" t="s">
        <v>309</v>
      </c>
      <c r="D33" s="659"/>
      <c r="E33" s="659"/>
      <c r="G33" s="659"/>
      <c r="H33" s="659"/>
      <c r="I33" s="659"/>
      <c r="J33" s="659"/>
      <c r="K33" s="659"/>
      <c r="L33" s="659"/>
      <c r="M33" s="324" t="s">
        <v>397</v>
      </c>
      <c r="N33" s="369"/>
    </row>
    <row r="34" spans="2:14" ht="21" customHeight="1">
      <c r="B34" s="474"/>
      <c r="C34" s="474" t="s">
        <v>310</v>
      </c>
      <c r="D34" s="659"/>
      <c r="E34" s="659"/>
      <c r="G34" s="659"/>
      <c r="H34" s="659"/>
      <c r="I34" s="659"/>
      <c r="J34" s="659"/>
      <c r="K34" s="659"/>
      <c r="L34" s="659"/>
      <c r="M34" s="324" t="s">
        <v>397</v>
      </c>
      <c r="N34" s="369"/>
    </row>
    <row r="35" spans="2:14" ht="21" customHeight="1">
      <c r="B35" s="474"/>
      <c r="C35" s="474" t="s">
        <v>311</v>
      </c>
      <c r="D35" s="659"/>
      <c r="E35" s="659"/>
      <c r="G35" s="659"/>
      <c r="H35" s="659"/>
      <c r="I35" s="659"/>
      <c r="J35" s="659"/>
      <c r="K35" s="659"/>
      <c r="L35" s="659"/>
      <c r="M35" s="324" t="s">
        <v>397</v>
      </c>
      <c r="N35" s="369"/>
    </row>
    <row r="36" spans="2:14" ht="21" customHeight="1">
      <c r="B36" s="474"/>
      <c r="C36" s="474" t="s">
        <v>312</v>
      </c>
      <c r="D36" s="659"/>
      <c r="E36" s="659"/>
      <c r="G36" s="659"/>
      <c r="H36" s="659"/>
      <c r="I36" s="659"/>
      <c r="J36" s="659"/>
      <c r="K36" s="659"/>
      <c r="L36" s="659"/>
      <c r="M36" s="324" t="s">
        <v>397</v>
      </c>
      <c r="N36" s="369"/>
    </row>
    <row r="37" spans="2:14">
      <c r="B37" s="474"/>
    </row>
    <row r="38" spans="2:14">
      <c r="B38" s="474"/>
    </row>
    <row r="39" spans="2:14">
      <c r="B39" s="474"/>
    </row>
    <row r="40" spans="2:14" ht="15.6">
      <c r="B40" s="1971" t="s">
        <v>264</v>
      </c>
      <c r="C40" s="1971"/>
      <c r="D40" s="1971"/>
      <c r="E40" s="1971"/>
      <c r="F40" s="1971"/>
      <c r="G40" s="1971"/>
      <c r="H40" s="1971"/>
      <c r="I40" s="1971"/>
      <c r="J40" s="1971"/>
      <c r="K40" s="1971"/>
      <c r="L40" s="1971"/>
      <c r="M40" s="1971"/>
      <c r="N40" s="1971"/>
    </row>
    <row r="41" spans="2:14">
      <c r="B41" s="1329"/>
      <c r="C41" s="1128"/>
      <c r="D41" s="1128"/>
      <c r="E41" s="1128"/>
      <c r="F41" s="1128"/>
      <c r="G41" s="1128"/>
      <c r="H41" s="1128"/>
      <c r="I41" s="1128"/>
      <c r="J41" s="1128"/>
      <c r="K41" s="1128"/>
      <c r="L41" s="1128"/>
      <c r="M41" s="1128"/>
      <c r="N41" s="1128"/>
    </row>
    <row r="42" spans="2:14">
      <c r="B42" s="1329"/>
      <c r="C42" s="1128"/>
      <c r="D42" s="1128"/>
      <c r="E42" s="1128"/>
      <c r="F42" s="1128"/>
      <c r="G42" s="1128"/>
      <c r="H42" s="1128"/>
      <c r="I42" s="1128"/>
      <c r="J42" s="1128"/>
      <c r="K42" s="1128"/>
      <c r="L42" s="1128"/>
      <c r="M42" s="1128"/>
      <c r="N42" s="1123" t="s">
        <v>446</v>
      </c>
    </row>
    <row r="43" spans="2:14">
      <c r="B43" s="1329"/>
      <c r="C43" s="1128"/>
      <c r="D43" s="1128"/>
      <c r="E43" s="1128"/>
      <c r="F43" s="1128"/>
      <c r="G43" s="1128"/>
      <c r="H43" s="1128"/>
      <c r="I43" s="1128"/>
      <c r="J43" s="1128"/>
      <c r="K43" s="1128"/>
      <c r="L43" s="1128"/>
      <c r="M43" s="1128"/>
      <c r="N43" s="1123" t="s">
        <v>447</v>
      </c>
    </row>
    <row r="44" spans="2:14">
      <c r="B44" s="1329"/>
      <c r="C44" s="1128"/>
      <c r="D44" s="1973" t="s">
        <v>443</v>
      </c>
      <c r="E44" s="1973"/>
      <c r="F44" s="1128"/>
      <c r="G44" s="1128"/>
      <c r="H44" s="1973" t="s">
        <v>444</v>
      </c>
      <c r="I44" s="1973"/>
      <c r="J44" s="1327" t="s">
        <v>445</v>
      </c>
      <c r="K44" s="1128"/>
      <c r="L44" s="1327" t="s">
        <v>441</v>
      </c>
      <c r="M44" s="1128"/>
      <c r="N44" s="1327" t="str">
        <f>"Year "&amp;TEXT('KEY INPUTS'!D33,"0")&amp;""</f>
        <v>Year 2021</v>
      </c>
    </row>
    <row r="45" spans="2:14">
      <c r="B45" s="474"/>
      <c r="D45" s="658"/>
      <c r="E45" s="658"/>
      <c r="F45" s="658"/>
      <c r="G45" s="658"/>
      <c r="H45" s="658"/>
      <c r="I45" s="658"/>
      <c r="J45" s="658"/>
    </row>
    <row r="46" spans="2:14" ht="21" customHeight="1">
      <c r="B46" s="474"/>
      <c r="C46" s="474" t="s">
        <v>308</v>
      </c>
      <c r="D46" s="659"/>
      <c r="E46" s="659"/>
      <c r="F46" s="659"/>
      <c r="G46" s="659"/>
      <c r="H46" s="659"/>
      <c r="I46" s="659"/>
      <c r="J46" s="659"/>
      <c r="K46" s="324" t="s">
        <v>397</v>
      </c>
      <c r="L46" s="369"/>
      <c r="M46" s="658"/>
      <c r="N46" s="369"/>
    </row>
    <row r="47" spans="2:14" ht="21" customHeight="1">
      <c r="B47" s="474"/>
      <c r="C47" s="474" t="s">
        <v>309</v>
      </c>
      <c r="D47" s="659"/>
      <c r="E47" s="659"/>
      <c r="F47" s="659"/>
      <c r="G47" s="659"/>
      <c r="H47" s="659"/>
      <c r="I47" s="659"/>
      <c r="J47" s="659"/>
      <c r="K47" s="324" t="s">
        <v>397</v>
      </c>
      <c r="L47" s="369"/>
      <c r="M47" s="658"/>
      <c r="N47" s="369"/>
    </row>
    <row r="48" spans="2:14" ht="21" customHeight="1">
      <c r="B48" s="474"/>
      <c r="C48" s="474" t="s">
        <v>310</v>
      </c>
      <c r="D48" s="659"/>
      <c r="E48" s="659"/>
      <c r="F48" s="659"/>
      <c r="G48" s="659"/>
      <c r="H48" s="659"/>
      <c r="I48" s="659"/>
      <c r="J48" s="659"/>
      <c r="K48" s="324" t="s">
        <v>397</v>
      </c>
      <c r="L48" s="369"/>
      <c r="M48" s="658"/>
      <c r="N48" s="369"/>
    </row>
    <row r="49" spans="2:14" ht="21" customHeight="1">
      <c r="B49" s="474"/>
      <c r="C49" s="474" t="s">
        <v>311</v>
      </c>
      <c r="D49" s="659"/>
      <c r="E49" s="659"/>
      <c r="F49" s="659"/>
      <c r="G49" s="659"/>
      <c r="H49" s="659"/>
      <c r="I49" s="659"/>
      <c r="J49" s="659"/>
      <c r="K49" s="324" t="s">
        <v>397</v>
      </c>
      <c r="L49" s="369"/>
      <c r="M49" s="658"/>
      <c r="N49" s="369"/>
    </row>
    <row r="50" spans="2:14">
      <c r="B50" s="474"/>
    </row>
    <row r="51" spans="2:14">
      <c r="B51" s="474"/>
    </row>
    <row r="52" spans="2:14">
      <c r="B52" s="474"/>
    </row>
    <row r="53" spans="2:14">
      <c r="B53" s="474"/>
    </row>
    <row r="54" spans="2:14">
      <c r="B54" s="474"/>
    </row>
    <row r="55" spans="2:14">
      <c r="B55" s="474"/>
    </row>
    <row r="56" spans="2:14">
      <c r="B56" s="474"/>
    </row>
    <row r="57" spans="2:14">
      <c r="B57" s="474"/>
    </row>
    <row r="58" spans="2:14">
      <c r="B58" s="474"/>
    </row>
    <row r="59" spans="2:14">
      <c r="B59" s="474"/>
    </row>
    <row r="60" spans="2:14">
      <c r="B60" s="474"/>
    </row>
    <row r="61" spans="2:14" ht="13.8">
      <c r="B61" s="1851" t="s">
        <v>3223</v>
      </c>
      <c r="C61" s="1851"/>
      <c r="D61" s="1851"/>
      <c r="E61" s="1851"/>
      <c r="F61" s="1851"/>
      <c r="G61" s="1851"/>
      <c r="H61" s="1851"/>
      <c r="I61" s="1851"/>
      <c r="J61" s="1851"/>
      <c r="K61" s="1851"/>
      <c r="L61" s="1851"/>
      <c r="M61" s="1851"/>
      <c r="N61" s="1851"/>
    </row>
    <row r="62" spans="2:14">
      <c r="B62" s="474"/>
    </row>
    <row r="63" spans="2:14">
      <c r="B63" s="474"/>
    </row>
    <row r="64" spans="2:14">
      <c r="B64" s="474"/>
    </row>
    <row r="65" spans="2:2">
      <c r="B65" s="474"/>
    </row>
    <row r="66" spans="2:2">
      <c r="B66" s="474"/>
    </row>
    <row r="67" spans="2:2">
      <c r="B67" s="474"/>
    </row>
    <row r="68" spans="2:2">
      <c r="B68" s="474"/>
    </row>
    <row r="69" spans="2:2">
      <c r="B69" s="474"/>
    </row>
  </sheetData>
  <sheetProtection algorithmName="SHA-512" hashValue="LHkQgVWLrgnOkEciwKuqSHpXETdcfW/cgZHfoo9wXIJnAMjOGbmQMETmT+7HW+RKLEqS0P52ofkhuEqA2bZayg==" saltValue="jcAKeqHlv8jOH65FJXDUIQ=="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4">
    <tabColor theme="7" tint="0.39997558519241921"/>
  </sheetPr>
  <dimension ref="A1:O36"/>
  <sheetViews>
    <sheetView zoomScaleNormal="100" workbookViewId="0">
      <selection activeCell="B31" sqref="B31"/>
    </sheetView>
  </sheetViews>
  <sheetFormatPr defaultColWidth="9.109375" defaultRowHeight="13.2"/>
  <cols>
    <col min="1" max="1" width="5.6640625" style="315" customWidth="1"/>
    <col min="2" max="4" width="4.88671875" style="315" customWidth="1"/>
    <col min="5" max="5" width="46.6640625" style="315" customWidth="1"/>
    <col min="6" max="6" width="7.6640625" style="315" customWidth="1"/>
    <col min="7" max="8" width="16.6640625" style="315" customWidth="1"/>
    <col min="9" max="12" width="15.6640625" style="315" customWidth="1"/>
    <col min="13" max="13" width="10.44140625" style="315" bestFit="1" customWidth="1"/>
    <col min="14" max="16384" width="9.109375" style="315"/>
  </cols>
  <sheetData>
    <row r="1" spans="1:15">
      <c r="B1" s="844"/>
      <c r="C1" s="844"/>
      <c r="D1" s="844"/>
      <c r="E1" s="844"/>
      <c r="F1" s="844"/>
      <c r="G1" s="844"/>
      <c r="H1" s="844"/>
      <c r="I1" s="844"/>
      <c r="J1" s="844"/>
      <c r="K1" s="844"/>
      <c r="L1" s="844"/>
    </row>
    <row r="2" spans="1:15" ht="17.399999999999999">
      <c r="B2" s="1602" t="s">
        <v>3599</v>
      </c>
      <c r="C2" s="1602"/>
      <c r="D2" s="1602"/>
      <c r="E2" s="1602"/>
      <c r="F2" s="1602"/>
      <c r="G2" s="1602"/>
      <c r="H2" s="1602"/>
      <c r="I2" s="1602"/>
      <c r="J2" s="1602"/>
      <c r="K2" s="1602"/>
      <c r="L2" s="1602"/>
    </row>
    <row r="3" spans="1:15">
      <c r="B3" s="844"/>
      <c r="C3" s="844"/>
      <c r="D3" s="844"/>
      <c r="E3" s="844"/>
      <c r="F3" s="844"/>
      <c r="G3" s="844"/>
      <c r="H3" s="844"/>
      <c r="I3" s="844"/>
      <c r="J3" s="844"/>
      <c r="K3" s="844"/>
      <c r="L3" s="844"/>
    </row>
    <row r="4" spans="1:15">
      <c r="B4" s="844"/>
      <c r="C4" s="844"/>
      <c r="D4" s="844"/>
      <c r="E4" s="844"/>
      <c r="F4" s="844"/>
      <c r="G4" s="844"/>
      <c r="H4" s="844"/>
      <c r="I4" s="844"/>
      <c r="J4" s="844"/>
      <c r="K4" s="844"/>
      <c r="L4" s="844"/>
    </row>
    <row r="5" spans="1:15" ht="13.8" thickBot="1">
      <c r="B5" s="844"/>
      <c r="C5" s="844"/>
      <c r="D5" s="844"/>
      <c r="E5" s="844"/>
      <c r="F5" s="844"/>
      <c r="G5" s="844"/>
      <c r="H5" s="844"/>
      <c r="I5" s="844"/>
      <c r="J5" s="844"/>
      <c r="K5" s="844"/>
      <c r="L5" s="844"/>
    </row>
    <row r="6" spans="1:15" ht="13.8" thickTop="1">
      <c r="B6" s="877"/>
      <c r="C6" s="877"/>
      <c r="D6" s="877"/>
      <c r="E6" s="1058"/>
      <c r="F6" s="877"/>
      <c r="G6" s="878"/>
      <c r="H6" s="1059"/>
      <c r="I6" s="878"/>
      <c r="J6" s="877"/>
      <c r="K6" s="877"/>
      <c r="L6" s="854"/>
    </row>
    <row r="7" spans="1:15" ht="15.6">
      <c r="B7" s="1636" t="s">
        <v>18</v>
      </c>
      <c r="C7" s="1636"/>
      <c r="D7" s="1636"/>
      <c r="E7" s="1681" t="s">
        <v>440</v>
      </c>
      <c r="F7" s="1637"/>
      <c r="G7" s="880" t="s">
        <v>441</v>
      </c>
      <c r="H7" s="1506" t="s">
        <v>469</v>
      </c>
      <c r="I7" s="880" t="s">
        <v>559</v>
      </c>
      <c r="J7" s="1687" t="str">
        <f>"REDUCED  IN  "&amp;TEXT('KEY INPUTS'!D34,"0")</f>
        <v>REDUCED  IN  2020</v>
      </c>
      <c r="K7" s="1688"/>
      <c r="L7" s="855" t="s">
        <v>559</v>
      </c>
    </row>
    <row r="8" spans="1:15">
      <c r="B8" s="844"/>
      <c r="C8" s="844"/>
      <c r="D8" s="844"/>
      <c r="E8" s="1060"/>
      <c r="F8" s="844"/>
      <c r="G8" s="880" t="s">
        <v>468</v>
      </c>
      <c r="H8" s="1506" t="s">
        <v>470</v>
      </c>
      <c r="I8" s="883" t="str">
        <f>'KEY INPUTS'!D45</f>
        <v>Dec. 31, 2019</v>
      </c>
      <c r="J8" s="880" t="str">
        <f>"By "&amp;TEXT('KEY INPUTS'!D34,"0")</f>
        <v>By 2020</v>
      </c>
      <c r="K8" s="880" t="s">
        <v>466</v>
      </c>
      <c r="L8" s="856" t="str">
        <f>'KEY INPUTS'!D46</f>
        <v>Dec. 31, 2020</v>
      </c>
    </row>
    <row r="9" spans="1:15" ht="13.8" thickBot="1">
      <c r="B9" s="886"/>
      <c r="C9" s="886"/>
      <c r="D9" s="886"/>
      <c r="E9" s="889"/>
      <c r="F9" s="886"/>
      <c r="G9" s="888"/>
      <c r="H9" s="1061" t="s">
        <v>471</v>
      </c>
      <c r="I9" s="887"/>
      <c r="J9" s="888" t="s">
        <v>564</v>
      </c>
      <c r="K9" s="888" t="s">
        <v>467</v>
      </c>
      <c r="L9" s="857"/>
    </row>
    <row r="10" spans="1:15" ht="21" customHeight="1" thickTop="1">
      <c r="B10" s="1682"/>
      <c r="C10" s="1682"/>
      <c r="D10" s="1683"/>
      <c r="E10" s="584"/>
      <c r="F10" s="563"/>
      <c r="G10" s="585"/>
      <c r="H10" s="585"/>
      <c r="I10" s="586"/>
      <c r="J10" s="586"/>
      <c r="K10" s="586"/>
      <c r="L10" s="1524">
        <f>+I10-J10-K10</f>
        <v>0</v>
      </c>
    </row>
    <row r="11" spans="1:15" ht="21" customHeight="1">
      <c r="B11" s="1684"/>
      <c r="C11" s="1562"/>
      <c r="D11" s="1685"/>
      <c r="E11" s="587"/>
      <c r="F11" s="565"/>
      <c r="G11" s="574"/>
      <c r="H11" s="574"/>
      <c r="I11" s="367"/>
      <c r="J11" s="367"/>
      <c r="K11" s="367"/>
      <c r="L11" s="1525">
        <f>+I11-J11-K11</f>
        <v>0</v>
      </c>
      <c r="M11" s="318"/>
    </row>
    <row r="12" spans="1:15" ht="21" customHeight="1">
      <c r="B12" s="1684"/>
      <c r="C12" s="1562"/>
      <c r="D12" s="1685"/>
      <c r="E12" s="587"/>
      <c r="F12" s="565"/>
      <c r="G12" s="588"/>
      <c r="H12" s="574"/>
      <c r="I12" s="589"/>
      <c r="J12" s="367"/>
      <c r="K12" s="367"/>
      <c r="L12" s="1525">
        <f t="shared" ref="L12:L23" si="0">+I12-J12-K12</f>
        <v>0</v>
      </c>
      <c r="M12" s="318"/>
    </row>
    <row r="13" spans="1:15" ht="21" customHeight="1">
      <c r="B13" s="1562"/>
      <c r="C13" s="1562"/>
      <c r="D13" s="1685"/>
      <c r="E13" s="587"/>
      <c r="F13" s="565"/>
      <c r="G13" s="574"/>
      <c r="H13" s="574"/>
      <c r="I13" s="367"/>
      <c r="J13" s="367"/>
      <c r="K13" s="367"/>
      <c r="L13" s="1525">
        <f t="shared" si="0"/>
        <v>0</v>
      </c>
    </row>
    <row r="14" spans="1:15" ht="21" customHeight="1">
      <c r="B14" s="1684"/>
      <c r="C14" s="1562"/>
      <c r="D14" s="1685"/>
      <c r="E14" s="587"/>
      <c r="F14" s="565"/>
      <c r="G14" s="574"/>
      <c r="H14" s="574"/>
      <c r="I14" s="367"/>
      <c r="J14" s="367"/>
      <c r="K14" s="367"/>
      <c r="L14" s="1525">
        <f t="shared" si="0"/>
        <v>0</v>
      </c>
      <c r="O14" s="370"/>
    </row>
    <row r="15" spans="1:15" ht="21" customHeight="1">
      <c r="B15" s="1684"/>
      <c r="C15" s="1562"/>
      <c r="D15" s="1685"/>
      <c r="E15" s="587"/>
      <c r="F15" s="565"/>
      <c r="G15" s="588"/>
      <c r="H15" s="574"/>
      <c r="I15" s="589"/>
      <c r="J15" s="367"/>
      <c r="K15" s="367"/>
      <c r="L15" s="1525">
        <f t="shared" si="0"/>
        <v>0</v>
      </c>
    </row>
    <row r="16" spans="1:15" ht="21" customHeight="1">
      <c r="A16" s="1613" t="s">
        <v>3600</v>
      </c>
      <c r="B16" s="1562"/>
      <c r="C16" s="1562"/>
      <c r="D16" s="1685"/>
      <c r="E16" s="587"/>
      <c r="F16" s="565"/>
      <c r="G16" s="574"/>
      <c r="H16" s="574"/>
      <c r="I16" s="367"/>
      <c r="J16" s="367"/>
      <c r="K16" s="367"/>
      <c r="L16" s="1525">
        <f t="shared" si="0"/>
        <v>0</v>
      </c>
    </row>
    <row r="17" spans="1:12" ht="21" customHeight="1">
      <c r="A17" s="1613"/>
      <c r="B17" s="1562"/>
      <c r="C17" s="1562"/>
      <c r="D17" s="1685"/>
      <c r="E17" s="587"/>
      <c r="F17" s="565"/>
      <c r="G17" s="574"/>
      <c r="H17" s="574"/>
      <c r="I17" s="367"/>
      <c r="J17" s="367"/>
      <c r="K17" s="367"/>
      <c r="L17" s="1525">
        <f t="shared" si="0"/>
        <v>0</v>
      </c>
    </row>
    <row r="18" spans="1:12" ht="21" customHeight="1">
      <c r="A18" s="1613"/>
      <c r="B18" s="1562"/>
      <c r="C18" s="1562"/>
      <c r="D18" s="1685"/>
      <c r="E18" s="587"/>
      <c r="F18" s="565"/>
      <c r="G18" s="574"/>
      <c r="H18" s="574"/>
      <c r="I18" s="367"/>
      <c r="J18" s="367"/>
      <c r="K18" s="367"/>
      <c r="L18" s="1525">
        <f t="shared" si="0"/>
        <v>0</v>
      </c>
    </row>
    <row r="19" spans="1:12" ht="21" customHeight="1">
      <c r="A19" s="1505"/>
      <c r="B19" s="1504"/>
      <c r="C19" s="1504"/>
      <c r="D19" s="1507"/>
      <c r="E19" s="587"/>
      <c r="F19" s="565"/>
      <c r="G19" s="574"/>
      <c r="H19" s="574"/>
      <c r="I19" s="367"/>
      <c r="J19" s="367"/>
      <c r="K19" s="367"/>
      <c r="L19" s="1525">
        <f t="shared" si="0"/>
        <v>0</v>
      </c>
    </row>
    <row r="20" spans="1:12" ht="21" customHeight="1">
      <c r="A20" s="1505"/>
      <c r="B20" s="1504"/>
      <c r="C20" s="1504"/>
      <c r="D20" s="1507"/>
      <c r="E20" s="587"/>
      <c r="F20" s="565"/>
      <c r="G20" s="574"/>
      <c r="H20" s="574"/>
      <c r="I20" s="367"/>
      <c r="J20" s="367"/>
      <c r="K20" s="367"/>
      <c r="L20" s="1525">
        <f t="shared" si="0"/>
        <v>0</v>
      </c>
    </row>
    <row r="21" spans="1:12" ht="21" customHeight="1">
      <c r="B21" s="1562"/>
      <c r="C21" s="1562"/>
      <c r="D21" s="1685"/>
      <c r="E21" s="587"/>
      <c r="F21" s="565"/>
      <c r="G21" s="574"/>
      <c r="H21" s="574"/>
      <c r="I21" s="367"/>
      <c r="J21" s="367"/>
      <c r="K21" s="367"/>
      <c r="L21" s="1525">
        <f t="shared" si="0"/>
        <v>0</v>
      </c>
    </row>
    <row r="22" spans="1:12" ht="21" customHeight="1">
      <c r="B22" s="1504"/>
      <c r="C22" s="1504"/>
      <c r="D22" s="1507"/>
      <c r="E22" s="587"/>
      <c r="F22" s="565"/>
      <c r="G22" s="574"/>
      <c r="H22" s="574"/>
      <c r="I22" s="367"/>
      <c r="J22" s="367"/>
      <c r="K22" s="367"/>
      <c r="L22" s="1525">
        <f t="shared" si="0"/>
        <v>0</v>
      </c>
    </row>
    <row r="23" spans="1:12" ht="21" customHeight="1">
      <c r="B23" s="1562"/>
      <c r="C23" s="1562"/>
      <c r="D23" s="1685"/>
      <c r="E23" s="587"/>
      <c r="F23" s="565"/>
      <c r="G23" s="574"/>
      <c r="H23" s="574"/>
      <c r="I23" s="367"/>
      <c r="J23" s="367"/>
      <c r="K23" s="367"/>
      <c r="L23" s="1525">
        <f t="shared" si="0"/>
        <v>0</v>
      </c>
    </row>
    <row r="24" spans="1:12" ht="21" customHeight="1" thickBot="1">
      <c r="B24" s="279"/>
      <c r="C24" s="279"/>
      <c r="D24" s="279"/>
      <c r="E24" s="279"/>
      <c r="F24" s="888" t="s">
        <v>674</v>
      </c>
      <c r="G24" s="1006">
        <f t="shared" ref="G24:L24" si="1">SUM(G10:G23)</f>
        <v>0</v>
      </c>
      <c r="H24" s="1006">
        <f t="shared" si="1"/>
        <v>0</v>
      </c>
      <c r="I24" s="1006">
        <f t="shared" si="1"/>
        <v>0</v>
      </c>
      <c r="J24" s="1006">
        <f t="shared" si="1"/>
        <v>0</v>
      </c>
      <c r="K24" s="1006">
        <f t="shared" si="1"/>
        <v>0</v>
      </c>
      <c r="L24" s="853">
        <f t="shared" si="1"/>
        <v>0</v>
      </c>
    </row>
    <row r="25" spans="1:12" ht="12.75" customHeight="1" thickTop="1">
      <c r="B25" s="279"/>
      <c r="C25" s="279"/>
      <c r="D25" s="279"/>
      <c r="E25" s="279"/>
      <c r="F25" s="1048"/>
      <c r="G25" s="1048"/>
      <c r="H25" s="1048"/>
      <c r="I25" s="1062"/>
      <c r="J25" s="1062"/>
      <c r="K25" s="1048"/>
      <c r="L25" s="1048"/>
    </row>
    <row r="26" spans="1:12">
      <c r="B26" s="1520" t="s">
        <v>3596</v>
      </c>
      <c r="C26" s="1048"/>
      <c r="D26" s="1048"/>
      <c r="E26" s="1048"/>
      <c r="F26" s="1048"/>
      <c r="G26" s="1048"/>
      <c r="H26" s="1048"/>
      <c r="I26" s="1048"/>
      <c r="J26" s="1048"/>
      <c r="K26" s="1048"/>
      <c r="L26" s="1048"/>
    </row>
    <row r="27" spans="1:12" ht="13.5" customHeight="1">
      <c r="B27" s="1048" t="s">
        <v>128</v>
      </c>
      <c r="C27" s="1048"/>
      <c r="D27" s="1048"/>
      <c r="E27" s="1048"/>
      <c r="F27" s="279"/>
      <c r="G27" s="279"/>
      <c r="H27" s="279"/>
      <c r="I27" s="279"/>
      <c r="J27" s="279"/>
      <c r="K27" s="279"/>
      <c r="L27" s="279"/>
    </row>
    <row r="28" spans="1:12" ht="13.5" customHeight="1">
      <c r="B28" s="34"/>
      <c r="J28" s="1570"/>
      <c r="K28" s="1570"/>
    </row>
    <row r="29" spans="1:12">
      <c r="B29" s="844"/>
      <c r="C29" s="844"/>
      <c r="D29" s="844"/>
      <c r="E29" s="844"/>
      <c r="F29" s="844"/>
      <c r="G29" s="844"/>
      <c r="H29" s="844"/>
      <c r="I29" s="844"/>
      <c r="J29" s="1686" t="s">
        <v>129</v>
      </c>
      <c r="K29" s="1686"/>
    </row>
    <row r="30" spans="1:12">
      <c r="B30" s="844"/>
      <c r="C30" s="844"/>
      <c r="D30" s="844"/>
      <c r="E30" s="844"/>
      <c r="F30" s="844"/>
      <c r="G30" s="844"/>
      <c r="H30" s="844"/>
      <c r="I30" s="844"/>
      <c r="J30" s="844"/>
      <c r="K30" s="844"/>
    </row>
    <row r="35" spans="9:12">
      <c r="L35" s="318">
        <f>+I24-J24-L24</f>
        <v>0</v>
      </c>
    </row>
    <row r="36" spans="9:12">
      <c r="I36" s="318"/>
      <c r="J36" s="318"/>
    </row>
  </sheetData>
  <sheetProtection algorithmName="SHA-512" hashValue="AT+rV/TvPCK8hdQnJzgo4KX1BJCpf7aJD51LMTcDojKOmsPHoyoaEU8ukP2yDioKFcph0E7ip6y71f6B6qtYEw==" saltValue="duIDo8ulcSe9pa/66Zv62Q=="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7">
    <tabColor theme="7" tint="0.39997558519241921"/>
  </sheetPr>
  <dimension ref="B2:U50"/>
  <sheetViews>
    <sheetView zoomScaleNormal="100" zoomScaleSheetLayoutView="80" workbookViewId="0"/>
  </sheetViews>
  <sheetFormatPr defaultColWidth="8.88671875" defaultRowHeight="13.2"/>
  <cols>
    <col min="1" max="4" width="4.6640625" style="391" customWidth="1"/>
    <col min="5" max="5" width="17.88671875" style="391" customWidth="1"/>
    <col min="6" max="6" width="8.88671875" style="391"/>
    <col min="7" max="7" width="16.6640625" style="391" customWidth="1"/>
    <col min="8" max="8" width="1.6640625" style="391" customWidth="1"/>
    <col min="9" max="9" width="15.6640625" style="391" customWidth="1"/>
    <col min="10" max="10" width="1.6640625" style="391" customWidth="1"/>
    <col min="11" max="11" width="8.6640625" style="391" customWidth="1"/>
    <col min="12" max="12" width="7.6640625" style="391" customWidth="1"/>
    <col min="13" max="15" width="8.88671875" style="391"/>
    <col min="16" max="17" width="10.33203125" style="391" bestFit="1" customWidth="1"/>
    <col min="18" max="16384" width="8.88671875" style="391"/>
  </cols>
  <sheetData>
    <row r="2" spans="2:21" ht="20.399999999999999">
      <c r="B2" s="1826" t="s">
        <v>132</v>
      </c>
      <c r="C2" s="1826"/>
      <c r="D2" s="1826"/>
      <c r="E2" s="1826"/>
      <c r="F2" s="1826"/>
      <c r="G2" s="1826"/>
      <c r="H2" s="1826"/>
      <c r="I2" s="1826"/>
      <c r="J2" s="1826"/>
      <c r="K2" s="1826"/>
      <c r="L2" s="1826"/>
    </row>
    <row r="3" spans="2:21" ht="20.399999999999999">
      <c r="B3" s="1826" t="str">
        <f>"AND  "&amp;TEXT('KEY INPUTS'!D34+1,"0")&amp;"  DEBT  SERVICE  FOR  BONDS"</f>
        <v>AND  2021  DEBT  SERVICE  FOR  BONDS</v>
      </c>
      <c r="C3" s="1826"/>
      <c r="D3" s="1826"/>
      <c r="E3" s="1826"/>
      <c r="F3" s="1826"/>
      <c r="G3" s="1826"/>
      <c r="H3" s="1826"/>
      <c r="I3" s="1826"/>
      <c r="J3" s="1826"/>
      <c r="K3" s="1826"/>
      <c r="L3" s="1826"/>
    </row>
    <row r="4" spans="2:21" ht="15.6">
      <c r="B4" s="1806" t="str">
        <f>UPPER('KEY INPUTS'!D56)&amp;" UTILITY  ASSESSMENT  BONDS"</f>
        <v xml:space="preserve"> UTILITY  ASSESSMENT  BONDS</v>
      </c>
      <c r="C4" s="1806"/>
      <c r="D4" s="1806"/>
      <c r="E4" s="1806"/>
      <c r="F4" s="1806"/>
      <c r="G4" s="1806"/>
      <c r="H4" s="1806"/>
      <c r="I4" s="1806"/>
      <c r="J4" s="1806"/>
      <c r="K4" s="1806"/>
      <c r="L4" s="1806"/>
    </row>
    <row r="5" spans="2:21" ht="9.75" customHeight="1" thickBot="1">
      <c r="B5" s="1361"/>
      <c r="C5" s="1361"/>
      <c r="D5" s="1361"/>
      <c r="E5" s="1361"/>
      <c r="F5" s="1361"/>
      <c r="G5" s="1361"/>
      <c r="H5" s="1361"/>
      <c r="I5" s="1361"/>
      <c r="J5" s="1361"/>
      <c r="K5" s="1361"/>
      <c r="L5" s="1361"/>
    </row>
    <row r="6" spans="2:21" ht="27.75" customHeight="1" thickTop="1" thickBot="1">
      <c r="B6" s="1315"/>
      <c r="C6" s="1315"/>
      <c r="D6" s="1315"/>
      <c r="E6" s="1315"/>
      <c r="F6" s="1315"/>
      <c r="G6" s="1097" t="s">
        <v>101</v>
      </c>
      <c r="H6" s="1978" t="s">
        <v>102</v>
      </c>
      <c r="I6" s="1797"/>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52"/>
      <c r="D7" s="1152"/>
      <c r="E7" s="1152"/>
      <c r="F7" s="1152"/>
      <c r="G7" s="1153" t="s">
        <v>662</v>
      </c>
      <c r="H7" s="1724"/>
      <c r="I7" s="1725"/>
      <c r="K7" s="1096"/>
      <c r="L7" s="1096"/>
      <c r="O7" s="315"/>
      <c r="P7" s="315"/>
      <c r="Q7" s="315"/>
      <c r="R7" s="315"/>
      <c r="S7" s="315"/>
      <c r="T7" s="315"/>
      <c r="U7" s="315"/>
    </row>
    <row r="8" spans="2:21" ht="21" customHeight="1">
      <c r="B8" s="681" t="s">
        <v>97</v>
      </c>
      <c r="C8" s="681"/>
      <c r="D8" s="681"/>
      <c r="E8" s="681"/>
      <c r="F8" s="681"/>
      <c r="G8" s="1156" t="s">
        <v>662</v>
      </c>
      <c r="H8" s="1722"/>
      <c r="I8" s="1723"/>
      <c r="K8" s="1096"/>
      <c r="L8" s="1096"/>
      <c r="O8" s="370"/>
      <c r="P8" s="315"/>
      <c r="Q8" s="315"/>
      <c r="R8" s="315"/>
      <c r="S8" s="315"/>
      <c r="T8" s="315"/>
      <c r="U8" s="315"/>
    </row>
    <row r="9" spans="2:21" ht="21" customHeight="1">
      <c r="B9" s="681"/>
      <c r="C9" s="681"/>
      <c r="D9" s="681"/>
      <c r="E9" s="681"/>
      <c r="F9" s="681"/>
      <c r="G9" s="1156"/>
      <c r="H9" s="1362"/>
      <c r="I9" s="1211"/>
      <c r="K9" s="1096"/>
      <c r="L9" s="1096"/>
      <c r="O9" s="315"/>
      <c r="P9" s="315"/>
      <c r="Q9" s="315"/>
      <c r="R9" s="315"/>
      <c r="S9" s="315"/>
      <c r="T9" s="315"/>
      <c r="U9" s="315"/>
    </row>
    <row r="10" spans="2:21" ht="21" customHeight="1">
      <c r="B10" s="681" t="s">
        <v>268</v>
      </c>
      <c r="C10" s="681"/>
      <c r="D10" s="681"/>
      <c r="E10" s="681"/>
      <c r="F10" s="681"/>
      <c r="G10" s="593"/>
      <c r="H10" s="1874" t="s">
        <v>662</v>
      </c>
      <c r="I10" s="1875"/>
      <c r="K10" s="1096"/>
      <c r="L10" s="1096"/>
      <c r="O10" s="315"/>
      <c r="P10" s="315"/>
      <c r="Q10" s="315"/>
      <c r="R10" s="315"/>
      <c r="S10" s="315"/>
      <c r="T10" s="315"/>
      <c r="U10" s="315"/>
    </row>
    <row r="11" spans="2:21" ht="21" customHeight="1" thickBot="1">
      <c r="B11" s="681" t="str">
        <f>'KEY INPUTS'!D28</f>
        <v>Outstanding - December 31, 2020</v>
      </c>
      <c r="C11" s="681"/>
      <c r="D11" s="681"/>
      <c r="E11" s="681"/>
      <c r="F11" s="681"/>
      <c r="G11" s="1111">
        <f>+H7+H8-G10</f>
        <v>0</v>
      </c>
      <c r="H11" s="1870" t="s">
        <v>662</v>
      </c>
      <c r="I11" s="1871"/>
      <c r="K11" s="1096"/>
      <c r="L11" s="1096"/>
      <c r="O11" s="315"/>
      <c r="P11" s="315"/>
      <c r="Q11" s="315"/>
      <c r="R11" s="315"/>
      <c r="S11" s="315"/>
      <c r="T11" s="315"/>
      <c r="U11" s="315"/>
    </row>
    <row r="12" spans="2:21" ht="21" customHeight="1" thickBot="1">
      <c r="B12" s="1096"/>
      <c r="C12" s="1096"/>
      <c r="D12" s="1096"/>
      <c r="E12" s="1096"/>
      <c r="F12" s="1096"/>
      <c r="G12" s="1113">
        <f>SUM(G7:G11)</f>
        <v>0</v>
      </c>
      <c r="H12" s="1858">
        <f>SUM(H7:I11)</f>
        <v>0</v>
      </c>
      <c r="I12" s="1859"/>
      <c r="K12" s="1096"/>
      <c r="L12" s="1096"/>
      <c r="O12" s="315"/>
      <c r="P12" s="315"/>
      <c r="Q12" s="315"/>
      <c r="R12" s="315"/>
      <c r="S12" s="315"/>
      <c r="T12" s="315"/>
      <c r="U12" s="315"/>
    </row>
    <row r="13" spans="2:21" ht="21" customHeight="1" thickTop="1">
      <c r="B13" s="1364" t="str">
        <f>TEXT('KEY INPUTS'!D34+1,"0")&amp;" Bond Maturities - Assessment Bonds"</f>
        <v>2021 Bond Maturities - Assessment Bonds</v>
      </c>
      <c r="C13" s="1110"/>
      <c r="D13" s="1110"/>
      <c r="E13" s="1110"/>
      <c r="F13" s="1110"/>
      <c r="G13" s="1110"/>
      <c r="H13" s="1110"/>
      <c r="I13" s="1363"/>
      <c r="J13" s="444" t="s">
        <v>397</v>
      </c>
      <c r="K13" s="1748"/>
      <c r="L13" s="1748"/>
      <c r="O13" s="315"/>
      <c r="P13" s="315"/>
      <c r="Q13" s="315"/>
      <c r="R13" s="315"/>
      <c r="S13" s="315"/>
      <c r="T13" s="315"/>
      <c r="U13" s="315"/>
    </row>
    <row r="14" spans="2:21" ht="21" customHeight="1" thickBot="1">
      <c r="B14" s="1365" t="str">
        <f>TEXT('KEY INPUTS'!D34+1,"0")&amp;" Interest on Bonds"</f>
        <v>2021 Interest on Bonds</v>
      </c>
      <c r="C14" s="1214"/>
      <c r="D14" s="1214"/>
      <c r="E14" s="1214"/>
      <c r="F14" s="1214"/>
      <c r="G14" s="1239"/>
      <c r="H14" s="481" t="s">
        <v>397</v>
      </c>
      <c r="I14" s="600"/>
      <c r="K14" s="1096"/>
      <c r="L14" s="1096"/>
      <c r="O14" s="315"/>
      <c r="P14" s="315"/>
      <c r="Q14" s="315"/>
      <c r="R14" s="315"/>
      <c r="S14" s="315"/>
      <c r="T14" s="315"/>
      <c r="U14" s="315"/>
    </row>
    <row r="15" spans="2:21" ht="16.5" customHeight="1" thickTop="1">
      <c r="B15" s="1997"/>
      <c r="C15" s="1997"/>
      <c r="D15" s="1997"/>
      <c r="E15" s="1997"/>
      <c r="F15" s="1997"/>
      <c r="G15" s="1997"/>
      <c r="H15" s="1997"/>
      <c r="I15" s="1998"/>
      <c r="J15" s="1096"/>
      <c r="K15" s="1096"/>
      <c r="L15" s="1096"/>
      <c r="O15" s="315"/>
      <c r="P15" s="315"/>
      <c r="Q15" s="315"/>
      <c r="R15" s="315"/>
      <c r="S15" s="315"/>
      <c r="T15" s="315"/>
      <c r="U15" s="315"/>
    </row>
    <row r="16" spans="2:21" ht="26.25" customHeight="1" thickBot="1">
      <c r="B16" s="1976" t="str">
        <f>UPPER('KEY INPUTS'!D56) &amp;" UTILITY  CAPITAL  BONDS"</f>
        <v xml:space="preserve"> UTILITY  CAPITAL  BONDS</v>
      </c>
      <c r="C16" s="1976"/>
      <c r="D16" s="1976"/>
      <c r="E16" s="1976"/>
      <c r="F16" s="1976"/>
      <c r="G16" s="1976"/>
      <c r="H16" s="1976"/>
      <c r="I16" s="1977"/>
      <c r="J16" s="1096"/>
      <c r="K16" s="1096"/>
      <c r="L16" s="1096"/>
      <c r="O16" s="315"/>
      <c r="P16" s="315"/>
      <c r="Q16" s="315"/>
      <c r="R16" s="315"/>
      <c r="S16" s="315"/>
      <c r="T16" s="315"/>
      <c r="U16" s="315"/>
    </row>
    <row r="17" spans="2:21" ht="21" customHeight="1" thickTop="1">
      <c r="B17" s="1193" t="str">
        <f>'KEY INPUTS'!D27</f>
        <v>Outstanding - January 1, 2020</v>
      </c>
      <c r="C17" s="1152"/>
      <c r="D17" s="1152"/>
      <c r="E17" s="1152"/>
      <c r="F17" s="1152"/>
      <c r="G17" s="1153" t="s">
        <v>662</v>
      </c>
      <c r="H17" s="1724"/>
      <c r="I17" s="1725"/>
      <c r="K17" s="1096"/>
      <c r="L17" s="1096"/>
      <c r="O17" s="315"/>
      <c r="P17" s="315"/>
      <c r="Q17" s="315"/>
      <c r="R17" s="315"/>
      <c r="S17" s="315"/>
      <c r="T17" s="315"/>
      <c r="U17" s="315"/>
    </row>
    <row r="18" spans="2:21" ht="21" customHeight="1">
      <c r="B18" s="681" t="s">
        <v>97</v>
      </c>
      <c r="C18" s="681"/>
      <c r="D18" s="681"/>
      <c r="E18" s="681"/>
      <c r="F18" s="681"/>
      <c r="G18" s="1156" t="s">
        <v>662</v>
      </c>
      <c r="H18" s="1722"/>
      <c r="I18" s="1723"/>
      <c r="K18" s="1096"/>
      <c r="L18" s="1096"/>
      <c r="O18" s="315"/>
      <c r="P18" s="315"/>
      <c r="Q18" s="315"/>
      <c r="R18" s="315"/>
      <c r="S18" s="315"/>
      <c r="T18" s="315"/>
      <c r="U18" s="315"/>
    </row>
    <row r="19" spans="2:21" ht="21" customHeight="1">
      <c r="B19" s="681" t="s">
        <v>268</v>
      </c>
      <c r="C19" s="681"/>
      <c r="D19" s="681"/>
      <c r="E19" s="681"/>
      <c r="F19" s="681"/>
      <c r="G19" s="593"/>
      <c r="H19" s="1874" t="s">
        <v>662</v>
      </c>
      <c r="I19" s="1875"/>
      <c r="K19" s="1096"/>
      <c r="L19" s="1096"/>
      <c r="O19" s="315"/>
      <c r="P19" s="315"/>
      <c r="Q19" s="315"/>
      <c r="R19" s="315"/>
      <c r="S19" s="315"/>
      <c r="T19" s="315"/>
      <c r="U19" s="315"/>
    </row>
    <row r="20" spans="2:21" ht="21" customHeight="1">
      <c r="B20" s="681"/>
      <c r="C20" s="681"/>
      <c r="D20" s="681"/>
      <c r="E20" s="681"/>
      <c r="F20" s="681"/>
      <c r="G20" s="680"/>
      <c r="H20" s="1860"/>
      <c r="I20" s="1861"/>
      <c r="K20" s="1096"/>
      <c r="L20" s="1096"/>
      <c r="O20" s="315"/>
      <c r="P20" s="315"/>
      <c r="Q20" s="315"/>
      <c r="R20" s="315"/>
      <c r="S20" s="315"/>
      <c r="T20" s="315"/>
      <c r="U20" s="315"/>
    </row>
    <row r="21" spans="2:21" ht="21" customHeight="1">
      <c r="B21" s="681"/>
      <c r="C21" s="681"/>
      <c r="D21" s="681"/>
      <c r="E21" s="681"/>
      <c r="F21" s="681"/>
      <c r="G21" s="680"/>
      <c r="H21" s="1860"/>
      <c r="I21" s="1861"/>
      <c r="K21" s="1096"/>
      <c r="L21" s="1096"/>
      <c r="O21" s="315"/>
      <c r="P21" s="315"/>
      <c r="Q21" s="315"/>
      <c r="R21" s="315"/>
      <c r="S21" s="315"/>
      <c r="T21" s="315"/>
      <c r="U21" s="315"/>
    </row>
    <row r="22" spans="2:21" ht="21" customHeight="1" thickBot="1">
      <c r="B22" s="681" t="str">
        <f>'KEY INPUTS'!D28</f>
        <v>Outstanding - December 31, 2020</v>
      </c>
      <c r="C22" s="681"/>
      <c r="D22" s="681"/>
      <c r="E22" s="681"/>
      <c r="F22" s="681"/>
      <c r="G22" s="1111">
        <f>+H17+H18-G19-G20-G21+H20+H21</f>
        <v>0</v>
      </c>
      <c r="H22" s="1870" t="s">
        <v>662</v>
      </c>
      <c r="I22" s="1871"/>
      <c r="K22" s="1096"/>
      <c r="L22" s="1096"/>
      <c r="O22" s="315"/>
      <c r="P22" s="315"/>
      <c r="Q22" s="315"/>
      <c r="R22" s="315"/>
      <c r="S22" s="315"/>
      <c r="T22" s="315"/>
      <c r="U22" s="315"/>
    </row>
    <row r="23" spans="2:21" ht="21" customHeight="1" thickBot="1">
      <c r="B23" s="1096"/>
      <c r="C23" s="1096"/>
      <c r="D23" s="1096"/>
      <c r="E23" s="1096"/>
      <c r="F23" s="1096"/>
      <c r="G23" s="1113">
        <f>SUM(G17:G22)</f>
        <v>0</v>
      </c>
      <c r="H23" s="1858">
        <f>SUM(H17:I22)</f>
        <v>0</v>
      </c>
      <c r="I23" s="1859"/>
      <c r="K23" s="1096"/>
      <c r="L23" s="1096"/>
    </row>
    <row r="24" spans="2:21" ht="21" customHeight="1" thickTop="1">
      <c r="B24" s="1364" t="str">
        <f>TEXT('KEY INPUTS'!D34+1,"0")&amp;" Bond Maturities - Capital Bonds"</f>
        <v>2021 Bond Maturities - Capital Bonds</v>
      </c>
      <c r="C24" s="1110"/>
      <c r="D24" s="1110"/>
      <c r="E24" s="1110"/>
      <c r="F24" s="1110"/>
      <c r="G24" s="1110"/>
      <c r="H24" s="1110"/>
      <c r="I24" s="1366"/>
      <c r="J24" s="444" t="s">
        <v>397</v>
      </c>
      <c r="K24" s="1748"/>
      <c r="L24" s="1748"/>
    </row>
    <row r="25" spans="2:21" ht="21" customHeight="1" thickBot="1">
      <c r="B25" s="1365" t="str">
        <f>TEXT('KEY INPUTS'!D34+1,"0")&amp;" Interest on Bonds"</f>
        <v>2021 Interest on Bonds</v>
      </c>
      <c r="C25" s="1214"/>
      <c r="D25" s="1214"/>
      <c r="E25" s="1214"/>
      <c r="F25" s="1214"/>
      <c r="G25" s="1239"/>
      <c r="H25" s="481" t="s">
        <v>397</v>
      </c>
      <c r="I25" s="600"/>
      <c r="J25" s="482"/>
      <c r="K25" s="1214"/>
      <c r="L25" s="1365" t="s">
        <v>3190</v>
      </c>
    </row>
    <row r="26" spans="2:21" ht="21" customHeight="1" thickTop="1">
      <c r="B26" s="1096"/>
      <c r="C26" s="1096"/>
      <c r="D26" s="1096"/>
      <c r="E26" s="1096"/>
      <c r="F26" s="1096"/>
      <c r="G26" s="1096"/>
      <c r="H26" s="1096"/>
      <c r="I26" s="1096"/>
      <c r="J26" s="1096"/>
      <c r="K26" s="1096"/>
      <c r="L26" s="1096"/>
    </row>
    <row r="27" spans="2:21" ht="19.5" customHeight="1" thickBot="1">
      <c r="B27" s="1976" t="str">
        <f>"INTEREST  ON  BONDS  -  "&amp;UPPER('KEY INPUTS'!D56)&amp;"  UTILITY  BUDGET"</f>
        <v>INTEREST  ON  BONDS  -    UTILITY  BUDGET</v>
      </c>
      <c r="C27" s="1976"/>
      <c r="D27" s="1976"/>
      <c r="E27" s="1976"/>
      <c r="F27" s="1976"/>
      <c r="G27" s="1976"/>
      <c r="H27" s="1976"/>
      <c r="I27" s="1976"/>
      <c r="J27" s="1976"/>
      <c r="K27" s="1976"/>
      <c r="L27" s="1976"/>
    </row>
    <row r="28" spans="2:21" ht="21" customHeight="1" thickTop="1">
      <c r="B28" s="1376" t="str">
        <f>TEXT('KEY INPUTS'!D34+1,"0")&amp;" Interest on Bonds (*Items)"</f>
        <v>2021 Interest on Bonds (*Items)</v>
      </c>
      <c r="C28" s="1152"/>
      <c r="D28" s="1152"/>
      <c r="E28" s="1152"/>
      <c r="F28" s="1152"/>
      <c r="G28" s="1152"/>
      <c r="H28" s="450" t="s">
        <v>397</v>
      </c>
      <c r="I28" s="1212">
        <f>+I14+I25</f>
        <v>0</v>
      </c>
      <c r="K28" s="1096"/>
      <c r="L28" s="1096"/>
      <c r="O28" s="457"/>
      <c r="P28" s="457"/>
      <c r="Q28" s="457"/>
      <c r="R28" s="457"/>
    </row>
    <row r="29" spans="2:21" ht="21" customHeight="1">
      <c r="B29" s="905" t="str">
        <f>"Less: Interest Accrued to "&amp;TEXT('KEY INPUTS'!D29,"mm/dd/yyy")&amp;" (Trial Balance)"</f>
        <v>Less: Interest Accrued to 12/31/2020 (Trial Balance)</v>
      </c>
      <c r="C29" s="681"/>
      <c r="D29" s="681"/>
      <c r="E29" s="681"/>
      <c r="F29" s="681"/>
      <c r="G29" s="681"/>
      <c r="H29" s="395" t="s">
        <v>397</v>
      </c>
      <c r="I29" s="663"/>
      <c r="K29" s="1096"/>
      <c r="L29" s="1096"/>
      <c r="O29" s="457"/>
      <c r="P29" s="457"/>
      <c r="Q29" s="457"/>
      <c r="R29" s="457"/>
    </row>
    <row r="30" spans="2:21" ht="21" customHeight="1">
      <c r="B30" s="681"/>
      <c r="C30" s="681" t="s">
        <v>337</v>
      </c>
      <c r="D30" s="681"/>
      <c r="E30" s="681"/>
      <c r="F30" s="681"/>
      <c r="G30" s="681"/>
      <c r="H30" s="395" t="s">
        <v>397</v>
      </c>
      <c r="I30" s="1213">
        <f>+I28-I29</f>
        <v>0</v>
      </c>
      <c r="K30" s="1096"/>
      <c r="L30" s="1096"/>
      <c r="O30" s="457"/>
      <c r="P30" s="457"/>
      <c r="Q30" s="457"/>
      <c r="R30" s="457"/>
    </row>
    <row r="31" spans="2:21" ht="21" customHeight="1">
      <c r="B31" s="905" t="str">
        <f>"Add: Interest to be Accrued as of "&amp;TEXT('KEY INPUTS'!D30,"mm/dd/yyyy")&amp;""</f>
        <v>Add: Interest to be Accrued as of 12/31/2021</v>
      </c>
      <c r="C31" s="681"/>
      <c r="D31" s="681"/>
      <c r="E31" s="681"/>
      <c r="F31" s="681"/>
      <c r="G31" s="681"/>
      <c r="H31" s="395" t="s">
        <v>397</v>
      </c>
      <c r="I31" s="663"/>
      <c r="K31" s="1096"/>
      <c r="L31" s="1096"/>
      <c r="O31" s="457"/>
      <c r="P31" s="457"/>
      <c r="Q31" s="457"/>
      <c r="R31" s="457"/>
    </row>
    <row r="32" spans="2:21" ht="21" customHeight="1">
      <c r="B32" s="905" t="str">
        <f>"Required Appropriation "&amp;TEXT('KEY INPUTS'!D34+1,"0")</f>
        <v>Required Appropriation 2021</v>
      </c>
      <c r="C32" s="681"/>
      <c r="D32" s="681"/>
      <c r="E32" s="681"/>
      <c r="F32" s="681"/>
      <c r="G32" s="681"/>
      <c r="H32" s="395"/>
      <c r="I32" s="1396"/>
      <c r="J32" s="484" t="s">
        <v>397</v>
      </c>
      <c r="K32" s="1880">
        <f>+I30+I31</f>
        <v>0</v>
      </c>
      <c r="L32" s="1881"/>
      <c r="O32" s="457"/>
      <c r="P32" s="457"/>
      <c r="Q32" s="457"/>
      <c r="R32" s="457"/>
    </row>
    <row r="33" spans="2:12" ht="13.5" customHeight="1">
      <c r="B33" s="1174"/>
      <c r="C33" s="1174"/>
      <c r="D33" s="1174"/>
      <c r="E33" s="1174"/>
      <c r="F33" s="1174"/>
      <c r="G33" s="1174"/>
      <c r="H33" s="1174"/>
      <c r="I33" s="1174"/>
      <c r="J33" s="1174"/>
      <c r="K33" s="1409"/>
      <c r="L33" s="1280"/>
    </row>
    <row r="34" spans="2:12" ht="13.5" customHeight="1">
      <c r="B34" s="1174"/>
      <c r="C34" s="1174"/>
      <c r="D34" s="1174"/>
      <c r="E34" s="1174"/>
      <c r="F34" s="1174"/>
      <c r="G34" s="1174"/>
      <c r="H34" s="1174"/>
      <c r="I34" s="1174"/>
      <c r="J34" s="1174"/>
      <c r="K34" s="1409"/>
      <c r="L34" s="1280"/>
    </row>
    <row r="35" spans="2:12" ht="21" customHeight="1" thickBot="1">
      <c r="B35" s="1984" t="str">
        <f>"LIST  OF  BONDS  ISSUED  DURING  "&amp;TEXT('KEY INPUTS'!D34,"0")&amp;""</f>
        <v>LIST  OF  BONDS  ISSUED  DURING  2020</v>
      </c>
      <c r="C35" s="1984"/>
      <c r="D35" s="1984"/>
      <c r="E35" s="1984"/>
      <c r="F35" s="1984"/>
      <c r="G35" s="1984"/>
      <c r="H35" s="1984"/>
      <c r="I35" s="1984"/>
      <c r="J35" s="1984"/>
      <c r="K35" s="1984"/>
      <c r="L35" s="1984"/>
    </row>
    <row r="36" spans="2:12" ht="27" customHeight="1" thickTop="1" thickBot="1">
      <c r="B36" s="1796" t="s">
        <v>440</v>
      </c>
      <c r="C36" s="1796"/>
      <c r="D36" s="1796"/>
      <c r="E36" s="1796"/>
      <c r="F36" s="1796"/>
      <c r="G36" s="1379" t="str">
        <f>TEXT('KEY INPUTS'!D33,"0")&amp;" Maturity"</f>
        <v>2021 Maturity</v>
      </c>
      <c r="H36" s="1978" t="s">
        <v>96</v>
      </c>
      <c r="I36" s="1797"/>
      <c r="J36" s="1995" t="s">
        <v>94</v>
      </c>
      <c r="K36" s="1996"/>
      <c r="L36" s="1395" t="s">
        <v>95</v>
      </c>
    </row>
    <row r="37" spans="2:12" ht="21" customHeight="1" thickTop="1">
      <c r="B37" s="664"/>
      <c r="C37" s="664"/>
      <c r="D37" s="664"/>
      <c r="E37" s="664"/>
      <c r="F37" s="664"/>
      <c r="G37" s="597"/>
      <c r="H37" s="1724"/>
      <c r="I37" s="1725"/>
      <c r="J37" s="1882"/>
      <c r="K37" s="1883"/>
      <c r="L37" s="908"/>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214"/>
      <c r="C41" s="1214"/>
      <c r="D41" s="1214"/>
      <c r="E41" s="1214"/>
      <c r="F41" s="1367"/>
      <c r="G41" s="1113">
        <f>SUM(G37:G40)</f>
        <v>0</v>
      </c>
      <c r="H41" s="1876">
        <f>SUM(H37:I40)</f>
        <v>0</v>
      </c>
      <c r="I41" s="1877"/>
      <c r="J41" s="1368"/>
      <c r="K41" s="1214"/>
      <c r="L41" s="1215"/>
    </row>
    <row r="42" spans="2:12" ht="13.8" thickTop="1">
      <c r="G42" s="773"/>
      <c r="H42" s="773"/>
      <c r="I42" s="773"/>
    </row>
    <row r="50" spans="2:12" ht="13.8">
      <c r="B50" s="1994" t="s">
        <v>3224</v>
      </c>
      <c r="C50" s="1994"/>
      <c r="D50" s="1994"/>
      <c r="E50" s="1994"/>
      <c r="F50" s="1994"/>
      <c r="G50" s="1994"/>
      <c r="H50" s="1994"/>
      <c r="I50" s="1994"/>
      <c r="J50" s="1994"/>
      <c r="K50" s="1994"/>
      <c r="L50" s="1994"/>
    </row>
  </sheetData>
  <sheetProtection algorithmName="SHA-512" hashValue="IdyNI6+/ghr+o6FpfnXmuDyxVh5j9Enms9nNxAi+sOgJ6QSKh5b7l93xNULtztidlTpjh+Gt7HVgyxrHZ5MbBg==" saltValue="9Sn+8wpT+qz4tKiG22phd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8">
    <tabColor theme="7" tint="0.39997558519241921"/>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INPUTS'!D$56)&amp;"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K7" s="1128"/>
      <c r="L7" s="1128"/>
      <c r="O7" s="315"/>
      <c r="P7" s="315"/>
      <c r="Q7" s="315"/>
      <c r="R7" s="315"/>
      <c r="S7" s="315"/>
      <c r="T7" s="315"/>
      <c r="U7" s="315"/>
    </row>
    <row r="8" spans="2:21" ht="21" customHeight="1">
      <c r="B8" s="681" t="s">
        <v>97</v>
      </c>
      <c r="C8" s="1121"/>
      <c r="D8" s="1121"/>
      <c r="E8" s="1121"/>
      <c r="F8" s="1121"/>
      <c r="G8" s="963" t="s">
        <v>662</v>
      </c>
      <c r="H8" s="1722"/>
      <c r="I8" s="1723"/>
      <c r="K8" s="1128"/>
      <c r="L8" s="1128"/>
      <c r="O8" s="370"/>
      <c r="P8" s="315"/>
      <c r="Q8" s="315"/>
      <c r="R8" s="315"/>
      <c r="S8" s="315"/>
      <c r="T8" s="315"/>
      <c r="U8" s="315"/>
    </row>
    <row r="9" spans="2:21" ht="21" customHeight="1">
      <c r="B9" s="681"/>
      <c r="C9" s="1121"/>
      <c r="D9" s="1121"/>
      <c r="E9" s="1121"/>
      <c r="F9" s="1121"/>
      <c r="G9" s="963"/>
      <c r="H9" s="1371"/>
      <c r="I9" s="1372"/>
      <c r="K9" s="1128"/>
      <c r="L9" s="1128"/>
      <c r="O9" s="315"/>
      <c r="P9" s="315"/>
      <c r="Q9" s="315"/>
      <c r="R9" s="315"/>
      <c r="S9" s="315"/>
      <c r="T9" s="315"/>
      <c r="U9" s="315"/>
    </row>
    <row r="10" spans="2:21" ht="21" customHeight="1">
      <c r="B10" s="681" t="s">
        <v>268</v>
      </c>
      <c r="C10" s="1121"/>
      <c r="D10" s="1121"/>
      <c r="E10" s="1121"/>
      <c r="F10" s="1121"/>
      <c r="G10" s="593"/>
      <c r="H10" s="1743" t="s">
        <v>662</v>
      </c>
      <c r="I10" s="1744"/>
      <c r="K10" s="1128"/>
      <c r="L10" s="1128"/>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K11" s="1128"/>
      <c r="L11" s="1128"/>
      <c r="O11" s="315"/>
      <c r="P11" s="315"/>
      <c r="Q11" s="315"/>
      <c r="R11" s="315"/>
      <c r="S11" s="315"/>
      <c r="T11" s="315"/>
      <c r="U11" s="315"/>
    </row>
    <row r="12" spans="2:21" ht="21" customHeight="1" thickBot="1">
      <c r="B12" s="1096"/>
      <c r="C12" s="1128"/>
      <c r="D12" s="1128"/>
      <c r="E12" s="1128"/>
      <c r="F12" s="1128"/>
      <c r="G12" s="1065">
        <f>SUM(G7:G11)</f>
        <v>0</v>
      </c>
      <c r="H12" s="1741">
        <f>SUM(H7:I11)</f>
        <v>0</v>
      </c>
      <c r="I12" s="1742"/>
      <c r="K12" s="1128"/>
      <c r="L12" s="1128"/>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K14" s="1128"/>
      <c r="L14" s="1128"/>
      <c r="O14" s="315"/>
      <c r="P14" s="315"/>
      <c r="Q14" s="315"/>
      <c r="R14" s="315"/>
      <c r="S14" s="315"/>
      <c r="T14" s="315"/>
      <c r="U14" s="315"/>
    </row>
    <row r="15" spans="2:21" ht="16.5" customHeight="1" thickTop="1">
      <c r="B15" s="2000"/>
      <c r="C15" s="2000"/>
      <c r="D15" s="2000"/>
      <c r="E15" s="2000"/>
      <c r="F15" s="2000"/>
      <c r="G15" s="2000"/>
      <c r="H15" s="2000"/>
      <c r="I15" s="2001"/>
      <c r="K15" s="1128"/>
      <c r="L15" s="1128"/>
      <c r="O15" s="315"/>
      <c r="P15" s="315"/>
      <c r="Q15" s="315"/>
      <c r="R15" s="315"/>
      <c r="S15" s="315"/>
      <c r="T15" s="315"/>
      <c r="U15" s="315"/>
    </row>
    <row r="16" spans="2:21" ht="26.25" customHeight="1" thickBot="1">
      <c r="B16" s="1976" t="str">
        <f>UPPER('KEY INPUTS'!D$56)&amp;"  UTILITY"&amp;" ________________ LOAN"</f>
        <v xml:space="preserve">  UTILITY ________________ LOAN</v>
      </c>
      <c r="C16" s="1976"/>
      <c r="D16" s="1976"/>
      <c r="E16" s="1976"/>
      <c r="F16" s="1976"/>
      <c r="G16" s="1976"/>
      <c r="H16" s="1976"/>
      <c r="I16" s="1977"/>
      <c r="K16" s="1128"/>
      <c r="L16" s="1128"/>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K17" s="1128"/>
      <c r="L17" s="1128"/>
      <c r="O17" s="315"/>
      <c r="P17" s="315"/>
      <c r="Q17" s="315"/>
      <c r="R17" s="315"/>
      <c r="S17" s="315"/>
      <c r="T17" s="315"/>
      <c r="U17" s="315"/>
    </row>
    <row r="18" spans="2:21" ht="21" customHeight="1">
      <c r="B18" s="681" t="s">
        <v>97</v>
      </c>
      <c r="C18" s="1121"/>
      <c r="D18" s="1121"/>
      <c r="E18" s="1121"/>
      <c r="F18" s="1121"/>
      <c r="G18" s="963" t="s">
        <v>662</v>
      </c>
      <c r="H18" s="1722"/>
      <c r="I18" s="1723"/>
      <c r="K18" s="1128"/>
      <c r="L18" s="1128"/>
      <c r="O18" s="315"/>
      <c r="P18" s="315"/>
      <c r="Q18" s="315"/>
      <c r="R18" s="315"/>
      <c r="S18" s="315"/>
      <c r="T18" s="315"/>
      <c r="U18" s="315"/>
    </row>
    <row r="19" spans="2:21" ht="21" customHeight="1">
      <c r="B19" s="681" t="s">
        <v>268</v>
      </c>
      <c r="C19" s="1121"/>
      <c r="D19" s="1121"/>
      <c r="E19" s="1121"/>
      <c r="F19" s="1121"/>
      <c r="G19" s="593"/>
      <c r="H19" s="1743" t="s">
        <v>662</v>
      </c>
      <c r="I19" s="1744"/>
      <c r="K19" s="1128"/>
      <c r="L19" s="1128"/>
      <c r="O19" s="315"/>
      <c r="P19" s="315"/>
      <c r="Q19" s="315"/>
      <c r="R19" s="315"/>
      <c r="S19" s="315"/>
      <c r="T19" s="315"/>
      <c r="U19" s="315"/>
    </row>
    <row r="20" spans="2:21" ht="21" customHeight="1">
      <c r="B20" s="681"/>
      <c r="C20" s="1121"/>
      <c r="D20" s="1121"/>
      <c r="E20" s="1121"/>
      <c r="F20" s="1121"/>
      <c r="G20" s="1087"/>
      <c r="H20" s="1745"/>
      <c r="I20" s="1746"/>
      <c r="K20" s="1128"/>
      <c r="L20" s="1128"/>
      <c r="O20" s="315"/>
      <c r="P20" s="315"/>
      <c r="Q20" s="315"/>
      <c r="R20" s="315"/>
      <c r="S20" s="315"/>
      <c r="T20" s="315"/>
      <c r="U20" s="315"/>
    </row>
    <row r="21" spans="2:21" ht="21" customHeight="1">
      <c r="B21" s="681"/>
      <c r="C21" s="1121"/>
      <c r="D21" s="1121"/>
      <c r="E21" s="1121"/>
      <c r="F21" s="1121"/>
      <c r="G21" s="1087"/>
      <c r="H21" s="1745"/>
      <c r="I21" s="1746"/>
      <c r="K21" s="1128"/>
      <c r="L21" s="1128"/>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K22" s="1128"/>
      <c r="L22" s="1128"/>
      <c r="O22" s="315"/>
      <c r="P22" s="315"/>
      <c r="Q22" s="315"/>
      <c r="R22" s="315"/>
      <c r="S22" s="315"/>
      <c r="T22" s="315"/>
      <c r="U22" s="315"/>
    </row>
    <row r="23" spans="2:21" ht="21" customHeight="1" thickBot="1">
      <c r="B23" s="1096"/>
      <c r="C23" s="1128"/>
      <c r="D23" s="1128"/>
      <c r="E23" s="1128"/>
      <c r="F23" s="1128"/>
      <c r="G23" s="1065">
        <f>SUM(G17:G22)</f>
        <v>0</v>
      </c>
      <c r="H23" s="1741">
        <f>SUM(H17:I22)</f>
        <v>0</v>
      </c>
      <c r="I23" s="1742"/>
      <c r="K23" s="1128"/>
      <c r="L23" s="1128"/>
    </row>
    <row r="24" spans="2:21" ht="21" customHeight="1" thickTop="1">
      <c r="B24" s="1364" t="str">
        <f>TEXT('KEY INPUTS'!D34+1,"0")&amp;" Loan Maturities"</f>
        <v>2021 Loan Maturities</v>
      </c>
      <c r="C24" s="1373"/>
      <c r="D24" s="1373"/>
      <c r="E24" s="1373"/>
      <c r="F24" s="1373"/>
      <c r="G24" s="1373"/>
      <c r="H24" s="472"/>
      <c r="I24" s="1374"/>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1144"/>
      <c r="L25" s="1144"/>
    </row>
    <row r="26" spans="2:21" ht="21" customHeight="1" thickTop="1">
      <c r="B26" s="1128"/>
      <c r="C26" s="1128"/>
      <c r="D26" s="1128"/>
      <c r="E26" s="1128"/>
      <c r="F26" s="1128"/>
      <c r="G26" s="1128"/>
      <c r="H26" s="1128"/>
      <c r="I26" s="1128"/>
      <c r="J26" s="1128"/>
      <c r="K26" s="1128"/>
      <c r="L26" s="1128"/>
    </row>
    <row r="27" spans="2:21" ht="19.5" customHeight="1" thickBot="1">
      <c r="B27" s="1976" t="str">
        <f>"INTEREST  ON  LOANS  - "&amp;UPPER('KEY INPUTS'!D56)&amp;"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408" t="s">
        <v>397</v>
      </c>
      <c r="I28" s="1375">
        <f>+I25+I14</f>
        <v>0</v>
      </c>
    </row>
    <row r="29" spans="2:21" ht="21" customHeight="1">
      <c r="B29" s="905" t="str">
        <f>"Less: Interest Accrued to "&amp;TEXT('KEY INPUTS'!D29,"mm/dd/yyy")&amp;" (Trial Balance)"</f>
        <v>Less: Interest Accrued to 12/31/2020 (Trial Balance)</v>
      </c>
      <c r="C29" s="681"/>
      <c r="D29" s="1121"/>
      <c r="E29" s="1121"/>
      <c r="F29" s="1121"/>
      <c r="G29" s="1121"/>
      <c r="H29" s="327" t="s">
        <v>397</v>
      </c>
      <c r="I29" s="643"/>
    </row>
    <row r="30" spans="2:21" ht="21" customHeight="1">
      <c r="B30" s="681"/>
      <c r="C30" s="681" t="s">
        <v>337</v>
      </c>
      <c r="D30" s="1121"/>
      <c r="E30" s="1121"/>
      <c r="F30" s="1121"/>
      <c r="G30" s="1121"/>
      <c r="H30" s="327" t="s">
        <v>397</v>
      </c>
      <c r="I30" s="505">
        <f>+I28-I29</f>
        <v>0</v>
      </c>
    </row>
    <row r="31" spans="2:21" ht="21" customHeight="1">
      <c r="B31" s="905" t="str">
        <f>"Add: Interest to be Accrued as of "&amp;TEXT('KEY INPUTS'!D30,"mm/dd/yyyy")&amp;""</f>
        <v>Add: Interest to be Accrued as of 12/31/2021</v>
      </c>
      <c r="C31" s="681"/>
      <c r="D31" s="1121"/>
      <c r="E31" s="1121"/>
      <c r="F31" s="1121"/>
      <c r="G31" s="1121"/>
      <c r="H31" s="327" t="s">
        <v>397</v>
      </c>
      <c r="I31" s="643"/>
    </row>
    <row r="32" spans="2:21" ht="21" customHeight="1">
      <c r="B32" s="905" t="str">
        <f>"Required Appropriation "&amp;TEXT('KEY INPUTS'!D34+1,"0")</f>
        <v>Required Appropriation 2021</v>
      </c>
      <c r="C32" s="681"/>
      <c r="D32" s="1121"/>
      <c r="E32" s="1121"/>
      <c r="F32" s="1121"/>
      <c r="G32" s="1121"/>
      <c r="H32" s="327"/>
      <c r="I32" s="1147"/>
      <c r="J32" s="499" t="s">
        <v>397</v>
      </c>
      <c r="K32" s="1985">
        <f>+I30+I31</f>
        <v>0</v>
      </c>
      <c r="L32" s="1986"/>
    </row>
    <row r="33" spans="2:12" ht="13.5" customHeight="1">
      <c r="B33" s="1244"/>
      <c r="C33" s="1244"/>
      <c r="D33" s="1244"/>
      <c r="E33" s="1244"/>
      <c r="F33" s="1244"/>
      <c r="G33" s="1244"/>
      <c r="H33" s="1244"/>
      <c r="I33" s="1244"/>
      <c r="J33" s="1244"/>
      <c r="K33" s="1411"/>
      <c r="L33" s="1252"/>
    </row>
    <row r="34" spans="2:12" ht="13.5" customHeight="1">
      <c r="B34" s="1244"/>
      <c r="C34" s="1244"/>
      <c r="D34" s="1244"/>
      <c r="E34" s="1244"/>
      <c r="F34" s="1244"/>
      <c r="G34" s="1244"/>
      <c r="H34" s="1244"/>
      <c r="I34" s="1244"/>
      <c r="J34" s="1244"/>
      <c r="K34" s="1411"/>
      <c r="L34" s="1252"/>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3225</v>
      </c>
      <c r="C51" s="1850"/>
      <c r="D51" s="1850"/>
      <c r="E51" s="1850"/>
      <c r="F51" s="1850"/>
      <c r="G51" s="1850"/>
      <c r="H51" s="1850"/>
      <c r="I51" s="1850"/>
      <c r="J51" s="1850"/>
      <c r="K51" s="1850"/>
      <c r="L51" s="1850"/>
    </row>
  </sheetData>
  <sheetProtection algorithmName="SHA-512" hashValue="QXt5NzWV1NotEKRD1IefE9bI7j4qvjd3K+7sBFSvBA7m6fM6QPGlEfiwuVRzAW4g6qnT/JJR6vvpAlsHZ7WAUA==" saltValue="1Ab1tdIVojj9CtP39k+SK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9">
    <tabColor theme="7" tint="0.39997558519241921"/>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INPUTS'!D$56)&amp;"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K7" s="1128"/>
      <c r="L7" s="1128"/>
      <c r="O7" s="315"/>
      <c r="P7" s="315"/>
      <c r="Q7" s="315"/>
      <c r="R7" s="315"/>
      <c r="S7" s="315"/>
      <c r="T7" s="315"/>
      <c r="U7" s="315"/>
    </row>
    <row r="8" spans="2:21" ht="21" customHeight="1">
      <c r="B8" s="681" t="s">
        <v>97</v>
      </c>
      <c r="C8" s="1121"/>
      <c r="D8" s="1121"/>
      <c r="E8" s="1121"/>
      <c r="F8" s="1121"/>
      <c r="G8" s="963" t="s">
        <v>662</v>
      </c>
      <c r="H8" s="1722"/>
      <c r="I8" s="1723"/>
      <c r="K8" s="1128"/>
      <c r="L8" s="1128"/>
      <c r="O8" s="370"/>
      <c r="P8" s="315"/>
      <c r="Q8" s="315"/>
      <c r="R8" s="315"/>
      <c r="S8" s="315"/>
      <c r="T8" s="315"/>
      <c r="U8" s="315"/>
    </row>
    <row r="9" spans="2:21" ht="21" customHeight="1">
      <c r="B9" s="681"/>
      <c r="C9" s="1121"/>
      <c r="D9" s="1121"/>
      <c r="E9" s="1121"/>
      <c r="F9" s="1121"/>
      <c r="G9" s="963"/>
      <c r="H9" s="797"/>
      <c r="I9" s="1372"/>
      <c r="K9" s="1128"/>
      <c r="L9" s="1128"/>
      <c r="O9" s="315"/>
      <c r="P9" s="315"/>
      <c r="Q9" s="315"/>
      <c r="R9" s="315"/>
      <c r="S9" s="315"/>
      <c r="T9" s="315"/>
      <c r="U9" s="315"/>
    </row>
    <row r="10" spans="2:21" ht="21" customHeight="1">
      <c r="B10" s="681" t="s">
        <v>268</v>
      </c>
      <c r="C10" s="1121"/>
      <c r="D10" s="1121"/>
      <c r="E10" s="1121"/>
      <c r="F10" s="1121"/>
      <c r="G10" s="593"/>
      <c r="H10" s="1743" t="s">
        <v>662</v>
      </c>
      <c r="I10" s="1744"/>
      <c r="K10" s="1128"/>
      <c r="L10" s="1128"/>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K11" s="1128"/>
      <c r="L11" s="1128"/>
      <c r="O11" s="315"/>
      <c r="P11" s="315"/>
      <c r="Q11" s="315"/>
      <c r="R11" s="315"/>
      <c r="S11" s="315"/>
      <c r="T11" s="315"/>
      <c r="U11" s="315"/>
    </row>
    <row r="12" spans="2:21" ht="21" customHeight="1" thickBot="1">
      <c r="B12" s="1096"/>
      <c r="C12" s="1128"/>
      <c r="D12" s="1128"/>
      <c r="E12" s="1128"/>
      <c r="F12" s="1128"/>
      <c r="G12" s="1065">
        <f>SUM(G7:G11)</f>
        <v>0</v>
      </c>
      <c r="H12" s="1741">
        <f>SUM(H7:I11)</f>
        <v>0</v>
      </c>
      <c r="I12" s="1742"/>
      <c r="K12" s="1128"/>
      <c r="L12" s="1128"/>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K14" s="1128"/>
      <c r="L14" s="1128"/>
      <c r="O14" s="315"/>
      <c r="P14" s="315"/>
      <c r="Q14" s="315"/>
      <c r="R14" s="315"/>
      <c r="S14" s="315"/>
      <c r="T14" s="315"/>
      <c r="U14" s="315"/>
    </row>
    <row r="15" spans="2:21" ht="16.5" customHeight="1" thickTop="1">
      <c r="B15" s="2000"/>
      <c r="C15" s="2000"/>
      <c r="D15" s="2000"/>
      <c r="E15" s="2000"/>
      <c r="F15" s="2000"/>
      <c r="G15" s="2000"/>
      <c r="H15" s="2000"/>
      <c r="I15" s="2001"/>
      <c r="K15" s="1128"/>
      <c r="L15" s="1128"/>
      <c r="O15" s="315"/>
      <c r="P15" s="315"/>
      <c r="Q15" s="315"/>
      <c r="R15" s="315"/>
      <c r="S15" s="315"/>
      <c r="T15" s="315"/>
      <c r="U15" s="315"/>
    </row>
    <row r="16" spans="2:21" ht="26.25" customHeight="1" thickBot="1">
      <c r="B16" s="1976" t="str">
        <f>UPPER('KEY INPUTS'!D$56)&amp;"  UTILITY"&amp;" ________________ LOAN"</f>
        <v xml:space="preserve">  UTILITY ________________ LOAN</v>
      </c>
      <c r="C16" s="1976"/>
      <c r="D16" s="1976"/>
      <c r="E16" s="1976"/>
      <c r="F16" s="1976"/>
      <c r="G16" s="1976"/>
      <c r="H16" s="1976"/>
      <c r="I16" s="1977"/>
      <c r="K16" s="1128"/>
      <c r="L16" s="1128"/>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K17" s="1128"/>
      <c r="L17" s="1128"/>
      <c r="O17" s="315"/>
      <c r="P17" s="315"/>
      <c r="Q17" s="315"/>
      <c r="R17" s="315"/>
      <c r="S17" s="315"/>
      <c r="T17" s="315"/>
      <c r="U17" s="315"/>
    </row>
    <row r="18" spans="2:21" ht="21" customHeight="1">
      <c r="B18" s="681" t="s">
        <v>97</v>
      </c>
      <c r="C18" s="1121"/>
      <c r="D18" s="1121"/>
      <c r="E18" s="1121"/>
      <c r="F18" s="1121"/>
      <c r="G18" s="963" t="s">
        <v>662</v>
      </c>
      <c r="H18" s="1722"/>
      <c r="I18" s="1723"/>
      <c r="K18" s="1128"/>
      <c r="L18" s="1128"/>
      <c r="O18" s="315"/>
      <c r="P18" s="315"/>
      <c r="Q18" s="315"/>
      <c r="R18" s="315"/>
      <c r="S18" s="315"/>
      <c r="T18" s="315"/>
      <c r="U18" s="315"/>
    </row>
    <row r="19" spans="2:21" ht="21" customHeight="1">
      <c r="B19" s="681" t="s">
        <v>268</v>
      </c>
      <c r="C19" s="1121"/>
      <c r="D19" s="1121"/>
      <c r="E19" s="1121"/>
      <c r="F19" s="1121"/>
      <c r="G19" s="593"/>
      <c r="H19" s="1743" t="s">
        <v>662</v>
      </c>
      <c r="I19" s="1744"/>
      <c r="K19" s="1128"/>
      <c r="L19" s="1128"/>
      <c r="O19" s="315"/>
      <c r="P19" s="315"/>
      <c r="Q19" s="315"/>
      <c r="R19" s="315"/>
      <c r="S19" s="315"/>
      <c r="T19" s="315"/>
      <c r="U19" s="315"/>
    </row>
    <row r="20" spans="2:21" ht="21" customHeight="1">
      <c r="B20" s="681"/>
      <c r="C20" s="1121"/>
      <c r="D20" s="1121"/>
      <c r="E20" s="1121"/>
      <c r="F20" s="1121"/>
      <c r="G20" s="1087"/>
      <c r="H20" s="1745"/>
      <c r="I20" s="1746"/>
      <c r="K20" s="1128"/>
      <c r="L20" s="1128"/>
      <c r="O20" s="315"/>
      <c r="P20" s="315"/>
      <c r="Q20" s="315"/>
      <c r="R20" s="315"/>
      <c r="S20" s="315"/>
      <c r="T20" s="315"/>
      <c r="U20" s="315"/>
    </row>
    <row r="21" spans="2:21" ht="21" customHeight="1">
      <c r="B21" s="681"/>
      <c r="C21" s="1121"/>
      <c r="D21" s="1121"/>
      <c r="E21" s="1121"/>
      <c r="F21" s="1121"/>
      <c r="G21" s="1087"/>
      <c r="H21" s="1745"/>
      <c r="I21" s="1746"/>
      <c r="K21" s="1128"/>
      <c r="L21" s="1128"/>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K22" s="1128"/>
      <c r="L22" s="1128"/>
      <c r="O22" s="315"/>
      <c r="P22" s="315"/>
      <c r="Q22" s="315"/>
      <c r="R22" s="315"/>
      <c r="S22" s="315"/>
      <c r="T22" s="315"/>
      <c r="U22" s="315"/>
    </row>
    <row r="23" spans="2:21" ht="21" customHeight="1" thickBot="1">
      <c r="B23" s="391"/>
      <c r="G23" s="1065">
        <f>SUM(G17:G22)</f>
        <v>0</v>
      </c>
      <c r="H23" s="1741">
        <f>SUM(H17:I22)</f>
        <v>0</v>
      </c>
      <c r="I23" s="1742"/>
      <c r="K23" s="1128"/>
      <c r="L23" s="1128"/>
    </row>
    <row r="24" spans="2:21" ht="21" customHeight="1" thickTop="1">
      <c r="B24" s="1364" t="str">
        <f>TEXT('KEY INPUTS'!D34+1,"0")&amp;" Loan Maturities"</f>
        <v>2021 Loan Maturities</v>
      </c>
      <c r="C24" s="1373"/>
      <c r="D24" s="1373"/>
      <c r="E24" s="1373"/>
      <c r="F24" s="1373"/>
      <c r="G24" s="1373"/>
      <c r="H24" s="472"/>
      <c r="I24" s="1374"/>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1144"/>
      <c r="L25" s="1144"/>
    </row>
    <row r="26" spans="2:21" ht="21" customHeight="1" thickTop="1">
      <c r="B26" s="1128"/>
      <c r="C26" s="1128"/>
      <c r="D26" s="1128"/>
      <c r="E26" s="1128"/>
      <c r="F26" s="1128"/>
      <c r="G26" s="1128"/>
      <c r="H26" s="1128"/>
      <c r="I26" s="1128"/>
      <c r="J26" s="1128"/>
      <c r="K26" s="1128"/>
      <c r="L26" s="1128"/>
    </row>
    <row r="27" spans="2:21" ht="19.5" customHeight="1" thickBot="1">
      <c r="B27" s="1976" t="str">
        <f>"INTEREST  ON  LOANS  - "&amp;UPPER('KEY INPUTS'!D56)&amp;"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1140" t="s">
        <v>397</v>
      </c>
      <c r="I28" s="1375">
        <f>+I25+I14</f>
        <v>0</v>
      </c>
      <c r="J28" s="1128"/>
      <c r="K28" s="1128"/>
      <c r="L28" s="1128"/>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c r="K29" s="1128"/>
      <c r="L29" s="1128"/>
    </row>
    <row r="30" spans="2:21" ht="21" customHeight="1">
      <c r="B30" s="681"/>
      <c r="C30" s="681" t="s">
        <v>337</v>
      </c>
      <c r="D30" s="1121"/>
      <c r="E30" s="1121"/>
      <c r="F30" s="1121"/>
      <c r="G30" s="1121"/>
      <c r="H30" s="327" t="s">
        <v>397</v>
      </c>
      <c r="I30" s="505">
        <f>+I28-I29</f>
        <v>0</v>
      </c>
      <c r="K30" s="1128"/>
      <c r="L30" s="1128"/>
    </row>
    <row r="31" spans="2:21" ht="21" customHeight="1">
      <c r="B31" s="905" t="str">
        <f>"Add: Interest to be Accrued as of "&amp;TEXT('KEY INPUTS'!D30,"mm/dd/yyyy")&amp;""</f>
        <v>Add: Interest to be Accrued as of 12/31/2021</v>
      </c>
      <c r="C31" s="681"/>
      <c r="D31" s="1121"/>
      <c r="E31" s="1121"/>
      <c r="F31" s="1121"/>
      <c r="G31" s="1121"/>
      <c r="H31" s="327" t="s">
        <v>397</v>
      </c>
      <c r="I31" s="592"/>
      <c r="K31" s="1128"/>
      <c r="L31" s="1128"/>
    </row>
    <row r="32" spans="2:21" ht="21" customHeight="1">
      <c r="B32" s="905" t="str">
        <f>"Required Appropriation "&amp;TEXT('KEY INPUTS'!D34+1,"0")</f>
        <v>Required Appropriation 2021</v>
      </c>
      <c r="C32" s="681"/>
      <c r="D32" s="1121"/>
      <c r="E32" s="1121"/>
      <c r="F32" s="1121"/>
      <c r="G32" s="1121"/>
      <c r="H32" s="327"/>
      <c r="I32" s="1147"/>
      <c r="J32" s="499" t="s">
        <v>397</v>
      </c>
      <c r="K32" s="1985">
        <f>+I30+I31</f>
        <v>0</v>
      </c>
      <c r="L32" s="1986"/>
    </row>
    <row r="33" spans="2:12" ht="13.5" customHeight="1">
      <c r="B33" s="1244"/>
      <c r="C33" s="1244"/>
      <c r="D33" s="1244"/>
      <c r="E33" s="1244"/>
      <c r="F33" s="1244"/>
      <c r="G33" s="1244"/>
      <c r="H33" s="1244"/>
      <c r="I33" s="1244"/>
      <c r="J33" s="1244"/>
      <c r="K33" s="1411"/>
      <c r="L33" s="1252"/>
    </row>
    <row r="34" spans="2:12" ht="13.5" customHeight="1">
      <c r="B34" s="1244"/>
      <c r="C34" s="1244"/>
      <c r="D34" s="1244"/>
      <c r="E34" s="1244"/>
      <c r="F34" s="1244"/>
      <c r="G34" s="1244"/>
      <c r="H34" s="1244"/>
      <c r="I34" s="1244"/>
      <c r="J34" s="1244"/>
      <c r="K34" s="1411"/>
      <c r="L34" s="1252"/>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3419</v>
      </c>
      <c r="C51" s="1850"/>
      <c r="D51" s="1850"/>
      <c r="E51" s="1850"/>
      <c r="F51" s="1850"/>
      <c r="G51" s="1850"/>
      <c r="H51" s="1850"/>
      <c r="I51" s="1850"/>
      <c r="J51" s="1850"/>
      <c r="K51" s="1850"/>
      <c r="L51" s="1850"/>
    </row>
  </sheetData>
  <sheetProtection algorithmName="SHA-512" hashValue="LhWccHgSIXEdkiXhaElZHS53h0TR63kFHVQ5ZjBI39D+7U+NM3OfOow45J9N2aUrpx6I84D/I+cEB8jTBpUE3A==" saltValue="+c58PwcetwKfAtw2o9MyY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8">
    <tabColor theme="7" tint="0.39997558519241921"/>
  </sheetPr>
  <dimension ref="A2:V30"/>
  <sheetViews>
    <sheetView zoomScaleNormal="100" zoomScaleSheetLayoutView="80" workbookViewId="0"/>
  </sheetViews>
  <sheetFormatPr defaultColWidth="8.88671875" defaultRowHeight="13.2"/>
  <cols>
    <col min="1" max="1" width="5.6640625" style="324" customWidth="1"/>
    <col min="2" max="3" width="4.88671875" style="324" customWidth="1"/>
    <col min="4" max="4" width="30.44140625" style="324" customWidth="1"/>
    <col min="5" max="11" width="15.6640625" style="324" customWidth="1"/>
    <col min="12" max="12" width="1.6640625" style="324" customWidth="1"/>
    <col min="13" max="13" width="12.6640625" style="324" customWidth="1"/>
    <col min="14" max="16384" width="8.88671875" style="324"/>
  </cols>
  <sheetData>
    <row r="2" spans="1:22" ht="20.399999999999999">
      <c r="B2" s="1854" t="str">
        <f>"DEBT  SERVICE  FOR  "&amp;UPPER('KEY INPUTS'!D53)&amp;"  UTILITY  NOTES  (OTHER  THAN  UTILITY  ASSESSMENT  NOTES)"</f>
        <v>DEBT  SERVICE  FOR    UTILITY  NOTES  (OTHER  THAN  UTILITY  ASSESSMENT  NOTES)</v>
      </c>
      <c r="C2" s="1854"/>
      <c r="D2" s="1854"/>
      <c r="E2" s="1854"/>
      <c r="F2" s="1854"/>
      <c r="G2" s="1854"/>
      <c r="H2" s="1854"/>
      <c r="I2" s="1854"/>
      <c r="J2" s="1854"/>
      <c r="K2" s="1854"/>
      <c r="L2" s="1854"/>
      <c r="M2" s="1854"/>
    </row>
    <row r="3" spans="1:22" ht="21" thickBot="1">
      <c r="B3" s="1854"/>
      <c r="C3" s="1854"/>
      <c r="D3" s="1854"/>
      <c r="E3" s="1854"/>
      <c r="F3" s="1854"/>
      <c r="G3" s="1854"/>
      <c r="H3" s="1854"/>
      <c r="I3" s="1854"/>
      <c r="J3" s="1854"/>
      <c r="K3" s="1854"/>
      <c r="L3" s="1854"/>
      <c r="M3" s="1854"/>
    </row>
    <row r="4" spans="1:22" ht="13.5" customHeight="1" thickTop="1">
      <c r="B4" s="418"/>
      <c r="C4" s="418"/>
      <c r="D4" s="418"/>
      <c r="E4" s="419"/>
      <c r="F4" s="419"/>
      <c r="G4" s="419"/>
      <c r="H4" s="419"/>
      <c r="I4" s="419"/>
      <c r="J4" s="418"/>
      <c r="K4" s="1473"/>
      <c r="L4" s="418"/>
      <c r="M4" s="1474"/>
    </row>
    <row r="5" spans="1:22" ht="13.5" customHeight="1">
      <c r="E5" s="415" t="s">
        <v>144</v>
      </c>
      <c r="F5" s="414" t="s">
        <v>144</v>
      </c>
      <c r="G5" s="414" t="s">
        <v>441</v>
      </c>
      <c r="H5" s="414" t="s">
        <v>18</v>
      </c>
      <c r="I5" s="414" t="s">
        <v>572</v>
      </c>
      <c r="J5" s="1898">
        <f>'KEY INPUTS'!D33</f>
        <v>2021</v>
      </c>
      <c r="K5" s="1899"/>
      <c r="L5" s="1475"/>
      <c r="M5" s="1476" t="s">
        <v>573</v>
      </c>
    </row>
    <row r="6" spans="1:22" ht="13.5" customHeight="1">
      <c r="C6" s="1902" t="s">
        <v>143</v>
      </c>
      <c r="D6" s="1903"/>
      <c r="E6" s="415" t="s">
        <v>441</v>
      </c>
      <c r="F6" s="414" t="s">
        <v>145</v>
      </c>
      <c r="G6" s="414" t="s">
        <v>569</v>
      </c>
      <c r="H6" s="414" t="s">
        <v>570</v>
      </c>
      <c r="I6" s="414" t="s">
        <v>570</v>
      </c>
      <c r="J6" s="1900"/>
      <c r="K6" s="1901"/>
      <c r="L6" s="1477"/>
      <c r="M6" s="1476" t="s">
        <v>576</v>
      </c>
    </row>
    <row r="7" spans="1:22" ht="13.5" customHeight="1">
      <c r="E7" s="415" t="s">
        <v>97</v>
      </c>
      <c r="F7" s="415" t="s">
        <v>146</v>
      </c>
      <c r="G7" s="415" t="s">
        <v>206</v>
      </c>
      <c r="H7" s="415" t="s">
        <v>571</v>
      </c>
      <c r="I7" s="415" t="s">
        <v>573</v>
      </c>
      <c r="J7" s="415" t="s">
        <v>118</v>
      </c>
      <c r="K7" s="415" t="s">
        <v>574</v>
      </c>
      <c r="L7" s="414"/>
      <c r="M7" s="1476" t="s">
        <v>577</v>
      </c>
    </row>
    <row r="8" spans="1:22" ht="13.5" customHeight="1" thickBot="1">
      <c r="B8" s="413"/>
      <c r="C8" s="413"/>
      <c r="D8" s="413"/>
      <c r="E8" s="411"/>
      <c r="F8" s="411"/>
      <c r="G8" s="787" t="str">
        <f>'KEY INPUTS'!D46</f>
        <v>Dec. 31, 2020</v>
      </c>
      <c r="H8" s="411"/>
      <c r="I8" s="411"/>
      <c r="J8" s="412"/>
      <c r="K8" s="539"/>
      <c r="L8" s="1478"/>
      <c r="M8" s="1479"/>
      <c r="P8" s="315"/>
      <c r="Q8" s="315"/>
      <c r="R8" s="315"/>
      <c r="S8" s="315"/>
      <c r="T8" s="315"/>
      <c r="U8" s="315"/>
      <c r="V8" s="315"/>
    </row>
    <row r="9" spans="1:22" ht="21" customHeight="1" thickTop="1">
      <c r="B9" s="1480" t="s">
        <v>308</v>
      </c>
      <c r="C9" s="664"/>
      <c r="D9" s="667"/>
      <c r="E9" s="597"/>
      <c r="F9" s="1481"/>
      <c r="G9" s="597"/>
      <c r="H9" s="1482"/>
      <c r="I9" s="789"/>
      <c r="J9" s="597"/>
      <c r="K9" s="597">
        <f>+I9*G9</f>
        <v>0</v>
      </c>
      <c r="L9" s="1483"/>
      <c r="M9" s="1484"/>
      <c r="P9" s="315"/>
      <c r="Q9" s="315"/>
      <c r="R9" s="315"/>
      <c r="S9" s="315"/>
      <c r="T9" s="315"/>
      <c r="U9" s="315"/>
      <c r="V9" s="315"/>
    </row>
    <row r="10" spans="1:22" ht="21" customHeight="1">
      <c r="B10" s="1485" t="s">
        <v>309</v>
      </c>
      <c r="C10" s="1486"/>
      <c r="D10" s="643"/>
      <c r="E10" s="593"/>
      <c r="F10" s="1487"/>
      <c r="G10" s="593"/>
      <c r="H10" s="1488"/>
      <c r="I10" s="615"/>
      <c r="J10" s="1489"/>
      <c r="K10" s="593">
        <f>+I10*G10</f>
        <v>0</v>
      </c>
      <c r="L10" s="623"/>
      <c r="M10" s="1490"/>
      <c r="N10" s="324" t="s">
        <v>3190</v>
      </c>
      <c r="O10" s="324" t="s">
        <v>3190</v>
      </c>
      <c r="P10" s="370"/>
      <c r="Q10" s="315"/>
      <c r="R10" s="315"/>
      <c r="S10" s="315"/>
      <c r="T10" s="315"/>
      <c r="U10" s="315"/>
      <c r="V10" s="315"/>
    </row>
    <row r="11" spans="1:22" ht="21" customHeight="1">
      <c r="B11" s="1485" t="s">
        <v>310</v>
      </c>
      <c r="C11" s="639"/>
      <c r="D11" s="643"/>
      <c r="E11" s="593"/>
      <c r="F11" s="676"/>
      <c r="G11" s="593"/>
      <c r="H11" s="593"/>
      <c r="I11" s="615"/>
      <c r="J11" s="593"/>
      <c r="K11" s="593"/>
      <c r="L11" s="623"/>
      <c r="M11" s="675"/>
      <c r="P11" s="315"/>
      <c r="Q11" s="315"/>
      <c r="R11" s="315"/>
      <c r="S11" s="315"/>
      <c r="T11" s="315"/>
      <c r="U11" s="315"/>
      <c r="V11" s="315"/>
    </row>
    <row r="12" spans="1:22" ht="21" customHeight="1">
      <c r="B12" s="1485" t="s">
        <v>311</v>
      </c>
      <c r="C12" s="639"/>
      <c r="D12" s="643"/>
      <c r="E12" s="593"/>
      <c r="F12" s="676"/>
      <c r="G12" s="593"/>
      <c r="H12" s="593"/>
      <c r="I12" s="615"/>
      <c r="J12" s="593"/>
      <c r="K12" s="593"/>
      <c r="L12" s="623"/>
      <c r="M12" s="675"/>
      <c r="P12" s="315"/>
      <c r="Q12" s="315"/>
      <c r="R12" s="315"/>
      <c r="S12" s="315"/>
      <c r="T12" s="315"/>
      <c r="U12" s="315"/>
      <c r="V12" s="315"/>
    </row>
    <row r="13" spans="1:22" ht="21" customHeight="1">
      <c r="B13" s="1485" t="s">
        <v>312</v>
      </c>
      <c r="C13" s="639"/>
      <c r="D13" s="643"/>
      <c r="E13" s="593"/>
      <c r="F13" s="676"/>
      <c r="G13" s="593"/>
      <c r="H13" s="593"/>
      <c r="I13" s="615"/>
      <c r="J13" s="593"/>
      <c r="K13" s="593"/>
      <c r="L13" s="623"/>
      <c r="M13" s="675"/>
      <c r="P13" s="315"/>
      <c r="Q13" s="315"/>
      <c r="R13" s="315"/>
      <c r="S13" s="315"/>
      <c r="T13" s="315"/>
      <c r="U13" s="315"/>
      <c r="V13" s="315"/>
    </row>
    <row r="14" spans="1:22" ht="21" customHeight="1">
      <c r="B14" s="1485" t="s">
        <v>313</v>
      </c>
      <c r="C14" s="639"/>
      <c r="D14" s="643"/>
      <c r="E14" s="596"/>
      <c r="F14" s="677"/>
      <c r="G14" s="596"/>
      <c r="H14" s="596"/>
      <c r="I14" s="618"/>
      <c r="J14" s="593"/>
      <c r="K14" s="593"/>
      <c r="L14" s="623"/>
      <c r="M14" s="675"/>
      <c r="P14" s="315"/>
      <c r="Q14" s="315"/>
      <c r="R14" s="315"/>
      <c r="S14" s="315"/>
      <c r="T14" s="315"/>
      <c r="U14" s="315"/>
      <c r="V14" s="315"/>
    </row>
    <row r="15" spans="1:22" ht="21" customHeight="1">
      <c r="A15" s="1830" t="s">
        <v>3226</v>
      </c>
      <c r="B15" s="1485" t="s">
        <v>314</v>
      </c>
      <c r="C15" s="678"/>
      <c r="D15" s="679"/>
      <c r="E15" s="593"/>
      <c r="F15" s="676"/>
      <c r="G15" s="593"/>
      <c r="H15" s="593"/>
      <c r="I15" s="615"/>
      <c r="J15" s="593"/>
      <c r="K15" s="593"/>
      <c r="L15" s="623"/>
      <c r="M15" s="675"/>
      <c r="P15" s="315"/>
      <c r="Q15" s="315"/>
      <c r="R15" s="315"/>
      <c r="S15" s="315"/>
      <c r="T15" s="315"/>
      <c r="U15" s="315"/>
      <c r="V15" s="315"/>
    </row>
    <row r="16" spans="1:22" ht="21" customHeight="1">
      <c r="A16" s="1830"/>
      <c r="B16" s="1485" t="s">
        <v>409</v>
      </c>
      <c r="C16" s="639"/>
      <c r="D16" s="643"/>
      <c r="E16" s="593"/>
      <c r="F16" s="676"/>
      <c r="G16" s="593"/>
      <c r="H16" s="593"/>
      <c r="I16" s="615"/>
      <c r="J16" s="593"/>
      <c r="K16" s="593"/>
      <c r="L16" s="623"/>
      <c r="M16" s="675"/>
      <c r="P16" s="315"/>
      <c r="Q16" s="315"/>
      <c r="R16" s="315"/>
      <c r="S16" s="315"/>
      <c r="T16" s="315"/>
      <c r="U16" s="315"/>
      <c r="V16" s="315"/>
    </row>
    <row r="17" spans="1:22" ht="21" customHeight="1">
      <c r="A17" s="1830"/>
      <c r="B17" s="1485" t="s">
        <v>410</v>
      </c>
      <c r="C17" s="639"/>
      <c r="D17" s="643"/>
      <c r="E17" s="593"/>
      <c r="F17" s="676"/>
      <c r="G17" s="593"/>
      <c r="H17" s="593"/>
      <c r="I17" s="615"/>
      <c r="J17" s="593"/>
      <c r="K17" s="593"/>
      <c r="L17" s="623"/>
      <c r="M17" s="675"/>
      <c r="P17" s="315"/>
      <c r="Q17" s="315"/>
      <c r="R17" s="315"/>
      <c r="S17" s="315"/>
      <c r="T17" s="315"/>
      <c r="U17" s="315"/>
      <c r="V17" s="315"/>
    </row>
    <row r="18" spans="1:22" ht="21" customHeight="1">
      <c r="A18" s="538"/>
      <c r="B18" s="1491" t="s">
        <v>834</v>
      </c>
      <c r="C18" s="327"/>
      <c r="D18" s="407"/>
      <c r="E18" s="118">
        <f>SUM(E9:E17)</f>
        <v>0</v>
      </c>
      <c r="F18" s="1492"/>
      <c r="G18" s="118">
        <f>SUM(G9:G17)</f>
        <v>0</v>
      </c>
      <c r="H18" s="118"/>
      <c r="I18" s="1493"/>
      <c r="J18" s="118">
        <f>SUM(J9:J17)</f>
        <v>0</v>
      </c>
      <c r="K18" s="118">
        <f>SUM(K9:K17)</f>
        <v>0</v>
      </c>
      <c r="L18" s="1494"/>
      <c r="M18" s="1495"/>
      <c r="P18" s="315"/>
      <c r="Q18" s="315"/>
      <c r="R18" s="315"/>
      <c r="S18" s="315"/>
      <c r="T18" s="315"/>
      <c r="U18" s="315"/>
      <c r="V18" s="315"/>
    </row>
    <row r="19" spans="1:22" ht="21" customHeight="1">
      <c r="A19" s="538"/>
      <c r="B19" s="474"/>
      <c r="E19" s="189"/>
      <c r="G19" s="189"/>
      <c r="H19" s="189"/>
      <c r="I19" s="1496"/>
      <c r="J19" s="189"/>
      <c r="K19" s="189"/>
      <c r="L19" s="189"/>
      <c r="P19" s="315"/>
      <c r="Q19" s="315"/>
      <c r="R19" s="315"/>
      <c r="S19" s="315"/>
      <c r="T19" s="315"/>
      <c r="U19" s="315"/>
      <c r="V19" s="315"/>
    </row>
    <row r="20" spans="1:22" ht="21" customHeight="1">
      <c r="A20" s="538"/>
      <c r="B20" s="474"/>
      <c r="E20" s="189"/>
      <c r="G20" s="189"/>
      <c r="H20" s="189"/>
      <c r="I20" s="1496"/>
      <c r="J20" s="189"/>
      <c r="K20" s="189"/>
      <c r="L20" s="189"/>
      <c r="P20" s="315"/>
      <c r="Q20" s="315"/>
      <c r="R20" s="315"/>
      <c r="S20" s="315"/>
      <c r="T20" s="315"/>
      <c r="U20" s="315"/>
      <c r="V20" s="315"/>
    </row>
    <row r="21" spans="1:22" ht="13.5" customHeight="1">
      <c r="B21" s="1497"/>
      <c r="C21" s="404"/>
      <c r="D21" s="795"/>
      <c r="J21" s="791"/>
      <c r="P21" s="315"/>
      <c r="Q21" s="315"/>
      <c r="R21" s="315"/>
      <c r="S21" s="315"/>
      <c r="T21" s="315"/>
      <c r="U21" s="315"/>
      <c r="V21" s="315"/>
    </row>
    <row r="22" spans="1:22">
      <c r="B22" s="1498" t="s">
        <v>44</v>
      </c>
      <c r="C22" s="791"/>
      <c r="D22" s="1499"/>
      <c r="E22" s="791"/>
      <c r="I22" s="1857"/>
      <c r="J22" s="1857"/>
      <c r="K22" s="1857"/>
      <c r="L22" s="1857"/>
      <c r="M22" s="1857"/>
      <c r="P22" s="315"/>
      <c r="Q22" s="315"/>
      <c r="R22" s="315"/>
      <c r="S22" s="315"/>
      <c r="T22" s="315"/>
      <c r="U22" s="315"/>
      <c r="V22" s="315"/>
    </row>
    <row r="23" spans="1:22" ht="15.6" customHeight="1">
      <c r="B23" s="1500" t="s">
        <v>45</v>
      </c>
      <c r="C23" s="1500"/>
      <c r="D23" s="1498" t="s">
        <v>46</v>
      </c>
      <c r="E23" s="791"/>
      <c r="M23" s="280"/>
      <c r="P23" s="315"/>
      <c r="Q23" s="315"/>
      <c r="R23" s="315"/>
      <c r="S23" s="315"/>
      <c r="T23" s="315"/>
      <c r="U23" s="315"/>
      <c r="V23" s="315"/>
    </row>
    <row r="24" spans="1:22" ht="15.6" customHeight="1">
      <c r="B24" s="1498"/>
      <c r="C24" s="1498"/>
      <c r="D24" s="1500" t="s">
        <v>47</v>
      </c>
      <c r="E24" s="791"/>
      <c r="M24" s="1501"/>
      <c r="P24" s="315"/>
      <c r="Q24" s="315"/>
      <c r="R24" s="315"/>
      <c r="S24" s="315"/>
      <c r="T24" s="315"/>
      <c r="U24" s="315"/>
      <c r="V24" s="315"/>
    </row>
    <row r="25" spans="1:22" ht="15.6" customHeight="1">
      <c r="B25" s="1498"/>
      <c r="C25" s="1498"/>
      <c r="D25" s="1498" t="s">
        <v>48</v>
      </c>
      <c r="E25" s="791"/>
      <c r="M25" s="280"/>
    </row>
    <row r="26" spans="1:22" ht="15.6" customHeight="1">
      <c r="B26" s="1498"/>
      <c r="C26" s="1498"/>
      <c r="D26" s="1498" t="str">
        <f>"All notes with an original date of issue of "&amp;'KEY INPUTS'!D33-3&amp;" or prior require one legally payable installment to be budgeted if it"</f>
        <v>All notes with an original date of issue of 2018 or prior require one legally payable installment to be budgeted if it</v>
      </c>
      <c r="E26" s="791"/>
      <c r="M26" s="1501"/>
    </row>
    <row r="27" spans="1:22" ht="15.6" customHeight="1">
      <c r="B27" s="1498"/>
      <c r="C27" s="1498"/>
      <c r="D27" s="1498" t="str">
        <f>"is contemplated that such notes will be renewed in "&amp;TEXT('KEY INPUTS'!D34+1,"0")&amp;" or written intent of permanent financing submitted."</f>
        <v>is contemplated that such notes will be renewed in 2021 or written intent of permanent financing submitted.</v>
      </c>
      <c r="E27" s="791"/>
      <c r="M27" s="280"/>
    </row>
    <row r="28" spans="1:22">
      <c r="B28" s="1498"/>
      <c r="C28" s="1498"/>
      <c r="D28" s="1498" t="s">
        <v>49</v>
      </c>
      <c r="E28" s="791"/>
    </row>
    <row r="29" spans="1:22">
      <c r="B29" s="791"/>
      <c r="C29" s="791"/>
      <c r="D29" s="1500" t="s">
        <v>50</v>
      </c>
      <c r="E29" s="791"/>
    </row>
    <row r="30" spans="1:22">
      <c r="J30" s="791" t="s">
        <v>103</v>
      </c>
    </row>
  </sheetData>
  <sheetProtection algorithmName="SHA-512" hashValue="l0HKvnV6A1XQrSxHRTOp49iH95C/yxN23nB72pNH+V5d6XcbWhRU6jWfWrhj02SeVYiOUrmUBBLzzk3dOYavxw==" saltValue="0ceEwesrFBG/Wf99ImfjMw=="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0">
    <tabColor theme="7" tint="0.39997558519241921"/>
  </sheetPr>
  <dimension ref="A2:V30"/>
  <sheetViews>
    <sheetView zoomScaleNormal="100" zoomScaleSheetLayoutView="80" workbookViewId="0"/>
  </sheetViews>
  <sheetFormatPr defaultColWidth="8.88671875" defaultRowHeight="13.2"/>
  <cols>
    <col min="1" max="1" width="5.6640625" style="391" customWidth="1"/>
    <col min="2" max="3" width="4.88671875" style="391" customWidth="1"/>
    <col min="4" max="4" width="30.44140625" style="391" customWidth="1"/>
    <col min="5" max="11" width="15.6640625" style="391" customWidth="1"/>
    <col min="12" max="12" width="1.6640625" style="391" customWidth="1"/>
    <col min="13" max="13" width="12.6640625" style="391" customWidth="1"/>
    <col min="14" max="16384" width="8.88671875" style="391"/>
  </cols>
  <sheetData>
    <row r="2" spans="1:22" ht="20.399999999999999">
      <c r="B2" s="1826" t="str">
        <f>"DEBT  SERVICE  FOR  "&amp;UPPER('KEY INPUTS'!D56)&amp;"  UTILITY  NOTES  (OTHER  THAN  UTILITY  ASSESSMENT  NOTES)"</f>
        <v>DEBT  SERVICE  FOR    UTILITY  NOTES  (OTHER  THAN  UTILITY  ASSESSMENT  NOTES)</v>
      </c>
      <c r="C2" s="1826"/>
      <c r="D2" s="1826"/>
      <c r="E2" s="1826"/>
      <c r="F2" s="1826"/>
      <c r="G2" s="1826"/>
      <c r="H2" s="1826"/>
      <c r="I2" s="1826"/>
      <c r="J2" s="1826"/>
      <c r="K2" s="1826"/>
      <c r="L2" s="1826"/>
      <c r="M2" s="1826"/>
    </row>
    <row r="3" spans="1:22" ht="21" thickBot="1">
      <c r="B3" s="1826"/>
      <c r="C3" s="1826"/>
      <c r="D3" s="1826"/>
      <c r="E3" s="1826"/>
      <c r="F3" s="1826"/>
      <c r="G3" s="1826"/>
      <c r="H3" s="1826"/>
      <c r="I3" s="1826"/>
      <c r="J3" s="1826"/>
      <c r="K3" s="1826"/>
      <c r="L3" s="1826"/>
      <c r="M3" s="1826"/>
    </row>
    <row r="4" spans="1:22" ht="13.5" customHeight="1" thickTop="1">
      <c r="B4" s="1219"/>
      <c r="C4" s="1219"/>
      <c r="D4" s="1219"/>
      <c r="E4" s="1220"/>
      <c r="F4" s="1220"/>
      <c r="G4" s="1220"/>
      <c r="H4" s="1220"/>
      <c r="I4" s="1220"/>
      <c r="J4" s="1219"/>
      <c r="K4" s="1221"/>
      <c r="L4" s="1219"/>
      <c r="M4" s="1222"/>
    </row>
    <row r="5" spans="1:22" ht="13.5" customHeight="1">
      <c r="B5" s="1096"/>
      <c r="C5" s="1096"/>
      <c r="D5" s="1096"/>
      <c r="E5" s="1223" t="s">
        <v>144</v>
      </c>
      <c r="F5" s="1224" t="s">
        <v>144</v>
      </c>
      <c r="G5" s="1224" t="s">
        <v>441</v>
      </c>
      <c r="H5" s="1224" t="s">
        <v>18</v>
      </c>
      <c r="I5" s="1224" t="s">
        <v>572</v>
      </c>
      <c r="J5" s="1910">
        <f>'KEY INPUTS'!D33</f>
        <v>2021</v>
      </c>
      <c r="K5" s="1911"/>
      <c r="L5" s="1251"/>
      <c r="M5" s="1226" t="s">
        <v>573</v>
      </c>
    </row>
    <row r="6" spans="1:22" ht="13.5" customHeight="1">
      <c r="B6" s="1096"/>
      <c r="C6" s="1908" t="s">
        <v>143</v>
      </c>
      <c r="D6" s="1909"/>
      <c r="E6" s="1223" t="s">
        <v>441</v>
      </c>
      <c r="F6" s="1224" t="s">
        <v>145</v>
      </c>
      <c r="G6" s="1224" t="s">
        <v>569</v>
      </c>
      <c r="H6" s="1224" t="s">
        <v>570</v>
      </c>
      <c r="I6" s="1224" t="s">
        <v>570</v>
      </c>
      <c r="J6" s="1912"/>
      <c r="K6" s="1913"/>
      <c r="L6" s="1227"/>
      <c r="M6" s="1226" t="s">
        <v>576</v>
      </c>
    </row>
    <row r="7" spans="1:22" ht="13.5" customHeight="1">
      <c r="B7" s="1096"/>
      <c r="C7" s="1096"/>
      <c r="D7" s="1096"/>
      <c r="E7" s="1223" t="s">
        <v>97</v>
      </c>
      <c r="F7" s="1223" t="s">
        <v>146</v>
      </c>
      <c r="G7" s="1223" t="s">
        <v>206</v>
      </c>
      <c r="H7" s="1223" t="s">
        <v>571</v>
      </c>
      <c r="I7" s="1223" t="s">
        <v>573</v>
      </c>
      <c r="J7" s="1223" t="s">
        <v>118</v>
      </c>
      <c r="K7" s="1223" t="s">
        <v>574</v>
      </c>
      <c r="L7" s="1224"/>
      <c r="M7" s="1226" t="s">
        <v>577</v>
      </c>
    </row>
    <row r="8" spans="1:22" ht="13.5" customHeight="1" thickBot="1">
      <c r="B8" s="1151"/>
      <c r="C8" s="1151"/>
      <c r="D8" s="1151"/>
      <c r="E8" s="1228"/>
      <c r="F8" s="1228"/>
      <c r="G8" s="1229" t="str">
        <f>'KEY INPUTS'!D46</f>
        <v>Dec. 31, 2020</v>
      </c>
      <c r="H8" s="1228"/>
      <c r="I8" s="1228"/>
      <c r="J8" s="1230"/>
      <c r="K8" s="1231"/>
      <c r="L8" s="1232"/>
      <c r="M8" s="1233"/>
      <c r="P8" s="315"/>
      <c r="Q8" s="315"/>
      <c r="R8" s="315"/>
      <c r="S8" s="315"/>
      <c r="T8" s="315"/>
      <c r="U8" s="315"/>
      <c r="V8" s="315"/>
    </row>
    <row r="9" spans="1:22" ht="21" customHeight="1" thickTop="1">
      <c r="B9" s="530" t="s">
        <v>308</v>
      </c>
      <c r="C9" s="666"/>
      <c r="D9" s="667"/>
      <c r="E9" s="610"/>
      <c r="F9" s="1450"/>
      <c r="G9" s="610"/>
      <c r="H9" s="669"/>
      <c r="I9" s="612"/>
      <c r="J9" s="610"/>
      <c r="K9" s="610"/>
      <c r="L9" s="621"/>
      <c r="M9" s="670"/>
      <c r="P9" s="315"/>
      <c r="Q9" s="315"/>
      <c r="R9" s="315"/>
      <c r="S9" s="315"/>
      <c r="T9" s="315"/>
      <c r="U9" s="315"/>
      <c r="V9" s="315"/>
    </row>
    <row r="10" spans="1:22" ht="21" customHeight="1">
      <c r="B10" s="529" t="s">
        <v>309</v>
      </c>
      <c r="C10" s="671"/>
      <c r="D10" s="643"/>
      <c r="E10" s="593"/>
      <c r="F10" s="1451"/>
      <c r="G10" s="593"/>
      <c r="H10" s="593"/>
      <c r="I10" s="673"/>
      <c r="J10" s="674"/>
      <c r="K10" s="593"/>
      <c r="L10" s="623"/>
      <c r="M10" s="675"/>
      <c r="N10" s="391" t="s">
        <v>3190</v>
      </c>
      <c r="O10" s="391" t="s">
        <v>3190</v>
      </c>
      <c r="P10" s="370"/>
      <c r="Q10" s="315"/>
      <c r="R10" s="315"/>
      <c r="S10" s="315"/>
      <c r="T10" s="315"/>
      <c r="U10" s="315"/>
      <c r="V10" s="315"/>
    </row>
    <row r="11" spans="1:22" ht="21" customHeight="1">
      <c r="B11" s="529" t="s">
        <v>310</v>
      </c>
      <c r="C11" s="639"/>
      <c r="D11" s="643"/>
      <c r="E11" s="593"/>
      <c r="F11" s="1452"/>
      <c r="G11" s="593"/>
      <c r="H11" s="593"/>
      <c r="I11" s="615"/>
      <c r="J11" s="593"/>
      <c r="K11" s="593"/>
      <c r="L11" s="623"/>
      <c r="M11" s="675"/>
      <c r="P11" s="315"/>
      <c r="Q11" s="315"/>
      <c r="R11" s="315"/>
      <c r="S11" s="315"/>
      <c r="T11" s="315"/>
      <c r="U11" s="315"/>
      <c r="V11" s="315"/>
    </row>
    <row r="12" spans="1:22" ht="21" customHeight="1">
      <c r="B12" s="529" t="s">
        <v>311</v>
      </c>
      <c r="C12" s="639"/>
      <c r="D12" s="643"/>
      <c r="E12" s="593"/>
      <c r="F12" s="1452"/>
      <c r="G12" s="593"/>
      <c r="H12" s="593"/>
      <c r="I12" s="615"/>
      <c r="J12" s="593"/>
      <c r="K12" s="593"/>
      <c r="L12" s="623"/>
      <c r="M12" s="675"/>
      <c r="P12" s="315"/>
      <c r="Q12" s="315"/>
      <c r="R12" s="315"/>
      <c r="S12" s="315"/>
      <c r="T12" s="315"/>
      <c r="U12" s="315"/>
      <c r="V12" s="315"/>
    </row>
    <row r="13" spans="1:22" ht="21" customHeight="1">
      <c r="B13" s="529" t="s">
        <v>312</v>
      </c>
      <c r="C13" s="639"/>
      <c r="D13" s="643"/>
      <c r="E13" s="593"/>
      <c r="F13" s="1452"/>
      <c r="G13" s="593"/>
      <c r="H13" s="593"/>
      <c r="I13" s="615"/>
      <c r="J13" s="593"/>
      <c r="K13" s="593"/>
      <c r="L13" s="623"/>
      <c r="M13" s="675"/>
      <c r="P13" s="315"/>
      <c r="Q13" s="315"/>
      <c r="R13" s="315"/>
      <c r="S13" s="315"/>
      <c r="T13" s="315"/>
      <c r="U13" s="315"/>
      <c r="V13" s="315"/>
    </row>
    <row r="14" spans="1:22" ht="21" customHeight="1">
      <c r="B14" s="529" t="s">
        <v>313</v>
      </c>
      <c r="C14" s="639"/>
      <c r="D14" s="643"/>
      <c r="E14" s="596"/>
      <c r="F14" s="1453"/>
      <c r="G14" s="596"/>
      <c r="H14" s="596"/>
      <c r="I14" s="618"/>
      <c r="J14" s="593"/>
      <c r="K14" s="593"/>
      <c r="L14" s="623"/>
      <c r="M14" s="675"/>
      <c r="P14" s="315"/>
      <c r="Q14" s="315"/>
      <c r="R14" s="315"/>
      <c r="S14" s="315"/>
      <c r="T14" s="315"/>
      <c r="U14" s="315"/>
      <c r="V14" s="315"/>
    </row>
    <row r="15" spans="1:22" ht="21" customHeight="1">
      <c r="A15" s="1907" t="s">
        <v>3226</v>
      </c>
      <c r="B15" s="529" t="s">
        <v>314</v>
      </c>
      <c r="C15" s="678"/>
      <c r="D15" s="679"/>
      <c r="E15" s="593"/>
      <c r="F15" s="1452"/>
      <c r="G15" s="593"/>
      <c r="H15" s="593"/>
      <c r="I15" s="615"/>
      <c r="J15" s="593"/>
      <c r="K15" s="593"/>
      <c r="L15" s="623"/>
      <c r="M15" s="675"/>
      <c r="P15" s="315"/>
      <c r="Q15" s="315"/>
      <c r="R15" s="315"/>
      <c r="S15" s="315"/>
      <c r="T15" s="315"/>
      <c r="U15" s="315"/>
      <c r="V15" s="315"/>
    </row>
    <row r="16" spans="1:22" ht="21" customHeight="1">
      <c r="A16" s="1907"/>
      <c r="B16" s="529" t="s">
        <v>409</v>
      </c>
      <c r="C16" s="639"/>
      <c r="D16" s="643"/>
      <c r="E16" s="593"/>
      <c r="F16" s="1452"/>
      <c r="G16" s="593"/>
      <c r="H16" s="593"/>
      <c r="I16" s="615"/>
      <c r="J16" s="593"/>
      <c r="K16" s="593"/>
      <c r="L16" s="623"/>
      <c r="M16" s="675"/>
      <c r="P16" s="315"/>
      <c r="Q16" s="315"/>
      <c r="R16" s="315"/>
      <c r="S16" s="315"/>
      <c r="T16" s="315"/>
      <c r="U16" s="315"/>
      <c r="V16" s="315"/>
    </row>
    <row r="17" spans="1:22" ht="21" customHeight="1">
      <c r="A17" s="1907"/>
      <c r="B17" s="529" t="s">
        <v>410</v>
      </c>
      <c r="C17" s="639"/>
      <c r="D17" s="643"/>
      <c r="E17" s="593"/>
      <c r="F17" s="1452"/>
      <c r="G17" s="593"/>
      <c r="H17" s="593"/>
      <c r="I17" s="615"/>
      <c r="J17" s="593"/>
      <c r="K17" s="593"/>
      <c r="L17" s="623"/>
      <c r="M17" s="675"/>
      <c r="P17" s="315"/>
      <c r="Q17" s="315"/>
      <c r="R17" s="315"/>
      <c r="S17" s="315"/>
      <c r="T17" s="315"/>
      <c r="U17" s="315"/>
      <c r="V17" s="315"/>
    </row>
    <row r="18" spans="1:22" ht="21" customHeight="1">
      <c r="A18" s="528"/>
      <c r="B18" s="687" t="s">
        <v>834</v>
      </c>
      <c r="C18" s="681"/>
      <c r="D18" s="682"/>
      <c r="E18" s="680">
        <f>SUM(E9:E17)+'50-Utility5'!E18</f>
        <v>0</v>
      </c>
      <c r="F18" s="683"/>
      <c r="G18" s="680">
        <f>SUM(G9:G17)+'50-Utility5'!G18</f>
        <v>0</v>
      </c>
      <c r="H18" s="680"/>
      <c r="I18" s="684"/>
      <c r="J18" s="680">
        <f>SUM(J9:J17)+'50-Utility5'!J18</f>
        <v>0</v>
      </c>
      <c r="K18" s="680">
        <f>SUM(K9:K17)+'50-Utility5'!K18</f>
        <v>0</v>
      </c>
      <c r="L18" s="685"/>
      <c r="M18" s="686"/>
      <c r="P18" s="315"/>
      <c r="Q18" s="315"/>
      <c r="R18" s="315"/>
      <c r="S18" s="315"/>
      <c r="T18" s="315"/>
      <c r="U18" s="315"/>
      <c r="V18" s="315"/>
    </row>
    <row r="19" spans="1:22" ht="21" customHeight="1">
      <c r="A19" s="528"/>
      <c r="B19" s="1334"/>
      <c r="C19" s="1174"/>
      <c r="D19" s="1174"/>
      <c r="E19" s="1335"/>
      <c r="F19" s="1174"/>
      <c r="G19" s="1335"/>
      <c r="H19" s="1335"/>
      <c r="I19" s="1336"/>
      <c r="J19" s="1335"/>
      <c r="K19" s="1335"/>
      <c r="L19" s="1335"/>
      <c r="M19" s="1174"/>
      <c r="P19" s="315"/>
      <c r="Q19" s="315"/>
      <c r="R19" s="315"/>
      <c r="S19" s="315"/>
      <c r="T19" s="315"/>
      <c r="U19" s="315"/>
      <c r="V19" s="315"/>
    </row>
    <row r="20" spans="1:22" ht="21" customHeight="1">
      <c r="A20" s="528"/>
      <c r="B20" s="1334"/>
      <c r="C20" s="1174"/>
      <c r="D20" s="1174"/>
      <c r="E20" s="1335"/>
      <c r="F20" s="1174"/>
      <c r="G20" s="1335"/>
      <c r="H20" s="1335"/>
      <c r="I20" s="1336"/>
      <c r="J20" s="1335"/>
      <c r="K20" s="1335"/>
      <c r="L20" s="1335"/>
      <c r="M20" s="1174"/>
      <c r="P20" s="315"/>
      <c r="Q20" s="315"/>
      <c r="R20" s="315"/>
      <c r="S20" s="315"/>
      <c r="T20" s="315"/>
      <c r="U20" s="315"/>
      <c r="V20" s="315"/>
    </row>
    <row r="21" spans="1:22" ht="13.5" customHeight="1" thickBot="1">
      <c r="B21" s="1337"/>
      <c r="C21" s="1338"/>
      <c r="D21" s="1339"/>
      <c r="E21" s="1174"/>
      <c r="F21" s="1174"/>
      <c r="G21" s="1174"/>
      <c r="H21" s="1174"/>
      <c r="I21" s="1174"/>
      <c r="J21" s="1340"/>
      <c r="K21" s="1174"/>
      <c r="L21" s="1174"/>
      <c r="M21" s="1174"/>
      <c r="P21" s="315"/>
      <c r="Q21" s="315"/>
      <c r="R21" s="315"/>
      <c r="S21" s="315"/>
      <c r="T21" s="315"/>
      <c r="U21" s="315"/>
      <c r="V21" s="315"/>
    </row>
    <row r="22" spans="1:22" ht="14.4" thickTop="1" thickBot="1">
      <c r="B22" s="1202" t="s">
        <v>44</v>
      </c>
      <c r="C22" s="1101"/>
      <c r="D22" s="1341"/>
      <c r="E22" s="1101"/>
      <c r="F22" s="1096"/>
      <c r="G22" s="1096"/>
      <c r="H22" s="1096"/>
      <c r="I22" s="1904" t="str">
        <f>"INTEREST  ON  NOTES  -  "&amp;UPPER('KEY INPUTS'!D56)&amp;" UTILITY  BUDGET"</f>
        <v>INTEREST  ON  NOTES  -   UTILITY  BUDGET</v>
      </c>
      <c r="J22" s="1905"/>
      <c r="K22" s="1905"/>
      <c r="L22" s="1905"/>
      <c r="M22" s="1906"/>
      <c r="P22" s="315"/>
      <c r="Q22" s="315"/>
      <c r="R22" s="315"/>
      <c r="S22" s="315"/>
      <c r="T22" s="315"/>
      <c r="U22" s="315"/>
      <c r="V22" s="315"/>
    </row>
    <row r="23" spans="1:22" ht="15.6" customHeight="1">
      <c r="B23" s="1342" t="s">
        <v>45</v>
      </c>
      <c r="C23" s="1342"/>
      <c r="D23" s="1202" t="s">
        <v>46</v>
      </c>
      <c r="E23" s="1101"/>
      <c r="F23" s="1096"/>
      <c r="G23" s="1096"/>
      <c r="H23" s="1096"/>
      <c r="I23" s="1343" t="str">
        <f>TEXT('KEY INPUTS'!D34+1,"0")&amp;"  Interest on Notes"</f>
        <v>2021  Interest on Notes</v>
      </c>
      <c r="J23" s="1173"/>
      <c r="K23" s="1173"/>
      <c r="L23" s="519" t="s">
        <v>397</v>
      </c>
      <c r="M23" s="1216">
        <f>K18</f>
        <v>0</v>
      </c>
      <c r="P23" s="315"/>
      <c r="Q23" s="315"/>
      <c r="R23" s="315"/>
      <c r="S23" s="315"/>
      <c r="T23" s="315"/>
      <c r="U23" s="315"/>
      <c r="V23" s="315"/>
    </row>
    <row r="24" spans="1:22" ht="15.6" customHeight="1">
      <c r="B24" s="1202"/>
      <c r="C24" s="1202"/>
      <c r="D24" s="1342" t="s">
        <v>47</v>
      </c>
      <c r="E24" s="1101"/>
      <c r="F24" s="1096"/>
      <c r="G24" s="1096"/>
      <c r="H24" s="1096"/>
      <c r="I24" s="1397" t="str">
        <f>"Less: Interest Accrued to "&amp;TEXT('KEY INPUTS'!D29,"mm/dd/yyyy")&amp;" (Trial Balance)"</f>
        <v>Less: Interest Accrued to 12/31/2020 (Trial Balance)</v>
      </c>
      <c r="J24" s="681"/>
      <c r="K24" s="681"/>
      <c r="L24" s="517" t="s">
        <v>397</v>
      </c>
      <c r="M24" s="663"/>
      <c r="P24" s="315"/>
      <c r="Q24" s="315"/>
      <c r="R24" s="315"/>
      <c r="S24" s="315"/>
      <c r="T24" s="315"/>
      <c r="U24" s="315"/>
      <c r="V24" s="315"/>
    </row>
    <row r="25" spans="1:22" ht="15.6" customHeight="1">
      <c r="B25" s="1202"/>
      <c r="C25" s="1202"/>
      <c r="D25" s="1202" t="s">
        <v>48</v>
      </c>
      <c r="E25" s="1101"/>
      <c r="F25" s="1096"/>
      <c r="G25" s="1096"/>
      <c r="H25" s="1096"/>
      <c r="I25" s="1103"/>
      <c r="J25" s="681" t="s">
        <v>337</v>
      </c>
      <c r="K25" s="681"/>
      <c r="L25" s="517" t="s">
        <v>397</v>
      </c>
      <c r="M25" s="1217">
        <f>+M23-M24</f>
        <v>0</v>
      </c>
    </row>
    <row r="26" spans="1:22" ht="15.6" customHeight="1">
      <c r="B26" s="1202"/>
      <c r="C26" s="1202"/>
      <c r="D26" s="1202" t="str">
        <f>"All notes with an original date of issue of "&amp;'KEY INPUTS'!D33-3&amp;" or prior require one legally payable installment to be budgeted if it"</f>
        <v>All notes with an original date of issue of 2018 or prior require one legally payable installment to be budgeted if it</v>
      </c>
      <c r="E26" s="1101"/>
      <c r="F26" s="1096"/>
      <c r="G26" s="1096"/>
      <c r="H26" s="1096"/>
      <c r="I26" s="1397" t="str">
        <f>"Add: Interest to be Accrued as of "&amp;TEXT('KEY INPUTS'!D30,"mm/dd/yyyy")&amp;""</f>
        <v>Add: Interest to be Accrued as of 12/31/2021</v>
      </c>
      <c r="J26" s="681"/>
      <c r="K26" s="681"/>
      <c r="L26" s="517" t="s">
        <v>397</v>
      </c>
      <c r="M26" s="663"/>
    </row>
    <row r="27" spans="1:22" ht="15.6" customHeight="1" thickBot="1">
      <c r="B27" s="1202"/>
      <c r="C27" s="1202"/>
      <c r="D27" s="1202" t="str">
        <f>"is contemplated that such notes will be renewed in "&amp;TEXT('KEY INPUTS'!D34+1,"0")&amp;" or written intent of permanent financing submitted."</f>
        <v>is contemplated that such notes will be renewed in 2021 or written intent of permanent financing submitted.</v>
      </c>
      <c r="E27" s="1101"/>
      <c r="F27" s="1096"/>
      <c r="G27" s="1096"/>
      <c r="H27" s="1096"/>
      <c r="I27" s="1398" t="str">
        <f>"Required Appropriation - "&amp;TEXT('KEY INPUTS'!D34+1,"0")&amp;""</f>
        <v>Required Appropriation - 2021</v>
      </c>
      <c r="J27" s="1151"/>
      <c r="K27" s="1151"/>
      <c r="L27" s="515" t="s">
        <v>397</v>
      </c>
      <c r="M27" s="1218">
        <f>+M25+M26</f>
        <v>0</v>
      </c>
    </row>
    <row r="28" spans="1:22" ht="13.8" thickTop="1">
      <c r="B28" s="1202"/>
      <c r="C28" s="1202"/>
      <c r="D28" s="1202" t="s">
        <v>49</v>
      </c>
      <c r="E28" s="1101"/>
      <c r="F28" s="1096"/>
      <c r="G28" s="1096"/>
      <c r="H28" s="1096"/>
      <c r="I28" s="1096"/>
    </row>
    <row r="29" spans="1:22">
      <c r="B29" s="512"/>
      <c r="C29" s="512"/>
      <c r="D29" s="1342" t="s">
        <v>50</v>
      </c>
      <c r="E29" s="512"/>
    </row>
    <row r="30" spans="1:22">
      <c r="J30" s="1340" t="s">
        <v>103</v>
      </c>
      <c r="K30" s="1096"/>
      <c r="L30" s="1096"/>
      <c r="M30" s="1096"/>
    </row>
  </sheetData>
  <sheetProtection algorithmName="SHA-512" hashValue="qpRTP0ut0lHaTFbpojI1zH6TPLgoxRDWvuTkUsJ3T/R8Si95WseNQKmd7M7HS3vyAZpOtgugNVDwdSeiFeKD/Q==" saltValue="3XeV8ItcKMSrYrcvDwtRK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1">
    <tabColor theme="7" tint="0.39997558519241921"/>
  </sheetPr>
  <dimension ref="A2:T29"/>
  <sheetViews>
    <sheetView zoomScaleNormal="100" zoomScaleSheetLayoutView="80" workbookViewId="0"/>
  </sheetViews>
  <sheetFormatPr defaultColWidth="9.109375" defaultRowHeight="13.2"/>
  <cols>
    <col min="1" max="1" width="5.6640625" style="324" customWidth="1"/>
    <col min="2" max="3" width="4.88671875" style="324" customWidth="1"/>
    <col min="4" max="4" width="31.5546875" style="324" customWidth="1"/>
    <col min="5" max="12" width="15.6640625" style="324" customWidth="1"/>
    <col min="13" max="16384" width="9.109375" style="324"/>
  </cols>
  <sheetData>
    <row r="2" spans="1:20" ht="20.399999999999999">
      <c r="B2" s="1893" t="str">
        <f>"DEBT  SERVICE  SCHEDULE  FOR  "&amp;UPPER('KEY INPUTS'!D56) &amp;"  UTILITY  ASSESSMENT  NOTES"</f>
        <v>DEBT  SERVICE  SCHEDULE  FOR    UTILITY  ASSESSMENT  NOTES</v>
      </c>
      <c r="C2" s="1893"/>
      <c r="D2" s="1893"/>
      <c r="E2" s="1893"/>
      <c r="F2" s="1893"/>
      <c r="G2" s="1893"/>
      <c r="H2" s="1893"/>
      <c r="I2" s="1893"/>
      <c r="J2" s="1893"/>
      <c r="K2" s="1893"/>
      <c r="L2" s="1893"/>
    </row>
    <row r="3" spans="1:20" ht="21" thickBot="1">
      <c r="B3" s="1854"/>
      <c r="C3" s="1854"/>
      <c r="D3" s="1854"/>
      <c r="E3" s="1854"/>
      <c r="F3" s="1854"/>
      <c r="G3" s="1854"/>
      <c r="H3" s="1854"/>
      <c r="I3" s="1854"/>
      <c r="J3" s="1854"/>
      <c r="K3" s="1854"/>
      <c r="L3" s="1854"/>
    </row>
    <row r="4" spans="1:20" ht="13.5" customHeight="1" thickTop="1">
      <c r="B4" s="2002"/>
      <c r="C4" s="2002"/>
      <c r="D4" s="2003"/>
      <c r="E4" s="1413"/>
      <c r="F4" s="419"/>
      <c r="G4" s="419"/>
      <c r="H4" s="419"/>
      <c r="I4" s="419"/>
      <c r="J4" s="418"/>
      <c r="K4" s="418"/>
      <c r="L4" s="417"/>
    </row>
    <row r="5" spans="1:20" ht="13.5" customHeight="1">
      <c r="E5" s="415" t="s">
        <v>144</v>
      </c>
      <c r="F5" s="414" t="s">
        <v>144</v>
      </c>
      <c r="G5" s="414" t="s">
        <v>441</v>
      </c>
      <c r="H5" s="414" t="s">
        <v>18</v>
      </c>
      <c r="I5" s="414" t="s">
        <v>572</v>
      </c>
      <c r="J5" s="2004">
        <f>'KEY INPUTS'!D33</f>
        <v>2021</v>
      </c>
      <c r="K5" s="2005"/>
      <c r="L5" s="416" t="s">
        <v>573</v>
      </c>
    </row>
    <row r="6" spans="1:20" ht="13.5" customHeight="1">
      <c r="C6" s="1902" t="s">
        <v>143</v>
      </c>
      <c r="D6" s="1903"/>
      <c r="E6" s="415" t="s">
        <v>441</v>
      </c>
      <c r="F6" s="414" t="s">
        <v>145</v>
      </c>
      <c r="G6" s="414" t="s">
        <v>569</v>
      </c>
      <c r="H6" s="414" t="s">
        <v>570</v>
      </c>
      <c r="I6" s="414" t="s">
        <v>570</v>
      </c>
      <c r="J6" s="2006"/>
      <c r="K6" s="2007"/>
      <c r="L6" s="416" t="s">
        <v>576</v>
      </c>
    </row>
    <row r="7" spans="1:20" ht="13.5" customHeight="1">
      <c r="E7" s="415" t="s">
        <v>97</v>
      </c>
      <c r="F7" s="415" t="s">
        <v>146</v>
      </c>
      <c r="G7" s="415" t="s">
        <v>206</v>
      </c>
      <c r="H7" s="415" t="s">
        <v>571</v>
      </c>
      <c r="I7" s="415" t="s">
        <v>573</v>
      </c>
      <c r="J7" s="415" t="s">
        <v>118</v>
      </c>
      <c r="K7" s="415" t="s">
        <v>574</v>
      </c>
      <c r="L7" s="416" t="s">
        <v>577</v>
      </c>
      <c r="N7" s="315"/>
      <c r="O7" s="315"/>
      <c r="P7" s="315"/>
      <c r="Q7" s="315"/>
      <c r="R7" s="315"/>
      <c r="S7" s="315"/>
      <c r="T7" s="315"/>
    </row>
    <row r="8" spans="1:20" ht="13.5" customHeight="1" thickBot="1">
      <c r="B8" s="413"/>
      <c r="C8" s="413"/>
      <c r="D8" s="413"/>
      <c r="E8" s="411"/>
      <c r="F8" s="411"/>
      <c r="G8" s="787" t="str">
        <f>'KEY INPUTS'!D46</f>
        <v>Dec. 31, 2020</v>
      </c>
      <c r="H8" s="411"/>
      <c r="I8" s="411"/>
      <c r="J8" s="412"/>
      <c r="K8" s="539" t="s">
        <v>575</v>
      </c>
      <c r="L8" s="409"/>
      <c r="N8" s="315"/>
      <c r="O8" s="315"/>
      <c r="P8" s="315"/>
      <c r="Q8" s="315"/>
      <c r="R8" s="315"/>
      <c r="S8" s="315"/>
      <c r="T8" s="315"/>
    </row>
    <row r="9" spans="1:20" ht="21" customHeight="1" thickTop="1">
      <c r="B9" s="1920"/>
      <c r="C9" s="1920"/>
      <c r="D9" s="1921"/>
      <c r="E9" s="597"/>
      <c r="F9" s="788"/>
      <c r="G9" s="597"/>
      <c r="H9" s="597"/>
      <c r="I9" s="789"/>
      <c r="J9" s="597"/>
      <c r="K9" s="597"/>
      <c r="L9" s="790"/>
      <c r="N9" s="370"/>
      <c r="O9" s="315"/>
      <c r="P9" s="315"/>
      <c r="Q9" s="315"/>
      <c r="R9" s="315"/>
      <c r="S9" s="315"/>
      <c r="T9" s="315"/>
    </row>
    <row r="10" spans="1:20" ht="21" customHeight="1">
      <c r="B10" s="1914"/>
      <c r="C10" s="1914"/>
      <c r="D10" s="1915"/>
      <c r="E10" s="593"/>
      <c r="F10" s="676"/>
      <c r="G10" s="593"/>
      <c r="H10" s="593"/>
      <c r="I10" s="615"/>
      <c r="J10" s="593"/>
      <c r="K10" s="593"/>
      <c r="L10" s="690"/>
      <c r="N10" s="315"/>
      <c r="O10" s="315"/>
      <c r="P10" s="315"/>
      <c r="Q10" s="315"/>
      <c r="R10" s="315"/>
      <c r="S10" s="315"/>
      <c r="T10" s="315"/>
    </row>
    <row r="11" spans="1:20" ht="21" customHeight="1">
      <c r="B11" s="1914"/>
      <c r="C11" s="1914"/>
      <c r="D11" s="1915"/>
      <c r="E11" s="593"/>
      <c r="F11" s="676"/>
      <c r="G11" s="593"/>
      <c r="H11" s="593"/>
      <c r="I11" s="615"/>
      <c r="J11" s="593"/>
      <c r="K11" s="593"/>
      <c r="L11" s="690"/>
      <c r="N11" s="315"/>
      <c r="O11" s="315"/>
      <c r="P11" s="315"/>
      <c r="Q11" s="315"/>
      <c r="R11" s="315"/>
      <c r="S11" s="315"/>
      <c r="T11" s="315"/>
    </row>
    <row r="12" spans="1:20" ht="21" customHeight="1">
      <c r="B12" s="1914"/>
      <c r="C12" s="1914"/>
      <c r="D12" s="1915"/>
      <c r="E12" s="593"/>
      <c r="F12" s="676"/>
      <c r="G12" s="593"/>
      <c r="H12" s="593"/>
      <c r="I12" s="615"/>
      <c r="J12" s="593"/>
      <c r="K12" s="593"/>
      <c r="L12" s="690"/>
      <c r="N12" s="315"/>
      <c r="O12" s="315"/>
      <c r="P12" s="315"/>
      <c r="Q12" s="315"/>
      <c r="R12" s="315"/>
      <c r="S12" s="315"/>
      <c r="T12" s="315"/>
    </row>
    <row r="13" spans="1:20" ht="21" customHeight="1">
      <c r="B13" s="1914"/>
      <c r="C13" s="1914"/>
      <c r="D13" s="1915"/>
      <c r="E13" s="593"/>
      <c r="F13" s="676"/>
      <c r="G13" s="593"/>
      <c r="H13" s="593"/>
      <c r="I13" s="615"/>
      <c r="J13" s="593"/>
      <c r="K13" s="593"/>
      <c r="L13" s="690"/>
      <c r="N13" s="315"/>
      <c r="O13" s="315"/>
      <c r="P13" s="315"/>
      <c r="Q13" s="315"/>
      <c r="R13" s="315"/>
      <c r="S13" s="315"/>
      <c r="T13" s="315"/>
    </row>
    <row r="14" spans="1:20" ht="21" customHeight="1">
      <c r="B14" s="1914"/>
      <c r="C14" s="1914"/>
      <c r="D14" s="1915"/>
      <c r="E14" s="596"/>
      <c r="F14" s="677"/>
      <c r="G14" s="596"/>
      <c r="H14" s="596"/>
      <c r="I14" s="618"/>
      <c r="J14" s="593"/>
      <c r="K14" s="593"/>
      <c r="L14" s="690"/>
      <c r="N14" s="315"/>
      <c r="O14" s="315"/>
      <c r="P14" s="315"/>
      <c r="Q14" s="315"/>
      <c r="R14" s="315"/>
      <c r="S14" s="315"/>
      <c r="T14" s="315"/>
    </row>
    <row r="15" spans="1:20" ht="21" customHeight="1">
      <c r="A15" s="1830" t="s">
        <v>3227</v>
      </c>
      <c r="B15" s="1914"/>
      <c r="C15" s="1914"/>
      <c r="D15" s="1915"/>
      <c r="E15" s="593"/>
      <c r="F15" s="676"/>
      <c r="G15" s="593"/>
      <c r="H15" s="593"/>
      <c r="I15" s="615"/>
      <c r="J15" s="593"/>
      <c r="K15" s="593"/>
      <c r="L15" s="690"/>
      <c r="N15" s="315"/>
      <c r="O15" s="315"/>
      <c r="P15" s="315"/>
      <c r="Q15" s="315"/>
      <c r="R15" s="315"/>
      <c r="S15" s="315"/>
      <c r="T15" s="315"/>
    </row>
    <row r="16" spans="1:20" ht="21" customHeight="1">
      <c r="A16" s="1830"/>
      <c r="B16" s="1914"/>
      <c r="C16" s="1914"/>
      <c r="D16" s="1915"/>
      <c r="E16" s="593"/>
      <c r="F16" s="676"/>
      <c r="G16" s="593"/>
      <c r="H16" s="593"/>
      <c r="I16" s="615"/>
      <c r="J16" s="593"/>
      <c r="K16" s="593"/>
      <c r="L16" s="690"/>
      <c r="N16" s="315"/>
      <c r="O16" s="315"/>
      <c r="P16" s="315"/>
      <c r="Q16" s="315"/>
      <c r="R16" s="315"/>
      <c r="S16" s="315"/>
      <c r="T16" s="315"/>
    </row>
    <row r="17" spans="1:20" ht="21" customHeight="1">
      <c r="A17" s="1830"/>
      <c r="B17" s="1914"/>
      <c r="C17" s="1914"/>
      <c r="D17" s="1915"/>
      <c r="E17" s="593"/>
      <c r="F17" s="676"/>
      <c r="G17" s="593"/>
      <c r="H17" s="593"/>
      <c r="I17" s="615"/>
      <c r="J17" s="593"/>
      <c r="K17" s="593"/>
      <c r="L17" s="690"/>
      <c r="N17" s="315"/>
      <c r="O17" s="315"/>
      <c r="P17" s="315"/>
      <c r="Q17" s="315"/>
      <c r="R17" s="315"/>
      <c r="S17" s="315"/>
      <c r="T17" s="315"/>
    </row>
    <row r="18" spans="1:20" ht="21" customHeight="1">
      <c r="A18" s="538"/>
      <c r="B18" s="1914"/>
      <c r="C18" s="1914"/>
      <c r="D18" s="1915"/>
      <c r="E18" s="593"/>
      <c r="F18" s="676"/>
      <c r="G18" s="593"/>
      <c r="H18" s="593"/>
      <c r="I18" s="615"/>
      <c r="J18" s="593"/>
      <c r="K18" s="593"/>
      <c r="L18" s="690"/>
      <c r="N18" s="315"/>
      <c r="O18" s="315"/>
      <c r="P18" s="315"/>
      <c r="Q18" s="315"/>
      <c r="R18" s="315"/>
      <c r="S18" s="315"/>
      <c r="T18" s="315"/>
    </row>
    <row r="19" spans="1:20" ht="21" customHeight="1">
      <c r="B19" s="1914"/>
      <c r="C19" s="1914"/>
      <c r="D19" s="1915"/>
      <c r="E19" s="593"/>
      <c r="F19" s="676"/>
      <c r="G19" s="593"/>
      <c r="H19" s="593"/>
      <c r="I19" s="615"/>
      <c r="J19" s="593"/>
      <c r="K19" s="593"/>
      <c r="L19" s="690"/>
      <c r="N19" s="315"/>
      <c r="O19" s="315"/>
      <c r="P19" s="315"/>
      <c r="Q19" s="315"/>
      <c r="R19" s="315"/>
      <c r="S19" s="315"/>
      <c r="T19" s="315"/>
    </row>
    <row r="20" spans="1:20" ht="21" customHeight="1">
      <c r="B20" s="1914"/>
      <c r="C20" s="1914"/>
      <c r="D20" s="1915"/>
      <c r="E20" s="593"/>
      <c r="F20" s="676"/>
      <c r="G20" s="593"/>
      <c r="H20" s="593"/>
      <c r="I20" s="615"/>
      <c r="J20" s="593"/>
      <c r="K20" s="593"/>
      <c r="L20" s="690"/>
      <c r="N20" s="315"/>
      <c r="O20" s="315"/>
      <c r="P20" s="315"/>
      <c r="Q20" s="315"/>
      <c r="R20" s="315"/>
      <c r="S20" s="315"/>
      <c r="T20" s="315"/>
    </row>
    <row r="21" spans="1:20" ht="21" customHeight="1">
      <c r="B21" s="1914"/>
      <c r="C21" s="1914"/>
      <c r="D21" s="1915"/>
      <c r="E21" s="593"/>
      <c r="F21" s="676"/>
      <c r="G21" s="593"/>
      <c r="H21" s="593"/>
      <c r="I21" s="615"/>
      <c r="J21" s="593"/>
      <c r="K21" s="593"/>
      <c r="L21" s="690"/>
      <c r="N21" s="315"/>
      <c r="O21" s="315"/>
      <c r="P21" s="315"/>
      <c r="Q21" s="315"/>
      <c r="R21" s="315"/>
      <c r="S21" s="315"/>
      <c r="T21" s="315"/>
    </row>
    <row r="22" spans="1:20" ht="21" customHeight="1">
      <c r="B22" s="1914"/>
      <c r="C22" s="1914"/>
      <c r="D22" s="1915"/>
      <c r="E22" s="593"/>
      <c r="F22" s="676"/>
      <c r="G22" s="593"/>
      <c r="H22" s="593"/>
      <c r="I22" s="615"/>
      <c r="J22" s="593"/>
      <c r="K22" s="593"/>
      <c r="L22" s="690"/>
      <c r="N22" s="315"/>
      <c r="O22" s="315"/>
      <c r="P22" s="315"/>
      <c r="Q22" s="315"/>
      <c r="R22" s="315"/>
      <c r="S22" s="315"/>
      <c r="T22" s="315"/>
    </row>
    <row r="23" spans="1:20" ht="21" customHeight="1" thickBot="1">
      <c r="B23" s="1238"/>
      <c r="C23" s="1399"/>
      <c r="D23" s="1400"/>
      <c r="E23" s="1347">
        <f>SUM(E9:E22)</f>
        <v>0</v>
      </c>
      <c r="F23" s="1401"/>
      <c r="G23" s="1347">
        <f>SUM(G9:G22)</f>
        <v>0</v>
      </c>
      <c r="H23" s="1347"/>
      <c r="I23" s="1347"/>
      <c r="J23" s="1347">
        <f>SUM(J9:J22)</f>
        <v>0</v>
      </c>
      <c r="K23" s="1347">
        <f>SUM(K9:K22)</f>
        <v>0</v>
      </c>
      <c r="L23" s="1402"/>
      <c r="N23" s="315"/>
      <c r="O23" s="315"/>
      <c r="P23" s="315"/>
      <c r="Q23" s="315"/>
      <c r="R23" s="315"/>
      <c r="S23" s="315"/>
      <c r="T23" s="315"/>
    </row>
    <row r="24" spans="1:20" ht="13.5" customHeight="1" thickTop="1">
      <c r="B24" s="1348" t="s">
        <v>44</v>
      </c>
      <c r="C24" s="1349"/>
      <c r="D24" s="1350"/>
      <c r="E24" s="1128"/>
      <c r="F24" s="1128"/>
      <c r="G24" s="1128"/>
      <c r="H24" s="1128"/>
      <c r="I24" s="1128"/>
      <c r="J24" s="1351"/>
      <c r="K24" s="1351"/>
      <c r="L24" s="1128"/>
    </row>
    <row r="25" spans="1:20" ht="13.5" customHeight="1">
      <c r="B25" s="1348" t="s">
        <v>579</v>
      </c>
      <c r="C25" s="1349"/>
      <c r="D25" s="1350"/>
      <c r="E25" s="1128"/>
      <c r="F25" s="1128"/>
      <c r="G25" s="1128"/>
      <c r="H25" s="1128"/>
      <c r="I25" s="1128"/>
      <c r="J25" s="1128"/>
      <c r="K25" s="1128"/>
      <c r="L25" s="1128"/>
    </row>
    <row r="26" spans="1:20" ht="13.5" customHeight="1">
      <c r="B26" s="1348"/>
      <c r="C26" s="1349" t="str">
        <f>"Utility Assessment Notes with an original date of issue of December 31, "&amp;'KEY INPUTS'!D33-3&amp;" or prior must be appropriated in full in the "&amp;TEXT('KEY INPUTS'!D34+1,"0")&amp;" Dedicated Utility Assessment Budget or written intent of"</f>
        <v>Utility Assessment Notes with an original date of issue of December 31, 2018 or prior must be appropriated in full in the 2021 Dedicated Utility Assessment Budget or written intent of</v>
      </c>
      <c r="D26" s="1350"/>
      <c r="E26" s="1128"/>
      <c r="F26" s="1128"/>
      <c r="G26" s="1128"/>
      <c r="H26" s="1128"/>
      <c r="I26" s="1128"/>
      <c r="J26" s="1128"/>
      <c r="K26" s="1128"/>
      <c r="L26" s="1128"/>
    </row>
    <row r="27" spans="1:20" ht="13.5" customHeight="1">
      <c r="B27" s="1348"/>
      <c r="C27" s="1349"/>
      <c r="D27" s="1352" t="s">
        <v>532</v>
      </c>
      <c r="E27" s="1128"/>
      <c r="F27" s="1128"/>
      <c r="G27" s="1128"/>
      <c r="H27" s="1128"/>
      <c r="I27" s="1128"/>
      <c r="J27" s="1128"/>
      <c r="K27" s="1128"/>
      <c r="L27" s="1128"/>
    </row>
    <row r="28" spans="1:20" ht="13.5" customHeight="1">
      <c r="B28" s="1348"/>
      <c r="C28" s="1349" t="s">
        <v>318</v>
      </c>
      <c r="D28" s="1350"/>
      <c r="E28" s="1128"/>
      <c r="F28" s="1128"/>
      <c r="G28" s="1128"/>
      <c r="H28" s="1128"/>
      <c r="I28" s="1128"/>
      <c r="J28" s="1353"/>
      <c r="K28" s="1128"/>
      <c r="L28" s="1128"/>
    </row>
    <row r="29" spans="1:20">
      <c r="B29" s="534"/>
      <c r="C29" s="404"/>
      <c r="D29" s="404"/>
    </row>
  </sheetData>
  <sheetProtection algorithmName="SHA-512" hashValue="4IEc0BzQM56hus4Cro6OZJwA2aQ6U5kLxe9+poUF2FXVzV2BPTzUtykGQ0Ndn74ZJibxKFt2iCYCbiE48YnVmQ==" saltValue="5A9MVx2GU8L1sH0duERGvg==" spinCount="100000" sheet="1" objects="1" scenarios="1"/>
  <mergeCells count="20">
    <mergeCell ref="A15:A17"/>
    <mergeCell ref="B2:L2"/>
    <mergeCell ref="B3:L3"/>
    <mergeCell ref="B4:D4"/>
    <mergeCell ref="J5:K6"/>
    <mergeCell ref="C6:D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2">
    <tabColor theme="7" tint="0.39997558519241921"/>
  </sheetPr>
  <dimension ref="A2:R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5.88671875" style="324" customWidth="1"/>
    <col min="5" max="6" width="15.6640625" style="324" customWidth="1"/>
    <col min="7" max="9" width="30.6640625" style="324" customWidth="1"/>
    <col min="10" max="16384" width="9.109375" style="324"/>
  </cols>
  <sheetData>
    <row r="2" spans="1:18" ht="20.399999999999999">
      <c r="B2" s="1826" t="str">
        <f>"SCHEDULE  OF  CAPITAL  LEASE  PROGRAM  OBLIGATIONS "&amp;UPPER('KEY INPUTS'!D56)&amp;"  UTILITY"</f>
        <v>SCHEDULE  OF  CAPITAL  LEASE  PROGRAM  OBLIGATIONS   UTILITY</v>
      </c>
      <c r="C2" s="1826"/>
      <c r="D2" s="1826"/>
      <c r="E2" s="1826"/>
      <c r="F2" s="1826"/>
      <c r="G2" s="1826"/>
      <c r="H2" s="1826"/>
      <c r="I2" s="1826"/>
    </row>
    <row r="3" spans="1:18" ht="21" thickBot="1">
      <c r="B3" s="1916"/>
      <c r="C3" s="1916"/>
      <c r="D3" s="1916"/>
      <c r="E3" s="1916"/>
      <c r="F3" s="1916"/>
      <c r="G3" s="1916"/>
      <c r="H3" s="1916"/>
      <c r="I3" s="1916"/>
    </row>
    <row r="4" spans="1:18" ht="13.5" customHeight="1" thickTop="1">
      <c r="B4" s="1987"/>
      <c r="C4" s="1987"/>
      <c r="D4" s="1987"/>
      <c r="E4" s="1987"/>
      <c r="F4" s="1988"/>
      <c r="G4" s="1345"/>
      <c r="H4" s="1124"/>
      <c r="I4" s="1249"/>
    </row>
    <row r="5" spans="1:18" ht="13.5" customHeight="1">
      <c r="B5" s="1128"/>
      <c r="C5" s="1128"/>
      <c r="D5" s="1128"/>
      <c r="E5" s="1123"/>
      <c r="F5" s="1123"/>
      <c r="G5" s="1133" t="s">
        <v>441</v>
      </c>
      <c r="H5" s="1989" t="str">
        <f>'KEY INPUTS'!D34+1&amp;" Budget Requirements"</f>
        <v>2021 Budget Requirements</v>
      </c>
      <c r="I5" s="1990"/>
      <c r="J5" s="765"/>
    </row>
    <row r="6" spans="1:18" ht="13.5" customHeight="1">
      <c r="B6" s="1128"/>
      <c r="C6" s="1825" t="s">
        <v>440</v>
      </c>
      <c r="D6" s="1825"/>
      <c r="E6" s="1123"/>
      <c r="F6" s="1123"/>
      <c r="G6" s="1133" t="s">
        <v>457</v>
      </c>
      <c r="H6" s="1991"/>
      <c r="I6" s="1992"/>
      <c r="J6" s="765"/>
    </row>
    <row r="7" spans="1:18" ht="13.5" customHeight="1">
      <c r="B7" s="1128"/>
      <c r="C7" s="1128"/>
      <c r="D7" s="1128"/>
      <c r="E7" s="1123"/>
      <c r="F7" s="1253"/>
      <c r="G7" s="1254" t="str">
        <f>'KEY INPUTS'!D46</f>
        <v>Dec. 31, 2020</v>
      </c>
      <c r="H7" s="1129" t="s">
        <v>3229</v>
      </c>
      <c r="I7" s="1131" t="s">
        <v>458</v>
      </c>
      <c r="L7" s="315"/>
      <c r="M7" s="315"/>
      <c r="N7" s="315"/>
      <c r="O7" s="315"/>
      <c r="P7" s="315"/>
      <c r="Q7" s="315"/>
      <c r="R7" s="315"/>
    </row>
    <row r="8" spans="1:18" ht="13.5" customHeight="1" thickBot="1">
      <c r="B8" s="1135"/>
      <c r="C8" s="1135"/>
      <c r="D8" s="1135"/>
      <c r="E8" s="1135"/>
      <c r="F8" s="1255"/>
      <c r="G8" s="1256"/>
      <c r="H8" s="1137"/>
      <c r="I8" s="1257"/>
      <c r="L8" s="315"/>
      <c r="M8" s="315"/>
      <c r="N8" s="315"/>
      <c r="O8" s="315"/>
      <c r="P8" s="315"/>
      <c r="Q8" s="315"/>
      <c r="R8" s="315"/>
    </row>
    <row r="9" spans="1:18" ht="21" customHeight="1" thickTop="1">
      <c r="B9" s="1920"/>
      <c r="C9" s="1920"/>
      <c r="D9" s="1920"/>
      <c r="E9" s="1920"/>
      <c r="F9" s="1921"/>
      <c r="G9" s="792"/>
      <c r="H9" s="597"/>
      <c r="I9" s="793"/>
      <c r="L9" s="370"/>
      <c r="M9" s="315"/>
      <c r="N9" s="315"/>
      <c r="O9" s="315"/>
      <c r="P9" s="315"/>
      <c r="Q9" s="315"/>
      <c r="R9" s="315"/>
    </row>
    <row r="10" spans="1:18" ht="21" customHeight="1">
      <c r="B10" s="1914"/>
      <c r="C10" s="1914"/>
      <c r="D10" s="1914"/>
      <c r="E10" s="1914"/>
      <c r="F10" s="1915"/>
      <c r="G10" s="623"/>
      <c r="H10" s="593"/>
      <c r="I10" s="594"/>
      <c r="L10" s="315"/>
      <c r="M10" s="315"/>
      <c r="N10" s="315"/>
      <c r="O10" s="315"/>
      <c r="P10" s="315"/>
      <c r="Q10" s="315"/>
      <c r="R10" s="315"/>
    </row>
    <row r="11" spans="1:18" ht="21" customHeight="1">
      <c r="B11" s="1914"/>
      <c r="C11" s="1914"/>
      <c r="D11" s="1914"/>
      <c r="E11" s="1914"/>
      <c r="F11" s="1915"/>
      <c r="G11" s="623"/>
      <c r="H11" s="593"/>
      <c r="I11" s="594"/>
      <c r="L11" s="315"/>
      <c r="M11" s="315"/>
      <c r="N11" s="315"/>
      <c r="O11" s="315"/>
      <c r="P11" s="315"/>
      <c r="Q11" s="315"/>
      <c r="R11" s="315"/>
    </row>
    <row r="12" spans="1:18" ht="21" customHeight="1">
      <c r="B12" s="1914"/>
      <c r="C12" s="1914"/>
      <c r="D12" s="1914"/>
      <c r="E12" s="1914"/>
      <c r="F12" s="1915"/>
      <c r="G12" s="623"/>
      <c r="H12" s="593"/>
      <c r="I12" s="594"/>
      <c r="L12" s="315"/>
      <c r="M12" s="315"/>
      <c r="N12" s="315"/>
      <c r="O12" s="315"/>
      <c r="P12" s="315"/>
      <c r="Q12" s="315"/>
      <c r="R12" s="315"/>
    </row>
    <row r="13" spans="1:18" ht="21" customHeight="1">
      <c r="B13" s="1914"/>
      <c r="C13" s="1914"/>
      <c r="D13" s="1914"/>
      <c r="E13" s="1914"/>
      <c r="F13" s="1915"/>
      <c r="G13" s="623"/>
      <c r="H13" s="593"/>
      <c r="I13" s="594"/>
      <c r="L13" s="315"/>
      <c r="M13" s="315"/>
      <c r="N13" s="315"/>
      <c r="O13" s="315"/>
      <c r="P13" s="315"/>
      <c r="Q13" s="315"/>
      <c r="R13" s="315"/>
    </row>
    <row r="14" spans="1:18" ht="21" customHeight="1">
      <c r="B14" s="1914"/>
      <c r="C14" s="1914"/>
      <c r="D14" s="1914"/>
      <c r="E14" s="1914"/>
      <c r="F14" s="1915"/>
      <c r="G14" s="624"/>
      <c r="H14" s="593"/>
      <c r="I14" s="594"/>
      <c r="L14" s="315"/>
      <c r="M14" s="315"/>
      <c r="N14" s="315"/>
      <c r="O14" s="315"/>
      <c r="P14" s="315"/>
      <c r="Q14" s="315"/>
      <c r="R14" s="315"/>
    </row>
    <row r="15" spans="1:18" ht="21" customHeight="1">
      <c r="A15" s="1830" t="s">
        <v>3228</v>
      </c>
      <c r="B15" s="1914"/>
      <c r="C15" s="1914"/>
      <c r="D15" s="1914"/>
      <c r="E15" s="1914"/>
      <c r="F15" s="1915"/>
      <c r="G15" s="623"/>
      <c r="H15" s="593"/>
      <c r="I15" s="594"/>
      <c r="L15" s="315"/>
      <c r="M15" s="315"/>
      <c r="N15" s="315"/>
      <c r="O15" s="315"/>
      <c r="P15" s="315"/>
      <c r="Q15" s="315"/>
      <c r="R15" s="315"/>
    </row>
    <row r="16" spans="1:18" ht="21" customHeight="1">
      <c r="A16" s="1830"/>
      <c r="B16" s="1914"/>
      <c r="C16" s="1914"/>
      <c r="D16" s="1914"/>
      <c r="E16" s="1914"/>
      <c r="F16" s="1915"/>
      <c r="G16" s="623"/>
      <c r="H16" s="593"/>
      <c r="I16" s="594"/>
      <c r="L16" s="315"/>
      <c r="M16" s="315"/>
      <c r="N16" s="315"/>
      <c r="O16" s="315"/>
      <c r="P16" s="315"/>
      <c r="Q16" s="315"/>
      <c r="R16" s="315"/>
    </row>
    <row r="17" spans="1:18" ht="21" customHeight="1">
      <c r="A17" s="1830"/>
      <c r="B17" s="1914"/>
      <c r="C17" s="1914"/>
      <c r="D17" s="1914"/>
      <c r="E17" s="1914"/>
      <c r="F17" s="1915"/>
      <c r="G17" s="623"/>
      <c r="H17" s="593"/>
      <c r="I17" s="594"/>
      <c r="L17" s="315"/>
      <c r="M17" s="315"/>
      <c r="N17" s="315"/>
      <c r="O17" s="315"/>
      <c r="P17" s="315"/>
      <c r="Q17" s="315"/>
      <c r="R17" s="315"/>
    </row>
    <row r="18" spans="1:18" ht="21" customHeight="1">
      <c r="A18" s="538"/>
      <c r="B18" s="1914"/>
      <c r="C18" s="1914"/>
      <c r="D18" s="1914"/>
      <c r="E18" s="1914"/>
      <c r="F18" s="1915"/>
      <c r="G18" s="623"/>
      <c r="H18" s="593"/>
      <c r="I18" s="594"/>
      <c r="L18" s="315"/>
      <c r="M18" s="315"/>
      <c r="N18" s="315"/>
      <c r="O18" s="315"/>
      <c r="P18" s="315"/>
      <c r="Q18" s="315"/>
      <c r="R18" s="315"/>
    </row>
    <row r="19" spans="1:18" ht="21" customHeight="1">
      <c r="B19" s="1914"/>
      <c r="C19" s="1914"/>
      <c r="D19" s="1914"/>
      <c r="E19" s="1914"/>
      <c r="F19" s="1915"/>
      <c r="G19" s="623"/>
      <c r="H19" s="593"/>
      <c r="I19" s="594"/>
      <c r="L19" s="315"/>
      <c r="M19" s="315"/>
      <c r="N19" s="315"/>
      <c r="O19" s="315"/>
      <c r="P19" s="315"/>
      <c r="Q19" s="315"/>
      <c r="R19" s="315"/>
    </row>
    <row r="20" spans="1:18" ht="21" customHeight="1">
      <c r="B20" s="1914"/>
      <c r="C20" s="1914"/>
      <c r="D20" s="1914"/>
      <c r="E20" s="1914"/>
      <c r="F20" s="1915"/>
      <c r="G20" s="623"/>
      <c r="H20" s="593"/>
      <c r="I20" s="594"/>
      <c r="L20" s="315"/>
      <c r="M20" s="315"/>
      <c r="N20" s="315"/>
      <c r="O20" s="315"/>
      <c r="P20" s="315"/>
      <c r="Q20" s="315"/>
      <c r="R20" s="315"/>
    </row>
    <row r="21" spans="1:18" ht="21" customHeight="1">
      <c r="B21" s="1914"/>
      <c r="C21" s="1914"/>
      <c r="D21" s="1914"/>
      <c r="E21" s="1914"/>
      <c r="F21" s="1915"/>
      <c r="G21" s="623"/>
      <c r="H21" s="593"/>
      <c r="I21" s="594"/>
      <c r="L21" s="315"/>
      <c r="M21" s="315"/>
      <c r="N21" s="315"/>
      <c r="O21" s="315"/>
      <c r="P21" s="315"/>
      <c r="Q21" s="315"/>
      <c r="R21" s="315"/>
    </row>
    <row r="22" spans="1:18" ht="21" customHeight="1" thickBot="1">
      <c r="B22" s="1914"/>
      <c r="C22" s="1914"/>
      <c r="D22" s="1914"/>
      <c r="E22" s="1914"/>
      <c r="F22" s="1915"/>
      <c r="G22" s="625"/>
      <c r="H22" s="619"/>
      <c r="I22" s="626"/>
      <c r="L22" s="315"/>
      <c r="M22" s="315"/>
      <c r="N22" s="315"/>
      <c r="O22" s="315"/>
      <c r="P22" s="315"/>
      <c r="Q22" s="315"/>
      <c r="R22" s="315"/>
    </row>
    <row r="23" spans="1:18" ht="21" customHeight="1" thickTop="1" thickBot="1">
      <c r="B23" s="1238"/>
      <c r="C23" s="1144"/>
      <c r="D23" s="1355" t="s">
        <v>142</v>
      </c>
      <c r="E23" s="1044"/>
      <c r="F23" s="1255"/>
      <c r="G23" s="1356">
        <f>SUM(G9:G22)</f>
        <v>0</v>
      </c>
      <c r="H23" s="1065">
        <f>SUM(H9:H22)</f>
        <v>0</v>
      </c>
      <c r="I23" s="1143">
        <f>SUM(I9:I22)</f>
        <v>0</v>
      </c>
      <c r="L23" s="315"/>
      <c r="M23" s="315"/>
      <c r="N23" s="315"/>
      <c r="O23" s="315"/>
      <c r="P23" s="315"/>
      <c r="Q23" s="315"/>
      <c r="R23" s="315"/>
    </row>
    <row r="24" spans="1:18" ht="13.5" customHeight="1" thickTop="1">
      <c r="B24" s="794"/>
      <c r="C24" s="404"/>
      <c r="D24" s="795"/>
      <c r="H24" s="497"/>
      <c r="I24" s="497"/>
    </row>
    <row r="25" spans="1:18" ht="13.5" customHeight="1">
      <c r="B25" s="794"/>
      <c r="C25" s="404"/>
      <c r="D25" s="795"/>
    </row>
    <row r="26" spans="1:18" ht="13.5" customHeight="1">
      <c r="B26" s="794"/>
      <c r="C26" s="404"/>
      <c r="D26" s="795"/>
      <c r="H26" s="791"/>
    </row>
    <row r="27" spans="1:18">
      <c r="B27" s="534"/>
      <c r="C27" s="404"/>
      <c r="D27" s="404"/>
    </row>
  </sheetData>
  <sheetProtection algorithmName="SHA-512" hashValue="hjJz/HPTxxm8IowYodmgbeoj6/3vNVo+q6viW0UIxMo38Onhw07J2E86F0wOeqs6wjG/k93EB2zVI7kv5JZgKQ==" saltValue="/39auJkSAY5JBIyLRSb0nQ=="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3">
    <tabColor theme="7"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INPUTS'!D56)&amp;"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692"/>
      <c r="C9" s="664"/>
      <c r="D9" s="667"/>
      <c r="E9" s="610"/>
      <c r="F9" s="610"/>
      <c r="G9" s="610"/>
      <c r="H9" s="610"/>
      <c r="I9" s="610"/>
      <c r="J9" s="610"/>
      <c r="K9" s="610"/>
      <c r="L9" s="622"/>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3230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AuLIV8wdsOCCwg96bh0g47BGCRuD4qwn8bPuJPRCwLxbm/NW/VKhWs2NCAfSBhkg2xnR4tbBY5ro+3M1wRCV2w==" saltValue="fUSMZPOk8CHhOWoLTAOjw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4">
    <tabColor theme="7"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INPUTS'!D56)&amp;"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415">
        <f>+'52-Utility5'!E27</f>
        <v>0</v>
      </c>
      <c r="F9" s="1415">
        <f>+'52-Utility5'!F27</f>
        <v>0</v>
      </c>
      <c r="G9" s="1415">
        <f>+'52-Utility5'!G27</f>
        <v>0</v>
      </c>
      <c r="H9" s="1415">
        <f>+'52-Utility5'!H27</f>
        <v>0</v>
      </c>
      <c r="I9" s="1415">
        <f>+'52-Utility5'!I27</f>
        <v>0</v>
      </c>
      <c r="J9" s="1415">
        <f>+'52-Utility5'!J27</f>
        <v>0</v>
      </c>
      <c r="K9" s="1415">
        <f>+'52-Utility5'!K27</f>
        <v>0</v>
      </c>
      <c r="L9" s="1416">
        <f>+'52-Utility5'!L27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Zb2akjOV1gYQo3Dut36gl10eBziljMR65qDe/RWTPGNMRTqPRI/wyQIV4BsD5xgFRlGiPisF4F7Dgi7Qh7wFIQ==" saltValue="Mpd9K99zgoEh0uXkSXx9z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5">
    <tabColor theme="7"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INPUTS'!D56)&amp;"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415">
        <f>+'52.1-Utility5'!E27</f>
        <v>0</v>
      </c>
      <c r="F9" s="1415">
        <f>+'52.1-Utility5'!F27</f>
        <v>0</v>
      </c>
      <c r="G9" s="1415">
        <f>+'52.1-Utility5'!G27</f>
        <v>0</v>
      </c>
      <c r="H9" s="1415">
        <f>+'52.1-Utility5'!H27</f>
        <v>0</v>
      </c>
      <c r="I9" s="1415">
        <f>+'52.1-Utility5'!I27</f>
        <v>0</v>
      </c>
      <c r="J9" s="1415">
        <f>+'52.1-Utility5'!J27</f>
        <v>0</v>
      </c>
      <c r="K9" s="1415">
        <f>+'52.1-Utility5'!K27</f>
        <v>0</v>
      </c>
      <c r="L9" s="1416">
        <f>+'52.1-Utility5'!L27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3421</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D1VAjPmMiP0ZbsM1quyQYnXBMarH635NKVFy95LAHaGKAqofYZdxYe0HrubZrFOUQI96WIj81EW5QcniRlJ6AA==" saltValue="Wf4rV3N7BSq+N6TZbi6k6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6">
    <tabColor theme="7"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INPUTS'!D56)&amp;"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415">
        <f>+'52.2-Utility5'!E27</f>
        <v>0</v>
      </c>
      <c r="F9" s="1415">
        <f>+'52.2-Utility5'!F27</f>
        <v>0</v>
      </c>
      <c r="G9" s="1415">
        <f>+'52.2-Utility5'!G27</f>
        <v>0</v>
      </c>
      <c r="H9" s="1415">
        <f>+'52.2-Utility5'!H27</f>
        <v>0</v>
      </c>
      <c r="I9" s="1415">
        <f>+'52.2-Utility5'!I27</f>
        <v>0</v>
      </c>
      <c r="J9" s="1415">
        <f>+'52.2-Utility5'!J27</f>
        <v>0</v>
      </c>
      <c r="K9" s="1415">
        <f>+'52.2-Utility5'!K27</f>
        <v>0</v>
      </c>
      <c r="L9" s="1416">
        <f>+'52.2-Utility5'!L27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3422</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3424</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uc66j3wH2D+Lv1anxVzNv0QzjJjqtFVTTVR8FygfCr6X8w8VxLPjJ2ag9J2MOyxA5CeOSGgAGpUBx6UjSIllcQ==" saltValue="UV/mmV/paY0BZcjKOUhYdg=="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7">
    <tabColor theme="7" tint="0.39997558519241921"/>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INPUTS'!D56)&amp;"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18"/>
      <c r="C4" s="1918"/>
      <c r="D4" s="1919"/>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258"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415">
        <f>+'52.3-Utility5'!E27</f>
        <v>0</v>
      </c>
      <c r="F9" s="1415">
        <f>+'52.3-Utility5'!F27</f>
        <v>0</v>
      </c>
      <c r="G9" s="1415">
        <f>+'52.3-Utility5'!G27</f>
        <v>0</v>
      </c>
      <c r="H9" s="1415">
        <f>+'52.3-Utility5'!H27</f>
        <v>0</v>
      </c>
      <c r="I9" s="1415">
        <f>+'52.3-Utility5'!I27</f>
        <v>0</v>
      </c>
      <c r="J9" s="1415">
        <f>+'52.3-Utility5'!J27</f>
        <v>0</v>
      </c>
      <c r="K9" s="1415">
        <f>+'52.3-Utility5'!K27</f>
        <v>0</v>
      </c>
      <c r="L9" s="1416">
        <f>+'52.3-Utility5'!L27</f>
        <v>0</v>
      </c>
      <c r="O9" s="315"/>
      <c r="P9" s="315"/>
      <c r="Q9" s="315"/>
      <c r="R9" s="315"/>
      <c r="S9" s="315"/>
      <c r="T9" s="315"/>
      <c r="U9" s="315"/>
    </row>
    <row r="10" spans="2:21" ht="21" customHeight="1">
      <c r="B10" s="693"/>
      <c r="C10" s="694"/>
      <c r="D10" s="643"/>
      <c r="E10" s="593"/>
      <c r="F10" s="593"/>
      <c r="G10" s="593"/>
      <c r="H10" s="593"/>
      <c r="I10" s="568"/>
      <c r="J10" s="593"/>
      <c r="K10" s="594"/>
      <c r="L10" s="594"/>
      <c r="O10" s="370"/>
      <c r="P10" s="315"/>
      <c r="Q10" s="315"/>
      <c r="R10" s="315"/>
      <c r="S10" s="315"/>
      <c r="T10" s="315"/>
      <c r="U10" s="315"/>
    </row>
    <row r="11" spans="2:21" ht="21" customHeight="1">
      <c r="B11" s="695"/>
      <c r="C11" s="694"/>
      <c r="D11" s="643"/>
      <c r="E11" s="593"/>
      <c r="F11" s="593"/>
      <c r="G11" s="593"/>
      <c r="H11" s="593"/>
      <c r="I11" s="593"/>
      <c r="J11" s="593"/>
      <c r="K11" s="594"/>
      <c r="L11" s="594"/>
      <c r="O11" s="315"/>
      <c r="P11" s="315"/>
      <c r="Q11" s="315"/>
      <c r="R11" s="315"/>
      <c r="S11" s="315"/>
      <c r="T11" s="315"/>
      <c r="U11" s="315"/>
    </row>
    <row r="12" spans="2:21" ht="21" customHeight="1">
      <c r="B12" s="695"/>
      <c r="C12" s="694"/>
      <c r="D12" s="643"/>
      <c r="E12" s="593"/>
      <c r="F12" s="593"/>
      <c r="G12" s="593"/>
      <c r="H12" s="593"/>
      <c r="I12" s="367"/>
      <c r="J12" s="593"/>
      <c r="K12" s="594"/>
      <c r="L12" s="594"/>
      <c r="O12" s="315"/>
      <c r="P12" s="315"/>
      <c r="Q12" s="315"/>
      <c r="R12" s="315"/>
      <c r="S12" s="315"/>
      <c r="T12" s="315"/>
      <c r="U12" s="315"/>
    </row>
    <row r="13" spans="2:21" ht="21" customHeight="1">
      <c r="B13" s="695"/>
      <c r="C13" s="694"/>
      <c r="D13" s="643"/>
      <c r="E13" s="593"/>
      <c r="F13" s="593"/>
      <c r="G13" s="593"/>
      <c r="H13" s="593"/>
      <c r="I13" s="568"/>
      <c r="J13" s="593"/>
      <c r="K13" s="594"/>
      <c r="L13" s="691"/>
      <c r="O13" s="315"/>
      <c r="P13" s="315"/>
      <c r="Q13" s="315"/>
      <c r="R13" s="315"/>
      <c r="S13" s="315"/>
      <c r="T13" s="315"/>
      <c r="U13" s="315"/>
    </row>
    <row r="14" spans="2:21" ht="21" customHeight="1">
      <c r="B14" s="693"/>
      <c r="C14" s="694"/>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3425</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3426</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358"/>
      <c r="C28" s="1359" t="s">
        <v>551</v>
      </c>
      <c r="D28" s="1360"/>
      <c r="E28" s="1244"/>
      <c r="F28" s="1244"/>
      <c r="G28" s="1244"/>
      <c r="H28" s="1244"/>
      <c r="I28" s="1244"/>
      <c r="J28" s="1244"/>
      <c r="K28" s="1245"/>
      <c r="L28" s="1245"/>
    </row>
    <row r="42" spans="11:12">
      <c r="K42" s="324" t="s">
        <v>3272</v>
      </c>
      <c r="L42" s="546">
        <f>K27+L27</f>
        <v>0</v>
      </c>
    </row>
  </sheetData>
  <sheetProtection algorithmName="SHA-512" hashValue="T3HejEaSDvDuOwywcqoYpafUmSPq7jx12dxtLXa9Yar3f3bnxHV04KDLrdjU3wPB+TNhfZsqTOJygEQlD6WGBg==" saltValue="96boL6V9MUlOQEpRRgn/n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8">
    <tabColor theme="7" tint="0.39997558519241921"/>
  </sheetPr>
  <dimension ref="B3:S54"/>
  <sheetViews>
    <sheetView zoomScaleNormal="100" zoomScaleSheetLayoutView="80" workbookViewId="0">
      <selection activeCell="B1" sqref="B1"/>
    </sheetView>
  </sheetViews>
  <sheetFormatPr defaultColWidth="9.109375" defaultRowHeight="13.2"/>
  <cols>
    <col min="1" max="3" width="4.6640625" style="324" customWidth="1"/>
    <col min="4" max="4" width="4.5546875" style="324" customWidth="1"/>
    <col min="5" max="6" width="9.109375" style="324"/>
    <col min="7" max="7" width="14.44140625" style="324" customWidth="1"/>
    <col min="8" max="8" width="15" style="324" customWidth="1"/>
    <col min="9" max="10" width="16.6640625" style="324" customWidth="1"/>
    <col min="11" max="16384" width="9.109375" style="324"/>
  </cols>
  <sheetData>
    <row r="3" spans="2:19" ht="22.8">
      <c r="B3" s="1804" t="str">
        <f>UPPER('KEY INPUTS'!D$56)&amp;" UTILITY  CAPITAL  FUND"</f>
        <v xml:space="preserve"> UTILITY  CAPITAL  FUND</v>
      </c>
      <c r="C3" s="1804"/>
      <c r="D3" s="1804"/>
      <c r="E3" s="1804"/>
      <c r="F3" s="1804"/>
      <c r="G3" s="1804"/>
      <c r="H3" s="1804"/>
      <c r="I3" s="1804"/>
      <c r="J3" s="1804"/>
    </row>
    <row r="4" spans="2:19">
      <c r="B4" s="1128"/>
      <c r="C4" s="1128"/>
      <c r="D4" s="1128"/>
      <c r="E4" s="1128"/>
      <c r="F4" s="1128"/>
      <c r="G4" s="1128"/>
      <c r="H4" s="1128"/>
      <c r="I4" s="1128"/>
      <c r="J4" s="1128"/>
    </row>
    <row r="5" spans="2:19" ht="15.6">
      <c r="B5" s="1821" t="s">
        <v>555</v>
      </c>
      <c r="C5" s="1821"/>
      <c r="D5" s="1821"/>
      <c r="E5" s="1821"/>
      <c r="F5" s="1821"/>
      <c r="G5" s="1821"/>
      <c r="H5" s="1821"/>
      <c r="I5" s="1821"/>
      <c r="J5" s="1821"/>
    </row>
    <row r="6" spans="2:19" ht="13.8" thickBot="1">
      <c r="B6" s="1128"/>
      <c r="C6" s="1128"/>
      <c r="D6" s="1128"/>
      <c r="E6" s="1128"/>
      <c r="F6" s="1128"/>
      <c r="G6" s="1128"/>
      <c r="H6" s="1128"/>
      <c r="I6" s="1128"/>
      <c r="J6" s="1128"/>
    </row>
    <row r="7" spans="2:19" ht="28.5" customHeight="1" thickTop="1" thickBot="1">
      <c r="B7" s="1370"/>
      <c r="C7" s="1370"/>
      <c r="D7" s="1370"/>
      <c r="E7" s="1370"/>
      <c r="F7" s="1370"/>
      <c r="G7" s="1370"/>
      <c r="H7" s="1370"/>
      <c r="I7" s="1116" t="s">
        <v>101</v>
      </c>
      <c r="J7" s="1117" t="s">
        <v>102</v>
      </c>
    </row>
    <row r="8" spans="2:19" ht="21" customHeight="1" thickTop="1">
      <c r="B8" s="1140" t="str">
        <f>'KEY INPUTS'!D25</f>
        <v>Balance - January 1, 2020</v>
      </c>
      <c r="C8" s="1140"/>
      <c r="D8" s="1140"/>
      <c r="E8" s="1140"/>
      <c r="F8" s="1140"/>
      <c r="G8" s="1140"/>
      <c r="H8" s="1382"/>
      <c r="I8" s="1070" t="s">
        <v>662</v>
      </c>
      <c r="J8" s="630"/>
    </row>
    <row r="9" spans="2:19" ht="21" customHeight="1">
      <c r="B9" s="1121" t="str">
        <f>"Received from "&amp;'KEY INPUTS'!D34&amp;" Budget Appropriation"</f>
        <v>Received from 2020 Budget Appropriation</v>
      </c>
      <c r="C9" s="1121"/>
      <c r="D9" s="1121"/>
      <c r="E9" s="1121"/>
      <c r="F9" s="1121"/>
      <c r="G9" s="1121"/>
      <c r="H9" s="1383"/>
      <c r="I9" s="963" t="s">
        <v>662</v>
      </c>
      <c r="J9" s="601"/>
      <c r="M9" s="315"/>
      <c r="N9" s="315"/>
      <c r="O9" s="315"/>
      <c r="P9" s="315"/>
      <c r="Q9" s="315"/>
      <c r="R9" s="315"/>
      <c r="S9" s="315"/>
    </row>
    <row r="10" spans="2:19" ht="21" customHeight="1">
      <c r="B10" s="639"/>
      <c r="C10" s="639"/>
      <c r="D10" s="639"/>
      <c r="E10" s="639"/>
      <c r="F10" s="639"/>
      <c r="G10" s="639"/>
      <c r="H10" s="639"/>
      <c r="I10" s="963" t="s">
        <v>662</v>
      </c>
      <c r="J10" s="601"/>
      <c r="M10" s="315"/>
      <c r="N10" s="315"/>
      <c r="O10" s="315"/>
      <c r="P10" s="315"/>
      <c r="Q10" s="315"/>
      <c r="R10" s="315"/>
      <c r="S10" s="315"/>
    </row>
    <row r="11" spans="2:19" ht="11.25" customHeight="1">
      <c r="B11" s="1384" t="s">
        <v>183</v>
      </c>
      <c r="C11" s="1385"/>
      <c r="D11" s="1385"/>
      <c r="E11" s="1385"/>
      <c r="F11" s="1385"/>
      <c r="G11" s="1385"/>
      <c r="H11" s="1386"/>
      <c r="I11" s="1950" t="s">
        <v>662</v>
      </c>
      <c r="J11" s="1948"/>
      <c r="M11" s="370"/>
      <c r="N11" s="315"/>
      <c r="O11" s="315"/>
      <c r="P11" s="315"/>
      <c r="Q11" s="315"/>
      <c r="R11" s="315"/>
      <c r="S11" s="315"/>
    </row>
    <row r="12" spans="2:19" ht="12.75" customHeight="1">
      <c r="B12" s="1373"/>
      <c r="C12" s="1387" t="s">
        <v>184</v>
      </c>
      <c r="D12" s="1373"/>
      <c r="E12" s="1373"/>
      <c r="F12" s="1373"/>
      <c r="G12" s="1373"/>
      <c r="H12" s="1388"/>
      <c r="I12" s="1951"/>
      <c r="J12" s="1949"/>
      <c r="M12" s="315"/>
      <c r="N12" s="315"/>
      <c r="O12" s="315"/>
      <c r="P12" s="315"/>
      <c r="Q12" s="315"/>
      <c r="R12" s="315"/>
      <c r="S12" s="315"/>
    </row>
    <row r="13" spans="2:19" ht="21" customHeight="1">
      <c r="B13" s="659"/>
      <c r="C13" s="1264"/>
      <c r="D13" s="659"/>
      <c r="E13" s="659"/>
      <c r="F13" s="659"/>
      <c r="G13" s="659"/>
      <c r="H13" s="659"/>
      <c r="I13" s="674"/>
      <c r="J13" s="369"/>
      <c r="M13" s="315"/>
      <c r="N13" s="315"/>
      <c r="O13" s="315"/>
      <c r="P13" s="315"/>
      <c r="Q13" s="315"/>
      <c r="R13" s="315"/>
      <c r="S13" s="315"/>
    </row>
    <row r="14" spans="2:19" ht="21" customHeight="1">
      <c r="B14" s="1121" t="s">
        <v>185</v>
      </c>
      <c r="C14" s="1121"/>
      <c r="D14" s="1121"/>
      <c r="E14" s="1121"/>
      <c r="F14" s="1121"/>
      <c r="G14" s="1121"/>
      <c r="H14" s="1121"/>
      <c r="I14" s="963" t="s">
        <v>662</v>
      </c>
      <c r="J14" s="967" t="s">
        <v>662</v>
      </c>
      <c r="M14" s="315"/>
      <c r="N14" s="315"/>
      <c r="O14" s="315"/>
      <c r="P14" s="315"/>
      <c r="Q14" s="315"/>
      <c r="R14" s="315"/>
      <c r="S14" s="315"/>
    </row>
    <row r="15" spans="2:19" ht="21" customHeight="1">
      <c r="B15" s="639"/>
      <c r="C15" s="639"/>
      <c r="D15" s="639"/>
      <c r="E15" s="639"/>
      <c r="F15" s="639"/>
      <c r="G15" s="639"/>
      <c r="H15" s="639"/>
      <c r="I15" s="593"/>
      <c r="J15" s="967" t="s">
        <v>662</v>
      </c>
      <c r="M15" s="315"/>
      <c r="N15" s="315"/>
      <c r="O15" s="315"/>
      <c r="P15" s="315"/>
      <c r="Q15" s="315"/>
      <c r="R15" s="315"/>
      <c r="S15" s="315"/>
    </row>
    <row r="16" spans="2:19" ht="21" customHeight="1">
      <c r="B16" s="639"/>
      <c r="C16" s="639"/>
      <c r="D16" s="639"/>
      <c r="E16" s="639"/>
      <c r="F16" s="639"/>
      <c r="G16" s="639"/>
      <c r="H16" s="639"/>
      <c r="I16" s="593"/>
      <c r="J16" s="967" t="s">
        <v>662</v>
      </c>
      <c r="M16" s="315"/>
      <c r="N16" s="315"/>
      <c r="O16" s="315"/>
      <c r="P16" s="315"/>
      <c r="Q16" s="315"/>
      <c r="R16" s="315"/>
      <c r="S16" s="315"/>
    </row>
    <row r="17" spans="2:19" ht="21" customHeight="1">
      <c r="B17" s="639"/>
      <c r="C17" s="639"/>
      <c r="D17" s="639"/>
      <c r="E17" s="639"/>
      <c r="F17" s="639"/>
      <c r="G17" s="639"/>
      <c r="H17" s="639"/>
      <c r="I17" s="593"/>
      <c r="J17" s="967" t="s">
        <v>662</v>
      </c>
      <c r="M17" s="315"/>
      <c r="N17" s="315"/>
      <c r="O17" s="315"/>
      <c r="P17" s="315"/>
      <c r="Q17" s="315"/>
      <c r="R17" s="315"/>
      <c r="S17" s="315"/>
    </row>
    <row r="18" spans="2:19" ht="21" customHeight="1">
      <c r="B18" s="639"/>
      <c r="C18" s="639"/>
      <c r="D18" s="639"/>
      <c r="E18" s="639"/>
      <c r="F18" s="639"/>
      <c r="G18" s="639"/>
      <c r="H18" s="639"/>
      <c r="I18" s="593"/>
      <c r="J18" s="967" t="s">
        <v>662</v>
      </c>
      <c r="M18" s="315"/>
      <c r="N18" s="315"/>
      <c r="O18" s="315"/>
      <c r="P18" s="315"/>
      <c r="Q18" s="315"/>
      <c r="R18" s="315"/>
      <c r="S18" s="315"/>
    </row>
    <row r="19" spans="2:19" ht="21" customHeight="1">
      <c r="B19" s="639"/>
      <c r="C19" s="639"/>
      <c r="D19" s="639"/>
      <c r="E19" s="639"/>
      <c r="F19" s="639"/>
      <c r="G19" s="639"/>
      <c r="H19" s="639"/>
      <c r="I19" s="593"/>
      <c r="J19" s="967" t="s">
        <v>662</v>
      </c>
      <c r="M19" s="315"/>
      <c r="N19" s="315"/>
      <c r="O19" s="315"/>
      <c r="P19" s="315"/>
      <c r="Q19" s="315"/>
      <c r="R19" s="315"/>
      <c r="S19" s="315"/>
    </row>
    <row r="20" spans="2:19" ht="21" customHeight="1">
      <c r="B20" s="639"/>
      <c r="C20" s="639"/>
      <c r="D20" s="639"/>
      <c r="E20" s="639"/>
      <c r="F20" s="639"/>
      <c r="G20" s="639"/>
      <c r="H20" s="639"/>
      <c r="I20" s="593"/>
      <c r="J20" s="967" t="s">
        <v>662</v>
      </c>
      <c r="M20" s="315"/>
      <c r="N20" s="315"/>
      <c r="O20" s="315"/>
      <c r="P20" s="315"/>
      <c r="Q20" s="315"/>
      <c r="R20" s="315"/>
      <c r="S20" s="315"/>
    </row>
    <row r="21" spans="2:19" ht="21" customHeight="1">
      <c r="B21" s="639"/>
      <c r="C21" s="639"/>
      <c r="D21" s="639"/>
      <c r="E21" s="639"/>
      <c r="F21" s="639"/>
      <c r="G21" s="639"/>
      <c r="H21" s="639"/>
      <c r="I21" s="593"/>
      <c r="J21" s="967" t="s">
        <v>662</v>
      </c>
      <c r="M21" s="315"/>
      <c r="N21" s="315"/>
      <c r="O21" s="315"/>
      <c r="P21" s="315"/>
      <c r="Q21" s="315"/>
      <c r="R21" s="315"/>
      <c r="S21" s="315"/>
    </row>
    <row r="22" spans="2:19" ht="21" customHeight="1">
      <c r="B22" s="1121" t="s">
        <v>186</v>
      </c>
      <c r="C22" s="1121"/>
      <c r="D22" s="1121"/>
      <c r="E22" s="1121"/>
      <c r="F22" s="1121"/>
      <c r="G22" s="1121"/>
      <c r="H22" s="1383"/>
      <c r="I22" s="593"/>
      <c r="J22" s="967" t="s">
        <v>662</v>
      </c>
      <c r="M22" s="315"/>
      <c r="N22" s="315"/>
      <c r="O22" s="315"/>
      <c r="P22" s="315"/>
      <c r="Q22" s="315"/>
      <c r="R22" s="315"/>
      <c r="S22" s="315"/>
    </row>
    <row r="23" spans="2:19" ht="21" customHeight="1">
      <c r="B23" s="639"/>
      <c r="C23" s="639"/>
      <c r="D23" s="639"/>
      <c r="E23" s="639"/>
      <c r="F23" s="639"/>
      <c r="G23" s="639"/>
      <c r="H23" s="639"/>
      <c r="I23" s="593"/>
      <c r="J23" s="967" t="s">
        <v>662</v>
      </c>
      <c r="M23" s="315"/>
      <c r="N23" s="315"/>
      <c r="O23" s="315"/>
      <c r="P23" s="315"/>
      <c r="Q23" s="315"/>
      <c r="R23" s="315"/>
      <c r="S23" s="315"/>
    </row>
    <row r="24" spans="2:19" ht="21" customHeight="1" thickBot="1">
      <c r="B24" s="1121" t="str">
        <f>'KEY INPUTS'!D26</f>
        <v>Balance - December 31, 2020</v>
      </c>
      <c r="C24" s="1121"/>
      <c r="D24" s="1121"/>
      <c r="E24" s="1121"/>
      <c r="F24" s="1121"/>
      <c r="G24" s="1121"/>
      <c r="H24" s="1383"/>
      <c r="I24" s="1088">
        <f>+SUM(J8:J13)-SUM(I13:I23)</f>
        <v>0</v>
      </c>
      <c r="J24" s="1086" t="s">
        <v>662</v>
      </c>
      <c r="M24" s="315"/>
      <c r="N24" s="315"/>
      <c r="O24" s="315"/>
      <c r="P24" s="315"/>
      <c r="Q24" s="315"/>
      <c r="R24" s="315"/>
      <c r="S24" s="315"/>
    </row>
    <row r="25" spans="2:19" ht="21" customHeight="1" thickTop="1" thickBot="1">
      <c r="B25" s="1128"/>
      <c r="C25" s="1128"/>
      <c r="D25" s="1128"/>
      <c r="E25" s="1128"/>
      <c r="F25" s="1128"/>
      <c r="G25" s="1128"/>
      <c r="H25" s="1128"/>
      <c r="I25" s="1046">
        <f>SUM(I8:I24)</f>
        <v>0</v>
      </c>
      <c r="J25" s="1089">
        <f>SUM(J8:J24)</f>
        <v>0</v>
      </c>
      <c r="M25" s="315"/>
      <c r="N25" s="315"/>
      <c r="O25" s="315"/>
      <c r="P25" s="315"/>
      <c r="Q25" s="315"/>
      <c r="R25" s="315"/>
      <c r="S25" s="315"/>
    </row>
    <row r="26" spans="2:19" ht="13.8" thickTop="1">
      <c r="B26" s="1128"/>
      <c r="C26" s="1128"/>
      <c r="D26" s="1128"/>
      <c r="E26" s="1128"/>
      <c r="F26" s="1128"/>
      <c r="G26" s="1128"/>
      <c r="H26" s="1128"/>
      <c r="I26" s="1128"/>
      <c r="J26" s="1128"/>
    </row>
    <row r="27" spans="2:19">
      <c r="B27" s="1128"/>
      <c r="C27" s="1128"/>
      <c r="D27" s="1128"/>
      <c r="E27" s="1128"/>
      <c r="F27" s="1128"/>
      <c r="G27" s="1128"/>
      <c r="H27" s="1128"/>
      <c r="I27" s="1128"/>
      <c r="J27" s="1128"/>
    </row>
    <row r="28" spans="2:19">
      <c r="B28" s="1128"/>
      <c r="C28" s="1128"/>
      <c r="D28" s="1128"/>
      <c r="E28" s="1128"/>
      <c r="F28" s="1128"/>
      <c r="G28" s="1128"/>
      <c r="H28" s="1128"/>
      <c r="I28" s="1128"/>
      <c r="J28" s="1128"/>
    </row>
    <row r="29" spans="2:19">
      <c r="B29" s="1128"/>
      <c r="C29" s="1128"/>
      <c r="D29" s="1128"/>
      <c r="E29" s="1128"/>
      <c r="F29" s="1128"/>
      <c r="G29" s="1128"/>
      <c r="H29" s="1128"/>
      <c r="I29" s="1128"/>
      <c r="J29" s="1128"/>
    </row>
    <row r="30" spans="2:19" ht="22.8">
      <c r="B30" s="1804" t="str">
        <f>UPPER('KEY INPUTS'!D$56)&amp;" UTILITY  CAPITAL  FUND"</f>
        <v xml:space="preserve"> UTILITY  CAPITAL  FUND</v>
      </c>
      <c r="C30" s="1804"/>
      <c r="D30" s="1804"/>
      <c r="E30" s="1804"/>
      <c r="F30" s="1804"/>
      <c r="G30" s="1804"/>
      <c r="H30" s="1804"/>
      <c r="I30" s="1804"/>
      <c r="J30" s="1804"/>
    </row>
    <row r="31" spans="2:19" ht="7.5" customHeight="1">
      <c r="B31" s="1128"/>
      <c r="C31" s="1128"/>
      <c r="D31" s="1128"/>
      <c r="E31" s="1128"/>
      <c r="F31" s="1128"/>
      <c r="G31" s="1128"/>
      <c r="H31" s="1128"/>
      <c r="I31" s="1128"/>
      <c r="J31" s="1128"/>
    </row>
    <row r="32" spans="2:19" ht="15.6">
      <c r="B32" s="1821" t="s">
        <v>188</v>
      </c>
      <c r="C32" s="1821"/>
      <c r="D32" s="1821"/>
      <c r="E32" s="1821"/>
      <c r="F32" s="1821"/>
      <c r="G32" s="1821"/>
      <c r="H32" s="1821"/>
      <c r="I32" s="1821"/>
      <c r="J32" s="1821"/>
    </row>
    <row r="33" spans="2:10" ht="13.8" thickBot="1">
      <c r="B33" s="1128"/>
      <c r="C33" s="1128"/>
      <c r="D33" s="1128"/>
      <c r="E33" s="1128"/>
      <c r="F33" s="1128"/>
      <c r="G33" s="1128"/>
      <c r="H33" s="1128"/>
      <c r="I33" s="1128"/>
      <c r="J33" s="1128"/>
    </row>
    <row r="34" spans="2:10" ht="26.25" customHeight="1" thickTop="1" thickBot="1">
      <c r="B34" s="1370"/>
      <c r="C34" s="1370"/>
      <c r="D34" s="1370"/>
      <c r="E34" s="1370"/>
      <c r="F34" s="1370"/>
      <c r="G34" s="1370"/>
      <c r="H34" s="1370"/>
      <c r="I34" s="1116" t="s">
        <v>101</v>
      </c>
      <c r="J34" s="1117" t="s">
        <v>102</v>
      </c>
    </row>
    <row r="35" spans="2:10" ht="21" customHeight="1" thickTop="1">
      <c r="B35" s="1140" t="str">
        <f>'KEY INPUTS'!D25</f>
        <v>Balance - January 1, 2020</v>
      </c>
      <c r="C35" s="1140"/>
      <c r="D35" s="1140"/>
      <c r="E35" s="1140"/>
      <c r="F35" s="1140"/>
      <c r="G35" s="1140"/>
      <c r="H35" s="1382"/>
      <c r="I35" s="1070" t="s">
        <v>662</v>
      </c>
      <c r="J35" s="630"/>
    </row>
    <row r="36" spans="2:10" ht="21" customHeight="1">
      <c r="B36" s="1121" t="str">
        <f>"Received from "&amp;TEXT('KEY INPUTS'!D34,"0")&amp;" Budget Appropriation *"</f>
        <v>Received from 2020 Budget Appropriation *</v>
      </c>
      <c r="C36" s="1121"/>
      <c r="D36" s="1121"/>
      <c r="E36" s="1121"/>
      <c r="F36" s="1121"/>
      <c r="G36" s="1121"/>
      <c r="H36" s="1383"/>
      <c r="I36" s="963" t="s">
        <v>662</v>
      </c>
      <c r="J36" s="601"/>
    </row>
    <row r="37" spans="2:10" ht="21" customHeight="1">
      <c r="B37" s="1121" t="str">
        <f>"Received from "&amp;TEXT('KEY INPUTS'!D34,"0")&amp;" Emergency Appropriation *"</f>
        <v>Received from 2020 Emergency Appropriation *</v>
      </c>
      <c r="C37" s="1121"/>
      <c r="D37" s="1121"/>
      <c r="E37" s="1121"/>
      <c r="F37" s="1121"/>
      <c r="G37" s="1121"/>
      <c r="H37" s="1383"/>
      <c r="I37" s="963" t="s">
        <v>662</v>
      </c>
      <c r="J37" s="601"/>
    </row>
    <row r="38" spans="2:10" ht="21" customHeight="1">
      <c r="B38" s="659"/>
      <c r="C38" s="1264"/>
      <c r="D38" s="659"/>
      <c r="E38" s="1373"/>
      <c r="F38" s="1373"/>
      <c r="G38" s="1373"/>
      <c r="H38" s="1373"/>
      <c r="I38" s="674"/>
      <c r="J38" s="369"/>
    </row>
    <row r="39" spans="2:10" ht="21" customHeight="1">
      <c r="B39" s="1121" t="s">
        <v>186</v>
      </c>
      <c r="C39" s="1121"/>
      <c r="D39" s="1121"/>
      <c r="E39" s="1121"/>
      <c r="F39" s="1121"/>
      <c r="G39" s="1121"/>
      <c r="H39" s="1383"/>
      <c r="I39" s="593"/>
      <c r="J39" s="967" t="s">
        <v>662</v>
      </c>
    </row>
    <row r="40" spans="2:10" ht="21" customHeight="1">
      <c r="B40" s="639"/>
      <c r="C40" s="639"/>
      <c r="D40" s="639"/>
      <c r="E40" s="1121"/>
      <c r="F40" s="1121"/>
      <c r="G40" s="1121"/>
      <c r="H40" s="1121"/>
      <c r="I40" s="593"/>
      <c r="J40" s="967" t="s">
        <v>662</v>
      </c>
    </row>
    <row r="41" spans="2:10" ht="21" customHeight="1" thickBot="1">
      <c r="B41" s="1121" t="str">
        <f>'KEY INPUTS'!D26</f>
        <v>Balance - December 31, 2020</v>
      </c>
      <c r="C41" s="1121"/>
      <c r="D41" s="1121"/>
      <c r="E41" s="1121"/>
      <c r="F41" s="1121"/>
      <c r="G41" s="1121"/>
      <c r="H41" s="1383"/>
      <c r="I41" s="1265">
        <f>SUM(J35:J38)-SUM(I38:I40)</f>
        <v>0</v>
      </c>
      <c r="J41" s="1086" t="s">
        <v>662</v>
      </c>
    </row>
    <row r="42" spans="2:10" ht="21" customHeight="1" thickTop="1" thickBot="1">
      <c r="B42" s="1128"/>
      <c r="C42" s="1128"/>
      <c r="D42" s="1128"/>
      <c r="E42" s="1128"/>
      <c r="F42" s="1128"/>
      <c r="G42" s="1128"/>
      <c r="H42" s="1128"/>
      <c r="I42" s="1046">
        <f>SUM(I35:I41)</f>
        <v>0</v>
      </c>
      <c r="J42" s="1089">
        <f>SUM(J35:J41)</f>
        <v>0</v>
      </c>
    </row>
    <row r="43" spans="2:10" ht="21" customHeight="1" thickTop="1">
      <c r="I43" s="189"/>
      <c r="J43" s="189"/>
    </row>
    <row r="44" spans="2:10" ht="21" customHeight="1"/>
    <row r="45" spans="2:10" ht="13.5" customHeight="1">
      <c r="B45" s="547" t="str">
        <f>"*The full amount of the "&amp;TEXT('KEY INPUTS'!D34,"0")&amp;"  budget appropriation should be transferred to this account unless the balance of the"</f>
        <v>*The full amount of the 2020  budget appropriation should be transferred to this account unless the balance of the</v>
      </c>
      <c r="C45" s="547"/>
    </row>
    <row r="46" spans="2:10" ht="13.5" customHeight="1">
      <c r="B46" s="547"/>
      <c r="C46" s="547" t="s">
        <v>187</v>
      </c>
    </row>
    <row r="47" spans="2:10" ht="13.5" customHeight="1">
      <c r="B47" s="547"/>
      <c r="C47" s="547"/>
    </row>
    <row r="48" spans="2:10" ht="13.5" customHeight="1">
      <c r="B48" s="547"/>
      <c r="C48" s="547"/>
    </row>
    <row r="49" spans="2:10" ht="13.5" customHeight="1">
      <c r="B49" s="547"/>
      <c r="C49" s="547"/>
    </row>
    <row r="50" spans="2:10" ht="13.5" customHeight="1">
      <c r="B50" s="547"/>
      <c r="C50" s="547"/>
    </row>
    <row r="51" spans="2:10" ht="13.5" customHeight="1">
      <c r="B51" s="547"/>
      <c r="C51" s="547"/>
    </row>
    <row r="52" spans="2:10" ht="13.5" customHeight="1">
      <c r="B52" s="547"/>
      <c r="C52" s="547"/>
    </row>
    <row r="53" spans="2:10" ht="13.5" customHeight="1">
      <c r="B53" s="547"/>
      <c r="C53" s="547"/>
    </row>
    <row r="54" spans="2:10" ht="13.8">
      <c r="B54" s="1850" t="s">
        <v>3231</v>
      </c>
      <c r="C54" s="1850"/>
      <c r="D54" s="1850"/>
      <c r="E54" s="1850"/>
      <c r="F54" s="1850"/>
      <c r="G54" s="1850"/>
      <c r="H54" s="1850"/>
      <c r="I54" s="1850"/>
      <c r="J54" s="1850"/>
    </row>
  </sheetData>
  <sheetProtection algorithmName="SHA-512" hashValue="7wA1/aF7ElC6AMh8yIBaVUlheTCPwTo5DsVZkhfHzXJvTqE/+l3Wwhajc3zG6j2PFY35gOZa6aOxkOJGecdsjg==" saltValue="gJdTg21J1V7kV0xi/A3XEw==" spinCount="100000" sheet="1" objects="1" scenarios="1"/>
  <mergeCells count="7">
    <mergeCell ref="B3:J3"/>
    <mergeCell ref="B5:J5"/>
    <mergeCell ref="B30:J30"/>
    <mergeCell ref="B32:J32"/>
    <mergeCell ref="B54:J54"/>
    <mergeCell ref="I11:I12"/>
    <mergeCell ref="J11:J12"/>
  </mergeCells>
  <pageMargins left="0.25" right="0.25" top="0.5" bottom="0.5" header="0.25" footer="0.25"/>
  <pageSetup paperSize="5" orientation="portrait" r:id="rId1"/>
  <headerFooter alignWithMargins="0"/>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9">
    <tabColor theme="7" tint="0.39997558519241921"/>
  </sheetPr>
  <dimension ref="B1:AC52"/>
  <sheetViews>
    <sheetView zoomScaleNormal="100" zoomScaleSheetLayoutView="80" workbookViewId="0">
      <selection activeCell="B1" sqref="B1"/>
    </sheetView>
  </sheetViews>
  <sheetFormatPr defaultColWidth="8.88671875" defaultRowHeight="13.2"/>
  <cols>
    <col min="1" max="3" width="4.6640625" style="391" customWidth="1"/>
    <col min="4" max="4" width="4.5546875" style="391" customWidth="1"/>
    <col min="5" max="5" width="8.88671875" style="391"/>
    <col min="6" max="6" width="6.6640625" style="391" customWidth="1"/>
    <col min="7" max="10" width="16.6640625" style="391" customWidth="1"/>
    <col min="11" max="20" width="8.88671875" style="391"/>
    <col min="21" max="23" width="4.6640625" style="315" customWidth="1"/>
    <col min="24" max="24" width="8.88671875" style="315"/>
    <col min="25" max="25" width="6.6640625" style="315" customWidth="1"/>
    <col min="26" max="29" width="16.6640625" style="315" customWidth="1"/>
    <col min="30" max="16384" width="8.88671875" style="391"/>
  </cols>
  <sheetData>
    <row r="1" spans="2:19">
      <c r="B1" s="1096"/>
      <c r="C1" s="1096"/>
      <c r="D1" s="1204"/>
      <c r="E1" s="1204"/>
      <c r="F1" s="1096"/>
      <c r="G1" s="1096"/>
      <c r="H1" s="1096"/>
      <c r="I1" s="1096"/>
      <c r="J1" s="1096"/>
    </row>
    <row r="2" spans="2:19">
      <c r="B2" s="1096"/>
      <c r="C2" s="1096"/>
      <c r="D2" s="1204"/>
      <c r="E2" s="1204"/>
      <c r="F2" s="1096"/>
      <c r="G2" s="1096"/>
      <c r="H2" s="1096"/>
      <c r="I2" s="1096"/>
      <c r="J2" s="1096"/>
    </row>
    <row r="3" spans="2:19" ht="24.6">
      <c r="B3" s="1993" t="str">
        <f>UPPER('KEY INPUTS'!D$56)&amp;" UTILITY FUND"</f>
        <v xml:space="preserve"> UTILITY FUND</v>
      </c>
      <c r="C3" s="1993"/>
      <c r="D3" s="1993"/>
      <c r="E3" s="1993"/>
      <c r="F3" s="1993"/>
      <c r="G3" s="1993"/>
      <c r="H3" s="1993"/>
      <c r="I3" s="1993"/>
      <c r="J3" s="1993"/>
    </row>
    <row r="4" spans="2:19">
      <c r="B4" s="1096"/>
      <c r="C4" s="1096"/>
      <c r="D4" s="1096"/>
      <c r="E4" s="1096"/>
      <c r="F4" s="1096"/>
      <c r="G4" s="1096"/>
      <c r="H4" s="1096"/>
      <c r="I4" s="1096"/>
      <c r="J4" s="1096"/>
    </row>
    <row r="5" spans="2:19" ht="17.399999999999999">
      <c r="B5" s="1843" t="str">
        <f>"CAPITAL  IMPROVEMENTS  AUTHORIZED  IN "&amp;TEXT('KEY INPUTS'!D34,"0")&amp;""</f>
        <v>CAPITAL  IMPROVEMENTS  AUTHORIZED  IN 2020</v>
      </c>
      <c r="C5" s="1843"/>
      <c r="D5" s="1843"/>
      <c r="E5" s="1843"/>
      <c r="F5" s="1843"/>
      <c r="G5" s="1843"/>
      <c r="H5" s="1843"/>
      <c r="I5" s="1843"/>
      <c r="J5" s="1843"/>
    </row>
    <row r="6" spans="2:19" ht="17.399999999999999">
      <c r="B6" s="1843" t="s">
        <v>210</v>
      </c>
      <c r="C6" s="1843"/>
      <c r="D6" s="1843"/>
      <c r="E6" s="1843"/>
      <c r="F6" s="1843"/>
      <c r="G6" s="1843"/>
      <c r="H6" s="1843"/>
      <c r="I6" s="1843"/>
      <c r="J6" s="1843"/>
    </row>
    <row r="7" spans="2:19" ht="13.8" thickBot="1">
      <c r="B7" s="1096"/>
      <c r="C7" s="1096"/>
      <c r="D7" s="1096"/>
      <c r="E7" s="1096"/>
      <c r="F7" s="1096"/>
      <c r="G7" s="1096"/>
      <c r="H7" s="1096"/>
      <c r="I7" s="1096"/>
      <c r="J7" s="1096"/>
    </row>
    <row r="8" spans="2:19" ht="13.8" thickTop="1">
      <c r="B8" s="1219"/>
      <c r="C8" s="1219"/>
      <c r="D8" s="1219"/>
      <c r="E8" s="1219"/>
      <c r="F8" s="1219"/>
      <c r="G8" s="1220"/>
      <c r="H8" s="1220"/>
      <c r="I8" s="1220"/>
      <c r="J8" s="1284" t="s">
        <v>251</v>
      </c>
    </row>
    <row r="9" spans="2:19">
      <c r="B9" s="1096"/>
      <c r="C9" s="1908" t="s">
        <v>440</v>
      </c>
      <c r="D9" s="1908"/>
      <c r="E9" s="1908"/>
      <c r="F9" s="1096"/>
      <c r="G9" s="1223" t="s">
        <v>441</v>
      </c>
      <c r="H9" s="1223" t="s">
        <v>209</v>
      </c>
      <c r="I9" s="1223" t="s">
        <v>213</v>
      </c>
      <c r="J9" s="1281" t="s">
        <v>252</v>
      </c>
    </row>
    <row r="10" spans="2:19">
      <c r="B10" s="1096"/>
      <c r="C10" s="1096"/>
      <c r="D10" s="1096"/>
      <c r="E10" s="1096"/>
      <c r="F10" s="1096"/>
      <c r="G10" s="1223" t="s">
        <v>211</v>
      </c>
      <c r="H10" s="1223" t="s">
        <v>212</v>
      </c>
      <c r="I10" s="1223" t="s">
        <v>214</v>
      </c>
      <c r="J10" s="1389" t="str">
        <f>"of " &amp;TEXT('KEY INPUTS'!D34,"0")&amp;" or Prior"</f>
        <v>of 2020 or Prior</v>
      </c>
    </row>
    <row r="11" spans="2:19" ht="13.8" thickBot="1">
      <c r="B11" s="1151"/>
      <c r="C11" s="1151"/>
      <c r="D11" s="1151"/>
      <c r="E11" s="1151"/>
      <c r="F11" s="1151"/>
      <c r="G11" s="1230"/>
      <c r="H11" s="1230" t="s">
        <v>468</v>
      </c>
      <c r="I11" s="1230" t="s">
        <v>250</v>
      </c>
      <c r="J11" s="1390" t="s">
        <v>253</v>
      </c>
      <c r="M11" s="315"/>
      <c r="N11" s="315"/>
      <c r="O11" s="315"/>
      <c r="P11" s="315"/>
      <c r="Q11" s="315"/>
      <c r="R11" s="315"/>
      <c r="S11" s="315"/>
    </row>
    <row r="12" spans="2:19" ht="21" customHeight="1" thickTop="1">
      <c r="B12" s="664"/>
      <c r="C12" s="664"/>
      <c r="D12" s="664"/>
      <c r="E12" s="664"/>
      <c r="F12" s="664"/>
      <c r="G12" s="597"/>
      <c r="H12" s="597"/>
      <c r="I12" s="597"/>
      <c r="J12" s="630"/>
      <c r="M12" s="315"/>
      <c r="N12" s="315"/>
      <c r="O12" s="315"/>
      <c r="P12" s="315"/>
      <c r="Q12" s="315"/>
      <c r="R12" s="315"/>
      <c r="S12" s="315"/>
    </row>
    <row r="13" spans="2:19" ht="21" customHeight="1">
      <c r="B13" s="639"/>
      <c r="C13" s="639"/>
      <c r="D13" s="639"/>
      <c r="E13" s="639"/>
      <c r="F13" s="639"/>
      <c r="G13" s="593"/>
      <c r="H13" s="593"/>
      <c r="I13" s="593"/>
      <c r="J13" s="601"/>
      <c r="M13" s="370"/>
      <c r="N13" s="315"/>
      <c r="O13" s="315"/>
      <c r="P13" s="315"/>
      <c r="Q13" s="315"/>
      <c r="R13" s="315"/>
      <c r="S13" s="315"/>
    </row>
    <row r="14" spans="2:19" ht="21" customHeight="1">
      <c r="B14" s="639"/>
      <c r="C14" s="639"/>
      <c r="D14" s="639"/>
      <c r="E14" s="639"/>
      <c r="F14" s="639"/>
      <c r="G14" s="593"/>
      <c r="H14" s="593"/>
      <c r="I14" s="593"/>
      <c r="J14" s="601"/>
      <c r="M14" s="315"/>
      <c r="N14" s="315"/>
      <c r="O14" s="315"/>
      <c r="P14" s="315"/>
      <c r="Q14" s="315"/>
      <c r="R14" s="315"/>
      <c r="S14" s="315"/>
    </row>
    <row r="15" spans="2:19" ht="21" customHeight="1">
      <c r="B15" s="639"/>
      <c r="C15" s="639"/>
      <c r="D15" s="639"/>
      <c r="E15" s="639"/>
      <c r="F15" s="639"/>
      <c r="G15" s="593"/>
      <c r="H15" s="593"/>
      <c r="I15" s="593"/>
      <c r="J15" s="601"/>
      <c r="M15" s="315"/>
      <c r="N15" s="315"/>
      <c r="O15" s="315"/>
      <c r="P15" s="315"/>
      <c r="Q15" s="315"/>
      <c r="R15" s="315"/>
      <c r="S15" s="315"/>
    </row>
    <row r="16" spans="2:19" ht="21" customHeight="1">
      <c r="B16" s="639"/>
      <c r="C16" s="639"/>
      <c r="D16" s="639"/>
      <c r="E16" s="639"/>
      <c r="F16" s="639"/>
      <c r="G16" s="593"/>
      <c r="H16" s="593"/>
      <c r="I16" s="593"/>
      <c r="J16" s="601"/>
      <c r="M16" s="315"/>
      <c r="N16" s="315"/>
      <c r="O16" s="315"/>
      <c r="P16" s="315"/>
      <c r="Q16" s="315"/>
      <c r="R16" s="315"/>
      <c r="S16" s="315"/>
    </row>
    <row r="17" spans="2:19" ht="21" customHeight="1">
      <c r="B17" s="639"/>
      <c r="C17" s="639"/>
      <c r="D17" s="639"/>
      <c r="E17" s="639"/>
      <c r="F17" s="639"/>
      <c r="G17" s="593"/>
      <c r="H17" s="593"/>
      <c r="I17" s="593"/>
      <c r="J17" s="601"/>
      <c r="M17" s="315"/>
      <c r="N17" s="315"/>
      <c r="O17" s="315"/>
      <c r="P17" s="315"/>
      <c r="Q17" s="315"/>
      <c r="R17" s="315"/>
      <c r="S17" s="315"/>
    </row>
    <row r="18" spans="2:19" ht="21" customHeight="1">
      <c r="B18" s="639"/>
      <c r="C18" s="639"/>
      <c r="D18" s="639"/>
      <c r="E18" s="639"/>
      <c r="F18" s="639"/>
      <c r="G18" s="593"/>
      <c r="H18" s="593"/>
      <c r="I18" s="593"/>
      <c r="J18" s="601"/>
      <c r="M18" s="315"/>
      <c r="N18" s="315"/>
      <c r="O18" s="315"/>
      <c r="P18" s="315"/>
      <c r="Q18" s="315"/>
      <c r="R18" s="315"/>
      <c r="S18" s="315"/>
    </row>
    <row r="19" spans="2:19" ht="21" customHeight="1">
      <c r="B19" s="639"/>
      <c r="C19" s="639"/>
      <c r="D19" s="639"/>
      <c r="E19" s="639"/>
      <c r="F19" s="639"/>
      <c r="G19" s="593"/>
      <c r="H19" s="593"/>
      <c r="I19" s="593"/>
      <c r="J19" s="601"/>
      <c r="M19" s="315"/>
      <c r="N19" s="315"/>
      <c r="O19" s="315"/>
      <c r="P19" s="315"/>
      <c r="Q19" s="315"/>
      <c r="R19" s="315"/>
      <c r="S19" s="315"/>
    </row>
    <row r="20" spans="2:19" ht="21" customHeight="1">
      <c r="B20" s="639"/>
      <c r="C20" s="639"/>
      <c r="D20" s="639"/>
      <c r="E20" s="639"/>
      <c r="F20" s="639"/>
      <c r="G20" s="593"/>
      <c r="H20" s="593"/>
      <c r="I20" s="593"/>
      <c r="J20" s="601"/>
      <c r="M20" s="315"/>
      <c r="N20" s="315"/>
      <c r="O20" s="315"/>
      <c r="P20" s="315"/>
      <c r="Q20" s="315"/>
      <c r="R20" s="315"/>
      <c r="S20" s="315"/>
    </row>
    <row r="21" spans="2:19" ht="21" customHeight="1" thickBot="1">
      <c r="B21" s="639"/>
      <c r="C21" s="639"/>
      <c r="D21" s="639"/>
      <c r="E21" s="639"/>
      <c r="F21" s="639"/>
      <c r="G21" s="619"/>
      <c r="H21" s="619"/>
      <c r="I21" s="619"/>
      <c r="J21" s="662"/>
      <c r="M21" s="315"/>
      <c r="N21" s="315"/>
      <c r="O21" s="315"/>
      <c r="P21" s="315"/>
      <c r="Q21" s="315"/>
      <c r="R21" s="315"/>
      <c r="S21" s="315"/>
    </row>
    <row r="22" spans="2:19" ht="21" customHeight="1" thickTop="1" thickBot="1">
      <c r="B22" s="1151"/>
      <c r="C22" s="1151"/>
      <c r="D22" s="1151"/>
      <c r="E22" s="1151"/>
      <c r="F22" s="1151"/>
      <c r="G22" s="1113">
        <f>SUM(G12:G21)</f>
        <v>0</v>
      </c>
      <c r="H22" s="1113">
        <f>SUM(H12:H21)</f>
        <v>0</v>
      </c>
      <c r="I22" s="1113">
        <f>SUM(I12:I21)</f>
        <v>0</v>
      </c>
      <c r="J22" s="1391">
        <f>SUM(J12:J21)</f>
        <v>0</v>
      </c>
      <c r="M22" s="315"/>
      <c r="N22" s="315"/>
      <c r="O22" s="315"/>
      <c r="P22" s="315"/>
      <c r="Q22" s="315"/>
      <c r="R22" s="315"/>
      <c r="S22" s="315"/>
    </row>
    <row r="23" spans="2:19" ht="13.8" thickTop="1">
      <c r="B23" s="1096"/>
      <c r="C23" s="1096"/>
      <c r="D23" s="1096"/>
      <c r="E23" s="1096"/>
      <c r="F23" s="1096"/>
      <c r="G23" s="1096"/>
      <c r="H23" s="1096"/>
      <c r="I23" s="1096"/>
      <c r="J23" s="1096"/>
      <c r="M23" s="315"/>
      <c r="N23" s="315"/>
      <c r="O23" s="315"/>
      <c r="P23" s="315"/>
      <c r="Q23" s="315"/>
      <c r="R23" s="315"/>
      <c r="S23" s="315"/>
    </row>
    <row r="24" spans="2:19">
      <c r="B24" s="1096"/>
      <c r="C24" s="1096"/>
      <c r="D24" s="1096"/>
      <c r="E24" s="1096"/>
      <c r="F24" s="1096"/>
      <c r="G24" s="1096"/>
      <c r="H24" s="1096"/>
      <c r="I24" s="1096"/>
      <c r="J24" s="1096"/>
      <c r="M24" s="315"/>
      <c r="N24" s="315"/>
      <c r="O24" s="315"/>
      <c r="P24" s="315"/>
      <c r="Q24" s="315"/>
      <c r="R24" s="315"/>
      <c r="S24" s="315"/>
    </row>
    <row r="25" spans="2:19">
      <c r="B25" s="1096"/>
      <c r="C25" s="1096"/>
      <c r="D25" s="1096"/>
      <c r="E25" s="1096"/>
      <c r="F25" s="1096"/>
      <c r="G25" s="1096"/>
      <c r="H25" s="1096"/>
      <c r="I25" s="1096"/>
      <c r="J25" s="1096"/>
      <c r="M25" s="315"/>
      <c r="N25" s="315"/>
      <c r="O25" s="315"/>
      <c r="P25" s="315"/>
      <c r="Q25" s="315"/>
      <c r="R25" s="315"/>
      <c r="S25" s="315"/>
    </row>
    <row r="26" spans="2:19">
      <c r="B26" s="1096"/>
      <c r="C26" s="1096"/>
      <c r="D26" s="1096"/>
      <c r="E26" s="1096"/>
      <c r="F26" s="1096"/>
      <c r="G26" s="1096"/>
      <c r="H26" s="1096"/>
      <c r="I26" s="1096"/>
      <c r="J26" s="1096"/>
      <c r="M26" s="315"/>
      <c r="N26" s="315"/>
      <c r="O26" s="315"/>
      <c r="P26" s="315"/>
      <c r="Q26" s="315"/>
      <c r="R26" s="315"/>
      <c r="S26" s="315"/>
    </row>
    <row r="27" spans="2:19">
      <c r="B27" s="1096"/>
      <c r="C27" s="1096"/>
      <c r="D27" s="1096"/>
      <c r="E27" s="1096"/>
      <c r="F27" s="1096"/>
      <c r="G27" s="1096"/>
      <c r="H27" s="1096"/>
      <c r="I27" s="1096"/>
      <c r="J27" s="1096"/>
      <c r="M27" s="315"/>
      <c r="N27" s="315"/>
      <c r="O27" s="315"/>
      <c r="P27" s="315"/>
      <c r="Q27" s="315"/>
      <c r="R27" s="315"/>
      <c r="S27" s="315"/>
    </row>
    <row r="28" spans="2:19" ht="22.8">
      <c r="B28" s="1804" t="str">
        <f>UPPER('KEY INPUTS'!D$56)&amp;" UTILITY  CAPITAL  FUND"</f>
        <v xml:space="preserve"> UTILITY  CAPITAL  FUND</v>
      </c>
      <c r="C28" s="1804"/>
      <c r="D28" s="1804"/>
      <c r="E28" s="1804"/>
      <c r="F28" s="1804"/>
      <c r="G28" s="1804"/>
      <c r="H28" s="1804"/>
      <c r="I28" s="1804"/>
      <c r="J28" s="1804"/>
    </row>
    <row r="29" spans="2:19" ht="22.8">
      <c r="B29" s="1804" t="s">
        <v>160</v>
      </c>
      <c r="C29" s="1804"/>
      <c r="D29" s="1804"/>
      <c r="E29" s="1804"/>
      <c r="F29" s="1804"/>
      <c r="G29" s="1804"/>
      <c r="H29" s="1804"/>
      <c r="I29" s="1804"/>
      <c r="J29" s="1804"/>
    </row>
    <row r="30" spans="2:19">
      <c r="B30" s="1096"/>
      <c r="C30" s="1096"/>
      <c r="D30" s="1096"/>
      <c r="E30" s="1096"/>
      <c r="F30" s="1096"/>
      <c r="G30" s="1096"/>
      <c r="H30" s="1096"/>
      <c r="I30" s="1096"/>
      <c r="J30" s="1096"/>
    </row>
    <row r="31" spans="2:19" ht="15.6">
      <c r="B31" s="1800" t="str">
        <f>"YEAR  "&amp;TEXT('KEY INPUTS'!D34,"0")&amp;""</f>
        <v>YEAR  2020</v>
      </c>
      <c r="C31" s="1800"/>
      <c r="D31" s="1800"/>
      <c r="E31" s="1800"/>
      <c r="F31" s="1800"/>
      <c r="G31" s="1800"/>
      <c r="H31" s="1800"/>
      <c r="I31" s="1800"/>
      <c r="J31" s="1800"/>
    </row>
    <row r="32" spans="2:19" ht="13.8" thickBot="1">
      <c r="B32" s="1096"/>
      <c r="C32" s="1096"/>
      <c r="D32" s="1096"/>
      <c r="E32" s="1096"/>
      <c r="F32" s="1096"/>
      <c r="G32" s="1096"/>
      <c r="H32" s="1096"/>
      <c r="I32" s="1096"/>
      <c r="J32" s="1096"/>
    </row>
    <row r="33" spans="2:10" ht="28.5" customHeight="1" thickTop="1" thickBot="1">
      <c r="B33" s="1315"/>
      <c r="C33" s="1315"/>
      <c r="D33" s="1315"/>
      <c r="E33" s="1315"/>
      <c r="F33" s="1315"/>
      <c r="G33" s="1315"/>
      <c r="H33" s="1315"/>
      <c r="I33" s="1097" t="s">
        <v>101</v>
      </c>
      <c r="J33" s="1098" t="s">
        <v>102</v>
      </c>
    </row>
    <row r="34" spans="2:10" ht="21" customHeight="1" thickTop="1">
      <c r="B34" s="1392" t="str">
        <f>'KEY INPUTS'!D25</f>
        <v>Balance - January 1, 2020</v>
      </c>
      <c r="C34" s="1152"/>
      <c r="D34" s="1152"/>
      <c r="E34" s="1152"/>
      <c r="F34" s="1152"/>
      <c r="G34" s="1152"/>
      <c r="H34" s="1152"/>
      <c r="I34" s="1153" t="s">
        <v>662</v>
      </c>
      <c r="J34" s="629"/>
    </row>
    <row r="35" spans="2:10" ht="21" customHeight="1">
      <c r="B35" s="681" t="s">
        <v>161</v>
      </c>
      <c r="C35" s="681"/>
      <c r="D35" s="681"/>
      <c r="E35" s="681"/>
      <c r="F35" s="681"/>
      <c r="G35" s="681"/>
      <c r="H35" s="681"/>
      <c r="I35" s="1156" t="s">
        <v>662</v>
      </c>
      <c r="J35" s="571"/>
    </row>
    <row r="36" spans="2:10" ht="21" customHeight="1">
      <c r="B36" s="681" t="s">
        <v>162</v>
      </c>
      <c r="C36" s="681"/>
      <c r="D36" s="681"/>
      <c r="E36" s="681"/>
      <c r="F36" s="681"/>
      <c r="G36" s="681"/>
      <c r="H36" s="681"/>
      <c r="I36" s="1156" t="s">
        <v>662</v>
      </c>
      <c r="J36" s="571"/>
    </row>
    <row r="37" spans="2:10" ht="21" customHeight="1">
      <c r="B37" s="639" t="s">
        <v>3273</v>
      </c>
      <c r="C37" s="639"/>
      <c r="D37" s="639"/>
      <c r="E37" s="639"/>
      <c r="F37" s="639"/>
      <c r="G37" s="639"/>
      <c r="H37" s="681"/>
      <c r="I37" s="833"/>
      <c r="J37" s="571"/>
    </row>
    <row r="38" spans="2:10" ht="21" customHeight="1">
      <c r="B38" s="639"/>
      <c r="C38" s="639"/>
      <c r="D38" s="639"/>
      <c r="E38" s="639"/>
      <c r="F38" s="639"/>
      <c r="G38" s="639"/>
      <c r="H38" s="681"/>
      <c r="I38" s="367"/>
      <c r="J38" s="571"/>
    </row>
    <row r="39" spans="2:10" ht="21" customHeight="1">
      <c r="B39" s="639"/>
      <c r="C39" s="639"/>
      <c r="D39" s="639"/>
      <c r="E39" s="639"/>
      <c r="F39" s="639"/>
      <c r="G39" s="639"/>
      <c r="H39" s="681"/>
      <c r="I39" s="367"/>
      <c r="J39" s="571"/>
    </row>
    <row r="40" spans="2:10" ht="21" customHeight="1">
      <c r="B40" s="681" t="s">
        <v>3233</v>
      </c>
      <c r="C40" s="681"/>
      <c r="D40" s="681"/>
      <c r="E40" s="681"/>
      <c r="F40" s="681"/>
      <c r="G40" s="681"/>
      <c r="H40" s="681"/>
      <c r="I40" s="367"/>
      <c r="J40" s="1282" t="s">
        <v>662</v>
      </c>
    </row>
    <row r="41" spans="2:10" ht="21" customHeight="1">
      <c r="B41" s="905" t="str">
        <f>"Appropriation to "&amp;'KEY INPUTS'!D34&amp;" Budget Reserve"</f>
        <v>Appropriation to 2020 Budget Reserve</v>
      </c>
      <c r="C41" s="681"/>
      <c r="D41" s="681"/>
      <c r="E41" s="681"/>
      <c r="F41" s="681"/>
      <c r="G41" s="1393"/>
      <c r="H41" s="681"/>
      <c r="I41" s="568"/>
      <c r="J41" s="1282" t="s">
        <v>662</v>
      </c>
    </row>
    <row r="42" spans="2:10" ht="21" customHeight="1">
      <c r="B42" s="681" t="str">
        <f>'KEY INPUTS'!D26</f>
        <v>Balance - December 31, 2020</v>
      </c>
      <c r="C42" s="681"/>
      <c r="D42" s="681"/>
      <c r="E42" s="681"/>
      <c r="F42" s="681"/>
      <c r="G42" s="681"/>
      <c r="H42" s="681"/>
      <c r="I42" s="833">
        <f>SUM(J34:J39)-SUM(I37:I41)</f>
        <v>0</v>
      </c>
      <c r="J42" s="1282" t="s">
        <v>662</v>
      </c>
    </row>
    <row r="43" spans="2:10" ht="21" customHeight="1" thickBot="1">
      <c r="B43" s="1096"/>
      <c r="C43" s="1096"/>
      <c r="D43" s="1096"/>
      <c r="E43" s="1096"/>
      <c r="F43" s="1096"/>
      <c r="G43" s="1096"/>
      <c r="H43" s="1096"/>
      <c r="I43" s="1091">
        <f>SUM(I34:I42)</f>
        <v>0</v>
      </c>
      <c r="J43" s="1394">
        <f>SUM(J34:J42)</f>
        <v>0</v>
      </c>
    </row>
    <row r="44" spans="2:10" ht="21" customHeight="1" thickTop="1"/>
    <row r="45" spans="2:10" ht="21" customHeight="1"/>
    <row r="46" spans="2:10" ht="21" customHeight="1"/>
    <row r="47" spans="2:10" ht="21" customHeight="1"/>
    <row r="48" spans="2:10" ht="21" customHeight="1"/>
    <row r="49" spans="2:10" ht="21" customHeight="1"/>
    <row r="52" spans="2:10" ht="13.8">
      <c r="B52" s="1799" t="s">
        <v>3232</v>
      </c>
      <c r="C52" s="1799"/>
      <c r="D52" s="1799"/>
      <c r="E52" s="1799"/>
      <c r="F52" s="1799"/>
      <c r="G52" s="1799"/>
      <c r="H52" s="1799"/>
      <c r="I52" s="1799"/>
      <c r="J52" s="1799"/>
    </row>
  </sheetData>
  <sheetProtection password="CAF9"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0">
    <tabColor theme="3" tint="0.79998168889431442"/>
  </sheetPr>
  <dimension ref="B1:R57"/>
  <sheetViews>
    <sheetView zoomScaleNormal="100" zoomScaleSheetLayoutView="80" workbookViewId="0">
      <selection activeCell="H26" sqref="H26"/>
    </sheetView>
  </sheetViews>
  <sheetFormatPr defaultColWidth="8.88671875" defaultRowHeight="13.2"/>
  <cols>
    <col min="1" max="1" width="4.6640625" style="391" customWidth="1"/>
    <col min="2" max="2" width="4.88671875" style="391" customWidth="1"/>
    <col min="3" max="4" width="4.6640625" style="391" customWidth="1"/>
    <col min="5" max="5" width="30.6640625" style="391" customWidth="1"/>
    <col min="6" max="6" width="15.6640625" style="391" customWidth="1"/>
    <col min="7" max="8" width="16.6640625" style="391" customWidth="1"/>
    <col min="9" max="9" width="3.6640625" style="391" bestFit="1" customWidth="1"/>
    <col min="10" max="10" width="13.5546875" style="391" bestFit="1" customWidth="1"/>
    <col min="11" max="16384" width="8.88671875" style="391"/>
  </cols>
  <sheetData>
    <row r="1" spans="2:18">
      <c r="B1" s="1096"/>
      <c r="C1" s="1096"/>
      <c r="D1" s="1096"/>
      <c r="E1" s="1096"/>
      <c r="F1" s="1096"/>
      <c r="G1" s="1096"/>
      <c r="H1" s="1096"/>
    </row>
    <row r="2" spans="2:18">
      <c r="B2" s="1803" t="s">
        <v>37</v>
      </c>
      <c r="C2" s="1803"/>
      <c r="D2" s="1803"/>
      <c r="E2" s="1803"/>
      <c r="F2" s="1803"/>
      <c r="G2" s="1803"/>
      <c r="H2" s="1803"/>
    </row>
    <row r="3" spans="2:18">
      <c r="B3" s="1803" t="s">
        <v>476</v>
      </c>
      <c r="C3" s="1803"/>
      <c r="D3" s="1803"/>
      <c r="E3" s="1803"/>
      <c r="F3" s="1803"/>
      <c r="G3" s="1803"/>
      <c r="H3" s="1803"/>
    </row>
    <row r="4" spans="2:18">
      <c r="B4" s="1096"/>
      <c r="C4" s="1096"/>
      <c r="D4" s="1096"/>
      <c r="E4" s="1096"/>
      <c r="F4" s="1096"/>
      <c r="G4" s="1096"/>
      <c r="H4" s="1096"/>
    </row>
    <row r="5" spans="2:18" ht="22.8">
      <c r="B5" s="1804" t="s">
        <v>451</v>
      </c>
      <c r="C5" s="1804"/>
      <c r="D5" s="1804"/>
      <c r="E5" s="1804"/>
      <c r="F5" s="1804"/>
      <c r="G5" s="1804"/>
      <c r="H5" s="1804"/>
    </row>
    <row r="6" spans="2:18" ht="22.8">
      <c r="B6" s="1804" t="str">
        <f>"TRIAL  BALANCE - "&amp;UPPER('KEY INPUTS'!D557)&amp;"  UTILITY  FUND"</f>
        <v>TRIAL  BALANCE -   UTILITY  FUND</v>
      </c>
      <c r="C6" s="1804"/>
      <c r="D6" s="1804"/>
      <c r="E6" s="1804"/>
      <c r="F6" s="1804"/>
      <c r="G6" s="1804"/>
      <c r="H6" s="1804"/>
    </row>
    <row r="7" spans="2:18" ht="15.6">
      <c r="B7" s="1805" t="str">
        <f>'KEY INPUTS'!D44</f>
        <v>AS  AT  DECEMBER  31, 2020</v>
      </c>
      <c r="C7" s="1806"/>
      <c r="D7" s="1806"/>
      <c r="E7" s="1806"/>
      <c r="F7" s="1806"/>
      <c r="G7" s="1806"/>
      <c r="H7" s="1806"/>
    </row>
    <row r="8" spans="2:18" ht="15.6">
      <c r="B8" s="1800" t="s">
        <v>477</v>
      </c>
      <c r="C8" s="1800"/>
      <c r="D8" s="1800"/>
      <c r="E8" s="1800"/>
      <c r="F8" s="1800"/>
      <c r="G8" s="1800"/>
      <c r="H8" s="1800"/>
    </row>
    <row r="9" spans="2:18">
      <c r="B9" s="1801" t="s">
        <v>75</v>
      </c>
      <c r="C9" s="1801"/>
      <c r="D9" s="1801"/>
      <c r="E9" s="1801"/>
      <c r="F9" s="1801"/>
      <c r="G9" s="1801"/>
      <c r="H9" s="1801"/>
    </row>
    <row r="10" spans="2:18" ht="15" customHeight="1" thickBot="1">
      <c r="B10" s="1802" t="s">
        <v>76</v>
      </c>
      <c r="C10" s="1802"/>
      <c r="D10" s="1802"/>
      <c r="E10" s="1802"/>
      <c r="F10" s="1802"/>
      <c r="G10" s="1802"/>
      <c r="H10" s="1802"/>
    </row>
    <row r="11" spans="2:18" ht="36" customHeight="1" thickTop="1" thickBot="1">
      <c r="B11" s="1796" t="s">
        <v>100</v>
      </c>
      <c r="C11" s="1796"/>
      <c r="D11" s="1796"/>
      <c r="E11" s="1796"/>
      <c r="F11" s="1797"/>
      <c r="G11" s="1097" t="s">
        <v>101</v>
      </c>
      <c r="H11" s="1098" t="s">
        <v>102</v>
      </c>
      <c r="L11" s="315"/>
      <c r="M11" s="315"/>
      <c r="N11" s="315"/>
      <c r="O11" s="315"/>
      <c r="P11" s="315"/>
      <c r="Q11" s="315"/>
      <c r="R11" s="315"/>
    </row>
    <row r="12" spans="2:18" ht="21" customHeight="1" thickTop="1">
      <c r="B12" s="1096"/>
      <c r="C12" s="1096"/>
      <c r="D12" s="1096"/>
      <c r="E12" s="1096"/>
      <c r="F12" s="1096"/>
      <c r="G12" s="1099"/>
      <c r="H12" s="1100"/>
      <c r="L12" s="315"/>
      <c r="M12" s="315"/>
      <c r="N12" s="315"/>
      <c r="O12" s="315"/>
      <c r="P12" s="315"/>
      <c r="Q12" s="315"/>
      <c r="R12" s="315"/>
    </row>
    <row r="13" spans="2:18" ht="21" customHeight="1">
      <c r="B13" s="681" t="s">
        <v>202</v>
      </c>
      <c r="C13" s="681"/>
      <c r="D13" s="681"/>
      <c r="E13" s="681"/>
      <c r="F13" s="681"/>
      <c r="G13" s="593"/>
      <c r="H13" s="601"/>
      <c r="J13" s="730"/>
      <c r="L13" s="370"/>
      <c r="M13" s="315"/>
      <c r="N13" s="315"/>
      <c r="O13" s="315"/>
      <c r="P13" s="315"/>
      <c r="Q13" s="315"/>
      <c r="R13" s="315"/>
    </row>
    <row r="14" spans="2:18" ht="21" customHeight="1">
      <c r="B14" s="639" t="s">
        <v>335</v>
      </c>
      <c r="C14" s="639"/>
      <c r="D14" s="639"/>
      <c r="E14" s="639"/>
      <c r="F14" s="643"/>
      <c r="G14" s="593"/>
      <c r="H14" s="601"/>
      <c r="J14" s="730"/>
      <c r="L14" s="315"/>
      <c r="M14" s="315"/>
      <c r="N14" s="315"/>
      <c r="O14" s="315"/>
      <c r="P14" s="315"/>
      <c r="Q14" s="315"/>
      <c r="R14" s="315"/>
    </row>
    <row r="15" spans="2:18" ht="21" customHeight="1">
      <c r="B15" s="640"/>
      <c r="C15" s="640"/>
      <c r="D15" s="640"/>
      <c r="E15" s="640"/>
      <c r="F15" s="640"/>
      <c r="G15" s="593"/>
      <c r="H15" s="601"/>
      <c r="L15" s="315"/>
      <c r="M15" s="315"/>
      <c r="N15" s="315"/>
      <c r="O15" s="315"/>
      <c r="P15" s="315"/>
      <c r="Q15" s="315"/>
      <c r="R15" s="315"/>
    </row>
    <row r="16" spans="2:18" ht="21" customHeight="1">
      <c r="B16" s="639" t="s">
        <v>3274</v>
      </c>
      <c r="C16" s="639"/>
      <c r="D16" s="639"/>
      <c r="E16" s="639"/>
      <c r="F16" s="639"/>
      <c r="G16" s="1093"/>
      <c r="H16" s="1093"/>
      <c r="L16" s="315"/>
      <c r="M16" s="315"/>
      <c r="N16" s="315"/>
      <c r="O16" s="315"/>
      <c r="P16" s="315"/>
      <c r="Q16" s="315"/>
      <c r="R16" s="315"/>
    </row>
    <row r="17" spans="2:18" ht="21" customHeight="1">
      <c r="B17" s="639" t="s">
        <v>3274</v>
      </c>
      <c r="C17" s="639"/>
      <c r="D17" s="639"/>
      <c r="E17" s="639"/>
      <c r="F17" s="639"/>
      <c r="G17" s="1093"/>
      <c r="H17" s="1093"/>
      <c r="L17" s="315"/>
      <c r="M17" s="315"/>
      <c r="N17" s="315"/>
      <c r="O17" s="315"/>
      <c r="P17" s="315"/>
      <c r="Q17" s="315"/>
      <c r="R17" s="315"/>
    </row>
    <row r="18" spans="2:18" ht="21" customHeight="1">
      <c r="B18" s="639"/>
      <c r="C18" s="639"/>
      <c r="D18" s="639"/>
      <c r="E18" s="639"/>
      <c r="F18" s="639"/>
      <c r="G18" s="1093"/>
      <c r="H18" s="1093"/>
      <c r="L18" s="315"/>
      <c r="M18" s="315"/>
      <c r="N18" s="315"/>
      <c r="O18" s="315"/>
      <c r="P18" s="315"/>
      <c r="Q18" s="315"/>
      <c r="R18" s="315"/>
    </row>
    <row r="19" spans="2:18" ht="21" customHeight="1">
      <c r="B19" s="1101" t="s">
        <v>3263</v>
      </c>
      <c r="C19" s="1096"/>
      <c r="D19" s="1096"/>
      <c r="E19" s="1096"/>
      <c r="F19" s="1096"/>
      <c r="G19" s="1102"/>
      <c r="H19" s="1103"/>
      <c r="L19" s="315"/>
      <c r="M19" s="315"/>
      <c r="N19" s="315"/>
      <c r="O19" s="315"/>
      <c r="P19" s="315"/>
      <c r="Q19" s="315"/>
      <c r="R19" s="315"/>
    </row>
    <row r="20" spans="2:18" ht="21" customHeight="1">
      <c r="B20" s="681" t="s">
        <v>3264</v>
      </c>
      <c r="C20" s="681"/>
      <c r="D20" s="681"/>
      <c r="E20" s="681"/>
      <c r="F20" s="681"/>
      <c r="G20" s="1104">
        <f>+'47-Utility6'!L24</f>
        <v>0</v>
      </c>
      <c r="H20" s="1105"/>
      <c r="L20" s="315"/>
      <c r="M20" s="315"/>
      <c r="N20" s="315"/>
      <c r="O20" s="315"/>
      <c r="P20" s="315"/>
      <c r="Q20" s="315"/>
      <c r="R20" s="315"/>
    </row>
    <row r="21" spans="2:18" ht="21" customHeight="1">
      <c r="B21" s="681" t="s">
        <v>3265</v>
      </c>
      <c r="C21" s="681"/>
      <c r="D21" s="681"/>
      <c r="E21" s="681"/>
      <c r="F21" s="681"/>
      <c r="G21" s="680">
        <f>+'47-Utility6'!L54</f>
        <v>0</v>
      </c>
      <c r="H21" s="1096"/>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J23" s="730"/>
      <c r="L23" s="315"/>
      <c r="M23" s="315"/>
      <c r="N23" s="315"/>
      <c r="O23" s="315"/>
      <c r="P23" s="315"/>
      <c r="Q23" s="315"/>
      <c r="R23" s="315"/>
    </row>
    <row r="24" spans="2:18" ht="21" customHeight="1">
      <c r="B24" s="639"/>
      <c r="C24" s="639"/>
      <c r="D24" s="639"/>
      <c r="E24" s="639"/>
      <c r="F24" s="639"/>
      <c r="G24" s="593"/>
      <c r="H24" s="601"/>
      <c r="J24" s="730"/>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81" t="s">
        <v>3266</v>
      </c>
      <c r="C26" s="681"/>
      <c r="D26" s="681"/>
      <c r="E26" s="681"/>
      <c r="F26" s="681"/>
      <c r="G26" s="680"/>
      <c r="H26" s="1106"/>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1107" t="s">
        <v>3267</v>
      </c>
      <c r="C30" s="681"/>
      <c r="D30" s="681"/>
      <c r="E30" s="681"/>
      <c r="F30" s="681"/>
      <c r="G30" s="680"/>
      <c r="H30" s="1106"/>
    </row>
    <row r="31" spans="2:18" ht="21" customHeight="1">
      <c r="B31" s="681" t="s">
        <v>3194</v>
      </c>
      <c r="C31" s="681"/>
      <c r="D31" s="681"/>
      <c r="E31" s="681"/>
      <c r="F31" s="681"/>
      <c r="G31" s="593"/>
      <c r="H31" s="1106">
        <f>+'44-Utility6'!I37</f>
        <v>0</v>
      </c>
      <c r="J31" s="730"/>
    </row>
    <row r="32" spans="2:18" ht="21" customHeight="1">
      <c r="B32" s="681" t="s">
        <v>3193</v>
      </c>
      <c r="C32" s="681"/>
      <c r="D32" s="681"/>
      <c r="E32" s="681"/>
      <c r="F32" s="681"/>
      <c r="G32" s="593"/>
      <c r="H32" s="601"/>
    </row>
    <row r="33" spans="2:18" ht="21" customHeight="1">
      <c r="B33" s="681" t="s">
        <v>3192</v>
      </c>
      <c r="C33" s="681"/>
      <c r="D33" s="681"/>
      <c r="E33" s="681"/>
      <c r="F33" s="681"/>
      <c r="G33" s="593"/>
      <c r="H33" s="1108">
        <f>+'49-Utility6'!I29+'49a-Utility6'!I29+'50.1-Utility6'!M24+'49a.1-Utility6'!I29</f>
        <v>0</v>
      </c>
      <c r="J33" s="730"/>
    </row>
    <row r="34" spans="2:18" ht="21" customHeight="1">
      <c r="B34" s="639" t="s">
        <v>3275</v>
      </c>
      <c r="C34" s="639"/>
      <c r="D34" s="639"/>
      <c r="E34" s="639"/>
      <c r="F34" s="643"/>
      <c r="G34" s="593"/>
      <c r="H34" s="601"/>
    </row>
    <row r="35" spans="2:18" ht="21" customHeight="1">
      <c r="B35" s="639"/>
      <c r="C35" s="639"/>
      <c r="D35" s="639"/>
      <c r="E35" s="639"/>
      <c r="F35" s="639"/>
      <c r="G35" s="593"/>
      <c r="H35" s="601"/>
      <c r="L35" s="315"/>
      <c r="M35" s="315"/>
      <c r="N35" s="315"/>
      <c r="O35" s="315"/>
      <c r="P35" s="315"/>
      <c r="Q35" s="315"/>
      <c r="R35" s="315"/>
    </row>
    <row r="36" spans="2:18" ht="21" customHeight="1">
      <c r="B36" s="639"/>
      <c r="C36" s="639"/>
      <c r="D36" s="639"/>
      <c r="E36" s="639"/>
      <c r="F36" s="639"/>
      <c r="G36" s="593"/>
      <c r="H36" s="601"/>
      <c r="J36" s="730"/>
      <c r="L36" s="315"/>
      <c r="M36" s="315"/>
      <c r="N36" s="315"/>
      <c r="O36" s="315"/>
      <c r="P36" s="315"/>
      <c r="Q36" s="315"/>
      <c r="R36" s="315"/>
    </row>
    <row r="37" spans="2:18" ht="21" customHeight="1">
      <c r="B37" s="639"/>
      <c r="C37" s="639"/>
      <c r="D37" s="639"/>
      <c r="E37" s="639"/>
      <c r="F37" s="639"/>
      <c r="G37" s="593"/>
      <c r="H37" s="601"/>
      <c r="J37" s="730"/>
      <c r="L37" s="315"/>
      <c r="M37" s="315"/>
      <c r="N37" s="315"/>
      <c r="O37" s="315"/>
      <c r="P37" s="315"/>
      <c r="Q37" s="315"/>
      <c r="R37" s="315"/>
    </row>
    <row r="38" spans="2:18" ht="21" customHeight="1" thickBot="1">
      <c r="B38" s="639"/>
      <c r="C38" s="639"/>
      <c r="D38" s="639"/>
      <c r="E38" s="639"/>
      <c r="F38" s="639"/>
      <c r="G38" s="593"/>
      <c r="H38" s="625"/>
      <c r="L38" s="315"/>
      <c r="M38" s="315"/>
      <c r="N38" s="315"/>
      <c r="O38" s="315"/>
      <c r="P38" s="315"/>
      <c r="Q38" s="315"/>
      <c r="R38" s="315"/>
    </row>
    <row r="39" spans="2:18" ht="21" customHeight="1" thickTop="1">
      <c r="B39" s="681"/>
      <c r="C39" s="681" t="s">
        <v>3191</v>
      </c>
      <c r="D39" s="681"/>
      <c r="E39" s="681"/>
      <c r="F39" s="1266"/>
      <c r="G39" s="1267"/>
      <c r="H39" s="1109">
        <f>SUM(H30:H38)</f>
        <v>0</v>
      </c>
      <c r="I39" s="391" t="s">
        <v>844</v>
      </c>
    </row>
    <row r="40" spans="2:18" ht="21" customHeight="1">
      <c r="B40" s="1110" t="s">
        <v>3276</v>
      </c>
      <c r="C40" s="1110"/>
      <c r="D40" s="1110"/>
      <c r="E40" s="1110"/>
      <c r="F40" s="1110"/>
      <c r="G40" s="1105"/>
      <c r="H40" s="1093"/>
    </row>
    <row r="41" spans="2:18" ht="21" customHeight="1">
      <c r="B41" s="681"/>
      <c r="C41" s="681"/>
      <c r="D41" s="681"/>
      <c r="E41" s="681"/>
      <c r="F41" s="681"/>
      <c r="G41" s="680"/>
      <c r="H41" s="1106"/>
    </row>
    <row r="42" spans="2:18" ht="21" customHeight="1">
      <c r="B42" s="681" t="s">
        <v>652</v>
      </c>
      <c r="C42" s="681"/>
      <c r="D42" s="681"/>
      <c r="E42" s="681"/>
      <c r="F42" s="681"/>
      <c r="G42" s="680"/>
      <c r="H42" s="1106">
        <f>+'46-Utility6'!K27</f>
        <v>0</v>
      </c>
    </row>
    <row r="43" spans="2:18" ht="21" customHeight="1" thickBot="1">
      <c r="B43" s="681"/>
      <c r="C43" s="681"/>
      <c r="D43" s="681"/>
      <c r="E43" s="681"/>
      <c r="F43" s="681"/>
      <c r="G43" s="1111"/>
      <c r="H43" s="1112"/>
    </row>
    <row r="44" spans="2:18" ht="21" customHeight="1" thickBot="1">
      <c r="B44" s="681" t="s">
        <v>3277</v>
      </c>
      <c r="C44" s="681"/>
      <c r="D44" s="681"/>
      <c r="E44" s="681"/>
      <c r="F44" s="681"/>
      <c r="G44" s="1113">
        <f>SUM(G12:G43)</f>
        <v>0</v>
      </c>
      <c r="H44" s="1114">
        <f>SUM(H39:H43)</f>
        <v>0</v>
      </c>
      <c r="J44" s="392">
        <f>G44-H44</f>
        <v>0</v>
      </c>
    </row>
    <row r="45" spans="2:18" ht="13.8" thickTop="1">
      <c r="B45" s="1908" t="s">
        <v>103</v>
      </c>
      <c r="C45" s="1908"/>
      <c r="D45" s="1908"/>
      <c r="E45" s="1908"/>
      <c r="F45" s="1908"/>
      <c r="G45" s="1908"/>
      <c r="H45" s="1908"/>
    </row>
    <row r="46" spans="2:18">
      <c r="B46" s="1281"/>
      <c r="C46" s="1281"/>
      <c r="D46" s="1281"/>
      <c r="E46" s="1281"/>
      <c r="F46" s="1281"/>
      <c r="G46" s="1281"/>
      <c r="H46" s="1281"/>
    </row>
    <row r="47" spans="2:18">
      <c r="B47" s="1281"/>
      <c r="C47" s="1281"/>
      <c r="D47" s="1281"/>
      <c r="E47" s="1281"/>
      <c r="F47" s="1281"/>
      <c r="G47" s="1281"/>
      <c r="H47" s="1281"/>
    </row>
    <row r="48" spans="2:18">
      <c r="B48" s="1281"/>
      <c r="C48" s="1281"/>
      <c r="D48" s="1281"/>
      <c r="E48" s="1281"/>
      <c r="F48" s="1281"/>
      <c r="G48" s="1281"/>
      <c r="H48" s="1281"/>
    </row>
    <row r="49" spans="2:8">
      <c r="B49" s="1281"/>
      <c r="C49" s="1281"/>
      <c r="D49" s="1281"/>
      <c r="E49" s="1281"/>
      <c r="F49" s="1281"/>
      <c r="G49" s="1281"/>
      <c r="H49" s="1281"/>
    </row>
    <row r="50" spans="2:8" ht="13.8">
      <c r="B50" s="1994" t="s">
        <v>3189</v>
      </c>
      <c r="C50" s="1994"/>
      <c r="D50" s="1994"/>
      <c r="E50" s="1994"/>
      <c r="F50" s="1994"/>
      <c r="G50" s="1994"/>
      <c r="H50" s="1994"/>
    </row>
    <row r="54" spans="2:8">
      <c r="H54" s="392"/>
    </row>
    <row r="57" spans="2:8">
      <c r="H57" s="392">
        <f>+H44-G44</f>
        <v>0</v>
      </c>
    </row>
  </sheetData>
  <sheetProtection algorithmName="SHA-512" hashValue="h12I4tDfqzWpx7LCtExdxyE1GKk+2BO2mYZObGeAKYfoYhc7km4+2TrNeYRq8zg3EeBIMpS6D4wqAfX3r24hJg==" saltValue="4HJzLzknQqShvsQ0JrUUBA=="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1">
    <tabColor theme="3" tint="0.79998168889431442"/>
  </sheetPr>
  <dimension ref="B1:Q55"/>
  <sheetViews>
    <sheetView topLeftCell="A19" zoomScaleNormal="100" zoomScaleSheetLayoutView="80" workbookViewId="0">
      <selection activeCell="B1" sqref="B1"/>
    </sheetView>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INPUTS'!D57)&amp;"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1096"/>
      <c r="C12" s="1096"/>
      <c r="D12" s="1096"/>
      <c r="E12" s="1096"/>
      <c r="F12" s="1096"/>
      <c r="G12" s="1099"/>
      <c r="H12" s="1100"/>
    </row>
    <row r="13" spans="2:17" ht="21" customHeight="1">
      <c r="B13" s="1107" t="s">
        <v>677</v>
      </c>
      <c r="C13" s="681"/>
      <c r="D13" s="681"/>
      <c r="E13" s="681"/>
      <c r="F13" s="681"/>
      <c r="G13" s="680"/>
      <c r="H13" s="1106"/>
      <c r="K13" s="315"/>
      <c r="L13" s="315"/>
      <c r="M13" s="315"/>
      <c r="N13" s="315"/>
      <c r="O13" s="315"/>
      <c r="P13" s="315"/>
      <c r="Q13" s="315"/>
    </row>
    <row r="14" spans="2:17" ht="21" customHeight="1">
      <c r="B14" s="681"/>
      <c r="C14" s="681"/>
      <c r="D14" s="681"/>
      <c r="E14" s="681"/>
      <c r="F14" s="681"/>
      <c r="G14" s="680"/>
      <c r="H14" s="1106"/>
      <c r="K14" s="315"/>
      <c r="L14" s="315"/>
      <c r="M14" s="315"/>
      <c r="N14" s="315"/>
      <c r="O14" s="315"/>
      <c r="P14" s="315"/>
      <c r="Q14" s="315"/>
    </row>
    <row r="15" spans="2:17" ht="21" customHeight="1">
      <c r="B15" s="1096" t="s">
        <v>200</v>
      </c>
      <c r="C15" s="681"/>
      <c r="D15" s="681"/>
      <c r="E15" s="681"/>
      <c r="F15" s="681"/>
      <c r="G15" s="365"/>
      <c r="H15" s="1282" t="s">
        <v>662</v>
      </c>
      <c r="K15" s="370"/>
      <c r="L15" s="315"/>
      <c r="M15" s="315"/>
      <c r="N15" s="315"/>
      <c r="O15" s="315"/>
      <c r="P15" s="315"/>
      <c r="Q15" s="315"/>
    </row>
    <row r="16" spans="2:17" ht="21" customHeight="1">
      <c r="B16" s="681" t="s">
        <v>201</v>
      </c>
      <c r="C16" s="681"/>
      <c r="D16" s="681"/>
      <c r="E16" s="681"/>
      <c r="F16" s="681"/>
      <c r="G16" s="1156" t="s">
        <v>662</v>
      </c>
      <c r="H16" s="904">
        <f>+G15</f>
        <v>0</v>
      </c>
      <c r="K16" s="315"/>
      <c r="L16" s="315"/>
      <c r="M16" s="315"/>
      <c r="N16" s="315"/>
      <c r="O16" s="315"/>
      <c r="P16" s="315"/>
      <c r="Q16" s="315"/>
    </row>
    <row r="17" spans="2:17" ht="21" customHeight="1">
      <c r="B17" s="681"/>
      <c r="C17" s="681"/>
      <c r="D17" s="681"/>
      <c r="E17" s="681"/>
      <c r="F17" s="681"/>
      <c r="G17" s="897"/>
      <c r="H17" s="904"/>
      <c r="K17" s="315"/>
      <c r="L17" s="315"/>
      <c r="M17" s="315"/>
      <c r="N17" s="315"/>
      <c r="O17" s="315"/>
      <c r="P17" s="315"/>
      <c r="Q17" s="315"/>
    </row>
    <row r="18" spans="2:17" ht="21" customHeight="1">
      <c r="B18" s="681"/>
      <c r="C18" s="681" t="s">
        <v>375</v>
      </c>
      <c r="D18" s="681"/>
      <c r="E18" s="681"/>
      <c r="F18" s="681"/>
      <c r="G18" s="365"/>
      <c r="H18" s="561"/>
      <c r="K18" s="315"/>
      <c r="L18" s="315"/>
      <c r="M18" s="315"/>
      <c r="N18" s="315"/>
      <c r="O18" s="315"/>
      <c r="P18" s="315"/>
      <c r="Q18" s="315"/>
    </row>
    <row r="19" spans="2:17" ht="21" customHeight="1">
      <c r="B19" s="395"/>
      <c r="C19" s="639"/>
      <c r="D19" s="639"/>
      <c r="E19" s="639"/>
      <c r="F19" s="639"/>
      <c r="G19" s="365"/>
      <c r="H19" s="561"/>
      <c r="K19" s="315"/>
      <c r="L19" s="315"/>
      <c r="M19" s="315"/>
      <c r="N19" s="315"/>
      <c r="O19" s="315"/>
      <c r="P19" s="315"/>
      <c r="Q19" s="315"/>
    </row>
    <row r="20" spans="2:17" ht="21" customHeight="1">
      <c r="B20" s="681"/>
      <c r="C20" s="681" t="s">
        <v>942</v>
      </c>
      <c r="D20" s="681"/>
      <c r="E20" s="681"/>
      <c r="F20" s="681"/>
      <c r="G20" s="365"/>
      <c r="H20" s="561"/>
      <c r="K20" s="315"/>
      <c r="L20" s="315"/>
      <c r="M20" s="315"/>
      <c r="N20" s="315"/>
      <c r="O20" s="315"/>
      <c r="P20" s="315"/>
      <c r="Q20" s="315"/>
    </row>
    <row r="21" spans="2:17" ht="21" customHeight="1">
      <c r="B21" s="681"/>
      <c r="C21" s="681" t="s">
        <v>678</v>
      </c>
      <c r="D21" s="681"/>
      <c r="E21" s="681"/>
      <c r="F21" s="681"/>
      <c r="G21" s="897"/>
      <c r="H21" s="898"/>
      <c r="K21" s="315"/>
      <c r="L21" s="315"/>
      <c r="M21" s="315"/>
      <c r="N21" s="315"/>
      <c r="O21" s="315"/>
      <c r="P21" s="315"/>
      <c r="Q21" s="315"/>
    </row>
    <row r="22" spans="2:17" ht="21" customHeight="1">
      <c r="B22" s="681"/>
      <c r="C22" s="681"/>
      <c r="D22" s="681" t="s">
        <v>92</v>
      </c>
      <c r="E22" s="681"/>
      <c r="F22" s="681"/>
      <c r="G22" s="365"/>
      <c r="H22" s="561"/>
      <c r="K22" s="315"/>
      <c r="L22" s="315"/>
      <c r="M22" s="315"/>
      <c r="N22" s="315"/>
      <c r="O22" s="315"/>
      <c r="P22" s="315"/>
      <c r="Q22" s="315"/>
    </row>
    <row r="23" spans="2:17" ht="21" customHeight="1">
      <c r="B23" s="681"/>
      <c r="C23" s="681"/>
      <c r="D23" s="681" t="s">
        <v>706</v>
      </c>
      <c r="E23" s="681"/>
      <c r="F23" s="681"/>
      <c r="G23" s="365"/>
      <c r="H23" s="561"/>
      <c r="K23" s="315"/>
      <c r="L23" s="315"/>
      <c r="M23" s="315"/>
      <c r="N23" s="315"/>
      <c r="O23" s="315"/>
      <c r="P23" s="315"/>
      <c r="Q23" s="315"/>
    </row>
    <row r="24" spans="2:17" ht="21" customHeight="1">
      <c r="B24" s="395"/>
      <c r="C24" s="639"/>
      <c r="D24" s="639" t="s">
        <v>3190</v>
      </c>
      <c r="E24" s="639"/>
      <c r="F24" s="639"/>
      <c r="G24" s="365"/>
      <c r="H24" s="581"/>
      <c r="K24" s="315"/>
      <c r="L24" s="315"/>
      <c r="M24" s="315"/>
      <c r="N24" s="315"/>
      <c r="O24" s="315"/>
      <c r="P24" s="315"/>
      <c r="Q24" s="315"/>
    </row>
    <row r="25" spans="2:17" ht="21" customHeight="1">
      <c r="B25" s="395"/>
      <c r="C25" s="639"/>
      <c r="D25" s="639" t="s">
        <v>3190</v>
      </c>
      <c r="E25" s="639"/>
      <c r="F25" s="639"/>
      <c r="G25" s="365"/>
      <c r="H25" s="581" t="s">
        <v>3190</v>
      </c>
    </row>
    <row r="26" spans="2:17" ht="21" customHeight="1">
      <c r="B26" s="395"/>
      <c r="C26" s="640"/>
      <c r="D26" s="639"/>
      <c r="E26" s="639"/>
      <c r="F26" s="639"/>
      <c r="G26" s="365"/>
      <c r="H26" s="642"/>
    </row>
    <row r="27" spans="2:17" ht="21" customHeight="1">
      <c r="B27" s="395"/>
      <c r="C27" s="639" t="s">
        <v>3190</v>
      </c>
      <c r="D27" s="639"/>
      <c r="E27" s="639"/>
      <c r="F27" s="639"/>
      <c r="G27" s="365"/>
      <c r="H27" s="581" t="s">
        <v>3190</v>
      </c>
    </row>
    <row r="28" spans="2:17" ht="21" customHeight="1">
      <c r="B28" s="395"/>
      <c r="C28" s="639"/>
      <c r="D28" s="639"/>
      <c r="E28" s="639"/>
      <c r="F28" s="639"/>
      <c r="G28" s="365"/>
      <c r="H28" s="581"/>
    </row>
    <row r="29" spans="2:17" ht="21" customHeight="1">
      <c r="B29" s="395"/>
      <c r="C29" s="639"/>
      <c r="D29" s="639" t="s">
        <v>3190</v>
      </c>
      <c r="E29" s="639"/>
      <c r="F29" s="639"/>
      <c r="G29" s="365"/>
      <c r="H29" s="581"/>
      <c r="K29" s="315"/>
      <c r="L29" s="315"/>
      <c r="M29" s="315"/>
      <c r="N29" s="315"/>
      <c r="O29" s="315"/>
      <c r="P29" s="315"/>
      <c r="Q29" s="315"/>
    </row>
    <row r="30" spans="2:17" ht="21" customHeight="1">
      <c r="B30" s="395"/>
      <c r="C30" s="639"/>
      <c r="D30" s="639" t="s">
        <v>3190</v>
      </c>
      <c r="E30" s="639"/>
      <c r="F30" s="639"/>
      <c r="G30" s="365"/>
      <c r="H30" s="581"/>
      <c r="K30" s="315"/>
      <c r="L30" s="315"/>
      <c r="M30" s="315"/>
      <c r="N30" s="315"/>
      <c r="O30" s="315"/>
      <c r="P30" s="315"/>
      <c r="Q30" s="315"/>
    </row>
    <row r="31" spans="2:17" ht="21" customHeight="1">
      <c r="B31" s="395"/>
      <c r="C31" s="639"/>
      <c r="D31" s="639" t="s">
        <v>3190</v>
      </c>
      <c r="E31" s="639"/>
      <c r="F31" s="639"/>
      <c r="G31" s="365"/>
      <c r="H31" s="581" t="s">
        <v>3190</v>
      </c>
    </row>
    <row r="32" spans="2:17" ht="21" customHeight="1">
      <c r="B32" s="395"/>
      <c r="C32" s="640"/>
      <c r="D32" s="639"/>
      <c r="E32" s="639"/>
      <c r="F32" s="639"/>
      <c r="G32" s="365"/>
      <c r="H32" s="642"/>
    </row>
    <row r="33" spans="2:17" ht="21" customHeight="1">
      <c r="B33" s="395"/>
      <c r="C33" s="639" t="s">
        <v>3190</v>
      </c>
      <c r="D33" s="639"/>
      <c r="E33" s="639"/>
      <c r="F33" s="639"/>
      <c r="G33" s="365"/>
      <c r="H33" s="581" t="s">
        <v>3190</v>
      </c>
    </row>
    <row r="34" spans="2:17" ht="21" customHeight="1">
      <c r="B34" s="395"/>
      <c r="C34" s="639"/>
      <c r="D34" s="639"/>
      <c r="E34" s="639"/>
      <c r="F34" s="639"/>
      <c r="G34" s="365"/>
      <c r="H34" s="581"/>
    </row>
    <row r="35" spans="2:17" ht="21" customHeight="1">
      <c r="B35" s="395"/>
      <c r="C35" s="639"/>
      <c r="D35" s="639" t="s">
        <v>3190</v>
      </c>
      <c r="E35" s="639"/>
      <c r="F35" s="639"/>
      <c r="G35" s="365"/>
      <c r="H35" s="581"/>
      <c r="K35" s="315"/>
      <c r="L35" s="315"/>
      <c r="M35" s="315"/>
      <c r="N35" s="315"/>
      <c r="O35" s="315"/>
      <c r="P35" s="315"/>
      <c r="Q35" s="315"/>
    </row>
    <row r="36" spans="2:17" ht="21" customHeight="1">
      <c r="B36" s="395"/>
      <c r="C36" s="639"/>
      <c r="D36" s="639" t="s">
        <v>3190</v>
      </c>
      <c r="E36" s="639"/>
      <c r="F36" s="639"/>
      <c r="G36" s="365"/>
      <c r="H36" s="581" t="s">
        <v>3190</v>
      </c>
    </row>
    <row r="37" spans="2:17" ht="21" customHeight="1">
      <c r="B37" s="395"/>
      <c r="C37" s="640"/>
      <c r="D37" s="639"/>
      <c r="E37" s="639"/>
      <c r="F37" s="639"/>
      <c r="G37" s="365"/>
      <c r="H37" s="642"/>
    </row>
    <row r="38" spans="2:17" ht="21" customHeight="1">
      <c r="B38" s="395"/>
      <c r="C38" s="639" t="s">
        <v>3190</v>
      </c>
      <c r="D38" s="639"/>
      <c r="E38" s="639"/>
      <c r="F38" s="639"/>
      <c r="G38" s="365"/>
      <c r="H38" s="581" t="s">
        <v>3190</v>
      </c>
    </row>
    <row r="39" spans="2:17" ht="21" customHeight="1">
      <c r="B39" s="395"/>
      <c r="C39" s="639"/>
      <c r="D39" s="639"/>
      <c r="E39" s="639"/>
      <c r="F39" s="639"/>
      <c r="G39" s="365"/>
      <c r="H39" s="581"/>
    </row>
    <row r="40" spans="2:17" ht="21" customHeight="1">
      <c r="B40" s="395"/>
      <c r="C40" s="639"/>
      <c r="D40" s="639"/>
      <c r="E40" s="639"/>
      <c r="F40" s="639"/>
      <c r="G40" s="365"/>
      <c r="H40" s="581"/>
    </row>
    <row r="41" spans="2:17" ht="21" customHeight="1">
      <c r="B41" s="395"/>
      <c r="C41" s="639" t="s">
        <v>3190</v>
      </c>
      <c r="D41" s="639"/>
      <c r="E41" s="639"/>
      <c r="F41" s="639"/>
      <c r="G41" s="365"/>
      <c r="H41" s="581" t="s">
        <v>3190</v>
      </c>
    </row>
    <row r="42" spans="2:17" ht="21" customHeight="1">
      <c r="B42" s="395"/>
      <c r="C42" s="639" t="s">
        <v>3190</v>
      </c>
      <c r="D42" s="639"/>
      <c r="E42" s="639"/>
      <c r="F42" s="639"/>
      <c r="G42" s="365"/>
      <c r="H42" s="581" t="s">
        <v>3190</v>
      </c>
    </row>
    <row r="43" spans="2:17" ht="21" customHeight="1" thickBot="1">
      <c r="B43" s="681"/>
      <c r="C43" s="681"/>
      <c r="D43" s="681"/>
      <c r="E43" s="681"/>
      <c r="F43" s="681"/>
      <c r="G43" s="1276"/>
      <c r="H43" s="1277"/>
      <c r="I43" s="392"/>
      <c r="M43" s="392"/>
    </row>
    <row r="44" spans="2:17" ht="21" customHeight="1" thickBot="1">
      <c r="B44" s="681"/>
      <c r="C44" s="681" t="s">
        <v>3323</v>
      </c>
      <c r="D44" s="681"/>
      <c r="E44" s="681"/>
      <c r="F44" s="681"/>
      <c r="G44" s="1278">
        <f>SUM(G15:G42)</f>
        <v>0</v>
      </c>
      <c r="H44" s="1279">
        <f>SUM(H15:H43)</f>
        <v>0</v>
      </c>
      <c r="I44" s="392"/>
      <c r="K44" s="392"/>
    </row>
    <row r="45" spans="2:17" ht="13.8" thickTop="1">
      <c r="B45" s="1961" t="s">
        <v>103</v>
      </c>
      <c r="C45" s="1961"/>
      <c r="D45" s="1961"/>
      <c r="E45" s="1961"/>
      <c r="F45" s="1961"/>
      <c r="G45" s="1962"/>
      <c r="H45" s="1962"/>
    </row>
    <row r="46" spans="2:17">
      <c r="B46" s="1281"/>
      <c r="C46" s="1281"/>
      <c r="D46" s="1281"/>
      <c r="E46" s="1281"/>
      <c r="F46" s="1281"/>
      <c r="G46" s="1281"/>
      <c r="H46" s="1281"/>
    </row>
    <row r="47" spans="2:17">
      <c r="B47" s="1281"/>
      <c r="C47" s="1281"/>
      <c r="D47" s="1281"/>
      <c r="E47" s="1281"/>
      <c r="F47" s="1281"/>
      <c r="G47" s="1281"/>
      <c r="H47" s="1281"/>
    </row>
    <row r="48" spans="2:17">
      <c r="B48" s="1281"/>
      <c r="C48" s="1281"/>
      <c r="D48" s="1281"/>
      <c r="E48" s="1281"/>
      <c r="F48" s="1281"/>
      <c r="G48" s="1281"/>
      <c r="H48" s="1281"/>
    </row>
    <row r="49" spans="2:8">
      <c r="B49" s="1281"/>
      <c r="C49" s="1281"/>
      <c r="D49" s="1281"/>
      <c r="E49" s="1281"/>
      <c r="F49" s="1281"/>
      <c r="G49" s="1281"/>
      <c r="H49" s="1281"/>
    </row>
    <row r="50" spans="2:8" ht="13.8">
      <c r="B50" s="1994" t="s">
        <v>3195</v>
      </c>
      <c r="C50" s="1994"/>
      <c r="D50" s="1994"/>
      <c r="E50" s="1994"/>
      <c r="F50" s="1994"/>
      <c r="G50" s="1994"/>
      <c r="H50" s="1994"/>
    </row>
    <row r="55" spans="2:8">
      <c r="H55" s="392"/>
    </row>
  </sheetData>
  <sheetProtection algorithmName="SHA-512" hashValue="Rh2R4Pp9yZgmV/xr3gJ6BtYKw/kVXdrX/vZIcie+vqHxsDtqkGjXjh3o2JWYMJyqYDczOTneL1Rf/nrEhFRweA==" saltValue="g9itsj/Om6vdZduwwo6tNw=="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2">
    <tabColor theme="3" tint="0.79998168889431442"/>
  </sheetPr>
  <dimension ref="B1:Q55"/>
  <sheetViews>
    <sheetView zoomScaleNormal="100" zoomScaleSheetLayoutView="80" workbookViewId="0"/>
  </sheetViews>
  <sheetFormatPr defaultColWidth="8.88671875" defaultRowHeight="13.2"/>
  <cols>
    <col min="1" max="1" width="4.6640625" style="391" customWidth="1"/>
    <col min="2" max="2" width="4.88671875" style="391" customWidth="1"/>
    <col min="3" max="4" width="4.6640625" style="391" customWidth="1"/>
    <col min="5" max="5" width="34.33203125" style="391" customWidth="1"/>
    <col min="6" max="6" width="15.6640625" style="391" customWidth="1"/>
    <col min="7" max="8" width="16.6640625" style="391" customWidth="1"/>
    <col min="9" max="9" width="10.88671875" style="391" bestFit="1" customWidth="1"/>
    <col min="10" max="10" width="8.88671875" style="391"/>
    <col min="11" max="11" width="10.33203125" style="391" bestFit="1" customWidth="1"/>
    <col min="12" max="12" width="8.88671875" style="391"/>
    <col min="13" max="13" width="13.88671875" style="391" bestFit="1" customWidth="1"/>
    <col min="14" max="16384" width="8.88671875" style="391"/>
  </cols>
  <sheetData>
    <row r="1" spans="2:17">
      <c r="B1" s="1096"/>
      <c r="C1" s="1096"/>
      <c r="D1" s="1096"/>
      <c r="E1" s="1096"/>
      <c r="F1" s="1096"/>
      <c r="G1" s="1096"/>
      <c r="H1" s="1096"/>
    </row>
    <row r="2" spans="2:17">
      <c r="B2" s="1803" t="s">
        <v>37</v>
      </c>
      <c r="C2" s="1803"/>
      <c r="D2" s="1803"/>
      <c r="E2" s="1803"/>
      <c r="F2" s="1803"/>
      <c r="G2" s="1803"/>
      <c r="H2" s="1803"/>
    </row>
    <row r="3" spans="2:17">
      <c r="B3" s="1803" t="s">
        <v>476</v>
      </c>
      <c r="C3" s="1803"/>
      <c r="D3" s="1803"/>
      <c r="E3" s="1803"/>
      <c r="F3" s="1803"/>
      <c r="G3" s="1803"/>
      <c r="H3" s="1803"/>
    </row>
    <row r="4" spans="2:17">
      <c r="B4" s="1096"/>
      <c r="C4" s="1096"/>
      <c r="D4" s="1096"/>
      <c r="E4" s="1096"/>
      <c r="F4" s="1096"/>
      <c r="G4" s="1096"/>
      <c r="H4" s="1096"/>
    </row>
    <row r="5" spans="2:17" ht="22.8">
      <c r="B5" s="1804" t="s">
        <v>451</v>
      </c>
      <c r="C5" s="1804"/>
      <c r="D5" s="1804"/>
      <c r="E5" s="1804"/>
      <c r="F5" s="1804"/>
      <c r="G5" s="1804"/>
      <c r="H5" s="1804"/>
    </row>
    <row r="6" spans="2:17" ht="22.8">
      <c r="B6" s="1804" t="str">
        <f>"TRIAL  BALANCE - "&amp;UPPER('KEY INPUTS'!D57)&amp;"  UTILITY  FUND (cont'd)"</f>
        <v>TRIAL  BALANCE -   UTILITY  FUND (cont'd)</v>
      </c>
      <c r="C6" s="1804"/>
      <c r="D6" s="1804"/>
      <c r="E6" s="1804"/>
      <c r="F6" s="1804"/>
      <c r="G6" s="1804"/>
      <c r="H6" s="1804"/>
    </row>
    <row r="7" spans="2:17" ht="15.6">
      <c r="B7" s="1805" t="str">
        <f>'KEY INPUTS'!D44</f>
        <v>AS  AT  DECEMBER  31, 2020</v>
      </c>
      <c r="C7" s="1806"/>
      <c r="D7" s="1806"/>
      <c r="E7" s="1806"/>
      <c r="F7" s="1806"/>
      <c r="G7" s="1806"/>
      <c r="H7" s="1806"/>
    </row>
    <row r="8" spans="2:17" ht="15.6">
      <c r="B8" s="1800" t="s">
        <v>477</v>
      </c>
      <c r="C8" s="1800"/>
      <c r="D8" s="1800"/>
      <c r="E8" s="1800"/>
      <c r="F8" s="1800"/>
      <c r="G8" s="1800"/>
      <c r="H8" s="1800"/>
    </row>
    <row r="9" spans="2:17">
      <c r="B9" s="1801" t="s">
        <v>75</v>
      </c>
      <c r="C9" s="1801"/>
      <c r="D9" s="1801"/>
      <c r="E9" s="1801"/>
      <c r="F9" s="1801"/>
      <c r="G9" s="1801"/>
      <c r="H9" s="1801"/>
    </row>
    <row r="10" spans="2:17" ht="15" customHeight="1" thickBot="1">
      <c r="B10" s="1802" t="s">
        <v>76</v>
      </c>
      <c r="C10" s="1802"/>
      <c r="D10" s="1802"/>
      <c r="E10" s="1802"/>
      <c r="F10" s="1802"/>
      <c r="G10" s="1802"/>
      <c r="H10" s="1802"/>
    </row>
    <row r="11" spans="2:17" ht="36" customHeight="1" thickTop="1" thickBot="1">
      <c r="B11" s="1796" t="s">
        <v>100</v>
      </c>
      <c r="C11" s="1796"/>
      <c r="D11" s="1796"/>
      <c r="E11" s="1796"/>
      <c r="F11" s="1797"/>
      <c r="G11" s="1097" t="s">
        <v>101</v>
      </c>
      <c r="H11" s="1098" t="s">
        <v>102</v>
      </c>
    </row>
    <row r="12" spans="2:17" ht="21" customHeight="1" thickTop="1">
      <c r="B12" s="681"/>
      <c r="C12" s="681" t="s">
        <v>3324</v>
      </c>
      <c r="D12" s="681"/>
      <c r="E12" s="681"/>
      <c r="F12" s="681"/>
      <c r="G12" s="897">
        <f>'41a-Utility6'!G44</f>
        <v>0</v>
      </c>
      <c r="H12" s="904">
        <f>'41a-Utility6'!H44</f>
        <v>0</v>
      </c>
    </row>
    <row r="13" spans="2:17" ht="21" customHeight="1">
      <c r="C13" s="640"/>
      <c r="D13" s="640"/>
      <c r="E13" s="640"/>
      <c r="F13" s="640"/>
      <c r="G13" s="593"/>
      <c r="H13" s="642"/>
    </row>
    <row r="14" spans="2:17" ht="21" customHeight="1">
      <c r="B14" s="400"/>
      <c r="C14" s="639"/>
      <c r="D14" s="639"/>
      <c r="E14" s="639"/>
      <c r="F14" s="639"/>
      <c r="G14" s="593"/>
      <c r="H14" s="601"/>
      <c r="K14" s="315"/>
      <c r="L14" s="315"/>
      <c r="M14" s="315"/>
      <c r="N14" s="315"/>
      <c r="O14" s="315"/>
      <c r="P14" s="315"/>
      <c r="Q14" s="315"/>
    </row>
    <row r="15" spans="2:17" ht="21" customHeight="1">
      <c r="B15" s="395"/>
      <c r="C15" s="639"/>
      <c r="D15" s="639"/>
      <c r="E15" s="639"/>
      <c r="F15" s="639"/>
      <c r="G15" s="593"/>
      <c r="H15" s="601"/>
      <c r="K15" s="315"/>
      <c r="L15" s="315"/>
      <c r="M15" s="315"/>
      <c r="N15" s="315"/>
      <c r="O15" s="315"/>
      <c r="P15" s="315"/>
      <c r="Q15" s="315"/>
    </row>
    <row r="16" spans="2:17" ht="21" customHeight="1">
      <c r="B16" s="395"/>
      <c r="C16" s="639"/>
      <c r="D16" s="639"/>
      <c r="E16" s="639"/>
      <c r="F16" s="639"/>
      <c r="G16" s="365"/>
      <c r="H16" s="581"/>
      <c r="K16" s="315"/>
      <c r="L16" s="315"/>
      <c r="M16" s="315"/>
      <c r="N16" s="315"/>
      <c r="O16" s="315"/>
      <c r="P16" s="315"/>
      <c r="Q16" s="315"/>
    </row>
    <row r="17" spans="2:17" ht="21" customHeight="1">
      <c r="B17" s="681"/>
      <c r="C17" s="681" t="s">
        <v>3198</v>
      </c>
      <c r="D17" s="681"/>
      <c r="E17" s="681"/>
      <c r="F17" s="681"/>
      <c r="G17" s="897"/>
      <c r="H17" s="904">
        <f>'49-Utility6'!G22</f>
        <v>0</v>
      </c>
      <c r="K17" s="315"/>
      <c r="L17" s="315"/>
      <c r="M17" s="315"/>
      <c r="N17" s="315"/>
      <c r="O17" s="315"/>
      <c r="P17" s="315"/>
      <c r="Q17" s="315"/>
    </row>
    <row r="18" spans="2:17" ht="21" customHeight="1">
      <c r="B18" s="681"/>
      <c r="C18" s="681" t="s">
        <v>3447</v>
      </c>
      <c r="D18" s="681"/>
      <c r="E18" s="681"/>
      <c r="F18" s="681"/>
      <c r="G18" s="897"/>
      <c r="H18" s="904">
        <f>'49a-Utility6'!G11+'49a-Utility6'!G22+'49a.1-Utility6'!G11+'49a.1-Utility6'!G22</f>
        <v>0</v>
      </c>
    </row>
    <row r="19" spans="2:17" ht="21" customHeight="1">
      <c r="B19" s="681"/>
      <c r="C19" s="681" t="s">
        <v>3457</v>
      </c>
      <c r="D19" s="681"/>
      <c r="E19" s="681"/>
      <c r="F19" s="681"/>
      <c r="G19" s="897"/>
      <c r="H19" s="904">
        <f>+'51a-Utility6'!G23</f>
        <v>0</v>
      </c>
      <c r="K19" s="315"/>
      <c r="L19" s="315"/>
      <c r="M19" s="315"/>
      <c r="N19" s="315"/>
      <c r="O19" s="315"/>
      <c r="P19" s="315"/>
      <c r="Q19" s="315"/>
    </row>
    <row r="20" spans="2:17" ht="21" customHeight="1">
      <c r="B20" s="681"/>
      <c r="C20" s="905" t="s">
        <v>3197</v>
      </c>
      <c r="D20" s="681"/>
      <c r="E20" s="681"/>
      <c r="F20" s="681"/>
      <c r="G20" s="897"/>
      <c r="H20" s="904">
        <f>+'50.1-Utility6'!G18</f>
        <v>0</v>
      </c>
      <c r="K20" s="315"/>
      <c r="L20" s="315"/>
      <c r="M20" s="315"/>
      <c r="N20" s="315"/>
      <c r="O20" s="315"/>
      <c r="P20" s="315"/>
      <c r="Q20" s="315"/>
    </row>
    <row r="21" spans="2:17" ht="21" customHeight="1">
      <c r="B21" s="681"/>
      <c r="C21" s="681" t="s">
        <v>851</v>
      </c>
      <c r="D21" s="681"/>
      <c r="E21" s="681"/>
      <c r="F21" s="681"/>
      <c r="G21" s="897"/>
      <c r="H21" s="904" t="s">
        <v>3190</v>
      </c>
      <c r="K21" s="315"/>
      <c r="L21" s="315"/>
      <c r="M21" s="315"/>
      <c r="N21" s="315"/>
      <c r="O21" s="315"/>
      <c r="P21" s="315"/>
      <c r="Q21" s="315"/>
    </row>
    <row r="22" spans="2:17" ht="21" customHeight="1">
      <c r="B22" s="681"/>
      <c r="C22" s="681"/>
      <c r="D22" s="681" t="s">
        <v>848</v>
      </c>
      <c r="E22" s="681"/>
      <c r="F22" s="681"/>
      <c r="G22" s="897"/>
      <c r="H22" s="904">
        <f>+'52-Utility6'!K27</f>
        <v>0</v>
      </c>
      <c r="J22" s="392"/>
      <c r="K22" s="315"/>
      <c r="L22" s="315"/>
      <c r="M22" s="315"/>
      <c r="N22" s="315"/>
      <c r="O22" s="315"/>
      <c r="P22" s="315"/>
      <c r="Q22" s="315"/>
    </row>
    <row r="23" spans="2:17" ht="21" customHeight="1">
      <c r="B23" s="681"/>
      <c r="C23" s="681"/>
      <c r="D23" s="681" t="s">
        <v>849</v>
      </c>
      <c r="E23" s="681"/>
      <c r="F23" s="681"/>
      <c r="G23" s="897"/>
      <c r="H23" s="904">
        <f>+'52-Utility6'!L27</f>
        <v>0</v>
      </c>
      <c r="J23" s="392"/>
      <c r="K23" s="315"/>
      <c r="L23" s="315"/>
      <c r="M23" s="315"/>
      <c r="N23" s="315"/>
      <c r="O23" s="315"/>
      <c r="P23" s="315"/>
      <c r="Q23" s="315"/>
    </row>
    <row r="24" spans="2:17" ht="21" customHeight="1">
      <c r="B24" s="395"/>
      <c r="C24" s="639" t="s">
        <v>3196</v>
      </c>
      <c r="D24" s="639"/>
      <c r="E24" s="639"/>
      <c r="F24" s="639"/>
      <c r="G24" s="365"/>
      <c r="H24" s="561"/>
    </row>
    <row r="25" spans="2:17" ht="21" customHeight="1">
      <c r="B25" s="395"/>
      <c r="C25" s="639" t="s">
        <v>709</v>
      </c>
      <c r="D25" s="639"/>
      <c r="E25" s="639"/>
      <c r="F25" s="639"/>
      <c r="G25" s="365"/>
      <c r="H25" s="561"/>
    </row>
    <row r="26" spans="2:17" ht="21" customHeight="1">
      <c r="B26" s="395"/>
      <c r="C26" s="639" t="str">
        <f>"DUE TO "&amp;UPPER('KEY INPUTS'!D52)&amp;" OPERATING"</f>
        <v>DUE TO WATER/SEWER UTILITY OPERATING</v>
      </c>
      <c r="D26" s="639"/>
      <c r="E26" s="639"/>
      <c r="F26" s="639"/>
      <c r="G26" s="365"/>
      <c r="H26" s="561"/>
    </row>
    <row r="27" spans="2:17" ht="21" customHeight="1">
      <c r="B27" s="395"/>
      <c r="C27" s="639" t="s">
        <v>708</v>
      </c>
      <c r="D27" s="639"/>
      <c r="E27" s="639"/>
      <c r="F27" s="639"/>
      <c r="G27" s="365"/>
      <c r="H27" s="561"/>
    </row>
    <row r="28" spans="2:17" ht="21" customHeight="1">
      <c r="B28" s="395"/>
      <c r="C28" s="639" t="s">
        <v>707</v>
      </c>
      <c r="D28" s="639"/>
      <c r="E28" s="639"/>
      <c r="F28" s="639"/>
      <c r="G28" s="365"/>
      <c r="H28" s="561"/>
    </row>
    <row r="29" spans="2:17" ht="21" customHeight="1">
      <c r="B29" s="395"/>
      <c r="C29" s="639" t="s">
        <v>303</v>
      </c>
      <c r="D29" s="639"/>
      <c r="E29" s="639"/>
      <c r="F29" s="639"/>
      <c r="G29" s="365"/>
      <c r="H29" s="561"/>
    </row>
    <row r="30" spans="2:17" ht="21" customHeight="1">
      <c r="B30" s="395"/>
      <c r="C30" s="639"/>
      <c r="D30" s="639"/>
      <c r="E30" s="639"/>
      <c r="F30" s="639"/>
      <c r="G30" s="365"/>
      <c r="H30" s="581" t="s">
        <v>3190</v>
      </c>
    </row>
    <row r="31" spans="2:17" ht="21" customHeight="1">
      <c r="B31" s="395"/>
      <c r="C31" s="639"/>
      <c r="D31" s="639"/>
      <c r="E31" s="639"/>
      <c r="F31" s="639"/>
      <c r="G31" s="365"/>
      <c r="H31" s="581" t="s">
        <v>3190</v>
      </c>
    </row>
    <row r="32" spans="2:17" ht="21" customHeight="1">
      <c r="B32" s="395"/>
      <c r="C32" s="639"/>
      <c r="D32" s="639"/>
      <c r="E32" s="639"/>
      <c r="F32" s="639"/>
      <c r="G32" s="365"/>
      <c r="H32" s="642"/>
    </row>
    <row r="33" spans="2:13" ht="21" customHeight="1">
      <c r="B33" s="395"/>
      <c r="C33" s="639"/>
      <c r="D33" s="639"/>
      <c r="E33" s="639"/>
      <c r="F33" s="639"/>
      <c r="G33" s="365"/>
      <c r="H33" s="581" t="s">
        <v>3190</v>
      </c>
    </row>
    <row r="34" spans="2:13" ht="21" customHeight="1">
      <c r="B34" s="395"/>
      <c r="C34" s="639"/>
      <c r="D34" s="639"/>
      <c r="E34" s="639"/>
      <c r="F34" s="639"/>
      <c r="G34" s="365"/>
      <c r="H34" s="581"/>
    </row>
    <row r="35" spans="2:13" ht="21" customHeight="1">
      <c r="B35" s="395"/>
      <c r="C35" s="639"/>
      <c r="D35" s="639"/>
      <c r="E35" s="639"/>
      <c r="F35" s="639"/>
      <c r="G35" s="365"/>
      <c r="H35" s="581"/>
    </row>
    <row r="36" spans="2:13" ht="21" customHeight="1">
      <c r="B36" s="395"/>
      <c r="C36" s="639"/>
      <c r="D36" s="639"/>
      <c r="E36" s="639"/>
      <c r="F36" s="639"/>
      <c r="G36" s="365"/>
      <c r="H36" s="581" t="s">
        <v>3190</v>
      </c>
    </row>
    <row r="37" spans="2:13" ht="21" customHeight="1">
      <c r="B37" s="395"/>
      <c r="C37" s="639"/>
      <c r="D37" s="639"/>
      <c r="E37" s="639"/>
      <c r="F37" s="639"/>
      <c r="G37" s="365"/>
      <c r="H37" s="642"/>
    </row>
    <row r="38" spans="2:13" ht="21" customHeight="1">
      <c r="B38" s="395"/>
      <c r="C38" s="639"/>
      <c r="D38" s="639"/>
      <c r="E38" s="639"/>
      <c r="F38" s="639"/>
      <c r="G38" s="365"/>
      <c r="H38" s="581" t="s">
        <v>3190</v>
      </c>
    </row>
    <row r="39" spans="2:13" ht="21" customHeight="1">
      <c r="B39" s="395"/>
      <c r="C39" s="639"/>
      <c r="D39" s="639"/>
      <c r="E39" s="639"/>
      <c r="F39" s="639"/>
      <c r="G39" s="365"/>
      <c r="H39" s="581"/>
    </row>
    <row r="40" spans="2:13" ht="21" customHeight="1">
      <c r="B40" s="681"/>
      <c r="C40" s="681" t="s">
        <v>3260</v>
      </c>
      <c r="D40" s="681"/>
      <c r="E40" s="681"/>
      <c r="F40" s="681"/>
      <c r="G40" s="897"/>
      <c r="H40" s="904">
        <f>+'53-Utility6'!I41</f>
        <v>0</v>
      </c>
    </row>
    <row r="41" spans="2:13" ht="21" customHeight="1">
      <c r="B41" s="681"/>
      <c r="C41" s="681" t="s">
        <v>852</v>
      </c>
      <c r="D41" s="681"/>
      <c r="E41" s="681"/>
      <c r="F41" s="681"/>
      <c r="G41" s="897"/>
      <c r="H41" s="904">
        <f>+'53-Utility6'!I24</f>
        <v>0</v>
      </c>
    </row>
    <row r="42" spans="2:13" ht="21" customHeight="1">
      <c r="B42" s="681"/>
      <c r="C42" s="681" t="s">
        <v>676</v>
      </c>
      <c r="D42" s="681"/>
      <c r="E42" s="681"/>
      <c r="F42" s="681"/>
      <c r="G42" s="897"/>
      <c r="H42" s="904">
        <f>+'54-Utility6'!I42</f>
        <v>0</v>
      </c>
    </row>
    <row r="43" spans="2:13" ht="21" customHeight="1" thickBot="1">
      <c r="B43" s="681"/>
      <c r="C43" s="681"/>
      <c r="D43" s="681"/>
      <c r="E43" s="681"/>
      <c r="F43" s="681"/>
      <c r="G43" s="1276"/>
      <c r="H43" s="1277"/>
      <c r="I43" s="392"/>
      <c r="M43" s="392"/>
    </row>
    <row r="44" spans="2:13" ht="21" customHeight="1" thickBot="1">
      <c r="B44" s="681"/>
      <c r="C44" s="681" t="s">
        <v>847</v>
      </c>
      <c r="D44" s="681"/>
      <c r="E44" s="681"/>
      <c r="F44" s="681"/>
      <c r="G44" s="1278">
        <f>SUM(G12:G42)</f>
        <v>0</v>
      </c>
      <c r="H44" s="1279">
        <f>SUM(H12:H43)</f>
        <v>0</v>
      </c>
      <c r="I44" s="392"/>
      <c r="K44" s="392"/>
    </row>
    <row r="45" spans="2:13" ht="13.8" thickTop="1">
      <c r="B45" s="1961" t="s">
        <v>103</v>
      </c>
      <c r="C45" s="1961"/>
      <c r="D45" s="1961"/>
      <c r="E45" s="1961"/>
      <c r="F45" s="1961"/>
      <c r="G45" s="1962"/>
      <c r="H45" s="1962"/>
    </row>
    <row r="46" spans="2:13">
      <c r="B46" s="1281"/>
      <c r="C46" s="1281"/>
      <c r="D46" s="1281"/>
      <c r="E46" s="1281"/>
      <c r="F46" s="1281"/>
      <c r="G46" s="1281"/>
      <c r="H46" s="1281"/>
    </row>
    <row r="47" spans="2:13">
      <c r="B47" s="1281"/>
      <c r="C47" s="1281"/>
      <c r="D47" s="1281"/>
      <c r="E47" s="1281"/>
      <c r="F47" s="1281"/>
      <c r="G47" s="1281"/>
      <c r="H47" s="1281"/>
    </row>
    <row r="48" spans="2:13">
      <c r="B48" s="1281"/>
      <c r="C48" s="1281"/>
      <c r="D48" s="1281"/>
      <c r="E48" s="1281"/>
      <c r="F48" s="1281"/>
      <c r="G48" s="1281"/>
      <c r="H48" s="1281"/>
    </row>
    <row r="49" spans="2:8">
      <c r="B49" s="1281"/>
      <c r="C49" s="1281"/>
      <c r="D49" s="1281"/>
      <c r="E49" s="1281"/>
      <c r="F49" s="1281"/>
      <c r="G49" s="1281"/>
      <c r="H49" s="1281"/>
    </row>
    <row r="50" spans="2:8" ht="13.8">
      <c r="B50" s="1994" t="s">
        <v>3459</v>
      </c>
      <c r="C50" s="1994"/>
      <c r="D50" s="1994"/>
      <c r="E50" s="1994"/>
      <c r="F50" s="1994"/>
      <c r="G50" s="1994"/>
      <c r="H50" s="1994"/>
    </row>
    <row r="55" spans="2:8">
      <c r="H55" s="392"/>
    </row>
  </sheetData>
  <sheetProtection password="CAF9"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3">
    <tabColor theme="3" tint="0.79998168889431442"/>
  </sheetPr>
  <dimension ref="B1:R49"/>
  <sheetViews>
    <sheetView zoomScaleNormal="100" zoomScaleSheetLayoutView="80" workbookViewId="0">
      <selection activeCell="B1" sqref="B1"/>
    </sheetView>
  </sheetViews>
  <sheetFormatPr defaultColWidth="9.109375" defaultRowHeight="13.2"/>
  <cols>
    <col min="1" max="1" width="4.6640625" style="324" customWidth="1"/>
    <col min="2" max="2" width="4.88671875" style="324" customWidth="1"/>
    <col min="3" max="4" width="4.6640625" style="324" customWidth="1"/>
    <col min="5" max="5" width="30.6640625" style="324" customWidth="1"/>
    <col min="6" max="6" width="15.6640625" style="324" customWidth="1"/>
    <col min="7" max="8" width="16.6640625" style="324" customWidth="1"/>
    <col min="9" max="16384" width="9.109375" style="324"/>
  </cols>
  <sheetData>
    <row r="1" spans="2:18">
      <c r="B1" s="1128"/>
      <c r="C1" s="1128"/>
      <c r="D1" s="1128"/>
      <c r="E1" s="1128"/>
      <c r="F1" s="1128"/>
      <c r="G1" s="1128"/>
      <c r="H1" s="1128"/>
    </row>
    <row r="2" spans="2:18">
      <c r="B2" s="1128"/>
      <c r="C2" s="1128"/>
      <c r="D2" s="1128"/>
      <c r="E2" s="1128"/>
      <c r="F2" s="1128"/>
      <c r="G2" s="1128"/>
      <c r="H2" s="1128"/>
    </row>
    <row r="3" spans="2:18" ht="22.8">
      <c r="B3" s="1820" t="s">
        <v>873</v>
      </c>
      <c r="C3" s="1820"/>
      <c r="D3" s="1820"/>
      <c r="E3" s="1820"/>
      <c r="F3" s="1820"/>
      <c r="G3" s="1820"/>
      <c r="H3" s="1820"/>
    </row>
    <row r="4" spans="2:18" ht="22.8">
      <c r="B4" s="1820" t="s">
        <v>874</v>
      </c>
      <c r="C4" s="1820"/>
      <c r="D4" s="1820"/>
      <c r="E4" s="1820"/>
      <c r="F4" s="1820"/>
      <c r="G4" s="1820"/>
      <c r="H4" s="1820"/>
    </row>
    <row r="5" spans="2:18" ht="15.6">
      <c r="B5" s="1821"/>
      <c r="C5" s="1821"/>
      <c r="D5" s="1821"/>
      <c r="E5" s="1821"/>
      <c r="F5" s="1821"/>
      <c r="G5" s="1821"/>
      <c r="H5" s="1821"/>
    </row>
    <row r="6" spans="2:18" ht="13.8">
      <c r="B6" s="1819" t="s">
        <v>875</v>
      </c>
      <c r="C6" s="1819"/>
      <c r="D6" s="1819"/>
      <c r="E6" s="1819"/>
      <c r="F6" s="1819"/>
      <c r="G6" s="1819"/>
      <c r="H6" s="1819"/>
    </row>
    <row r="7" spans="2:18" ht="13.8">
      <c r="B7" s="1819" t="s">
        <v>879</v>
      </c>
      <c r="C7" s="1819"/>
      <c r="D7" s="1819"/>
      <c r="E7" s="1819"/>
      <c r="F7" s="1819"/>
      <c r="G7" s="1819"/>
      <c r="H7" s="1819"/>
    </row>
    <row r="8" spans="2:18" ht="13.8">
      <c r="B8" s="1115"/>
      <c r="C8" s="1115"/>
      <c r="D8" s="1115"/>
      <c r="E8" s="1115"/>
      <c r="F8" s="1115"/>
      <c r="G8" s="1115"/>
      <c r="H8" s="1115"/>
    </row>
    <row r="9" spans="2:18" ht="15" customHeight="1" thickBot="1">
      <c r="B9" s="1822" t="str">
        <f>'KEY INPUTS'!D44</f>
        <v>AS  AT  DECEMBER  31, 2020</v>
      </c>
      <c r="C9" s="1821"/>
      <c r="D9" s="1821"/>
      <c r="E9" s="1821"/>
      <c r="F9" s="1821"/>
      <c r="G9" s="1821"/>
      <c r="H9" s="1821"/>
    </row>
    <row r="10" spans="2:18" ht="36" customHeight="1" thickTop="1" thickBot="1">
      <c r="B10" s="1823" t="s">
        <v>100</v>
      </c>
      <c r="C10" s="1823"/>
      <c r="D10" s="1823"/>
      <c r="E10" s="1823"/>
      <c r="F10" s="1824"/>
      <c r="G10" s="1116" t="s">
        <v>101</v>
      </c>
      <c r="H10" s="1117" t="s">
        <v>102</v>
      </c>
    </row>
    <row r="11" spans="2:18" ht="21" customHeight="1" thickTop="1">
      <c r="B11" s="1118" t="s">
        <v>375</v>
      </c>
      <c r="C11" s="1118"/>
      <c r="D11" s="1118"/>
      <c r="E11" s="1118"/>
      <c r="F11" s="1118"/>
      <c r="G11" s="641"/>
      <c r="H11" s="642"/>
      <c r="L11" s="315"/>
      <c r="M11" s="315"/>
      <c r="N11" s="315"/>
      <c r="O11" s="315"/>
      <c r="P11" s="315"/>
      <c r="Q11" s="315"/>
      <c r="R11" s="315"/>
    </row>
    <row r="12" spans="2:18" ht="21" customHeight="1">
      <c r="B12" s="639"/>
      <c r="C12" s="639"/>
      <c r="D12" s="639"/>
      <c r="E12" s="639"/>
      <c r="F12" s="639"/>
      <c r="G12" s="593"/>
      <c r="H12" s="601"/>
      <c r="L12" s="315"/>
      <c r="M12" s="315"/>
      <c r="N12" s="315"/>
      <c r="O12" s="315"/>
      <c r="P12" s="315"/>
      <c r="Q12" s="315"/>
      <c r="R12" s="315"/>
    </row>
    <row r="13" spans="2:18" ht="21" customHeight="1">
      <c r="B13" s="639"/>
      <c r="C13" s="639"/>
      <c r="D13" s="639"/>
      <c r="E13" s="639"/>
      <c r="F13" s="639"/>
      <c r="G13" s="593"/>
      <c r="H13" s="601"/>
      <c r="L13" s="370"/>
      <c r="M13" s="315"/>
      <c r="N13" s="315"/>
      <c r="O13" s="315"/>
      <c r="P13" s="315"/>
      <c r="Q13" s="315"/>
      <c r="R13" s="315"/>
    </row>
    <row r="14" spans="2:18" ht="21" customHeight="1">
      <c r="B14" s="639"/>
      <c r="C14" s="639"/>
      <c r="D14" s="639"/>
      <c r="E14" s="639"/>
      <c r="F14" s="639"/>
      <c r="G14" s="593"/>
      <c r="H14" s="601"/>
      <c r="L14" s="315"/>
      <c r="M14" s="315"/>
      <c r="N14" s="315"/>
      <c r="O14" s="315"/>
      <c r="P14" s="315"/>
      <c r="Q14" s="315"/>
      <c r="R14" s="315"/>
    </row>
    <row r="15" spans="2:18" ht="21" customHeight="1">
      <c r="B15" s="639"/>
      <c r="C15" s="639"/>
      <c r="D15" s="639"/>
      <c r="E15" s="639"/>
      <c r="F15" s="639"/>
      <c r="G15" s="593"/>
      <c r="H15" s="601"/>
      <c r="L15" s="315"/>
      <c r="M15" s="315"/>
      <c r="N15" s="315"/>
      <c r="O15" s="315"/>
      <c r="P15" s="315"/>
      <c r="Q15" s="315"/>
      <c r="R15" s="315"/>
    </row>
    <row r="16" spans="2:18" ht="21" customHeight="1">
      <c r="B16" s="639"/>
      <c r="C16" s="639"/>
      <c r="D16" s="639"/>
      <c r="E16" s="639"/>
      <c r="F16" s="639"/>
      <c r="G16" s="593"/>
      <c r="H16" s="601"/>
      <c r="L16" s="315"/>
      <c r="M16" s="315"/>
      <c r="N16" s="315"/>
      <c r="O16" s="315"/>
      <c r="P16" s="315"/>
      <c r="Q16" s="315"/>
      <c r="R16" s="315"/>
    </row>
    <row r="17" spans="2:18" ht="21" customHeight="1">
      <c r="B17" s="639"/>
      <c r="C17" s="639"/>
      <c r="D17" s="639"/>
      <c r="E17" s="639"/>
      <c r="F17" s="639"/>
      <c r="G17" s="593"/>
      <c r="H17" s="601"/>
      <c r="L17" s="315"/>
      <c r="M17" s="315"/>
      <c r="N17" s="315"/>
      <c r="O17" s="315"/>
      <c r="P17" s="315"/>
      <c r="Q17" s="315"/>
      <c r="R17" s="315"/>
    </row>
    <row r="18" spans="2:18" ht="21" customHeight="1">
      <c r="B18" s="639"/>
      <c r="C18" s="639"/>
      <c r="D18" s="639"/>
      <c r="E18" s="639"/>
      <c r="F18" s="639"/>
      <c r="G18" s="593"/>
      <c r="H18" s="601"/>
      <c r="L18" s="315"/>
      <c r="M18" s="315"/>
      <c r="N18" s="315"/>
      <c r="O18" s="315"/>
      <c r="P18" s="315"/>
      <c r="Q18" s="315"/>
      <c r="R18" s="315"/>
    </row>
    <row r="19" spans="2:18" ht="21" customHeight="1">
      <c r="B19" s="639"/>
      <c r="C19" s="639"/>
      <c r="D19" s="639"/>
      <c r="E19" s="639"/>
      <c r="F19" s="639"/>
      <c r="G19" s="593"/>
      <c r="H19" s="601"/>
      <c r="L19" s="315"/>
      <c r="M19" s="315"/>
      <c r="N19" s="315"/>
      <c r="O19" s="315"/>
      <c r="P19" s="315"/>
      <c r="Q19" s="315"/>
      <c r="R19" s="315"/>
    </row>
    <row r="20" spans="2:18" ht="21" customHeight="1">
      <c r="B20" s="639"/>
      <c r="C20" s="639"/>
      <c r="D20" s="639"/>
      <c r="E20" s="639"/>
      <c r="F20" s="639"/>
      <c r="G20" s="593"/>
      <c r="H20" s="601"/>
      <c r="L20" s="315"/>
      <c r="M20" s="315"/>
      <c r="N20" s="315"/>
      <c r="O20" s="315"/>
      <c r="P20" s="315"/>
      <c r="Q20" s="315"/>
      <c r="R20" s="315"/>
    </row>
    <row r="21" spans="2:18" ht="21" customHeight="1">
      <c r="B21" s="639"/>
      <c r="C21" s="639"/>
      <c r="D21" s="639"/>
      <c r="E21" s="639"/>
      <c r="F21" s="639"/>
      <c r="G21" s="593"/>
      <c r="H21" s="601"/>
      <c r="L21" s="315"/>
      <c r="M21" s="315"/>
      <c r="N21" s="315"/>
      <c r="O21" s="315"/>
      <c r="P21" s="315"/>
      <c r="Q21" s="315"/>
      <c r="R21" s="315"/>
    </row>
    <row r="22" spans="2:18" ht="21" customHeight="1">
      <c r="B22" s="639"/>
      <c r="C22" s="639"/>
      <c r="D22" s="639"/>
      <c r="E22" s="639"/>
      <c r="F22" s="639"/>
      <c r="G22" s="593"/>
      <c r="H22" s="601"/>
      <c r="L22" s="315"/>
      <c r="M22" s="315"/>
      <c r="N22" s="315"/>
      <c r="O22" s="315"/>
      <c r="P22" s="315"/>
      <c r="Q22" s="315"/>
      <c r="R22" s="315"/>
    </row>
    <row r="23" spans="2:18" ht="21" customHeight="1">
      <c r="B23" s="639"/>
      <c r="C23" s="639"/>
      <c r="D23" s="639"/>
      <c r="E23" s="639"/>
      <c r="F23" s="639"/>
      <c r="G23" s="593"/>
      <c r="H23" s="601"/>
      <c r="L23" s="315"/>
      <c r="M23" s="315"/>
      <c r="N23" s="315"/>
      <c r="O23" s="315"/>
      <c r="P23" s="315"/>
      <c r="Q23" s="315"/>
      <c r="R23" s="315"/>
    </row>
    <row r="24" spans="2:18" ht="21" customHeight="1">
      <c r="B24" s="639"/>
      <c r="C24" s="639"/>
      <c r="D24" s="639"/>
      <c r="E24" s="639"/>
      <c r="F24" s="639"/>
      <c r="G24" s="593"/>
      <c r="H24" s="601"/>
      <c r="L24" s="315"/>
      <c r="M24" s="315"/>
      <c r="N24" s="315"/>
      <c r="O24" s="315"/>
      <c r="P24" s="315"/>
      <c r="Q24" s="315"/>
      <c r="R24" s="315"/>
    </row>
    <row r="25" spans="2:18" ht="21" customHeight="1">
      <c r="B25" s="639"/>
      <c r="C25" s="639"/>
      <c r="D25" s="639"/>
      <c r="E25" s="639"/>
      <c r="F25" s="639"/>
      <c r="G25" s="593"/>
      <c r="H25" s="601"/>
      <c r="L25" s="315"/>
      <c r="M25" s="315"/>
      <c r="N25" s="315"/>
      <c r="O25" s="315"/>
      <c r="P25" s="315"/>
      <c r="Q25" s="315"/>
      <c r="R25" s="315"/>
    </row>
    <row r="26" spans="2:18" ht="21" customHeight="1">
      <c r="B26" s="639"/>
      <c r="C26" s="639"/>
      <c r="D26" s="639"/>
      <c r="E26" s="639"/>
      <c r="F26" s="639"/>
      <c r="G26" s="593"/>
      <c r="H26" s="601"/>
      <c r="L26" s="315"/>
      <c r="M26" s="315"/>
      <c r="N26" s="315"/>
      <c r="O26" s="315"/>
      <c r="P26" s="315"/>
      <c r="Q26" s="315"/>
      <c r="R26" s="315"/>
    </row>
    <row r="27" spans="2:18" ht="21" customHeight="1">
      <c r="B27" s="639"/>
      <c r="C27" s="639"/>
      <c r="D27" s="639"/>
      <c r="E27" s="639"/>
      <c r="F27" s="639"/>
      <c r="G27" s="593"/>
      <c r="H27" s="601"/>
      <c r="L27" s="315"/>
      <c r="M27" s="315"/>
      <c r="N27" s="315"/>
      <c r="O27" s="315"/>
      <c r="P27" s="315"/>
      <c r="Q27" s="315"/>
      <c r="R27" s="315"/>
    </row>
    <row r="28" spans="2:18" ht="21" customHeight="1">
      <c r="B28" s="639"/>
      <c r="C28" s="639"/>
      <c r="D28" s="639"/>
      <c r="E28" s="639"/>
      <c r="F28" s="639"/>
      <c r="G28" s="593"/>
      <c r="H28" s="601"/>
    </row>
    <row r="29" spans="2:18" ht="21" customHeight="1">
      <c r="B29" s="639"/>
      <c r="C29" s="639"/>
      <c r="D29" s="639"/>
      <c r="E29" s="639"/>
      <c r="F29" s="639"/>
      <c r="G29" s="593"/>
      <c r="H29" s="601"/>
    </row>
    <row r="30" spans="2:18" ht="21" customHeight="1">
      <c r="B30" s="639"/>
      <c r="C30" s="639"/>
      <c r="D30" s="639"/>
      <c r="E30" s="639"/>
      <c r="F30" s="639"/>
      <c r="G30" s="593"/>
      <c r="H30" s="601"/>
    </row>
    <row r="31" spans="2:18" ht="21" customHeight="1">
      <c r="B31" s="639"/>
      <c r="C31" s="639"/>
      <c r="D31" s="639"/>
      <c r="E31" s="639"/>
      <c r="F31" s="639"/>
      <c r="G31" s="593"/>
      <c r="H31" s="601"/>
    </row>
    <row r="32" spans="2:18" ht="21" customHeight="1">
      <c r="B32" s="639"/>
      <c r="C32" s="639"/>
      <c r="D32" s="639"/>
      <c r="E32" s="639"/>
      <c r="F32" s="639"/>
      <c r="G32" s="593"/>
      <c r="H32" s="601"/>
    </row>
    <row r="33" spans="2:8" ht="21" customHeight="1">
      <c r="B33" s="639"/>
      <c r="C33" s="639"/>
      <c r="D33" s="639"/>
      <c r="E33" s="639"/>
      <c r="F33" s="639"/>
      <c r="G33" s="593"/>
      <c r="H33" s="601"/>
    </row>
    <row r="34" spans="2:8" ht="21" customHeight="1">
      <c r="B34" s="639"/>
      <c r="C34" s="639"/>
      <c r="D34" s="639"/>
      <c r="E34" s="639"/>
      <c r="F34" s="639"/>
      <c r="G34" s="593"/>
      <c r="H34" s="601"/>
    </row>
    <row r="35" spans="2:8" ht="21" customHeight="1">
      <c r="B35" s="639"/>
      <c r="C35" s="639"/>
      <c r="D35" s="639"/>
      <c r="E35" s="639"/>
      <c r="F35" s="639"/>
      <c r="G35" s="593"/>
      <c r="H35" s="601"/>
    </row>
    <row r="36" spans="2:8" ht="21" customHeight="1">
      <c r="B36" s="639"/>
      <c r="C36" s="639"/>
      <c r="D36" s="639"/>
      <c r="E36" s="639"/>
      <c r="F36" s="639"/>
      <c r="G36" s="593"/>
      <c r="H36" s="601"/>
    </row>
    <row r="37" spans="2:8" ht="21" customHeight="1">
      <c r="B37" s="639"/>
      <c r="C37" s="639"/>
      <c r="D37" s="639"/>
      <c r="E37" s="639"/>
      <c r="F37" s="639"/>
      <c r="G37" s="593"/>
      <c r="H37" s="601"/>
    </row>
    <row r="38" spans="2:8" ht="21" customHeight="1">
      <c r="B38" s="1119" t="s">
        <v>3261</v>
      </c>
      <c r="C38" s="1119"/>
      <c r="D38" s="1119"/>
      <c r="E38" s="1119"/>
      <c r="F38" s="1119"/>
      <c r="G38" s="1120"/>
      <c r="H38" s="1108">
        <f>'51-Utility6'!G23</f>
        <v>0</v>
      </c>
    </row>
    <row r="39" spans="2:8" ht="21" customHeight="1">
      <c r="B39" s="1119" t="s">
        <v>3262</v>
      </c>
      <c r="C39" s="1119"/>
      <c r="D39" s="1119"/>
      <c r="E39" s="1119"/>
      <c r="F39" s="1119"/>
      <c r="G39" s="1120"/>
      <c r="H39" s="1108">
        <f>'49-Utility6'!G11</f>
        <v>0</v>
      </c>
    </row>
    <row r="40" spans="2:8" ht="21" customHeight="1">
      <c r="B40" s="1119" t="s">
        <v>846</v>
      </c>
      <c r="C40" s="1119"/>
      <c r="D40" s="1119"/>
      <c r="E40" s="1119"/>
      <c r="F40" s="1119"/>
      <c r="G40" s="1120"/>
      <c r="H40" s="1108">
        <f>'43-Utility6'!L20</f>
        <v>0</v>
      </c>
    </row>
    <row r="41" spans="2:8" ht="21" customHeight="1">
      <c r="B41" s="639"/>
      <c r="C41" s="639"/>
      <c r="D41" s="639"/>
      <c r="E41" s="639"/>
      <c r="F41" s="639"/>
      <c r="G41" s="593"/>
      <c r="H41" s="601"/>
    </row>
    <row r="42" spans="2:8" ht="21" customHeight="1">
      <c r="B42" s="639"/>
      <c r="C42" s="639"/>
      <c r="D42" s="639"/>
      <c r="E42" s="639"/>
      <c r="F42" s="639"/>
      <c r="G42" s="593"/>
      <c r="H42" s="601"/>
    </row>
    <row r="43" spans="2:8" ht="21" customHeight="1">
      <c r="B43" s="1121" t="s">
        <v>847</v>
      </c>
      <c r="C43" s="1121"/>
      <c r="D43" s="1121"/>
      <c r="E43" s="1121"/>
      <c r="F43" s="1121"/>
      <c r="G43" s="1087">
        <f>SUM(G11:G42)</f>
        <v>0</v>
      </c>
      <c r="H43" s="1122">
        <f>SUM(H11:H42)</f>
        <v>0</v>
      </c>
    </row>
    <row r="44" spans="2:8">
      <c r="B44" s="1825" t="s">
        <v>103</v>
      </c>
      <c r="C44" s="1825"/>
      <c r="D44" s="1825"/>
      <c r="E44" s="1825"/>
      <c r="F44" s="1825"/>
      <c r="G44" s="1825"/>
      <c r="H44" s="1825"/>
    </row>
    <row r="45" spans="2:8">
      <c r="B45" s="1123"/>
      <c r="C45" s="1123"/>
      <c r="D45" s="1123"/>
      <c r="E45" s="1123"/>
      <c r="F45" s="1123"/>
      <c r="G45" s="1123"/>
      <c r="H45" s="1123"/>
    </row>
    <row r="46" spans="2:8">
      <c r="B46" s="1123"/>
      <c r="C46" s="1123"/>
      <c r="D46" s="1123"/>
      <c r="E46" s="1123"/>
      <c r="F46" s="1123"/>
      <c r="G46" s="1123"/>
      <c r="H46" s="1123"/>
    </row>
    <row r="47" spans="2:8">
      <c r="B47" s="1123"/>
      <c r="C47" s="1123"/>
      <c r="D47" s="1123"/>
      <c r="E47" s="1123"/>
      <c r="F47" s="1123"/>
      <c r="G47" s="1123"/>
      <c r="H47" s="1123"/>
    </row>
    <row r="48" spans="2:8">
      <c r="B48" s="1123"/>
      <c r="C48" s="1123"/>
      <c r="D48" s="1123"/>
      <c r="E48" s="1123"/>
      <c r="F48" s="1123"/>
      <c r="G48" s="1123"/>
      <c r="H48" s="1123"/>
    </row>
    <row r="49" spans="2:8" ht="13.8">
      <c r="B49" s="1818" t="s">
        <v>3199</v>
      </c>
      <c r="C49" s="1818"/>
      <c r="D49" s="1818"/>
      <c r="E49" s="1818"/>
      <c r="F49" s="1818"/>
      <c r="G49" s="1818"/>
      <c r="H49" s="1818"/>
    </row>
  </sheetData>
  <sheetProtection password="CAF9" sheet="1" objects="1" scenarios="1"/>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4">
    <tabColor theme="3" tint="0.79998168889431442"/>
  </sheetPr>
  <dimension ref="A2:V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0.6640625" style="324" customWidth="1"/>
    <col min="5" max="12" width="15.6640625" style="324" customWidth="1"/>
    <col min="13" max="16384" width="9.109375" style="324"/>
  </cols>
  <sheetData>
    <row r="2" spans="1:22" ht="20.399999999999999">
      <c r="B2" s="1826" t="str">
        <f>"ANALYSIS  OF "&amp;UPPER('KEY INPUTS'!D57)&amp;" UTILITY  ASSESSMENT  TRUST  CASH  AND  INVESTMENTS"</f>
        <v>ANALYSIS  OF  UTILITY  ASSESSMENT  TRUST  CASH  AND  INVESTMENTS</v>
      </c>
      <c r="C2" s="1826"/>
      <c r="D2" s="1826"/>
      <c r="E2" s="1826"/>
      <c r="F2" s="1826"/>
      <c r="G2" s="1826"/>
      <c r="H2" s="1826"/>
      <c r="I2" s="1826"/>
      <c r="J2" s="1826"/>
      <c r="K2" s="1826"/>
      <c r="L2" s="1826"/>
    </row>
    <row r="3" spans="1:22" ht="21" thickBot="1">
      <c r="B3" s="1826" t="s">
        <v>880</v>
      </c>
      <c r="C3" s="1826"/>
      <c r="D3" s="1826"/>
      <c r="E3" s="1826"/>
      <c r="F3" s="1826"/>
      <c r="G3" s="1826"/>
      <c r="H3" s="1826"/>
      <c r="I3" s="1826"/>
      <c r="J3" s="1826"/>
      <c r="K3" s="1826"/>
      <c r="L3" s="1826"/>
    </row>
    <row r="4" spans="1:22" ht="13.8" thickTop="1">
      <c r="B4" s="1124"/>
      <c r="C4" s="1124"/>
      <c r="D4" s="1124"/>
      <c r="E4" s="1125" t="s">
        <v>558</v>
      </c>
      <c r="F4" s="1124"/>
      <c r="G4" s="1124"/>
      <c r="H4" s="1124"/>
      <c r="I4" s="1124"/>
      <c r="J4" s="1126"/>
      <c r="K4" s="1124"/>
      <c r="L4" s="1127"/>
    </row>
    <row r="5" spans="1:22" ht="15.6">
      <c r="B5" s="1128"/>
      <c r="C5" s="1128" t="s">
        <v>566</v>
      </c>
      <c r="D5" s="1128"/>
      <c r="E5" s="1129" t="s">
        <v>559</v>
      </c>
      <c r="F5" s="1827" t="s">
        <v>560</v>
      </c>
      <c r="G5" s="1828"/>
      <c r="H5" s="1828"/>
      <c r="I5" s="1829"/>
      <c r="J5" s="1130"/>
      <c r="K5" s="1128"/>
      <c r="L5" s="1131" t="s">
        <v>559</v>
      </c>
    </row>
    <row r="6" spans="1:22">
      <c r="B6" s="1128"/>
      <c r="C6" s="1128" t="s">
        <v>567</v>
      </c>
      <c r="D6" s="1128"/>
      <c r="E6" s="1132" t="str">
        <f>'KEY INPUTS'!D45</f>
        <v>Dec. 31, 2019</v>
      </c>
      <c r="F6" s="1129" t="s">
        <v>561</v>
      </c>
      <c r="G6" s="1129" t="s">
        <v>262</v>
      </c>
      <c r="H6" s="1130"/>
      <c r="I6" s="1130"/>
      <c r="J6" s="1130"/>
      <c r="K6" s="1133" t="s">
        <v>565</v>
      </c>
      <c r="L6" s="1134" t="str">
        <f>'KEY INPUTS'!D46</f>
        <v>Dec. 31, 2020</v>
      </c>
    </row>
    <row r="7" spans="1:22" ht="13.8" thickBot="1">
      <c r="B7" s="1135"/>
      <c r="C7" s="1135"/>
      <c r="D7" s="1135"/>
      <c r="E7" s="1136"/>
      <c r="F7" s="1137" t="s">
        <v>562</v>
      </c>
      <c r="G7" s="1137" t="s">
        <v>564</v>
      </c>
      <c r="H7" s="1136"/>
      <c r="I7" s="1136"/>
      <c r="J7" s="1136"/>
      <c r="K7" s="1138"/>
      <c r="L7" s="1139"/>
    </row>
    <row r="8" spans="1:22" ht="21" customHeight="1" thickTop="1">
      <c r="B8" s="1140" t="s">
        <v>656</v>
      </c>
      <c r="C8" s="1140"/>
      <c r="D8" s="1141"/>
      <c r="E8" s="1070" t="s">
        <v>662</v>
      </c>
      <c r="F8" s="1070" t="s">
        <v>662</v>
      </c>
      <c r="G8" s="1070" t="s">
        <v>662</v>
      </c>
      <c r="H8" s="1070" t="s">
        <v>662</v>
      </c>
      <c r="I8" s="1070" t="s">
        <v>662</v>
      </c>
      <c r="J8" s="1070" t="s">
        <v>662</v>
      </c>
      <c r="K8" s="1070" t="s">
        <v>662</v>
      </c>
      <c r="L8" s="858" t="s">
        <v>662</v>
      </c>
      <c r="P8" s="315"/>
      <c r="Q8" s="315"/>
      <c r="R8" s="315"/>
      <c r="S8" s="315"/>
      <c r="T8" s="315"/>
      <c r="U8" s="315"/>
      <c r="V8" s="315"/>
    </row>
    <row r="9" spans="1:22" ht="21" customHeight="1">
      <c r="B9" s="639"/>
      <c r="C9" s="639"/>
      <c r="D9" s="643"/>
      <c r="E9" s="593"/>
      <c r="F9" s="593"/>
      <c r="G9" s="593"/>
      <c r="H9" s="593"/>
      <c r="I9" s="593"/>
      <c r="J9" s="593"/>
      <c r="K9" s="593"/>
      <c r="L9" s="1063">
        <f>+E9+F9+G9+H9+I9+J9-K9</f>
        <v>0</v>
      </c>
      <c r="P9" s="315"/>
      <c r="Q9" s="315"/>
      <c r="R9" s="315"/>
      <c r="S9" s="315"/>
      <c r="T9" s="315"/>
      <c r="U9" s="315"/>
      <c r="V9" s="315"/>
    </row>
    <row r="10" spans="1:22" ht="21" customHeight="1">
      <c r="B10" s="639"/>
      <c r="C10" s="639"/>
      <c r="D10" s="643"/>
      <c r="E10" s="593"/>
      <c r="F10" s="593"/>
      <c r="G10" s="593"/>
      <c r="H10" s="593"/>
      <c r="I10" s="593"/>
      <c r="J10" s="593"/>
      <c r="K10" s="593"/>
      <c r="L10" s="1063">
        <f t="shared" ref="L10:L25" si="0">+E10+F10+G10+H10+I10+J10-K10</f>
        <v>0</v>
      </c>
      <c r="P10" s="370"/>
      <c r="Q10" s="315"/>
      <c r="R10" s="315"/>
      <c r="S10" s="315"/>
      <c r="T10" s="315"/>
      <c r="U10" s="315"/>
      <c r="V10" s="315"/>
    </row>
    <row r="11" spans="1:22" ht="21" customHeight="1">
      <c r="B11" s="639"/>
      <c r="C11" s="639"/>
      <c r="D11" s="643"/>
      <c r="E11" s="593"/>
      <c r="F11" s="593"/>
      <c r="G11" s="593"/>
      <c r="H11" s="593"/>
      <c r="I11" s="593"/>
      <c r="J11" s="593"/>
      <c r="K11" s="593"/>
      <c r="L11" s="1063">
        <f t="shared" si="0"/>
        <v>0</v>
      </c>
      <c r="P11" s="315"/>
      <c r="Q11" s="315"/>
      <c r="R11" s="315"/>
      <c r="S11" s="315"/>
      <c r="T11" s="315"/>
      <c r="U11" s="315"/>
      <c r="V11" s="315"/>
    </row>
    <row r="12" spans="1:22" ht="21" customHeight="1">
      <c r="B12" s="639"/>
      <c r="C12" s="639"/>
      <c r="D12" s="643"/>
      <c r="E12" s="593"/>
      <c r="F12" s="593"/>
      <c r="G12" s="593"/>
      <c r="H12" s="593"/>
      <c r="I12" s="593"/>
      <c r="J12" s="593"/>
      <c r="K12" s="593"/>
      <c r="L12" s="1063">
        <f t="shared" si="0"/>
        <v>0</v>
      </c>
      <c r="P12" s="315"/>
      <c r="Q12" s="315"/>
      <c r="R12" s="315"/>
      <c r="S12" s="315"/>
      <c r="T12" s="315"/>
      <c r="U12" s="315"/>
      <c r="V12" s="315"/>
    </row>
    <row r="13" spans="1:22" ht="21" customHeight="1">
      <c r="B13" s="639"/>
      <c r="C13" s="639"/>
      <c r="D13" s="643"/>
      <c r="E13" s="596"/>
      <c r="F13" s="593"/>
      <c r="G13" s="593"/>
      <c r="H13" s="593"/>
      <c r="I13" s="593"/>
      <c r="J13" s="593"/>
      <c r="K13" s="593"/>
      <c r="L13" s="1063">
        <f t="shared" si="0"/>
        <v>0</v>
      </c>
      <c r="P13" s="315"/>
      <c r="Q13" s="315"/>
      <c r="R13" s="315"/>
      <c r="S13" s="315"/>
      <c r="T13" s="315"/>
      <c r="U13" s="315"/>
      <c r="V13" s="315"/>
    </row>
    <row r="14" spans="1:22" ht="21" customHeight="1">
      <c r="B14" s="1121" t="s">
        <v>657</v>
      </c>
      <c r="C14" s="1121"/>
      <c r="D14" s="1147"/>
      <c r="E14" s="963" t="s">
        <v>662</v>
      </c>
      <c r="F14" s="963" t="s">
        <v>662</v>
      </c>
      <c r="G14" s="963" t="s">
        <v>662</v>
      </c>
      <c r="H14" s="963" t="s">
        <v>662</v>
      </c>
      <c r="I14" s="963" t="s">
        <v>662</v>
      </c>
      <c r="J14" s="963" t="s">
        <v>662</v>
      </c>
      <c r="K14" s="963" t="s">
        <v>662</v>
      </c>
      <c r="L14" s="860" t="s">
        <v>662</v>
      </c>
      <c r="P14" s="315"/>
      <c r="Q14" s="315"/>
      <c r="R14" s="315"/>
      <c r="S14" s="315"/>
      <c r="T14" s="315"/>
      <c r="U14" s="315"/>
      <c r="V14" s="315"/>
    </row>
    <row r="15" spans="1:22" ht="21" customHeight="1">
      <c r="A15" s="1830" t="s">
        <v>3200</v>
      </c>
      <c r="B15" s="639"/>
      <c r="C15" s="639"/>
      <c r="D15" s="643"/>
      <c r="E15" s="593"/>
      <c r="F15" s="593"/>
      <c r="G15" s="593"/>
      <c r="H15" s="593"/>
      <c r="I15" s="593"/>
      <c r="J15" s="593"/>
      <c r="K15" s="593"/>
      <c r="L15" s="1063">
        <f t="shared" si="0"/>
        <v>0</v>
      </c>
      <c r="P15" s="315"/>
      <c r="Q15" s="315"/>
      <c r="R15" s="315"/>
      <c r="S15" s="315"/>
      <c r="T15" s="315"/>
      <c r="U15" s="315"/>
      <c r="V15" s="315"/>
    </row>
    <row r="16" spans="1:22" ht="21" customHeight="1">
      <c r="A16" s="1830"/>
      <c r="B16" s="639"/>
      <c r="C16" s="639"/>
      <c r="D16" s="643"/>
      <c r="E16" s="593"/>
      <c r="F16" s="593"/>
      <c r="G16" s="593"/>
      <c r="H16" s="593"/>
      <c r="I16" s="593"/>
      <c r="J16" s="593"/>
      <c r="K16" s="593"/>
      <c r="L16" s="1063">
        <f t="shared" si="0"/>
        <v>0</v>
      </c>
      <c r="P16" s="315"/>
      <c r="Q16" s="315"/>
      <c r="R16" s="315"/>
      <c r="S16" s="315"/>
      <c r="T16" s="315"/>
      <c r="U16" s="315"/>
      <c r="V16" s="315"/>
    </row>
    <row r="17" spans="1:22" ht="21" customHeight="1">
      <c r="A17" s="1830"/>
      <c r="B17" s="639"/>
      <c r="C17" s="639"/>
      <c r="D17" s="643"/>
      <c r="E17" s="593"/>
      <c r="F17" s="593"/>
      <c r="G17" s="593"/>
      <c r="H17" s="593"/>
      <c r="I17" s="593"/>
      <c r="J17" s="593"/>
      <c r="K17" s="593"/>
      <c r="L17" s="1063">
        <f t="shared" si="0"/>
        <v>0</v>
      </c>
      <c r="P17" s="315"/>
      <c r="Q17" s="315"/>
      <c r="R17" s="315"/>
      <c r="S17" s="315"/>
      <c r="T17" s="315"/>
      <c r="U17" s="315"/>
      <c r="V17" s="315"/>
    </row>
    <row r="18" spans="1:22" ht="21" customHeight="1">
      <c r="B18" s="639"/>
      <c r="C18" s="639"/>
      <c r="D18" s="643"/>
      <c r="E18" s="593"/>
      <c r="F18" s="593"/>
      <c r="G18" s="593"/>
      <c r="H18" s="593"/>
      <c r="I18" s="593"/>
      <c r="J18" s="593"/>
      <c r="K18" s="593"/>
      <c r="L18" s="1063">
        <f t="shared" si="0"/>
        <v>0</v>
      </c>
      <c r="P18" s="315"/>
      <c r="Q18" s="315"/>
      <c r="R18" s="315"/>
      <c r="S18" s="315"/>
      <c r="T18" s="315"/>
      <c r="U18" s="315"/>
      <c r="V18" s="315"/>
    </row>
    <row r="19" spans="1:22" ht="21" customHeight="1">
      <c r="B19" s="1121" t="s">
        <v>658</v>
      </c>
      <c r="C19" s="1121"/>
      <c r="D19" s="1147"/>
      <c r="E19" s="593"/>
      <c r="F19" s="593"/>
      <c r="G19" s="593"/>
      <c r="H19" s="593"/>
      <c r="I19" s="593"/>
      <c r="J19" s="593"/>
      <c r="K19" s="593"/>
      <c r="L19" s="1063">
        <f t="shared" si="0"/>
        <v>0</v>
      </c>
      <c r="P19" s="315"/>
      <c r="Q19" s="315"/>
      <c r="R19" s="315"/>
      <c r="S19" s="315"/>
      <c r="T19" s="315"/>
      <c r="U19" s="315"/>
      <c r="V19" s="315"/>
    </row>
    <row r="20" spans="1:22" ht="21" customHeight="1">
      <c r="B20" s="1121" t="s">
        <v>659</v>
      </c>
      <c r="C20" s="1121"/>
      <c r="D20" s="1147"/>
      <c r="E20" s="593"/>
      <c r="F20" s="593"/>
      <c r="G20" s="593"/>
      <c r="H20" s="593"/>
      <c r="I20" s="593"/>
      <c r="J20" s="593"/>
      <c r="K20" s="593"/>
      <c r="L20" s="1063">
        <f t="shared" si="0"/>
        <v>0</v>
      </c>
      <c r="P20" s="315"/>
      <c r="Q20" s="315"/>
      <c r="R20" s="315"/>
      <c r="S20" s="315"/>
      <c r="T20" s="315"/>
      <c r="U20" s="315"/>
      <c r="V20" s="315"/>
    </row>
    <row r="21" spans="1:22" ht="21" customHeight="1">
      <c r="B21" s="1121" t="s">
        <v>263</v>
      </c>
      <c r="C21" s="1121"/>
      <c r="D21" s="1147"/>
      <c r="E21" s="963" t="s">
        <v>662</v>
      </c>
      <c r="F21" s="963" t="s">
        <v>662</v>
      </c>
      <c r="G21" s="963" t="s">
        <v>662</v>
      </c>
      <c r="H21" s="963" t="s">
        <v>662</v>
      </c>
      <c r="I21" s="963" t="s">
        <v>662</v>
      </c>
      <c r="J21" s="963" t="s">
        <v>662</v>
      </c>
      <c r="K21" s="963" t="s">
        <v>662</v>
      </c>
      <c r="L21" s="860" t="s">
        <v>662</v>
      </c>
      <c r="P21" s="315"/>
      <c r="Q21" s="315"/>
      <c r="R21" s="315"/>
      <c r="S21" s="315"/>
      <c r="T21" s="315"/>
      <c r="U21" s="315"/>
      <c r="V21" s="315"/>
    </row>
    <row r="22" spans="1:22" ht="21" customHeight="1">
      <c r="B22" s="639"/>
      <c r="C22" s="639"/>
      <c r="D22" s="643"/>
      <c r="E22" s="593"/>
      <c r="F22" s="593"/>
      <c r="G22" s="593"/>
      <c r="H22" s="593"/>
      <c r="I22" s="593"/>
      <c r="J22" s="593"/>
      <c r="K22" s="593"/>
      <c r="L22" s="1063">
        <f t="shared" si="0"/>
        <v>0</v>
      </c>
      <c r="P22" s="315"/>
      <c r="Q22" s="315"/>
      <c r="R22" s="315"/>
      <c r="S22" s="315"/>
      <c r="T22" s="315"/>
      <c r="U22" s="315"/>
      <c r="V22" s="315"/>
    </row>
    <row r="23" spans="1:22" ht="21" customHeight="1">
      <c r="B23" s="639"/>
      <c r="C23" s="639"/>
      <c r="D23" s="643"/>
      <c r="E23" s="593"/>
      <c r="F23" s="593"/>
      <c r="G23" s="593"/>
      <c r="H23" s="593"/>
      <c r="I23" s="593"/>
      <c r="J23" s="593"/>
      <c r="K23" s="593"/>
      <c r="L23" s="1063">
        <f t="shared" si="0"/>
        <v>0</v>
      </c>
      <c r="P23" s="315"/>
      <c r="Q23" s="315"/>
      <c r="R23" s="315"/>
      <c r="S23" s="315"/>
      <c r="T23" s="315"/>
      <c r="U23" s="315"/>
      <c r="V23" s="315"/>
    </row>
    <row r="24" spans="1:22" ht="21" customHeight="1">
      <c r="B24" s="639"/>
      <c r="C24" s="639"/>
      <c r="D24" s="643"/>
      <c r="E24" s="593"/>
      <c r="F24" s="593"/>
      <c r="G24" s="593"/>
      <c r="H24" s="593"/>
      <c r="I24" s="593"/>
      <c r="J24" s="593"/>
      <c r="K24" s="593"/>
      <c r="L24" s="1063">
        <f t="shared" si="0"/>
        <v>0</v>
      </c>
      <c r="P24" s="315"/>
      <c r="Q24" s="315"/>
      <c r="R24" s="315"/>
      <c r="S24" s="315"/>
      <c r="T24" s="315"/>
      <c r="U24" s="315"/>
      <c r="V24" s="315"/>
    </row>
    <row r="25" spans="1:22" ht="21" customHeight="1" thickBot="1">
      <c r="B25" s="639"/>
      <c r="C25" s="639"/>
      <c r="D25" s="643"/>
      <c r="E25" s="619"/>
      <c r="F25" s="619"/>
      <c r="G25" s="619"/>
      <c r="H25" s="619"/>
      <c r="I25" s="619"/>
      <c r="J25" s="619"/>
      <c r="K25" s="619"/>
      <c r="L25" s="1142">
        <f t="shared" si="0"/>
        <v>0</v>
      </c>
    </row>
    <row r="26" spans="1:22" ht="21" customHeight="1" thickTop="1" thickBot="1">
      <c r="B26" s="1144"/>
      <c r="C26" s="1144"/>
      <c r="D26" s="1145"/>
      <c r="E26" s="1065">
        <f t="shared" ref="E26:K26" si="1">SUM(E9:E25)</f>
        <v>0</v>
      </c>
      <c r="F26" s="1065">
        <f t="shared" si="1"/>
        <v>0</v>
      </c>
      <c r="G26" s="1065">
        <f t="shared" si="1"/>
        <v>0</v>
      </c>
      <c r="H26" s="1065">
        <f t="shared" si="1"/>
        <v>0</v>
      </c>
      <c r="I26" s="1065">
        <f t="shared" si="1"/>
        <v>0</v>
      </c>
      <c r="J26" s="1065">
        <f t="shared" si="1"/>
        <v>0</v>
      </c>
      <c r="K26" s="1065">
        <f t="shared" si="1"/>
        <v>0</v>
      </c>
      <c r="L26" s="1143">
        <f>SUM(L9:L25)</f>
        <v>0</v>
      </c>
    </row>
    <row r="27" spans="1:22" ht="13.8" thickTop="1">
      <c r="B27" s="1146" t="s">
        <v>661</v>
      </c>
      <c r="C27" s="1128"/>
      <c r="D27" s="1128"/>
      <c r="E27" s="1128"/>
      <c r="F27" s="1128"/>
      <c r="G27" s="1128"/>
      <c r="H27" s="1128"/>
      <c r="I27" s="1128"/>
      <c r="J27" s="1128"/>
      <c r="K27" s="1128"/>
      <c r="L27" s="1128"/>
    </row>
  </sheetData>
  <sheetProtection password="CAF9"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5">
    <tabColor theme="3" tint="0.79998168889431442"/>
  </sheetPr>
  <dimension ref="B1:T55"/>
  <sheetViews>
    <sheetView topLeftCell="A4" zoomScaleNormal="100" zoomScaleSheetLayoutView="80" workbookViewId="0">
      <selection activeCell="J20" sqref="J20"/>
    </sheetView>
  </sheetViews>
  <sheetFormatPr defaultColWidth="8.88671875" defaultRowHeight="13.2"/>
  <cols>
    <col min="1" max="1" width="4.6640625" style="391" customWidth="1"/>
    <col min="2" max="3" width="3.6640625" style="391" customWidth="1"/>
    <col min="4" max="4" width="4.6640625" style="391" customWidth="1"/>
    <col min="5" max="5" width="8.88671875" style="391"/>
    <col min="6" max="6" width="16.6640625" style="391" customWidth="1"/>
    <col min="7" max="7" width="8.6640625" style="391" customWidth="1"/>
    <col min="8" max="10" width="16.6640625" style="391" customWidth="1"/>
    <col min="11" max="11" width="8.88671875" style="391"/>
    <col min="12" max="12" width="11.33203125" style="391" bestFit="1" customWidth="1"/>
    <col min="13" max="16384" width="8.88671875" style="391"/>
  </cols>
  <sheetData>
    <row r="1" spans="2:20">
      <c r="B1" s="1096"/>
      <c r="C1" s="1096"/>
      <c r="D1" s="1096"/>
      <c r="E1" s="1096"/>
      <c r="F1" s="1096"/>
      <c r="G1" s="1096"/>
      <c r="H1" s="1096"/>
      <c r="I1" s="1096"/>
      <c r="J1" s="1096"/>
    </row>
    <row r="2" spans="2:20" ht="22.8">
      <c r="B2" s="1804" t="str">
        <f>"SCHEDULE  OF "&amp;UPPER('KEY INPUTS'!D57)&amp;" UTILITY  BUDGET  -  "&amp;TEXT('KEY INPUTS'!D34,"0")&amp;""</f>
        <v>SCHEDULE  OF  UTILITY  BUDGET  -  2020</v>
      </c>
      <c r="C2" s="1804"/>
      <c r="D2" s="1804"/>
      <c r="E2" s="1804"/>
      <c r="F2" s="1804"/>
      <c r="G2" s="1804"/>
      <c r="H2" s="1804"/>
      <c r="I2" s="1804"/>
      <c r="J2" s="1804"/>
    </row>
    <row r="3" spans="2:20" ht="12" customHeight="1">
      <c r="B3" s="1283"/>
      <c r="C3" s="1283"/>
      <c r="D3" s="1283"/>
      <c r="E3" s="1283"/>
      <c r="F3" s="1283"/>
      <c r="G3" s="1283"/>
      <c r="H3" s="1283"/>
      <c r="I3" s="1283"/>
      <c r="J3" s="1283"/>
    </row>
    <row r="4" spans="2:20" ht="17.25" customHeight="1" thickBot="1">
      <c r="B4" s="1963" t="s">
        <v>881</v>
      </c>
      <c r="C4" s="1963"/>
      <c r="D4" s="1963"/>
      <c r="E4" s="1963"/>
      <c r="F4" s="1963"/>
      <c r="G4" s="1963"/>
      <c r="H4" s="1963"/>
      <c r="I4" s="1963"/>
      <c r="J4" s="1963"/>
    </row>
    <row r="5" spans="2:20" ht="13.8" thickTop="1">
      <c r="B5" s="1964" t="s">
        <v>172</v>
      </c>
      <c r="C5" s="1964"/>
      <c r="D5" s="1964"/>
      <c r="E5" s="1964"/>
      <c r="F5" s="1964"/>
      <c r="G5" s="1929"/>
      <c r="H5" s="1220" t="s">
        <v>564</v>
      </c>
      <c r="I5" s="1220" t="s">
        <v>672</v>
      </c>
      <c r="J5" s="1284" t="s">
        <v>340</v>
      </c>
    </row>
    <row r="6" spans="2:20" ht="13.8" thickBot="1">
      <c r="B6" s="1965"/>
      <c r="C6" s="1965"/>
      <c r="D6" s="1965"/>
      <c r="E6" s="1965"/>
      <c r="F6" s="1965"/>
      <c r="G6" s="1966"/>
      <c r="H6" s="1285"/>
      <c r="I6" s="1285" t="s">
        <v>339</v>
      </c>
      <c r="J6" s="1286" t="s">
        <v>341</v>
      </c>
    </row>
    <row r="7" spans="2:20" ht="21" customHeight="1" thickTop="1">
      <c r="B7" s="1152" t="s">
        <v>3213</v>
      </c>
      <c r="C7" s="1152"/>
      <c r="D7" s="1152"/>
      <c r="E7" s="1152"/>
      <c r="F7" s="1152"/>
      <c r="G7" s="1287"/>
      <c r="H7" s="597"/>
      <c r="I7" s="1291">
        <f>H7</f>
        <v>0</v>
      </c>
      <c r="J7" s="1185">
        <f>+I7-H7</f>
        <v>0</v>
      </c>
    </row>
    <row r="8" spans="2:20" ht="10.5" customHeight="1">
      <c r="B8" s="1191" t="s">
        <v>3212</v>
      </c>
      <c r="C8" s="1096"/>
      <c r="D8" s="1096"/>
      <c r="E8" s="1096"/>
      <c r="F8" s="1096"/>
      <c r="G8" s="1288"/>
      <c r="H8" s="1290"/>
      <c r="I8" s="1290"/>
      <c r="J8" s="1100"/>
    </row>
    <row r="9" spans="2:20">
      <c r="B9" s="1110" t="s">
        <v>175</v>
      </c>
      <c r="C9" s="1110"/>
      <c r="D9" s="1110"/>
      <c r="E9" s="1110"/>
      <c r="F9" s="1110"/>
      <c r="G9" s="1289"/>
      <c r="H9" s="644"/>
      <c r="I9" s="644"/>
      <c r="J9" s="849">
        <f t="shared" ref="J9:J15" si="0">+I9-H9</f>
        <v>0</v>
      </c>
    </row>
    <row r="10" spans="2:20" ht="21" customHeight="1">
      <c r="B10" s="639"/>
      <c r="C10" s="639"/>
      <c r="D10" s="639"/>
      <c r="E10" s="639"/>
      <c r="F10" s="639"/>
      <c r="G10" s="1148"/>
      <c r="H10" s="771"/>
      <c r="I10" s="771"/>
      <c r="J10" s="1292">
        <f t="shared" si="0"/>
        <v>0</v>
      </c>
      <c r="N10" s="315"/>
      <c r="O10" s="315"/>
      <c r="P10" s="315"/>
      <c r="Q10" s="315"/>
      <c r="R10" s="315"/>
      <c r="S10" s="315"/>
      <c r="T10" s="315"/>
    </row>
    <row r="11" spans="2:20" ht="21" customHeight="1">
      <c r="B11" s="639"/>
      <c r="C11" s="639"/>
      <c r="D11" s="639"/>
      <c r="E11" s="639"/>
      <c r="F11" s="639"/>
      <c r="G11" s="1148"/>
      <c r="H11" s="771"/>
      <c r="I11" s="771"/>
      <c r="J11" s="1106">
        <f t="shared" si="0"/>
        <v>0</v>
      </c>
      <c r="N11" s="315"/>
      <c r="O11" s="315"/>
      <c r="P11" s="315"/>
      <c r="Q11" s="315"/>
      <c r="R11" s="315"/>
      <c r="S11" s="315"/>
      <c r="T11" s="315"/>
    </row>
    <row r="12" spans="2:20" ht="21" customHeight="1">
      <c r="B12" s="639"/>
      <c r="C12" s="639"/>
      <c r="D12" s="639"/>
      <c r="E12" s="639"/>
      <c r="F12" s="639"/>
      <c r="G12" s="1148"/>
      <c r="H12" s="771"/>
      <c r="I12" s="771"/>
      <c r="J12" s="1106">
        <f t="shared" si="0"/>
        <v>0</v>
      </c>
      <c r="N12" s="370"/>
      <c r="O12" s="315"/>
      <c r="P12" s="315"/>
      <c r="Q12" s="315"/>
      <c r="R12" s="315"/>
      <c r="S12" s="315"/>
      <c r="T12" s="315"/>
    </row>
    <row r="13" spans="2:20" ht="21" customHeight="1">
      <c r="B13" s="639"/>
      <c r="C13" s="639"/>
      <c r="D13" s="639"/>
      <c r="E13" s="639"/>
      <c r="F13" s="639"/>
      <c r="G13" s="1148"/>
      <c r="H13" s="771"/>
      <c r="I13" s="771"/>
      <c r="J13" s="1106">
        <f t="shared" si="0"/>
        <v>0</v>
      </c>
      <c r="N13" s="315"/>
      <c r="O13" s="315"/>
      <c r="P13" s="315"/>
      <c r="Q13" s="315"/>
      <c r="R13" s="315"/>
      <c r="S13" s="315"/>
      <c r="T13" s="315"/>
    </row>
    <row r="14" spans="2:20" ht="21" customHeight="1">
      <c r="B14" s="639"/>
      <c r="C14" s="639"/>
      <c r="D14" s="639"/>
      <c r="E14" s="639"/>
      <c r="F14" s="639"/>
      <c r="G14" s="1148"/>
      <c r="H14" s="771"/>
      <c r="I14" s="771"/>
      <c r="J14" s="1106">
        <f t="shared" si="0"/>
        <v>0</v>
      </c>
      <c r="N14" s="315"/>
      <c r="O14" s="315"/>
      <c r="P14" s="315"/>
      <c r="Q14" s="315"/>
      <c r="R14" s="315"/>
      <c r="S14" s="315"/>
      <c r="T14" s="315"/>
    </row>
    <row r="15" spans="2:20" ht="21" customHeight="1">
      <c r="B15" s="681" t="s">
        <v>3211</v>
      </c>
      <c r="C15" s="681"/>
      <c r="D15" s="681"/>
      <c r="E15" s="681"/>
      <c r="F15" s="681"/>
      <c r="G15" s="1289"/>
      <c r="H15" s="771"/>
      <c r="I15" s="771"/>
      <c r="J15" s="1106">
        <f t="shared" si="0"/>
        <v>0</v>
      </c>
      <c r="N15" s="315"/>
      <c r="O15" s="315"/>
      <c r="P15" s="315"/>
      <c r="Q15" s="315"/>
      <c r="R15" s="315"/>
      <c r="S15" s="315"/>
      <c r="T15" s="315"/>
    </row>
    <row r="16" spans="2:20" ht="21" customHeight="1">
      <c r="B16" s="681" t="s">
        <v>3210</v>
      </c>
      <c r="C16" s="681"/>
      <c r="D16" s="681"/>
      <c r="E16" s="681"/>
      <c r="F16" s="681"/>
      <c r="G16" s="1289"/>
      <c r="H16" s="771"/>
      <c r="I16" s="771"/>
      <c r="J16" s="1106"/>
      <c r="N16" s="315"/>
      <c r="O16" s="315"/>
      <c r="P16" s="315"/>
      <c r="Q16" s="315"/>
      <c r="R16" s="315"/>
      <c r="S16" s="315"/>
      <c r="T16" s="315"/>
    </row>
    <row r="17" spans="2:20" ht="21" customHeight="1">
      <c r="B17" s="681" t="s">
        <v>338</v>
      </c>
      <c r="C17" s="681"/>
      <c r="D17" s="681"/>
      <c r="E17" s="681"/>
      <c r="F17" s="681"/>
      <c r="G17" s="1289"/>
      <c r="H17" s="1156" t="s">
        <v>662</v>
      </c>
      <c r="I17" s="1156" t="s">
        <v>662</v>
      </c>
      <c r="J17" s="1282" t="s">
        <v>662</v>
      </c>
      <c r="N17" s="315"/>
      <c r="O17" s="315"/>
      <c r="P17" s="315"/>
      <c r="Q17" s="315"/>
      <c r="R17" s="315"/>
      <c r="S17" s="315"/>
      <c r="T17" s="315"/>
    </row>
    <row r="18" spans="2:20" ht="21" customHeight="1">
      <c r="B18" s="639"/>
      <c r="C18" s="639"/>
      <c r="D18" s="639"/>
      <c r="E18" s="639"/>
      <c r="F18" s="639"/>
      <c r="G18" s="639"/>
      <c r="H18" s="593"/>
      <c r="I18" s="593"/>
      <c r="J18" s="1106">
        <f>I18-H18</f>
        <v>0</v>
      </c>
      <c r="N18" s="315"/>
      <c r="O18" s="315"/>
      <c r="P18" s="315"/>
      <c r="Q18" s="315"/>
      <c r="R18" s="315"/>
      <c r="S18" s="315"/>
      <c r="T18" s="315"/>
    </row>
    <row r="19" spans="2:20" ht="21" customHeight="1" thickBot="1">
      <c r="B19" s="639"/>
      <c r="C19" s="639"/>
      <c r="D19" s="639"/>
      <c r="E19" s="639"/>
      <c r="F19" s="639"/>
      <c r="G19" s="639"/>
      <c r="H19" s="619"/>
      <c r="I19" s="619"/>
      <c r="J19" s="1523">
        <f>I19-H19</f>
        <v>0</v>
      </c>
      <c r="N19" s="315"/>
      <c r="O19" s="315"/>
      <c r="P19" s="315"/>
      <c r="Q19" s="315"/>
      <c r="R19" s="315"/>
      <c r="S19" s="315"/>
      <c r="T19" s="315"/>
    </row>
    <row r="20" spans="2:20" ht="21" customHeight="1" thickTop="1">
      <c r="B20" s="681"/>
      <c r="C20" s="681"/>
      <c r="D20" s="681" t="s">
        <v>337</v>
      </c>
      <c r="E20" s="681"/>
      <c r="F20" s="681"/>
      <c r="G20" s="1294"/>
      <c r="H20" s="1297">
        <f>SUM(H7:H19)</f>
        <v>0</v>
      </c>
      <c r="I20" s="1297">
        <f>SUM(I7:I19)</f>
        <v>0</v>
      </c>
      <c r="J20" s="849">
        <f>SUM(J7:J19)</f>
        <v>0</v>
      </c>
      <c r="N20" s="315"/>
      <c r="O20" s="315"/>
      <c r="P20" s="315"/>
      <c r="Q20" s="315"/>
      <c r="R20" s="315"/>
      <c r="S20" s="315"/>
      <c r="T20" s="315"/>
    </row>
    <row r="21" spans="2:20" ht="21" customHeight="1" thickBot="1">
      <c r="B21" s="681" t="s">
        <v>3209</v>
      </c>
      <c r="C21" s="1295"/>
      <c r="D21" s="1295"/>
      <c r="E21" s="681"/>
      <c r="F21" s="681"/>
      <c r="G21" s="1289"/>
      <c r="H21" s="645"/>
      <c r="I21" s="645"/>
      <c r="J21" s="1100">
        <f>I21-H21</f>
        <v>0</v>
      </c>
      <c r="N21" s="315"/>
      <c r="O21" s="315"/>
      <c r="P21" s="315"/>
      <c r="Q21" s="315"/>
      <c r="R21" s="315"/>
      <c r="S21" s="315"/>
      <c r="T21" s="315"/>
    </row>
    <row r="22" spans="2:20" ht="21" customHeight="1" thickTop="1" thickBot="1">
      <c r="B22" s="1096"/>
      <c r="C22" s="1096"/>
      <c r="D22" s="1096"/>
      <c r="E22" s="1096"/>
      <c r="F22" s="1096"/>
      <c r="G22" s="1296"/>
      <c r="H22" s="1298">
        <f>+H20+H21</f>
        <v>0</v>
      </c>
      <c r="I22" s="1298">
        <f>+I20+I21</f>
        <v>0</v>
      </c>
      <c r="J22" s="1293">
        <f>+J20+J21</f>
        <v>0</v>
      </c>
      <c r="L22" s="392" t="s">
        <v>3190</v>
      </c>
      <c r="N22" s="315"/>
      <c r="O22" s="315"/>
      <c r="P22" s="315"/>
      <c r="Q22" s="315"/>
      <c r="R22" s="315"/>
      <c r="S22" s="315"/>
      <c r="T22" s="315"/>
    </row>
    <row r="23" spans="2:20" ht="13.8" thickTop="1">
      <c r="B23" s="420" t="s">
        <v>3208</v>
      </c>
      <c r="N23" s="315"/>
      <c r="O23" s="315"/>
      <c r="P23" s="315"/>
      <c r="Q23" s="315"/>
      <c r="R23" s="315"/>
      <c r="S23" s="315"/>
      <c r="T23" s="315"/>
    </row>
    <row r="24" spans="2:20">
      <c r="B24" s="420" t="s">
        <v>3207</v>
      </c>
      <c r="N24" s="315"/>
      <c r="O24" s="315"/>
      <c r="P24" s="315"/>
      <c r="Q24" s="315"/>
      <c r="R24" s="315"/>
      <c r="S24" s="315"/>
      <c r="T24" s="315"/>
    </row>
    <row r="25" spans="2:20">
      <c r="N25" s="315"/>
      <c r="O25" s="315"/>
      <c r="P25" s="315"/>
      <c r="Q25" s="315"/>
      <c r="R25" s="315"/>
      <c r="S25" s="315"/>
      <c r="T25" s="315"/>
    </row>
    <row r="26" spans="2:20">
      <c r="N26" s="315"/>
      <c r="O26" s="315"/>
      <c r="P26" s="315"/>
      <c r="Q26" s="315"/>
      <c r="R26" s="315"/>
      <c r="S26" s="315"/>
      <c r="T26" s="315"/>
    </row>
    <row r="27" spans="2:20" ht="17.25" customHeight="1" thickBot="1">
      <c r="B27" s="1963" t="s">
        <v>342</v>
      </c>
      <c r="C27" s="1963"/>
      <c r="D27" s="1963"/>
      <c r="E27" s="1963"/>
      <c r="F27" s="1963"/>
      <c r="G27" s="1963"/>
      <c r="H27" s="1963"/>
      <c r="I27" s="1963"/>
      <c r="J27" s="1963"/>
    </row>
    <row r="28" spans="2:20" ht="21" customHeight="1" thickTop="1">
      <c r="B28" s="1299" t="s">
        <v>343</v>
      </c>
      <c r="C28" s="1300"/>
      <c r="D28" s="1300"/>
      <c r="E28" s="1300"/>
      <c r="F28" s="1300"/>
      <c r="G28" s="1300"/>
      <c r="H28" s="1300"/>
      <c r="I28" s="1301"/>
      <c r="J28" s="1302" t="s">
        <v>662</v>
      </c>
    </row>
    <row r="29" spans="2:20" ht="21" customHeight="1">
      <c r="B29" s="1303"/>
      <c r="C29" s="1304" t="s">
        <v>181</v>
      </c>
      <c r="D29" s="1304"/>
      <c r="E29" s="1304"/>
      <c r="F29" s="1304"/>
      <c r="G29" s="1304"/>
      <c r="H29" s="1304"/>
      <c r="I29" s="1305"/>
      <c r="J29" s="646"/>
    </row>
    <row r="30" spans="2:20" ht="21" customHeight="1">
      <c r="B30" s="1303"/>
      <c r="C30" s="1304" t="s">
        <v>344</v>
      </c>
      <c r="D30" s="1304"/>
      <c r="E30" s="1304"/>
      <c r="F30" s="1304"/>
      <c r="G30" s="1304"/>
      <c r="H30" s="1304"/>
      <c r="I30" s="1305"/>
      <c r="J30" s="646"/>
    </row>
    <row r="31" spans="2:20" ht="21" customHeight="1" thickBot="1">
      <c r="B31" s="1303"/>
      <c r="C31" s="1304" t="s">
        <v>345</v>
      </c>
      <c r="D31" s="1304"/>
      <c r="E31" s="1304"/>
      <c r="F31" s="1304"/>
      <c r="G31" s="1304"/>
      <c r="H31" s="1304"/>
      <c r="I31" s="1305"/>
      <c r="J31" s="648"/>
    </row>
    <row r="32" spans="2:20" ht="21" customHeight="1" thickTop="1">
      <c r="B32" s="1303" t="s">
        <v>346</v>
      </c>
      <c r="C32" s="1304"/>
      <c r="D32" s="1304"/>
      <c r="E32" s="1304"/>
      <c r="F32" s="1304"/>
      <c r="G32" s="1304"/>
      <c r="H32" s="1304"/>
      <c r="I32" s="1306"/>
      <c r="J32" s="1307">
        <f>SUM(J29:J31)</f>
        <v>0</v>
      </c>
    </row>
    <row r="33" spans="2:13" ht="21" customHeight="1" thickBot="1">
      <c r="B33" s="1303" t="s">
        <v>347</v>
      </c>
      <c r="C33" s="1304"/>
      <c r="D33" s="1304"/>
      <c r="E33" s="1304"/>
      <c r="F33" s="1304"/>
      <c r="G33" s="1304"/>
      <c r="H33" s="1304"/>
      <c r="I33" s="1306"/>
      <c r="J33" s="648"/>
    </row>
    <row r="34" spans="2:13" ht="21" customHeight="1" thickTop="1">
      <c r="B34" s="1303" t="s">
        <v>766</v>
      </c>
      <c r="C34" s="1304"/>
      <c r="D34" s="1304"/>
      <c r="E34" s="1304"/>
      <c r="F34" s="1304"/>
      <c r="G34" s="1304"/>
      <c r="H34" s="1304"/>
      <c r="I34" s="1306"/>
      <c r="J34" s="1307">
        <f>+J32+J33</f>
        <v>0</v>
      </c>
    </row>
    <row r="35" spans="2:13" ht="21" customHeight="1">
      <c r="B35" s="1303" t="s">
        <v>348</v>
      </c>
      <c r="C35" s="1304"/>
      <c r="D35" s="1304"/>
      <c r="E35" s="1304"/>
      <c r="F35" s="1304"/>
      <c r="G35" s="1304"/>
      <c r="H35" s="1304"/>
      <c r="I35" s="1306"/>
      <c r="J35" s="1308"/>
    </row>
    <row r="36" spans="2:13" ht="21" customHeight="1">
      <c r="B36" s="1310"/>
      <c r="C36" s="1310" t="s">
        <v>628</v>
      </c>
      <c r="D36" s="1310"/>
      <c r="E36" s="1310"/>
      <c r="F36" s="1310"/>
      <c r="G36" s="1310"/>
      <c r="H36" s="1310"/>
      <c r="I36" s="649"/>
      <c r="J36" s="1309"/>
    </row>
    <row r="37" spans="2:13" ht="21" customHeight="1">
      <c r="B37" s="1310"/>
      <c r="C37" s="1310" t="s">
        <v>770</v>
      </c>
      <c r="D37" s="1310"/>
      <c r="E37" s="1310"/>
      <c r="F37" s="1310"/>
      <c r="G37" s="1310"/>
      <c r="H37" s="1310"/>
      <c r="I37" s="649"/>
      <c r="J37" s="1309"/>
    </row>
    <row r="38" spans="2:13" ht="21" customHeight="1" thickBot="1">
      <c r="B38" s="1310" t="s">
        <v>349</v>
      </c>
      <c r="C38" s="1310"/>
      <c r="D38" s="1310"/>
      <c r="E38" s="1310"/>
      <c r="F38" s="1310"/>
      <c r="G38" s="1310"/>
      <c r="H38" s="1310"/>
      <c r="I38" s="650"/>
      <c r="J38" s="646"/>
      <c r="M38" s="392"/>
    </row>
    <row r="39" spans="2:13" ht="21" customHeight="1" thickTop="1" thickBot="1">
      <c r="B39" s="1310" t="s">
        <v>771</v>
      </c>
      <c r="C39" s="1310"/>
      <c r="D39" s="1310"/>
      <c r="E39" s="1310"/>
      <c r="F39" s="1310"/>
      <c r="G39" s="1310"/>
      <c r="H39" s="1310"/>
      <c r="I39" s="1311"/>
      <c r="J39" s="424">
        <f>SUM(I36:I38)</f>
        <v>0</v>
      </c>
    </row>
    <row r="40" spans="2:13" ht="21" customHeight="1" thickTop="1" thickBot="1">
      <c r="B40" s="1310" t="s">
        <v>350</v>
      </c>
      <c r="C40" s="1310"/>
      <c r="D40" s="1310"/>
      <c r="E40" s="1310"/>
      <c r="F40" s="1310"/>
      <c r="G40" s="1310"/>
      <c r="H40" s="1310"/>
      <c r="I40" s="1312"/>
      <c r="J40" s="421">
        <f>+J34-J39</f>
        <v>0</v>
      </c>
      <c r="K40" s="392"/>
    </row>
    <row r="41" spans="2:13" ht="13.8" thickTop="1"/>
    <row r="42" spans="2:13">
      <c r="B42" s="420" t="s">
        <v>3206</v>
      </c>
      <c r="C42" s="420"/>
      <c r="D42" s="420"/>
      <c r="E42" s="420"/>
      <c r="F42" s="420"/>
    </row>
    <row r="43" spans="2:13">
      <c r="B43" s="420"/>
      <c r="C43" s="420" t="s">
        <v>3205</v>
      </c>
      <c r="D43" s="420"/>
      <c r="E43" s="420"/>
      <c r="F43" s="420"/>
    </row>
    <row r="44" spans="2:13">
      <c r="B44" s="420"/>
      <c r="C44" s="420"/>
      <c r="D44" s="420" t="s">
        <v>3204</v>
      </c>
      <c r="E44" s="420"/>
      <c r="F44" s="420"/>
      <c r="M44" s="392"/>
    </row>
    <row r="45" spans="2:13">
      <c r="B45" s="420"/>
      <c r="C45" s="420" t="s">
        <v>43</v>
      </c>
      <c r="D45" s="420"/>
      <c r="E45" s="420"/>
      <c r="F45" s="420"/>
    </row>
    <row r="46" spans="2:13">
      <c r="B46" s="420"/>
      <c r="C46" s="420" t="s">
        <v>3203</v>
      </c>
      <c r="D46" s="420"/>
      <c r="E46" s="420"/>
      <c r="F46" s="420"/>
    </row>
    <row r="47" spans="2:13">
      <c r="B47" s="420"/>
      <c r="C47" s="420"/>
      <c r="D47" s="420" t="s">
        <v>3202</v>
      </c>
      <c r="E47" s="420"/>
      <c r="F47" s="420"/>
    </row>
    <row r="48" spans="2:13">
      <c r="B48" s="420"/>
      <c r="C48" s="420"/>
      <c r="D48" s="420"/>
      <c r="E48" s="420"/>
      <c r="F48" s="420"/>
    </row>
    <row r="55" spans="2:10" ht="13.8">
      <c r="B55" s="1799" t="s">
        <v>3201</v>
      </c>
      <c r="C55" s="1799"/>
      <c r="D55" s="1799"/>
      <c r="E55" s="1799"/>
      <c r="F55" s="1799"/>
      <c r="G55" s="1799"/>
      <c r="H55" s="1799"/>
      <c r="I55" s="1799"/>
      <c r="J55" s="1799"/>
    </row>
  </sheetData>
  <sheetProtection algorithmName="SHA-512" hashValue="3c0gCXf/J77Rho3PwU/jxfl+ow7tpGJM8/JuBBPhzFZ0oRs5YpqOkGrHk7qoKY+I/+soxOc5NSV+qckgaFAdGw==" saltValue="Dz7C2qGLE7BbCGS9sin25A=="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6">
    <tabColor theme="3" tint="0.79998168889431442"/>
  </sheetPr>
  <dimension ref="B1:T57"/>
  <sheetViews>
    <sheetView topLeftCell="A34" zoomScaleNormal="100" zoomScaleSheetLayoutView="80" workbookViewId="0">
      <selection activeCell="J51" sqref="J51"/>
    </sheetView>
  </sheetViews>
  <sheetFormatPr defaultColWidth="8.88671875" defaultRowHeight="13.2"/>
  <cols>
    <col min="1" max="1" width="4.6640625" style="391" customWidth="1"/>
    <col min="2" max="2" width="6.109375" style="391" customWidth="1"/>
    <col min="3" max="3" width="3.33203125" style="391" customWidth="1"/>
    <col min="4" max="4" width="2.6640625" style="391" customWidth="1"/>
    <col min="5" max="5" width="8.88671875" style="391"/>
    <col min="6" max="6" width="5.88671875" style="391" customWidth="1"/>
    <col min="7" max="7" width="8.88671875" style="391"/>
    <col min="8" max="8" width="16" style="391" customWidth="1"/>
    <col min="9" max="9" width="8.88671875" style="391"/>
    <col min="10" max="11" width="16.6640625" style="391" customWidth="1"/>
    <col min="12" max="12" width="8.88671875" style="391"/>
    <col min="13" max="13" width="11.33203125" style="391" customWidth="1"/>
    <col min="14" max="16384" width="8.88671875" style="391"/>
  </cols>
  <sheetData>
    <row r="1" spans="2:20">
      <c r="B1" s="766"/>
      <c r="C1" s="1096"/>
      <c r="D1" s="1096"/>
      <c r="E1" s="1096"/>
      <c r="F1" s="1096"/>
      <c r="G1" s="1096"/>
      <c r="H1" s="1096"/>
      <c r="I1" s="1096"/>
      <c r="J1" s="1096"/>
      <c r="K1" s="1096"/>
    </row>
    <row r="2" spans="2:20">
      <c r="B2" s="1096"/>
      <c r="C2" s="1096"/>
      <c r="D2" s="1096"/>
      <c r="E2" s="1096"/>
      <c r="F2" s="1096"/>
      <c r="G2" s="1096"/>
      <c r="H2" s="1096"/>
      <c r="I2" s="1096"/>
      <c r="J2" s="1096"/>
      <c r="K2" s="1096"/>
    </row>
    <row r="3" spans="2:20" ht="22.8">
      <c r="B3" s="1804" t="str">
        <f>"STATEMENT  OF  "&amp;TEXT('KEY INPUTS'!D34,"0")&amp;"  OPERATION"</f>
        <v>STATEMENT  OF  2020  OPERATION</v>
      </c>
      <c r="C3" s="1804"/>
      <c r="D3" s="1804"/>
      <c r="E3" s="1804"/>
      <c r="F3" s="1804"/>
      <c r="G3" s="1804"/>
      <c r="H3" s="1804"/>
      <c r="I3" s="1804"/>
      <c r="J3" s="1804"/>
      <c r="K3" s="1804"/>
    </row>
    <row r="4" spans="2:20">
      <c r="B4" s="1096"/>
      <c r="C4" s="1096"/>
      <c r="D4" s="1096"/>
      <c r="E4" s="1096"/>
      <c r="F4" s="1096"/>
      <c r="G4" s="1096"/>
      <c r="H4" s="1096"/>
      <c r="I4" s="1096"/>
      <c r="J4" s="1096"/>
      <c r="K4" s="1096"/>
    </row>
    <row r="5" spans="2:20" ht="20.399999999999999">
      <c r="B5" s="1826" t="str">
        <f>UPPER('KEY INPUTS'!D57)&amp;" UTILITY"</f>
        <v xml:space="preserve"> UTILITY</v>
      </c>
      <c r="C5" s="1826"/>
      <c r="D5" s="1826"/>
      <c r="E5" s="1826"/>
      <c r="F5" s="1826"/>
      <c r="G5" s="1826"/>
      <c r="H5" s="1826"/>
      <c r="I5" s="1826"/>
      <c r="J5" s="1826"/>
      <c r="K5" s="1826"/>
    </row>
    <row r="6" spans="2:20">
      <c r="B6" s="1096"/>
      <c r="C6" s="1096"/>
      <c r="D6" s="1096"/>
      <c r="E6" s="1096"/>
      <c r="F6" s="1096"/>
      <c r="G6" s="1096"/>
      <c r="H6" s="1096"/>
      <c r="I6" s="1096"/>
      <c r="J6" s="1096"/>
      <c r="K6" s="1096"/>
    </row>
    <row r="7" spans="2:20">
      <c r="B7" s="1096"/>
      <c r="C7" s="1096"/>
      <c r="D7" s="1096"/>
      <c r="E7" s="1096"/>
      <c r="F7" s="1096"/>
      <c r="G7" s="1096"/>
      <c r="H7" s="1096"/>
      <c r="I7" s="1096"/>
      <c r="J7" s="1096"/>
      <c r="K7" s="1096"/>
    </row>
    <row r="8" spans="2:20">
      <c r="B8" s="1096" t="s">
        <v>332</v>
      </c>
      <c r="C8" s="1171" t="str">
        <f>"Section 1 of this sheet is required to be filled out ONLY IF the "&amp;TEXT('KEY INPUTS'!D34,"0")&amp;" "&amp;PROPER('KEY INPUTS'!D57)&amp;" Utility Budget contained"</f>
        <v>Section 1 of this sheet is required to be filled out ONLY IF the 2020  Utility Budget contained</v>
      </c>
      <c r="D8" s="1096"/>
      <c r="E8" s="1096"/>
      <c r="F8" s="1096"/>
      <c r="G8" s="1096"/>
      <c r="H8" s="1096"/>
      <c r="I8" s="1096"/>
      <c r="J8" s="1096"/>
      <c r="K8" s="1096"/>
    </row>
    <row r="9" spans="2:20">
      <c r="B9" s="1096"/>
      <c r="C9" s="1096" t="s">
        <v>351</v>
      </c>
      <c r="D9" s="1096"/>
      <c r="E9" s="1096"/>
      <c r="F9" s="1096"/>
      <c r="G9" s="1096"/>
      <c r="H9" s="1096"/>
      <c r="I9" s="1096"/>
      <c r="J9" s="1096"/>
      <c r="K9" s="1096"/>
    </row>
    <row r="10" spans="2:20">
      <c r="B10" s="1096"/>
      <c r="C10" s="1096" t="s">
        <v>352</v>
      </c>
      <c r="D10" s="1096"/>
      <c r="E10" s="1096"/>
      <c r="F10" s="1096"/>
      <c r="G10" s="1096"/>
      <c r="H10" s="1096"/>
      <c r="I10" s="1096"/>
      <c r="J10" s="1096"/>
      <c r="K10" s="1096"/>
    </row>
    <row r="11" spans="2:20">
      <c r="B11" s="1096"/>
      <c r="C11" s="1149" t="s">
        <v>3217</v>
      </c>
      <c r="D11" s="1096"/>
      <c r="E11" s="1096"/>
      <c r="F11" s="1096"/>
      <c r="G11" s="1096"/>
      <c r="H11" s="1096"/>
      <c r="I11" s="1096"/>
      <c r="J11" s="1096"/>
      <c r="K11" s="1096"/>
    </row>
    <row r="12" spans="2:20">
      <c r="B12" s="1096"/>
      <c r="C12" s="1096"/>
      <c r="D12" s="1096"/>
      <c r="E12" s="1096"/>
      <c r="F12" s="1096"/>
      <c r="G12" s="1096"/>
      <c r="H12" s="1096"/>
      <c r="I12" s="1096"/>
      <c r="J12" s="1096"/>
      <c r="K12" s="1096"/>
    </row>
    <row r="13" spans="2:20" ht="17.399999999999999">
      <c r="B13" s="1150" t="s">
        <v>353</v>
      </c>
      <c r="C13" s="1096"/>
      <c r="D13" s="1096"/>
      <c r="E13" s="1096"/>
      <c r="F13" s="1096"/>
      <c r="G13" s="1096"/>
      <c r="H13" s="1096"/>
      <c r="I13" s="1096"/>
      <c r="J13" s="1096"/>
      <c r="K13" s="1096"/>
    </row>
    <row r="14" spans="2:20" ht="13.8" thickBot="1">
      <c r="B14" s="1151"/>
      <c r="C14" s="1151"/>
      <c r="D14" s="1151"/>
      <c r="E14" s="1151"/>
      <c r="F14" s="1151"/>
      <c r="G14" s="1151"/>
      <c r="H14" s="1151"/>
      <c r="I14" s="1151"/>
      <c r="J14" s="1151"/>
      <c r="K14" s="1151"/>
    </row>
    <row r="15" spans="2:20" ht="21" customHeight="1" thickTop="1">
      <c r="B15" s="1152" t="s">
        <v>354</v>
      </c>
      <c r="C15" s="1152"/>
      <c r="D15" s="1152"/>
      <c r="E15" s="1152"/>
      <c r="F15" s="1152"/>
      <c r="G15" s="1152"/>
      <c r="H15" s="1152"/>
      <c r="I15" s="1152"/>
      <c r="J15" s="1153" t="s">
        <v>662</v>
      </c>
      <c r="K15" s="832"/>
      <c r="N15" s="315"/>
      <c r="O15" s="315"/>
      <c r="P15" s="315"/>
      <c r="Q15" s="315"/>
      <c r="R15" s="315"/>
      <c r="S15" s="315"/>
      <c r="T15" s="315"/>
    </row>
    <row r="16" spans="2:20" ht="21" customHeight="1">
      <c r="B16" s="681"/>
      <c r="C16" s="681" t="s">
        <v>355</v>
      </c>
      <c r="D16" s="681"/>
      <c r="E16" s="681"/>
      <c r="F16" s="681"/>
      <c r="G16" s="681"/>
      <c r="H16" s="681"/>
      <c r="I16" s="681"/>
      <c r="J16" s="833">
        <f>+'44-Utility6'!I20</f>
        <v>0</v>
      </c>
      <c r="K16" s="832"/>
      <c r="N16" s="315"/>
      <c r="O16" s="315"/>
      <c r="P16" s="315"/>
      <c r="Q16" s="315"/>
      <c r="R16" s="315"/>
      <c r="S16" s="315"/>
      <c r="T16" s="315"/>
    </row>
    <row r="17" spans="2:20" ht="21" customHeight="1">
      <c r="B17" s="681"/>
      <c r="C17" s="681" t="s">
        <v>356</v>
      </c>
      <c r="D17" s="681"/>
      <c r="E17" s="681"/>
      <c r="F17" s="681"/>
      <c r="G17" s="681"/>
      <c r="H17" s="681"/>
      <c r="I17" s="681"/>
      <c r="J17" s="568"/>
      <c r="K17" s="832"/>
      <c r="N17" s="370"/>
      <c r="O17" s="315"/>
      <c r="P17" s="315"/>
      <c r="Q17" s="315"/>
      <c r="R17" s="315"/>
      <c r="S17" s="315"/>
      <c r="T17" s="315"/>
    </row>
    <row r="18" spans="2:20" ht="21" customHeight="1">
      <c r="B18" s="681"/>
      <c r="C18" s="905" t="str">
        <f>TEXT('KEY INPUTS'!D35,"0")&amp;" Appropriation Reserves Canceled in "&amp;TEXT('KEY INPUTS'!D34,0)</f>
        <v>2019 Appropriation Reserves Canceled in 2020</v>
      </c>
      <c r="D18" s="1154"/>
      <c r="E18" s="1154"/>
      <c r="F18" s="1154"/>
      <c r="G18" s="1154"/>
      <c r="H18" s="681"/>
      <c r="I18" s="681"/>
      <c r="J18" s="367"/>
      <c r="K18" s="832"/>
      <c r="N18" s="315"/>
      <c r="O18" s="315"/>
      <c r="P18" s="315"/>
      <c r="Q18" s="315"/>
      <c r="R18" s="315"/>
      <c r="S18" s="315"/>
      <c r="T18" s="315"/>
    </row>
    <row r="19" spans="2:20" ht="21" customHeight="1">
      <c r="B19" s="681"/>
      <c r="C19" s="639"/>
      <c r="D19" s="639"/>
      <c r="E19" s="639"/>
      <c r="F19" s="639"/>
      <c r="G19" s="639"/>
      <c r="H19" s="639"/>
      <c r="I19" s="639"/>
      <c r="J19" s="367"/>
      <c r="K19" s="832"/>
      <c r="N19" s="315"/>
      <c r="O19" s="315"/>
      <c r="P19" s="315"/>
      <c r="Q19" s="315"/>
      <c r="R19" s="315"/>
      <c r="S19" s="315"/>
      <c r="T19" s="315"/>
    </row>
    <row r="20" spans="2:20" ht="21" customHeight="1">
      <c r="B20" s="681"/>
      <c r="C20" s="639"/>
      <c r="D20" s="639"/>
      <c r="E20" s="639"/>
      <c r="F20" s="639"/>
      <c r="G20" s="639"/>
      <c r="H20" s="639"/>
      <c r="I20" s="639"/>
      <c r="J20" s="367"/>
      <c r="K20" s="832"/>
      <c r="N20" s="315"/>
      <c r="O20" s="315"/>
      <c r="P20" s="315"/>
      <c r="Q20" s="315"/>
      <c r="R20" s="315"/>
      <c r="S20" s="315"/>
      <c r="T20" s="315"/>
    </row>
    <row r="21" spans="2:20" ht="21" customHeight="1">
      <c r="B21" s="681"/>
      <c r="C21" s="681" t="s">
        <v>357</v>
      </c>
      <c r="D21" s="681"/>
      <c r="E21" s="681"/>
      <c r="F21" s="681"/>
      <c r="G21" s="681"/>
      <c r="H21" s="681"/>
      <c r="I21" s="681"/>
      <c r="J21" s="568"/>
      <c r="K21" s="842">
        <f>SUM(J16:J20)</f>
        <v>0</v>
      </c>
      <c r="N21" s="315"/>
      <c r="O21" s="315"/>
      <c r="P21" s="315"/>
      <c r="Q21" s="315"/>
      <c r="R21" s="315"/>
      <c r="S21" s="315"/>
      <c r="T21" s="315"/>
    </row>
    <row r="22" spans="2:20" ht="21" customHeight="1">
      <c r="B22" s="681" t="s">
        <v>358</v>
      </c>
      <c r="C22" s="681"/>
      <c r="D22" s="681"/>
      <c r="E22" s="681"/>
      <c r="F22" s="681"/>
      <c r="G22" s="681"/>
      <c r="H22" s="681"/>
      <c r="I22" s="681"/>
      <c r="J22" s="1156" t="s">
        <v>662</v>
      </c>
      <c r="K22" s="832"/>
      <c r="N22" s="315"/>
      <c r="O22" s="315"/>
      <c r="P22" s="315"/>
      <c r="Q22" s="315"/>
      <c r="R22" s="315"/>
      <c r="S22" s="315"/>
      <c r="T22" s="315"/>
    </row>
    <row r="23" spans="2:20" ht="21" customHeight="1">
      <c r="B23" s="681"/>
      <c r="C23" s="681" t="s">
        <v>359</v>
      </c>
      <c r="D23" s="681"/>
      <c r="E23" s="681"/>
      <c r="F23" s="681"/>
      <c r="G23" s="681"/>
      <c r="H23" s="681"/>
      <c r="I23" s="681"/>
      <c r="J23" s="1156" t="s">
        <v>662</v>
      </c>
      <c r="K23" s="832"/>
      <c r="N23" s="315"/>
      <c r="O23" s="315"/>
      <c r="P23" s="315"/>
      <c r="Q23" s="315"/>
      <c r="R23" s="315"/>
      <c r="S23" s="315"/>
      <c r="T23" s="315"/>
    </row>
    <row r="24" spans="2:20" ht="21" customHeight="1">
      <c r="B24" s="681"/>
      <c r="C24" s="681"/>
      <c r="D24" s="681" t="s">
        <v>628</v>
      </c>
      <c r="E24" s="681"/>
      <c r="F24" s="681"/>
      <c r="G24" s="681"/>
      <c r="H24" s="681"/>
      <c r="I24" s="681"/>
      <c r="J24" s="833">
        <f>+'44-Utility6'!I36</f>
        <v>0</v>
      </c>
      <c r="K24" s="832"/>
      <c r="N24" s="315"/>
      <c r="O24" s="315"/>
      <c r="P24" s="315"/>
      <c r="Q24" s="315"/>
      <c r="R24" s="315"/>
      <c r="S24" s="315"/>
      <c r="T24" s="315"/>
    </row>
    <row r="25" spans="2:20" ht="21" customHeight="1">
      <c r="B25" s="681"/>
      <c r="C25" s="681"/>
      <c r="D25" s="681" t="s">
        <v>770</v>
      </c>
      <c r="E25" s="681"/>
      <c r="F25" s="681"/>
      <c r="G25" s="681"/>
      <c r="H25" s="681"/>
      <c r="I25" s="681"/>
      <c r="J25" s="833">
        <f>+'44-Utility6'!I37</f>
        <v>0</v>
      </c>
      <c r="K25" s="832"/>
      <c r="N25" s="315"/>
      <c r="O25" s="315"/>
      <c r="P25" s="315"/>
      <c r="Q25" s="315"/>
      <c r="R25" s="315"/>
      <c r="S25" s="315"/>
      <c r="T25" s="315"/>
    </row>
    <row r="26" spans="2:20" ht="21" customHeight="1">
      <c r="B26" s="681"/>
      <c r="C26" s="681" t="s">
        <v>360</v>
      </c>
      <c r="D26" s="681"/>
      <c r="E26" s="681"/>
      <c r="F26" s="681"/>
      <c r="G26" s="681"/>
      <c r="H26" s="681"/>
      <c r="I26" s="681"/>
      <c r="J26" s="568"/>
      <c r="K26" s="832"/>
      <c r="N26" s="315"/>
      <c r="O26" s="315"/>
      <c r="P26" s="315"/>
      <c r="Q26" s="315"/>
      <c r="R26" s="315"/>
      <c r="S26" s="315"/>
      <c r="T26" s="315"/>
    </row>
    <row r="27" spans="2:20" ht="21" customHeight="1">
      <c r="B27" s="681"/>
      <c r="C27" s="681" t="s">
        <v>361</v>
      </c>
      <c r="D27" s="681"/>
      <c r="E27" s="681"/>
      <c r="F27" s="681"/>
      <c r="G27" s="681"/>
      <c r="H27" s="681"/>
      <c r="I27" s="681"/>
      <c r="J27" s="568"/>
      <c r="K27" s="832"/>
      <c r="N27" s="315"/>
      <c r="O27" s="315"/>
      <c r="P27" s="315"/>
      <c r="Q27" s="315"/>
      <c r="R27" s="315"/>
      <c r="S27" s="315"/>
      <c r="T27" s="315"/>
    </row>
    <row r="28" spans="2:20" ht="21" customHeight="1" thickBot="1">
      <c r="B28" s="681"/>
      <c r="C28" s="639"/>
      <c r="D28" s="639"/>
      <c r="E28" s="639"/>
      <c r="F28" s="639"/>
      <c r="G28" s="639"/>
      <c r="H28" s="639"/>
      <c r="I28" s="639"/>
      <c r="J28" s="1007"/>
      <c r="K28" s="832"/>
      <c r="N28" s="315"/>
      <c r="O28" s="315"/>
      <c r="P28" s="315"/>
      <c r="Q28" s="315"/>
      <c r="R28" s="315"/>
      <c r="S28" s="315"/>
      <c r="T28" s="315"/>
    </row>
    <row r="29" spans="2:20" ht="21" customHeight="1">
      <c r="B29" s="681"/>
      <c r="C29" s="681"/>
      <c r="D29" s="681"/>
      <c r="E29" s="681"/>
      <c r="F29" s="681" t="s">
        <v>771</v>
      </c>
      <c r="G29" s="681"/>
      <c r="H29" s="681"/>
      <c r="I29" s="681"/>
      <c r="J29" s="839">
        <f>SUM(J24:J28)</f>
        <v>0</v>
      </c>
      <c r="K29" s="832"/>
      <c r="N29" s="315"/>
      <c r="O29" s="315"/>
      <c r="P29" s="315"/>
      <c r="Q29" s="315"/>
      <c r="R29" s="315"/>
      <c r="S29" s="315"/>
      <c r="T29" s="315"/>
    </row>
    <row r="30" spans="2:20" ht="11.25" customHeight="1">
      <c r="B30" s="1096"/>
      <c r="C30" s="1096"/>
      <c r="D30" s="1096"/>
      <c r="E30" s="1096"/>
      <c r="F30" s="1096" t="s">
        <v>799</v>
      </c>
      <c r="G30" s="1096" t="s">
        <v>800</v>
      </c>
      <c r="H30" s="1096"/>
      <c r="I30" s="1096"/>
      <c r="J30" s="1159"/>
      <c r="K30" s="832"/>
      <c r="N30" s="315"/>
      <c r="O30" s="315"/>
      <c r="P30" s="315"/>
      <c r="Q30" s="315"/>
      <c r="R30" s="315"/>
      <c r="S30" s="315"/>
      <c r="T30" s="315"/>
    </row>
    <row r="31" spans="2:20" ht="13.5" customHeight="1">
      <c r="B31" s="1110"/>
      <c r="C31" s="1110"/>
      <c r="D31" s="1110"/>
      <c r="E31" s="1110"/>
      <c r="F31" s="1110"/>
      <c r="G31" s="1110" t="s">
        <v>801</v>
      </c>
      <c r="H31" s="1110"/>
      <c r="I31" s="1160"/>
      <c r="J31" s="1471"/>
      <c r="K31" s="1157"/>
      <c r="N31" s="315"/>
      <c r="O31" s="315"/>
      <c r="P31" s="315"/>
      <c r="Q31" s="315"/>
      <c r="R31" s="315"/>
      <c r="S31" s="315"/>
      <c r="T31" s="315"/>
    </row>
    <row r="32" spans="2:20" ht="21" customHeight="1" thickBot="1">
      <c r="B32" s="1162"/>
      <c r="C32" s="1162"/>
      <c r="D32" s="1162" t="s">
        <v>802</v>
      </c>
      <c r="E32" s="1162"/>
      <c r="F32" s="1162"/>
      <c r="G32" s="1162"/>
      <c r="H32" s="1162"/>
      <c r="I32" s="1162"/>
      <c r="J32" s="1163"/>
      <c r="K32" s="1158">
        <f>+J29-J31</f>
        <v>0</v>
      </c>
    </row>
    <row r="33" spans="2:15" ht="21" customHeight="1" thickTop="1" thickBot="1">
      <c r="B33" s="1164" t="s">
        <v>803</v>
      </c>
      <c r="C33" s="1164"/>
      <c r="D33" s="1164"/>
      <c r="E33" s="1164"/>
      <c r="F33" s="1164"/>
      <c r="G33" s="1164"/>
      <c r="H33" s="1164"/>
      <c r="I33" s="1164"/>
      <c r="J33" s="1165"/>
      <c r="K33" s="1166">
        <f>IF(M33&gt;0,M33,0)</f>
        <v>0</v>
      </c>
      <c r="M33" s="392">
        <f>+K21-K32</f>
        <v>0</v>
      </c>
      <c r="N33" s="701" t="s">
        <v>3435</v>
      </c>
    </row>
    <row r="34" spans="2:15" ht="21" customHeight="1">
      <c r="B34" s="681" t="s">
        <v>804</v>
      </c>
      <c r="C34" s="681"/>
      <c r="D34" s="681"/>
      <c r="E34" s="681"/>
      <c r="F34" s="681"/>
      <c r="G34" s="681"/>
      <c r="H34" s="681"/>
      <c r="I34" s="681"/>
      <c r="J34" s="568"/>
      <c r="K34" s="832"/>
    </row>
    <row r="35" spans="2:15" ht="11.25" customHeight="1">
      <c r="B35" s="1838" t="s">
        <v>805</v>
      </c>
      <c r="C35" s="1838"/>
      <c r="D35" s="1838"/>
      <c r="E35" s="1171" t="str">
        <f>"Balance of Results of "&amp;TEXT('KEY INPUTS'!D34,"0")&amp;" Operation"</f>
        <v>Balance of Results of 2020 Operation</v>
      </c>
      <c r="F35" s="1096"/>
      <c r="G35" s="1096"/>
      <c r="H35" s="1096"/>
      <c r="I35" s="1096"/>
      <c r="J35" s="1159"/>
      <c r="K35" s="832"/>
    </row>
    <row r="36" spans="2:15" ht="12.75" customHeight="1" thickBot="1">
      <c r="B36" s="1839"/>
      <c r="C36" s="1839"/>
      <c r="D36" s="1839"/>
      <c r="E36" s="1110" t="s">
        <v>3549</v>
      </c>
      <c r="F36" s="1110"/>
      <c r="G36" s="1110"/>
      <c r="H36" s="1110"/>
      <c r="I36" s="1110"/>
      <c r="J36" s="1161">
        <f>+K33-J34</f>
        <v>0</v>
      </c>
      <c r="K36" s="832"/>
    </row>
    <row r="37" spans="2:15" ht="21" customHeight="1" thickBot="1">
      <c r="B37" s="1172"/>
      <c r="C37" s="1172"/>
      <c r="D37" s="1172"/>
      <c r="E37" s="1172"/>
      <c r="F37" s="1172"/>
      <c r="G37" s="1172"/>
      <c r="H37" s="1172"/>
      <c r="I37" s="1172"/>
      <c r="J37" s="1175"/>
      <c r="K37" s="1167"/>
    </row>
    <row r="38" spans="2:15" ht="21" customHeight="1" thickBot="1">
      <c r="B38" s="1173" t="s">
        <v>806</v>
      </c>
      <c r="C38" s="1173"/>
      <c r="D38" s="1173"/>
      <c r="E38" s="1173"/>
      <c r="F38" s="1173"/>
      <c r="G38" s="1173"/>
      <c r="H38" s="1173"/>
      <c r="I38" s="1173"/>
      <c r="J38" s="1176"/>
      <c r="K38" s="1168">
        <f>IF(+M33&gt;0,0,+M33*-1)</f>
        <v>0</v>
      </c>
    </row>
    <row r="39" spans="2:15" ht="21" customHeight="1">
      <c r="B39" s="681" t="s">
        <v>807</v>
      </c>
      <c r="C39" s="681"/>
      <c r="D39" s="681"/>
      <c r="E39" s="681"/>
      <c r="F39" s="681"/>
      <c r="G39" s="681"/>
      <c r="H39" s="681"/>
      <c r="I39" s="681"/>
      <c r="J39" s="1176">
        <f>+'44-Utility6'!I21</f>
        <v>0</v>
      </c>
      <c r="K39" s="832"/>
    </row>
    <row r="40" spans="2:15">
      <c r="B40" s="1840" t="s">
        <v>805</v>
      </c>
      <c r="C40" s="1840"/>
      <c r="D40" s="1840"/>
      <c r="E40" s="1171" t="str">
        <f>"Balance of Results of "&amp;TEXT('KEY INPUTS'!D34,"0")&amp;" Operation"</f>
        <v>Balance of Results of 2020 Operation</v>
      </c>
      <c r="F40" s="1174"/>
      <c r="G40" s="1174"/>
      <c r="H40" s="1174"/>
      <c r="I40" s="1174"/>
      <c r="J40" s="1159"/>
      <c r="K40" s="1169"/>
    </row>
    <row r="41" spans="2:15" ht="13.8" thickBot="1">
      <c r="B41" s="1841"/>
      <c r="C41" s="1841"/>
      <c r="D41" s="1841"/>
      <c r="E41" s="1151" t="s">
        <v>3216</v>
      </c>
      <c r="F41" s="1151"/>
      <c r="G41" s="1151"/>
      <c r="H41" s="1151"/>
      <c r="I41" s="1151"/>
      <c r="J41" s="1177">
        <f>+K38-J39</f>
        <v>0</v>
      </c>
      <c r="K41" s="1170"/>
      <c r="L41" s="730"/>
      <c r="O41" s="392"/>
    </row>
    <row r="42" spans="2:15" ht="13.8" thickTop="1">
      <c r="J42" s="457"/>
      <c r="K42" s="457"/>
    </row>
    <row r="43" spans="2:15" ht="17.399999999999999">
      <c r="B43" s="1150" t="s">
        <v>808</v>
      </c>
      <c r="C43" s="1096"/>
      <c r="D43" s="1096"/>
      <c r="E43" s="1096"/>
      <c r="F43" s="1096"/>
      <c r="G43" s="1096"/>
      <c r="H43" s="1096"/>
      <c r="I43" s="1096"/>
      <c r="J43" s="832"/>
      <c r="K43" s="832"/>
    </row>
    <row r="44" spans="2:15">
      <c r="B44" s="1171" t="str">
        <f>"The following Item of '"&amp;TEXT('KEY INPUTS'!D35,"0")&amp;" Appropriation Reserves Canceled in "&amp;TEXT('KEY INPUTS'!D34,"0")&amp;"' is Due to the Current Fund TO THE"</f>
        <v>The following Item of '2019 Appropriation Reserves Canceled in 2020' is Due to the Current Fund TO THE</v>
      </c>
      <c r="C44" s="1096"/>
      <c r="D44" s="1096"/>
      <c r="E44" s="1096"/>
      <c r="F44" s="1096"/>
      <c r="G44" s="1096"/>
      <c r="H44" s="1096"/>
      <c r="I44" s="1096"/>
      <c r="J44" s="832"/>
      <c r="K44" s="832"/>
    </row>
    <row r="45" spans="2:15">
      <c r="B45" s="1171" t="str">
        <f>"EXTENT OF the amount received and Due from the General Budget of "&amp;TEXT('KEY INPUTS'!D35,"0")&amp;" for an Anticipated Deficit in the"</f>
        <v>EXTENT OF the amount received and Due from the General Budget of 2019 for an Anticipated Deficit in the</v>
      </c>
      <c r="C45" s="1096"/>
      <c r="D45" s="1096"/>
      <c r="E45" s="1096"/>
      <c r="F45" s="1096"/>
      <c r="G45" s="1096"/>
      <c r="H45" s="1096"/>
      <c r="I45" s="1096"/>
      <c r="J45" s="832"/>
      <c r="K45" s="832"/>
    </row>
    <row r="46" spans="2:15">
      <c r="B46" s="1171" t="str">
        <f>PROPER('KEY INPUTS'!D57)&amp;" Utility for "&amp;TEXT('KEY INPUTS'!D35,"0")&amp;""</f>
        <v xml:space="preserve"> Utility for 2019</v>
      </c>
      <c r="C46" s="1096"/>
      <c r="D46" s="1096"/>
      <c r="E46" s="1096"/>
      <c r="F46" s="1096"/>
      <c r="G46" s="1096"/>
      <c r="H46" s="1096"/>
      <c r="I46" s="1096"/>
      <c r="J46" s="832"/>
      <c r="K46" s="832"/>
      <c r="O46" s="315"/>
    </row>
    <row r="47" spans="2:15">
      <c r="B47" s="1096"/>
      <c r="C47" s="1096"/>
      <c r="D47" s="1096"/>
      <c r="E47" s="1096"/>
      <c r="F47" s="1096"/>
      <c r="G47" s="1096"/>
      <c r="H47" s="1096"/>
      <c r="I47" s="1096"/>
      <c r="J47" s="832"/>
      <c r="K47" s="832"/>
      <c r="O47" s="315"/>
    </row>
    <row r="48" spans="2:15" ht="21" customHeight="1">
      <c r="B48" s="905" t="str">
        <f>TEXT('KEY INPUTS'!D35,"0")&amp;" Appropriation Reserves Canceled in "&amp;TEXT('KEY INPUTS'!D34,0)</f>
        <v>2019 Appropriation Reserves Canceled in 2020</v>
      </c>
      <c r="C48" s="681"/>
      <c r="D48" s="681"/>
      <c r="E48" s="681"/>
      <c r="F48" s="681"/>
      <c r="G48" s="681"/>
      <c r="H48" s="681"/>
      <c r="I48" s="681"/>
      <c r="J48" s="367"/>
      <c r="K48" s="832"/>
      <c r="O48" s="315"/>
    </row>
    <row r="49" spans="2:15" ht="24" customHeight="1">
      <c r="B49" s="681"/>
      <c r="C49" s="1178" t="s">
        <v>799</v>
      </c>
      <c r="D49" s="681"/>
      <c r="E49" s="1836" t="str">
        <f>"Anticipated Deficit in "&amp;TEXT('KEY INPUTS'!D35,"0")&amp;" Budget - Amount Received and Due from Current Fund - If none, enter 'None '"""</f>
        <v>Anticipated Deficit in 2019 Budget - Amount Received and Due from Current Fund - If none, enter 'None '"</v>
      </c>
      <c r="F49" s="1836"/>
      <c r="G49" s="1836"/>
      <c r="H49" s="1836"/>
      <c r="I49" s="1837"/>
      <c r="J49" s="568"/>
      <c r="K49" s="832"/>
      <c r="O49" s="315"/>
    </row>
    <row r="50" spans="2:15" ht="21" customHeight="1">
      <c r="B50" s="681" t="s">
        <v>809</v>
      </c>
      <c r="C50" s="681"/>
      <c r="D50" s="681"/>
      <c r="E50" s="681"/>
      <c r="F50" s="681"/>
      <c r="G50" s="681"/>
      <c r="H50" s="681"/>
      <c r="I50" s="681"/>
      <c r="J50" s="654"/>
      <c r="K50" s="842">
        <f>+MAX(0,J48-J49)</f>
        <v>0</v>
      </c>
    </row>
    <row r="52" spans="2:15">
      <c r="B52" s="456" t="s">
        <v>3215</v>
      </c>
    </row>
    <row r="53" spans="2:15">
      <c r="B53" s="456"/>
    </row>
    <row r="54" spans="2:15">
      <c r="B54" s="456"/>
    </row>
    <row r="55" spans="2:15">
      <c r="B55" s="456"/>
    </row>
    <row r="56" spans="2:15">
      <c r="B56" s="456"/>
    </row>
    <row r="57" spans="2:15" ht="13.8">
      <c r="B57" s="1799" t="s">
        <v>3214</v>
      </c>
      <c r="C57" s="1799"/>
      <c r="D57" s="1799"/>
      <c r="E57" s="1799"/>
      <c r="F57" s="1799"/>
      <c r="G57" s="1799"/>
      <c r="H57" s="1799"/>
      <c r="I57" s="1799"/>
      <c r="J57" s="1799"/>
      <c r="K57" s="1799"/>
    </row>
  </sheetData>
  <sheetProtection algorithmName="SHA-512" hashValue="9ZRCy66srFe4tLj7PegdLGVG2kpv5nxl2pfNazxWcHeX9I8AOZy50CpnBZiGc7mie5/FoI5irLSp2j24BZOwCg==" saltValue="FMiJFYs81ADcsEJIGX2Hvg=="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7">
    <tabColor theme="3" tint="0.79998168889431442"/>
  </sheetPr>
  <dimension ref="B2:Z52"/>
  <sheetViews>
    <sheetView zoomScaleNormal="100" zoomScaleSheetLayoutView="80" workbookViewId="0">
      <selection activeCell="X15" sqref="X15"/>
    </sheetView>
  </sheetViews>
  <sheetFormatPr defaultColWidth="8.88671875" defaultRowHeight="13.2"/>
  <cols>
    <col min="1" max="5" width="4.6640625" style="391" customWidth="1"/>
    <col min="6" max="8" width="8.88671875" style="391"/>
    <col min="9" max="9" width="6.33203125" style="391" customWidth="1"/>
    <col min="10" max="10" width="8.88671875" style="391"/>
    <col min="11" max="12" width="16.6640625" style="391" customWidth="1"/>
    <col min="13" max="13" width="13.5546875" style="391" bestFit="1" customWidth="1"/>
    <col min="14" max="14" width="11.88671875" style="391" bestFit="1" customWidth="1"/>
    <col min="15" max="16384" width="8.88671875" style="391"/>
  </cols>
  <sheetData>
    <row r="2" spans="2:26" ht="20.399999999999999">
      <c r="B2" s="1826" t="str">
        <f>"RESULTS  OF  "&amp;TEXT('KEY INPUTS'!D34,"0")&amp;"  OPERATIONS  - "&amp;UPPER('KEY INPUTS'!D57)&amp;" UTILITY"</f>
        <v>RESULTS  OF  2020  OPERATIONS  -  UTILITY</v>
      </c>
      <c r="C2" s="1826"/>
      <c r="D2" s="1826"/>
      <c r="E2" s="1826"/>
      <c r="F2" s="1826"/>
      <c r="G2" s="1826"/>
      <c r="H2" s="1826"/>
      <c r="I2" s="1826"/>
      <c r="J2" s="1826"/>
      <c r="K2" s="1826"/>
      <c r="L2" s="1826"/>
    </row>
    <row r="3" spans="2:26" ht="13.8" thickBot="1">
      <c r="B3" s="1096"/>
      <c r="C3" s="1096"/>
      <c r="D3" s="1096"/>
      <c r="E3" s="1096"/>
      <c r="F3" s="1096"/>
      <c r="G3" s="1096"/>
      <c r="H3" s="1096"/>
      <c r="I3" s="1096"/>
      <c r="J3" s="1096"/>
      <c r="K3" s="1096"/>
      <c r="L3" s="1096"/>
    </row>
    <row r="4" spans="2:26" ht="21" customHeight="1" thickTop="1" thickBot="1">
      <c r="B4" s="1315"/>
      <c r="C4" s="1315"/>
      <c r="D4" s="1315"/>
      <c r="E4" s="1315"/>
      <c r="F4" s="1315"/>
      <c r="G4" s="1315"/>
      <c r="H4" s="1315"/>
      <c r="I4" s="1315"/>
      <c r="J4" s="1315"/>
      <c r="K4" s="1097" t="s">
        <v>101</v>
      </c>
      <c r="L4" s="1098" t="s">
        <v>102</v>
      </c>
    </row>
    <row r="5" spans="2:26" ht="21" customHeight="1" thickTop="1">
      <c r="B5" s="1192" t="s">
        <v>218</v>
      </c>
      <c r="C5" s="1152"/>
      <c r="D5" s="1152"/>
      <c r="E5" s="1152"/>
      <c r="F5" s="1152"/>
      <c r="G5" s="1152"/>
      <c r="H5" s="1152"/>
      <c r="I5" s="1152"/>
      <c r="J5" s="1152"/>
      <c r="K5" s="1184" t="s">
        <v>662</v>
      </c>
      <c r="L5" s="1185">
        <f>IF(+'44-Utility6'!J22&gt;0,+'44-Utility6'!J22,0)</f>
        <v>0</v>
      </c>
      <c r="N5" s="315"/>
      <c r="O5" s="315"/>
      <c r="P5" s="315"/>
      <c r="Q5" s="315"/>
      <c r="R5" s="315"/>
      <c r="S5" s="315"/>
      <c r="T5" s="315"/>
    </row>
    <row r="6" spans="2:26" ht="21" customHeight="1">
      <c r="B6" s="687" t="s">
        <v>219</v>
      </c>
      <c r="C6" s="681"/>
      <c r="D6" s="681"/>
      <c r="E6" s="681"/>
      <c r="F6" s="681"/>
      <c r="G6" s="681"/>
      <c r="H6" s="681"/>
      <c r="I6" s="681"/>
      <c r="J6" s="681"/>
      <c r="K6" s="1186" t="s">
        <v>662</v>
      </c>
      <c r="L6" s="1106">
        <f>+'44-Utility6'!J40</f>
        <v>0</v>
      </c>
      <c r="M6" s="730"/>
      <c r="N6" s="315"/>
      <c r="O6" s="315"/>
      <c r="P6" s="315"/>
      <c r="Q6" s="315"/>
      <c r="R6" s="315"/>
      <c r="S6" s="315"/>
      <c r="T6" s="315"/>
    </row>
    <row r="7" spans="2:26" ht="21" customHeight="1">
      <c r="B7" s="687" t="s">
        <v>220</v>
      </c>
      <c r="C7" s="681"/>
      <c r="D7" s="681"/>
      <c r="E7" s="681"/>
      <c r="F7" s="681"/>
      <c r="G7" s="681"/>
      <c r="H7" s="681"/>
      <c r="I7" s="681"/>
      <c r="J7" s="681"/>
      <c r="K7" s="1186" t="s">
        <v>662</v>
      </c>
      <c r="L7" s="1106">
        <f>'45-Utility6'!J17</f>
        <v>0</v>
      </c>
      <c r="N7" s="370"/>
      <c r="O7" s="315"/>
      <c r="P7" s="315"/>
      <c r="Q7" s="315"/>
      <c r="R7" s="315"/>
      <c r="S7" s="315"/>
      <c r="T7" s="315"/>
    </row>
    <row r="8" spans="2:26" ht="21" customHeight="1">
      <c r="B8" s="1096" t="str">
        <f>"Unexpended Balances of "&amp;TEXT('KEY INPUTS'!D35,"0")&amp;" Appropriations*"</f>
        <v>Unexpended Balances of 2019 Appropriations*</v>
      </c>
      <c r="C8" s="681"/>
      <c r="D8" s="681"/>
      <c r="E8" s="681"/>
      <c r="F8" s="681"/>
      <c r="G8" s="681"/>
      <c r="H8" s="681"/>
      <c r="I8" s="681"/>
      <c r="J8" s="681"/>
      <c r="K8" s="1186" t="s">
        <v>662</v>
      </c>
      <c r="L8" s="1106">
        <f>+'45-Utility6'!K50</f>
        <v>0</v>
      </c>
      <c r="N8" s="315"/>
      <c r="O8" s="315"/>
      <c r="P8" s="315"/>
      <c r="Q8" s="315"/>
      <c r="R8" s="315"/>
      <c r="S8" s="315"/>
      <c r="T8" s="315"/>
    </row>
    <row r="9" spans="2:26" ht="21" customHeight="1">
      <c r="B9" s="696"/>
      <c r="C9" s="639"/>
      <c r="D9" s="639"/>
      <c r="E9" s="639"/>
      <c r="F9" s="639"/>
      <c r="G9" s="639"/>
      <c r="H9" s="639"/>
      <c r="I9" s="681"/>
      <c r="J9" s="681"/>
      <c r="K9" s="649"/>
      <c r="L9" s="601"/>
      <c r="N9" s="315"/>
      <c r="O9" s="315"/>
      <c r="P9" s="315"/>
      <c r="Q9" s="315"/>
      <c r="R9" s="315"/>
      <c r="S9" s="315"/>
      <c r="T9" s="315"/>
    </row>
    <row r="10" spans="2:26" ht="21" customHeight="1">
      <c r="B10" s="1096" t="s">
        <v>3221</v>
      </c>
      <c r="C10" s="1096"/>
      <c r="D10" s="1096"/>
      <c r="E10" s="1096"/>
      <c r="F10" s="1096"/>
      <c r="G10" s="1096"/>
      <c r="H10" s="1096"/>
      <c r="I10" s="1096"/>
      <c r="J10" s="1096"/>
      <c r="K10" s="680">
        <f>IF(+'44-Utility6'!J22&lt;0,-'44-Utility6'!J22,0)</f>
        <v>0</v>
      </c>
      <c r="L10" s="1188" t="s">
        <v>662</v>
      </c>
      <c r="M10" s="392">
        <f>+L9+L8+L7+L6+L5-K11-K10-K9</f>
        <v>0</v>
      </c>
      <c r="N10" s="701" t="s">
        <v>3435</v>
      </c>
      <c r="O10" s="315"/>
      <c r="P10" s="315"/>
      <c r="Q10" s="315"/>
      <c r="R10" s="315"/>
      <c r="S10" s="315"/>
      <c r="T10" s="315"/>
      <c r="V10" s="470">
        <f>-'44-Utility6'!U22</f>
        <v>0</v>
      </c>
    </row>
    <row r="11" spans="2:26" ht="21" customHeight="1">
      <c r="B11" s="693"/>
      <c r="C11" s="1181"/>
      <c r="D11" s="639"/>
      <c r="E11" s="639"/>
      <c r="F11" s="639"/>
      <c r="G11" s="639"/>
      <c r="H11" s="639"/>
      <c r="I11" s="681"/>
      <c r="J11" s="681"/>
      <c r="K11" s="593"/>
      <c r="L11" s="1188" t="s">
        <v>662</v>
      </c>
      <c r="N11" s="315"/>
      <c r="O11" s="315"/>
      <c r="P11" s="315"/>
      <c r="Q11" s="315"/>
      <c r="R11" s="315"/>
      <c r="S11" s="315"/>
      <c r="T11" s="315"/>
      <c r="U11" s="315"/>
      <c r="V11" s="315"/>
      <c r="W11" s="315"/>
      <c r="X11" s="315"/>
      <c r="Y11" s="315"/>
      <c r="Z11" s="315"/>
    </row>
    <row r="12" spans="2:26" ht="21" customHeight="1">
      <c r="B12" s="687" t="s">
        <v>221</v>
      </c>
      <c r="C12" s="1154"/>
      <c r="D12" s="681"/>
      <c r="E12" s="681"/>
      <c r="F12" s="681"/>
      <c r="G12" s="681"/>
      <c r="H12" s="681"/>
      <c r="I12" s="681"/>
      <c r="J12" s="681"/>
      <c r="K12" s="1186" t="s">
        <v>662</v>
      </c>
      <c r="L12" s="1187">
        <f>IF(M10&gt;0,0,M10*-1)</f>
        <v>0</v>
      </c>
      <c r="N12" s="315"/>
      <c r="O12" s="315"/>
      <c r="P12" s="315"/>
      <c r="Q12" s="315"/>
      <c r="R12" s="315"/>
      <c r="S12" s="315"/>
      <c r="T12" s="315"/>
      <c r="U12" s="315"/>
      <c r="V12" s="315"/>
      <c r="W12" s="315"/>
      <c r="X12" s="315"/>
      <c r="Y12" s="315"/>
      <c r="Z12" s="315"/>
    </row>
    <row r="13" spans="2:26" ht="21" customHeight="1" thickBot="1">
      <c r="B13" s="687" t="s">
        <v>222</v>
      </c>
      <c r="C13" s="1154"/>
      <c r="D13" s="681"/>
      <c r="E13" s="681"/>
      <c r="F13" s="681"/>
      <c r="G13" s="681"/>
      <c r="H13" s="681"/>
      <c r="I13" s="681"/>
      <c r="J13" s="681"/>
      <c r="K13" s="680">
        <f>IF(M10&gt;0,M10,0)</f>
        <v>0</v>
      </c>
      <c r="L13" s="1189" t="s">
        <v>662</v>
      </c>
      <c r="M13" s="392"/>
      <c r="N13" s="315"/>
      <c r="O13" s="315"/>
      <c r="P13" s="315"/>
      <c r="Q13" s="315"/>
      <c r="R13" s="315"/>
      <c r="S13" s="315"/>
      <c r="T13" s="315"/>
      <c r="U13" s="315"/>
      <c r="V13" s="469">
        <f>U11</f>
        <v>0</v>
      </c>
      <c r="W13" s="315"/>
      <c r="X13" s="315"/>
      <c r="Y13" s="315"/>
      <c r="Z13" s="315"/>
    </row>
    <row r="14" spans="2:26" ht="21" customHeight="1" thickBot="1">
      <c r="B14" s="1191" t="s">
        <v>3220</v>
      </c>
      <c r="C14" s="1096"/>
      <c r="D14" s="1096"/>
      <c r="E14" s="1096"/>
      <c r="F14" s="1096"/>
      <c r="G14" s="1096"/>
      <c r="H14" s="1096"/>
      <c r="I14" s="1096"/>
      <c r="J14" s="1096"/>
      <c r="K14" s="1113">
        <f>SUM(K5:K13)</f>
        <v>0</v>
      </c>
      <c r="L14" s="1114">
        <f>SUM(L5:L13)</f>
        <v>0</v>
      </c>
      <c r="M14" s="392">
        <f>L14-K14</f>
        <v>0</v>
      </c>
      <c r="N14" s="701" t="s">
        <v>3435</v>
      </c>
      <c r="O14" s="315"/>
      <c r="P14" s="315"/>
      <c r="Q14" s="315"/>
      <c r="R14" s="315"/>
      <c r="S14" s="315"/>
      <c r="T14" s="315"/>
      <c r="U14" s="315"/>
      <c r="V14" s="315"/>
      <c r="W14" s="315"/>
      <c r="X14" s="315"/>
      <c r="Y14" s="315"/>
      <c r="Z14" s="315"/>
    </row>
    <row r="15" spans="2:26" ht="18.75" customHeight="1" thickTop="1">
      <c r="N15" s="315"/>
      <c r="O15" s="315"/>
      <c r="P15" s="315"/>
      <c r="Q15" s="315"/>
      <c r="R15" s="315"/>
      <c r="S15" s="315"/>
      <c r="T15" s="315"/>
    </row>
    <row r="16" spans="2:26" ht="18.75" customHeight="1">
      <c r="K16" s="392"/>
      <c r="N16" s="315"/>
      <c r="O16" s="315"/>
      <c r="P16" s="315"/>
      <c r="Q16" s="315"/>
      <c r="R16" s="315"/>
      <c r="S16" s="315"/>
      <c r="T16" s="315"/>
    </row>
    <row r="17" spans="2:20" ht="22.8">
      <c r="B17" s="1804" t="str">
        <f>"OPERATING  SURPLUS  - "&amp;UPPER('KEY INPUTS'!D57)&amp;" UTILITY"</f>
        <v>OPERATING  SURPLUS  -  UTILITY</v>
      </c>
      <c r="C17" s="1804"/>
      <c r="D17" s="1804"/>
      <c r="E17" s="1804"/>
      <c r="F17" s="1804"/>
      <c r="G17" s="1804"/>
      <c r="H17" s="1804"/>
      <c r="I17" s="1804"/>
      <c r="J17" s="1804"/>
      <c r="K17" s="1804"/>
      <c r="L17" s="1804"/>
      <c r="N17" s="315"/>
      <c r="O17" s="315"/>
      <c r="P17" s="315"/>
      <c r="Q17" s="315"/>
      <c r="R17" s="315"/>
      <c r="S17" s="315"/>
      <c r="T17" s="315"/>
    </row>
    <row r="18" spans="2:20" ht="6.75" customHeight="1" thickBot="1">
      <c r="B18" s="1096"/>
      <c r="C18" s="1096"/>
      <c r="D18" s="1096"/>
      <c r="E18" s="1096"/>
      <c r="F18" s="1096"/>
      <c r="G18" s="1096"/>
      <c r="H18" s="1096"/>
      <c r="I18" s="1096"/>
      <c r="J18" s="1096"/>
      <c r="K18" s="1096"/>
      <c r="L18" s="1096"/>
      <c r="N18" s="315"/>
      <c r="O18" s="315"/>
      <c r="P18" s="315"/>
      <c r="Q18" s="315"/>
      <c r="R18" s="315"/>
      <c r="S18" s="315"/>
      <c r="T18" s="315"/>
    </row>
    <row r="19" spans="2:20" ht="25.5" customHeight="1" thickTop="1" thickBot="1">
      <c r="B19" s="1315"/>
      <c r="C19" s="1315"/>
      <c r="D19" s="1315"/>
      <c r="E19" s="1315"/>
      <c r="F19" s="1315"/>
      <c r="G19" s="1315"/>
      <c r="H19" s="1315"/>
      <c r="I19" s="1315"/>
      <c r="J19" s="1315"/>
      <c r="K19" s="1097" t="s">
        <v>101</v>
      </c>
      <c r="L19" s="1098" t="s">
        <v>102</v>
      </c>
      <c r="N19" s="315"/>
      <c r="O19" s="315"/>
      <c r="P19" s="315"/>
      <c r="Q19" s="315"/>
      <c r="R19" s="315"/>
      <c r="S19" s="315"/>
      <c r="T19" s="315"/>
    </row>
    <row r="20" spans="2:20" ht="21" customHeight="1" thickTop="1">
      <c r="B20" s="1193" t="str">
        <f>'KEY INPUTS'!D25</f>
        <v>Balance - January 1, 2020</v>
      </c>
      <c r="C20" s="1152"/>
      <c r="D20" s="1152"/>
      <c r="E20" s="1152"/>
      <c r="F20" s="1152"/>
      <c r="G20" s="1152"/>
      <c r="H20" s="1152"/>
      <c r="I20" s="1152"/>
      <c r="J20" s="1152"/>
      <c r="K20" s="1184" t="s">
        <v>662</v>
      </c>
      <c r="L20" s="630"/>
      <c r="N20" s="315"/>
      <c r="O20" s="315"/>
      <c r="P20" s="315"/>
      <c r="Q20" s="315"/>
      <c r="R20" s="315"/>
      <c r="S20" s="315"/>
      <c r="T20" s="315"/>
    </row>
    <row r="21" spans="2:20" ht="21" customHeight="1">
      <c r="B21" s="1182"/>
      <c r="C21" s="639"/>
      <c r="D21" s="639"/>
      <c r="E21" s="639"/>
      <c r="F21" s="639"/>
      <c r="G21" s="639"/>
      <c r="H21" s="639"/>
      <c r="I21" s="639"/>
      <c r="J21" s="639"/>
      <c r="K21" s="1179"/>
      <c r="L21" s="601"/>
      <c r="N21" s="315"/>
      <c r="O21" s="315"/>
      <c r="P21" s="315"/>
      <c r="Q21" s="315"/>
      <c r="R21" s="315"/>
      <c r="S21" s="315"/>
      <c r="T21" s="315"/>
    </row>
    <row r="22" spans="2:20" ht="21" customHeight="1">
      <c r="B22" s="905" t="str">
        <f>"Excess in Results of "&amp;TEXT('KEY INPUTS'!D34,"0")&amp;" Operations"</f>
        <v>Excess in Results of 2020 Operations</v>
      </c>
      <c r="C22" s="681"/>
      <c r="D22" s="681"/>
      <c r="E22" s="681"/>
      <c r="F22" s="681"/>
      <c r="G22" s="681"/>
      <c r="H22" s="681"/>
      <c r="I22" s="681"/>
      <c r="J22" s="681"/>
      <c r="K22" s="1186" t="s">
        <v>662</v>
      </c>
      <c r="L22" s="1106">
        <f>+K13</f>
        <v>0</v>
      </c>
    </row>
    <row r="23" spans="2:20" ht="21" customHeight="1">
      <c r="B23" s="905" t="str">
        <f>"Amount Appropriated in the "&amp;TEXT('KEY INPUTS'!D34,"0")&amp;" Budget - Cash"</f>
        <v>Amount Appropriated in the 2020 Budget - Cash</v>
      </c>
      <c r="C23" s="681"/>
      <c r="D23" s="681"/>
      <c r="E23" s="681"/>
      <c r="F23" s="681"/>
      <c r="G23" s="681"/>
      <c r="H23" s="681"/>
      <c r="I23" s="681"/>
      <c r="J23" s="681"/>
      <c r="K23" s="680">
        <f>'44-Utility6'!I7</f>
        <v>0</v>
      </c>
      <c r="L23" s="1188" t="s">
        <v>662</v>
      </c>
    </row>
    <row r="24" spans="2:20" ht="11.25" customHeight="1">
      <c r="B24" s="1171" t="str">
        <f>"Amount Appropriated in "&amp;TEXT('KEY INPUTS'!D34,"0")&amp;" Budget with Prior Written"</f>
        <v>Amount Appropriated in 2020 Budget with Prior Written</v>
      </c>
      <c r="C24" s="1096"/>
      <c r="D24" s="1096"/>
      <c r="E24" s="1096"/>
      <c r="F24" s="1096"/>
      <c r="G24" s="1096"/>
      <c r="H24" s="1096"/>
      <c r="I24" s="1096"/>
      <c r="J24" s="1096"/>
      <c r="K24" s="1845"/>
      <c r="L24" s="1847" t="s">
        <v>662</v>
      </c>
    </row>
    <row r="25" spans="2:20" ht="12.75" customHeight="1">
      <c r="B25" s="1110" t="s">
        <v>891</v>
      </c>
      <c r="C25" s="1110"/>
      <c r="D25" s="1110"/>
      <c r="E25" s="1110"/>
      <c r="F25" s="1110"/>
      <c r="G25" s="1110"/>
      <c r="H25" s="1110"/>
      <c r="I25" s="1110"/>
      <c r="J25" s="1110"/>
      <c r="K25" s="1846"/>
      <c r="L25" s="1848"/>
    </row>
    <row r="26" spans="2:20" ht="21" customHeight="1">
      <c r="B26" s="1182"/>
      <c r="C26" s="639"/>
      <c r="D26" s="639"/>
      <c r="E26" s="639"/>
      <c r="F26" s="639"/>
      <c r="G26" s="639"/>
      <c r="H26" s="639"/>
      <c r="I26" s="639"/>
      <c r="J26" s="639"/>
      <c r="K26" s="593"/>
      <c r="L26" s="1316"/>
    </row>
    <row r="27" spans="2:20" ht="21" customHeight="1" thickBot="1">
      <c r="B27" s="681" t="str">
        <f>'KEY INPUTS'!D26</f>
        <v>Balance - December 31, 2020</v>
      </c>
      <c r="C27" s="681"/>
      <c r="D27" s="681"/>
      <c r="E27" s="681"/>
      <c r="F27" s="681"/>
      <c r="G27" s="681"/>
      <c r="H27" s="681"/>
      <c r="I27" s="681"/>
      <c r="J27" s="681"/>
      <c r="K27" s="1111">
        <f>+SUM(L20:L26)-SUM(K21:K26)</f>
        <v>0</v>
      </c>
      <c r="L27" s="1189" t="s">
        <v>662</v>
      </c>
      <c r="N27" s="767" t="s">
        <v>3307</v>
      </c>
    </row>
    <row r="28" spans="2:20" ht="21" customHeight="1" thickBot="1">
      <c r="B28" s="1096"/>
      <c r="C28" s="1096"/>
      <c r="D28" s="1096"/>
      <c r="E28" s="1096"/>
      <c r="F28" s="1096"/>
      <c r="G28" s="1096"/>
      <c r="H28" s="1096"/>
      <c r="I28" s="1096"/>
      <c r="J28" s="1096"/>
      <c r="K28" s="1113">
        <f>SUM(K21:K27)</f>
        <v>0</v>
      </c>
      <c r="L28" s="1114">
        <f>SUM(L20:L27)</f>
        <v>0</v>
      </c>
    </row>
    <row r="29" spans="2:20" ht="13.8" thickTop="1"/>
    <row r="32" spans="2:20" ht="17.399999999999999">
      <c r="B32" s="1843" t="str">
        <f>"ANALYSIS  OF  BALANCE  DECEMBER 31, "&amp;TEXT('KEY INPUTS'!D34,"0")&amp;""</f>
        <v>ANALYSIS  OF  BALANCE  DECEMBER 31, 2020</v>
      </c>
      <c r="C32" s="1843"/>
      <c r="D32" s="1843"/>
      <c r="E32" s="1843"/>
      <c r="F32" s="1843"/>
      <c r="G32" s="1843"/>
      <c r="H32" s="1843"/>
      <c r="I32" s="1843"/>
      <c r="J32" s="1843"/>
      <c r="K32" s="1843"/>
      <c r="L32" s="1843"/>
    </row>
    <row r="33" spans="2:14" ht="17.399999999999999">
      <c r="B33" s="1843" t="str">
        <f>"(FROM "&amp;UPPER('KEY INPUTS'!D57)&amp;" UTILITY  -  TRIAL  BALANCE)"</f>
        <v>(FROM  UTILITY  -  TRIAL  BALANCE)</v>
      </c>
      <c r="C33" s="1843"/>
      <c r="D33" s="1843"/>
      <c r="E33" s="1843"/>
      <c r="F33" s="1843"/>
      <c r="G33" s="1843"/>
      <c r="H33" s="1843"/>
      <c r="I33" s="1843"/>
      <c r="J33" s="1843"/>
      <c r="K33" s="1843"/>
      <c r="L33" s="1843"/>
    </row>
    <row r="34" spans="2:14" ht="13.8" thickBot="1">
      <c r="B34" s="1096"/>
      <c r="C34" s="1096"/>
      <c r="D34" s="1096"/>
      <c r="E34" s="1096"/>
      <c r="F34" s="1096"/>
      <c r="G34" s="1096"/>
      <c r="H34" s="1096"/>
      <c r="I34" s="1096"/>
      <c r="J34" s="1096"/>
      <c r="K34" s="1096"/>
      <c r="L34" s="1096"/>
    </row>
    <row r="35" spans="2:14" ht="21" customHeight="1" thickTop="1">
      <c r="B35" s="1152" t="s">
        <v>202</v>
      </c>
      <c r="C35" s="1152"/>
      <c r="D35" s="1152"/>
      <c r="E35" s="1152"/>
      <c r="F35" s="1152"/>
      <c r="G35" s="1152"/>
      <c r="H35" s="1152"/>
      <c r="I35" s="1152"/>
      <c r="J35" s="1152"/>
      <c r="K35" s="1196"/>
      <c r="L35" s="1195">
        <f>+'41-Utility6'!G13</f>
        <v>0</v>
      </c>
    </row>
    <row r="36" spans="2:14" ht="21" customHeight="1">
      <c r="B36" s="681" t="s">
        <v>335</v>
      </c>
      <c r="C36" s="681"/>
      <c r="D36" s="681"/>
      <c r="E36" s="681"/>
      <c r="F36" s="681"/>
      <c r="G36" s="681"/>
      <c r="H36" s="681"/>
      <c r="I36" s="681"/>
      <c r="J36" s="681"/>
      <c r="K36" s="1197"/>
      <c r="L36" s="623"/>
    </row>
    <row r="37" spans="2:14" ht="21" customHeight="1" thickBot="1">
      <c r="B37" s="681" t="s">
        <v>698</v>
      </c>
      <c r="C37" s="681"/>
      <c r="D37" s="681"/>
      <c r="E37" s="681"/>
      <c r="F37" s="681"/>
      <c r="G37" s="681"/>
      <c r="H37" s="681"/>
      <c r="I37" s="681"/>
      <c r="J37" s="681"/>
      <c r="K37" s="1197"/>
      <c r="L37" s="625"/>
    </row>
    <row r="38" spans="2:14" ht="21" customHeight="1" thickTop="1">
      <c r="B38" s="681"/>
      <c r="C38" s="681"/>
      <c r="D38" s="681" t="s">
        <v>337</v>
      </c>
      <c r="E38" s="681"/>
      <c r="F38" s="681"/>
      <c r="G38" s="681"/>
      <c r="H38" s="681"/>
      <c r="I38" s="681"/>
      <c r="J38" s="681"/>
      <c r="K38" s="1197"/>
      <c r="L38" s="1198">
        <f>SUM(L35:L37)</f>
        <v>0</v>
      </c>
    </row>
    <row r="39" spans="2:14" ht="21" customHeight="1" thickBot="1">
      <c r="B39" s="681" t="s">
        <v>386</v>
      </c>
      <c r="C39" s="681"/>
      <c r="D39" s="681"/>
      <c r="E39" s="681"/>
      <c r="F39" s="681"/>
      <c r="G39" s="681"/>
      <c r="H39" s="681"/>
      <c r="I39" s="681"/>
      <c r="J39" s="681"/>
      <c r="K39" s="1197"/>
      <c r="L39" s="1199">
        <f>+'41-Utility6'!H39</f>
        <v>0</v>
      </c>
    </row>
    <row r="40" spans="2:14" ht="21" customHeight="1" thickTop="1">
      <c r="B40" s="681"/>
      <c r="C40" s="681"/>
      <c r="D40" s="681" t="s">
        <v>216</v>
      </c>
      <c r="E40" s="681"/>
      <c r="F40" s="681"/>
      <c r="G40" s="681"/>
      <c r="H40" s="681"/>
      <c r="I40" s="681"/>
      <c r="J40" s="681"/>
      <c r="K40" s="1197"/>
      <c r="L40" s="1198">
        <f>+L38-L39</f>
        <v>0</v>
      </c>
    </row>
    <row r="41" spans="2:14" ht="21" customHeight="1">
      <c r="B41" s="681" t="s">
        <v>393</v>
      </c>
      <c r="C41" s="681"/>
      <c r="D41" s="681"/>
      <c r="E41" s="681"/>
      <c r="F41" s="681"/>
      <c r="G41" s="681"/>
      <c r="H41" s="681"/>
      <c r="I41" s="681"/>
      <c r="J41" s="681"/>
      <c r="K41" s="682"/>
      <c r="L41" s="1102"/>
    </row>
    <row r="42" spans="2:14" ht="22.5" customHeight="1">
      <c r="B42" s="681"/>
      <c r="C42" s="1842" t="s">
        <v>389</v>
      </c>
      <c r="D42" s="1842"/>
      <c r="E42" s="1842"/>
      <c r="F42" s="1842"/>
      <c r="G42" s="1842"/>
      <c r="H42" s="1205"/>
      <c r="I42" s="681"/>
      <c r="J42" s="681"/>
      <c r="K42" s="593"/>
      <c r="L42" s="1102"/>
    </row>
    <row r="43" spans="2:14" ht="21" customHeight="1">
      <c r="B43" s="681"/>
      <c r="C43" s="681" t="s">
        <v>217</v>
      </c>
      <c r="D43" s="681"/>
      <c r="E43" s="681"/>
      <c r="F43" s="681"/>
      <c r="G43" s="681"/>
      <c r="H43" s="681"/>
      <c r="I43" s="681"/>
      <c r="J43" s="681"/>
      <c r="K43" s="593"/>
      <c r="L43" s="1102"/>
      <c r="M43" s="392"/>
      <c r="N43" s="392"/>
    </row>
    <row r="44" spans="2:14" ht="21" customHeight="1" thickBot="1">
      <c r="B44" s="681"/>
      <c r="C44" s="681"/>
      <c r="D44" s="681" t="s">
        <v>391</v>
      </c>
      <c r="E44" s="681"/>
      <c r="F44" s="681"/>
      <c r="G44" s="681"/>
      <c r="H44" s="681"/>
      <c r="I44" s="681"/>
      <c r="J44" s="681"/>
      <c r="K44" s="1201"/>
      <c r="L44" s="1112">
        <f>SUM(K42:K43)</f>
        <v>0</v>
      </c>
    </row>
    <row r="45" spans="2:14" ht="21" customHeight="1" thickBot="1">
      <c r="B45" s="1202" t="str">
        <f>"# MAY NOT BE ANTICIPATED AS NON-CASH SURPLUS IN "&amp;TEXT('KEY INPUTS'!D34,"0")&amp;" BUDGET."</f>
        <v># MAY NOT BE ANTICIPATED AS NON-CASH SURPLUS IN 2020 BUDGET.</v>
      </c>
      <c r="C45" s="1096"/>
      <c r="D45" s="1096"/>
      <c r="E45" s="1096"/>
      <c r="F45" s="1096"/>
      <c r="G45" s="1096"/>
      <c r="H45" s="1096"/>
      <c r="I45" s="1096"/>
      <c r="J45" s="1096"/>
      <c r="K45" s="1203"/>
      <c r="L45" s="1200">
        <f>+L40+L44</f>
        <v>0</v>
      </c>
      <c r="M45" s="392"/>
      <c r="N45" s="767" t="s">
        <v>3307</v>
      </c>
    </row>
    <row r="46" spans="2:14" ht="13.8" thickTop="1">
      <c r="B46" s="463" t="s">
        <v>223</v>
      </c>
      <c r="C46" s="463"/>
    </row>
    <row r="47" spans="2:14">
      <c r="B47" s="463"/>
      <c r="C47" s="463" t="s">
        <v>3219</v>
      </c>
    </row>
    <row r="52" spans="2:12" ht="13.8">
      <c r="B52" s="1799" t="s">
        <v>3218</v>
      </c>
      <c r="C52" s="1799"/>
      <c r="D52" s="1799"/>
      <c r="E52" s="1799"/>
      <c r="F52" s="1799"/>
      <c r="G52" s="1799"/>
      <c r="H52" s="1799"/>
      <c r="I52" s="1799"/>
      <c r="J52" s="1799"/>
      <c r="K52" s="1799"/>
      <c r="L52" s="1799"/>
    </row>
  </sheetData>
  <sheetProtection algorithmName="SHA-512" hashValue="VdhxAhL/jteI51P1B0bTZ+XUIhoecG1bAaeT81nJ09T/aKwSja5FKf0FHFS5Rwfth5ipm9O5/lMrH5sYOyIGwA==" saltValue="ec/ntkkJzUate/ksNe21cA=="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8">
    <tabColor theme="3" tint="0.79998168889431442"/>
  </sheetPr>
  <dimension ref="B3:T69"/>
  <sheetViews>
    <sheetView zoomScaleNormal="100" zoomScaleSheetLayoutView="80" workbookViewId="0">
      <selection activeCell="B1" sqref="B1"/>
    </sheetView>
  </sheetViews>
  <sheetFormatPr defaultColWidth="9.109375" defaultRowHeight="13.2"/>
  <cols>
    <col min="1" max="4" width="4.6640625" style="324" customWidth="1"/>
    <col min="5" max="8" width="9.109375" style="324"/>
    <col min="9" max="9" width="1.6640625" style="324" customWidth="1"/>
    <col min="10" max="10" width="16.6640625" style="324" customWidth="1"/>
    <col min="11" max="11" width="1.6640625" style="324" customWidth="1"/>
    <col min="12" max="12" width="16.6640625" style="324" customWidth="1"/>
    <col min="13" max="16384" width="9.109375" style="324"/>
  </cols>
  <sheetData>
    <row r="3" spans="2:20" ht="17.399999999999999">
      <c r="B3" s="1849" t="str">
        <f>"SCHEDULE  OF "&amp;UPPER('KEY INPUTS'!D57&amp;"  UTILITY  ACCOUNTS  RECEIVABLE")</f>
        <v>SCHEDULE  OF   UTILITY  ACCOUNTS  RECEIVABLE</v>
      </c>
      <c r="C3" s="1849"/>
      <c r="D3" s="1849"/>
      <c r="E3" s="1849"/>
      <c r="F3" s="1849"/>
      <c r="G3" s="1849"/>
      <c r="H3" s="1849"/>
      <c r="I3" s="1849"/>
      <c r="J3" s="1849"/>
      <c r="K3" s="1849"/>
      <c r="L3" s="1849"/>
    </row>
    <row r="6" spans="2:20">
      <c r="B6" s="473" t="str">
        <f>"Balance December 31, "&amp;'KEY INPUTS'!D35</f>
        <v>Balance December 31, 2019</v>
      </c>
      <c r="J6" s="280"/>
      <c r="K6" s="324" t="s">
        <v>397</v>
      </c>
      <c r="L6" s="573"/>
      <c r="N6" s="315"/>
      <c r="O6" s="315"/>
      <c r="P6" s="315"/>
      <c r="Q6" s="315"/>
      <c r="R6" s="315"/>
      <c r="S6" s="315"/>
      <c r="T6" s="315"/>
    </row>
    <row r="7" spans="2:20">
      <c r="J7" s="280"/>
      <c r="K7" s="280"/>
      <c r="L7" s="280"/>
      <c r="N7" s="315"/>
      <c r="O7" s="315"/>
      <c r="P7" s="315"/>
      <c r="Q7" s="315"/>
      <c r="R7" s="315"/>
      <c r="S7" s="315"/>
      <c r="T7" s="315"/>
    </row>
    <row r="8" spans="2:20">
      <c r="J8" s="280"/>
      <c r="K8" s="280"/>
      <c r="L8" s="280"/>
      <c r="N8" s="370"/>
      <c r="O8" s="315"/>
      <c r="P8" s="315"/>
      <c r="Q8" s="315"/>
      <c r="R8" s="315"/>
      <c r="S8" s="315"/>
      <c r="T8" s="315"/>
    </row>
    <row r="9" spans="2:20">
      <c r="J9" s="280"/>
      <c r="K9" s="280"/>
      <c r="L9" s="280"/>
      <c r="N9" s="315"/>
      <c r="O9" s="315"/>
      <c r="P9" s="315"/>
      <c r="Q9" s="315"/>
      <c r="R9" s="315"/>
      <c r="S9" s="315"/>
      <c r="T9" s="315"/>
    </row>
    <row r="10" spans="2:20">
      <c r="B10" s="324" t="s">
        <v>224</v>
      </c>
      <c r="J10" s="280"/>
      <c r="K10" s="280"/>
      <c r="L10" s="280"/>
      <c r="N10" s="315"/>
      <c r="O10" s="315"/>
      <c r="P10" s="315"/>
      <c r="Q10" s="315"/>
      <c r="R10" s="315"/>
      <c r="S10" s="315"/>
      <c r="T10" s="315"/>
    </row>
    <row r="11" spans="2:20">
      <c r="D11" s="1460" t="s">
        <v>3550</v>
      </c>
      <c r="E11" s="1459"/>
      <c r="F11" s="1174"/>
      <c r="G11" s="1096"/>
      <c r="J11" s="280"/>
      <c r="K11" s="324" t="s">
        <v>397</v>
      </c>
      <c r="L11" s="573"/>
      <c r="N11" s="315"/>
      <c r="O11" s="315"/>
      <c r="P11" s="315"/>
      <c r="Q11" s="315"/>
      <c r="R11" s="315"/>
      <c r="S11" s="315"/>
      <c r="T11" s="315"/>
    </row>
    <row r="12" spans="2:20">
      <c r="J12" s="280"/>
      <c r="K12" s="280"/>
      <c r="L12" s="280"/>
      <c r="N12" s="315"/>
      <c r="O12" s="315"/>
      <c r="P12" s="315"/>
      <c r="Q12" s="315"/>
      <c r="R12" s="315"/>
      <c r="S12" s="315"/>
      <c r="T12" s="315"/>
    </row>
    <row r="13" spans="2:20">
      <c r="J13" s="280"/>
      <c r="K13" s="280"/>
      <c r="L13" s="280"/>
      <c r="N13" s="315"/>
      <c r="O13" s="315"/>
      <c r="P13" s="315"/>
      <c r="Q13" s="315"/>
      <c r="R13" s="315"/>
      <c r="S13" s="315"/>
      <c r="T13" s="315"/>
    </row>
    <row r="14" spans="2:20">
      <c r="J14" s="280"/>
      <c r="K14" s="280"/>
      <c r="L14" s="280"/>
      <c r="N14" s="315"/>
      <c r="O14" s="315"/>
      <c r="P14" s="315"/>
      <c r="Q14" s="315"/>
      <c r="R14" s="315"/>
      <c r="S14" s="315"/>
      <c r="T14" s="315"/>
    </row>
    <row r="15" spans="2:20">
      <c r="B15" s="324" t="s">
        <v>225</v>
      </c>
      <c r="J15" s="280"/>
      <c r="K15" s="280"/>
      <c r="L15" s="280"/>
      <c r="N15" s="315"/>
      <c r="O15" s="315"/>
      <c r="P15" s="315"/>
      <c r="Q15" s="315"/>
      <c r="R15" s="315"/>
      <c r="S15" s="315"/>
      <c r="T15" s="315"/>
    </row>
    <row r="16" spans="2:20" ht="21" customHeight="1">
      <c r="D16" s="324" t="s">
        <v>226</v>
      </c>
      <c r="I16" s="324" t="s">
        <v>397</v>
      </c>
      <c r="J16" s="573"/>
      <c r="K16" s="280"/>
      <c r="L16" s="280"/>
      <c r="N16" s="315"/>
      <c r="O16" s="315"/>
      <c r="P16" s="315"/>
      <c r="Q16" s="315"/>
      <c r="R16" s="315"/>
      <c r="S16" s="315"/>
      <c r="T16" s="315"/>
    </row>
    <row r="17" spans="2:20" ht="21" customHeight="1">
      <c r="D17" s="324" t="s">
        <v>227</v>
      </c>
      <c r="I17" s="324" t="s">
        <v>397</v>
      </c>
      <c r="J17" s="573"/>
      <c r="K17" s="280"/>
      <c r="L17" s="280"/>
      <c r="N17" s="315"/>
      <c r="O17" s="315"/>
      <c r="P17" s="315"/>
      <c r="Q17" s="315"/>
      <c r="R17" s="315"/>
      <c r="S17" s="315"/>
      <c r="T17" s="315"/>
    </row>
    <row r="18" spans="2:20" ht="21" customHeight="1">
      <c r="D18" s="1096" t="s">
        <v>3551</v>
      </c>
      <c r="E18" s="1096"/>
      <c r="F18" s="1174"/>
      <c r="G18" s="1096"/>
      <c r="I18" s="324" t="s">
        <v>397</v>
      </c>
      <c r="J18" s="573"/>
      <c r="K18" s="280"/>
      <c r="L18" s="280"/>
      <c r="N18" s="315"/>
      <c r="O18" s="315"/>
      <c r="P18" s="315"/>
      <c r="Q18" s="315"/>
      <c r="R18" s="315"/>
      <c r="S18" s="315"/>
      <c r="T18" s="315"/>
    </row>
    <row r="19" spans="2:20" ht="21" customHeight="1">
      <c r="D19" s="324" t="s">
        <v>228</v>
      </c>
      <c r="I19" s="324" t="s">
        <v>397</v>
      </c>
      <c r="J19" s="573"/>
      <c r="K19" s="280"/>
      <c r="L19" s="280"/>
      <c r="N19" s="315"/>
      <c r="O19" s="315"/>
      <c r="P19" s="315"/>
      <c r="Q19" s="315"/>
      <c r="R19" s="315"/>
      <c r="S19" s="315"/>
      <c r="T19" s="315"/>
    </row>
    <row r="20" spans="2:20">
      <c r="J20" s="280"/>
      <c r="K20" s="280"/>
      <c r="L20" s="280"/>
      <c r="N20" s="315"/>
      <c r="O20" s="315"/>
      <c r="P20" s="315"/>
      <c r="Q20" s="315"/>
      <c r="R20" s="315"/>
      <c r="S20" s="315"/>
      <c r="T20" s="315"/>
    </row>
    <row r="21" spans="2:20">
      <c r="J21" s="280"/>
      <c r="K21" s="324" t="s">
        <v>397</v>
      </c>
      <c r="L21" s="67">
        <f>SUM(J16:J19)</f>
        <v>0</v>
      </c>
      <c r="N21" s="315"/>
      <c r="O21" s="315"/>
      <c r="P21" s="315"/>
      <c r="Q21" s="315"/>
      <c r="R21" s="315"/>
      <c r="S21" s="315"/>
      <c r="T21" s="315"/>
    </row>
    <row r="22" spans="2:20">
      <c r="J22" s="280"/>
      <c r="K22" s="280"/>
      <c r="L22" s="280"/>
      <c r="N22" s="315"/>
      <c r="O22" s="315"/>
      <c r="P22" s="315"/>
      <c r="Q22" s="315"/>
      <c r="R22" s="315"/>
      <c r="S22" s="315"/>
      <c r="T22" s="315"/>
    </row>
    <row r="23" spans="2:20">
      <c r="J23" s="280"/>
      <c r="K23" s="280"/>
      <c r="L23" s="280"/>
    </row>
    <row r="24" spans="2:20" ht="13.8" thickBot="1">
      <c r="B24" s="471" t="str">
        <f>"Balance December 31, "&amp;'KEY INPUTS'!D34</f>
        <v>Balance December 31, 2020</v>
      </c>
      <c r="J24" s="280"/>
      <c r="K24" s="324" t="s">
        <v>397</v>
      </c>
      <c r="L24" s="84">
        <f>+L6+L11-L21</f>
        <v>0</v>
      </c>
    </row>
    <row r="25" spans="2:20" ht="13.8" thickTop="1"/>
    <row r="28" spans="2:20">
      <c r="B28" s="472"/>
      <c r="C28" s="472"/>
      <c r="D28" s="472"/>
      <c r="E28" s="472"/>
      <c r="F28" s="472"/>
      <c r="G28" s="472"/>
      <c r="H28" s="472"/>
      <c r="I28" s="472"/>
      <c r="J28" s="472"/>
      <c r="K28" s="472"/>
      <c r="L28" s="472"/>
    </row>
    <row r="29" spans="2:20" ht="4.5" customHeight="1">
      <c r="B29" s="472"/>
      <c r="C29" s="472"/>
      <c r="D29" s="472"/>
      <c r="E29" s="472"/>
      <c r="F29" s="472"/>
      <c r="G29" s="472"/>
      <c r="H29" s="472"/>
      <c r="I29" s="472"/>
      <c r="J29" s="472"/>
      <c r="K29" s="472"/>
      <c r="L29" s="472"/>
    </row>
    <row r="33" spans="2:12" ht="17.399999999999999">
      <c r="B33" s="1843" t="str">
        <f>"SCHEDULE  OF "&amp;UPPER('KEY INPUTS'!D57)&amp;" UTILITY  LIENS"</f>
        <v>SCHEDULE  OF  UTILITY  LIENS</v>
      </c>
      <c r="C33" s="1843"/>
      <c r="D33" s="1843"/>
      <c r="E33" s="1843"/>
      <c r="F33" s="1843"/>
      <c r="G33" s="1843"/>
      <c r="H33" s="1843"/>
      <c r="I33" s="1843"/>
      <c r="J33" s="1843"/>
      <c r="K33" s="1843"/>
      <c r="L33" s="1843"/>
    </row>
    <row r="36" spans="2:12">
      <c r="B36" s="471" t="str">
        <f>"Balance December 31, "&amp;'KEY INPUTS'!D35</f>
        <v>Balance December 31, 2019</v>
      </c>
      <c r="I36" s="280"/>
      <c r="J36" s="280"/>
      <c r="K36" s="280" t="s">
        <v>397</v>
      </c>
      <c r="L36" s="573"/>
    </row>
    <row r="37" spans="2:12">
      <c r="I37" s="280"/>
      <c r="J37" s="280"/>
      <c r="K37" s="280"/>
      <c r="L37" s="280"/>
    </row>
    <row r="38" spans="2:12">
      <c r="I38" s="280"/>
      <c r="J38" s="280"/>
      <c r="K38" s="280"/>
      <c r="L38" s="280"/>
    </row>
    <row r="39" spans="2:12">
      <c r="I39" s="280"/>
      <c r="J39" s="280"/>
      <c r="K39" s="280"/>
      <c r="L39" s="280"/>
    </row>
    <row r="40" spans="2:12">
      <c r="B40" s="324" t="s">
        <v>224</v>
      </c>
      <c r="I40" s="280"/>
      <c r="J40" s="280"/>
      <c r="K40" s="280"/>
      <c r="L40" s="280"/>
    </row>
    <row r="41" spans="2:12" ht="21" customHeight="1">
      <c r="D41" s="324" t="s">
        <v>229</v>
      </c>
      <c r="I41" s="324" t="s">
        <v>397</v>
      </c>
      <c r="J41" s="573"/>
      <c r="K41" s="280"/>
      <c r="L41" s="280"/>
    </row>
    <row r="42" spans="2:12" ht="21" customHeight="1">
      <c r="D42" s="324" t="s">
        <v>230</v>
      </c>
      <c r="I42" s="324" t="s">
        <v>397</v>
      </c>
      <c r="J42" s="573"/>
      <c r="K42" s="280"/>
      <c r="L42" s="280"/>
    </row>
    <row r="43" spans="2:12" ht="21" customHeight="1">
      <c r="D43" s="324" t="s">
        <v>228</v>
      </c>
      <c r="I43" s="324" t="s">
        <v>397</v>
      </c>
      <c r="J43" s="573"/>
      <c r="K43" s="123"/>
      <c r="L43" s="123"/>
    </row>
    <row r="44" spans="2:12">
      <c r="I44" s="280"/>
      <c r="J44" s="280"/>
      <c r="K44" s="280"/>
      <c r="L44" s="280"/>
    </row>
    <row r="45" spans="2:12">
      <c r="I45" s="280"/>
      <c r="J45" s="280"/>
      <c r="K45" s="324" t="s">
        <v>397</v>
      </c>
      <c r="L45" s="67">
        <f>SUM(J41:J43)</f>
        <v>0</v>
      </c>
    </row>
    <row r="46" spans="2:12">
      <c r="I46" s="280"/>
      <c r="J46" s="280"/>
      <c r="K46" s="280"/>
      <c r="L46" s="280"/>
    </row>
    <row r="47" spans="2:12">
      <c r="B47" s="324" t="s">
        <v>225</v>
      </c>
      <c r="I47" s="280"/>
      <c r="J47" s="280"/>
      <c r="K47" s="280"/>
      <c r="L47" s="280"/>
    </row>
    <row r="48" spans="2:12" ht="21" customHeight="1">
      <c r="D48" s="324" t="s">
        <v>226</v>
      </c>
      <c r="I48" s="324" t="s">
        <v>397</v>
      </c>
      <c r="J48" s="573"/>
      <c r="K48" s="280"/>
      <c r="L48" s="280"/>
    </row>
    <row r="49" spans="2:12" ht="21" customHeight="1">
      <c r="D49" s="324" t="s">
        <v>228</v>
      </c>
      <c r="I49" s="324" t="s">
        <v>397</v>
      </c>
      <c r="J49" s="573"/>
      <c r="K49" s="280"/>
      <c r="L49" s="280"/>
    </row>
    <row r="50" spans="2:12">
      <c r="I50" s="280"/>
      <c r="J50" s="280"/>
      <c r="K50" s="280"/>
      <c r="L50" s="280"/>
    </row>
    <row r="51" spans="2:12">
      <c r="I51" s="280"/>
      <c r="J51" s="280"/>
      <c r="K51" s="324" t="s">
        <v>397</v>
      </c>
      <c r="L51" s="67">
        <f>+J49+J48</f>
        <v>0</v>
      </c>
    </row>
    <row r="52" spans="2:12">
      <c r="I52" s="280"/>
      <c r="J52" s="280"/>
      <c r="K52" s="280"/>
      <c r="L52" s="280"/>
    </row>
    <row r="53" spans="2:12">
      <c r="I53" s="280"/>
      <c r="J53" s="280"/>
      <c r="K53" s="280"/>
      <c r="L53" s="280"/>
    </row>
    <row r="54" spans="2:12" ht="13.8" thickBot="1">
      <c r="B54" s="471" t="str">
        <f>"Balance December 31, "&amp;'KEY INPUTS'!D34</f>
        <v>Balance December 31, 2020</v>
      </c>
      <c r="I54" s="280"/>
      <c r="J54" s="280"/>
      <c r="K54" s="324" t="s">
        <v>397</v>
      </c>
      <c r="L54" s="84">
        <f>+L36+L45-L51</f>
        <v>0</v>
      </c>
    </row>
    <row r="55" spans="2:12" ht="13.8" thickTop="1">
      <c r="I55" s="280"/>
      <c r="J55" s="280"/>
      <c r="K55" s="280"/>
      <c r="L55" s="280"/>
    </row>
    <row r="69" spans="2:12" ht="13.8">
      <c r="B69" s="1850" t="s">
        <v>3222</v>
      </c>
      <c r="C69" s="1850"/>
      <c r="D69" s="1850"/>
      <c r="E69" s="1850"/>
      <c r="F69" s="1850"/>
      <c r="G69" s="1850"/>
      <c r="H69" s="1850"/>
      <c r="I69" s="1850"/>
      <c r="J69" s="1850"/>
      <c r="K69" s="1850"/>
      <c r="L69" s="1850"/>
    </row>
  </sheetData>
  <sheetProtection algorithmName="SHA-512" hashValue="YyWH84tsL0EpvXXB9DkgR1CKCuUitj2SiAG+2emNFRIxxC8nGe4xSw6McgTAqcIml4ED5yRHvVLXvgPQcRMjeA==" saltValue="VcV4H6wDV5XUD8yjLIqTng=="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9">
    <tabColor theme="3" tint="0.79998168889431442"/>
  </sheetPr>
  <dimension ref="B1:W69"/>
  <sheetViews>
    <sheetView zoomScaleNormal="100" zoomScaleSheetLayoutView="80" workbookViewId="0"/>
  </sheetViews>
  <sheetFormatPr defaultColWidth="9.109375" defaultRowHeight="13.2"/>
  <cols>
    <col min="1" max="4" width="4.6640625" style="324" customWidth="1"/>
    <col min="5" max="6" width="9.109375" style="324"/>
    <col min="7" max="7" width="1.6640625" style="324" customWidth="1"/>
    <col min="8" max="8" width="14.6640625" style="324" customWidth="1"/>
    <col min="9" max="9" width="1.6640625" style="324" customWidth="1"/>
    <col min="10" max="10" width="14.6640625" style="324" customWidth="1"/>
    <col min="11" max="11" width="1.6640625" style="324" customWidth="1"/>
    <col min="12" max="12" width="14.6640625" style="324" customWidth="1"/>
    <col min="13" max="13" width="1.6640625" style="324" customWidth="1"/>
    <col min="14" max="14" width="14.6640625" style="324" customWidth="1"/>
    <col min="15" max="16384" width="9.109375" style="324"/>
  </cols>
  <sheetData>
    <row r="1" spans="2:23">
      <c r="B1" s="1128"/>
      <c r="C1" s="1128"/>
      <c r="D1" s="1128"/>
      <c r="E1" s="1128"/>
      <c r="F1" s="1128"/>
      <c r="G1" s="1128"/>
      <c r="H1" s="1128"/>
      <c r="I1" s="1128"/>
      <c r="J1" s="1128"/>
      <c r="K1" s="1128"/>
      <c r="L1" s="1128"/>
      <c r="M1" s="1128"/>
      <c r="N1" s="1128"/>
    </row>
    <row r="2" spans="2:23">
      <c r="B2" s="1128"/>
      <c r="C2" s="1128"/>
      <c r="D2" s="1128"/>
      <c r="E2" s="1128"/>
      <c r="F2" s="1128"/>
      <c r="G2" s="1128"/>
      <c r="H2" s="1128"/>
      <c r="I2" s="1128"/>
      <c r="J2" s="1128"/>
      <c r="K2" s="1128"/>
      <c r="L2" s="1128"/>
      <c r="M2" s="1128"/>
      <c r="N2" s="1128"/>
    </row>
    <row r="3" spans="2:23" ht="20.399999999999999">
      <c r="B3" s="1916" t="s">
        <v>918</v>
      </c>
      <c r="C3" s="1916"/>
      <c r="D3" s="1916"/>
      <c r="E3" s="1916"/>
      <c r="F3" s="1916"/>
      <c r="G3" s="1916"/>
      <c r="H3" s="1916"/>
      <c r="I3" s="1916"/>
      <c r="J3" s="1916"/>
      <c r="K3" s="1916"/>
      <c r="L3" s="1916"/>
      <c r="M3" s="1916"/>
      <c r="N3" s="1916"/>
    </row>
    <row r="4" spans="2:23" ht="15.6">
      <c r="B4" s="1974" t="s">
        <v>448</v>
      </c>
      <c r="C4" s="1974"/>
      <c r="D4" s="1974"/>
      <c r="E4" s="1974"/>
      <c r="F4" s="1974"/>
      <c r="G4" s="1974"/>
      <c r="H4" s="1974"/>
      <c r="I4" s="1974"/>
      <c r="J4" s="1974"/>
      <c r="K4" s="1974"/>
      <c r="L4" s="1974"/>
      <c r="M4" s="1974"/>
      <c r="N4" s="1974"/>
    </row>
    <row r="5" spans="2:23" ht="20.399999999999999">
      <c r="B5" s="1826" t="str">
        <f>UPPER('KEY INPUTS'!D57)&amp;" UTILITY  FUND"</f>
        <v xml:space="preserve"> UTILITY  FUND</v>
      </c>
      <c r="C5" s="1826"/>
      <c r="D5" s="1826"/>
      <c r="E5" s="1826"/>
      <c r="F5" s="1826"/>
      <c r="G5" s="1826"/>
      <c r="H5" s="1826"/>
      <c r="I5" s="1826"/>
      <c r="J5" s="1826"/>
      <c r="K5" s="1826"/>
      <c r="L5" s="1826"/>
      <c r="M5" s="1826"/>
      <c r="N5" s="1826"/>
    </row>
    <row r="6" spans="2:23">
      <c r="B6" s="1975" t="s">
        <v>231</v>
      </c>
      <c r="C6" s="1975"/>
      <c r="D6" s="1975"/>
      <c r="E6" s="1975"/>
      <c r="F6" s="1975"/>
      <c r="G6" s="1975"/>
      <c r="H6" s="1975"/>
      <c r="I6" s="1975"/>
      <c r="J6" s="1975"/>
      <c r="K6" s="1975"/>
      <c r="L6" s="1975"/>
      <c r="M6" s="1975"/>
      <c r="N6" s="1975"/>
    </row>
    <row r="7" spans="2:23">
      <c r="B7" s="1128"/>
      <c r="C7" s="1128"/>
      <c r="D7" s="1128"/>
      <c r="E7" s="1128"/>
      <c r="F7" s="1128"/>
      <c r="G7" s="1128"/>
      <c r="H7" s="1128"/>
      <c r="I7" s="1128"/>
      <c r="J7" s="1128"/>
      <c r="K7" s="1128"/>
      <c r="L7" s="1128"/>
      <c r="M7" s="1128"/>
      <c r="N7" s="1128"/>
    </row>
    <row r="8" spans="2:23">
      <c r="B8" s="1128"/>
      <c r="C8" s="1128"/>
      <c r="D8" s="1128"/>
      <c r="E8" s="1128"/>
      <c r="F8" s="1128"/>
      <c r="G8" s="1128"/>
      <c r="H8" s="1123" t="s">
        <v>441</v>
      </c>
      <c r="I8" s="1128"/>
      <c r="J8" s="1128"/>
      <c r="K8" s="1128"/>
      <c r="L8" s="1128"/>
      <c r="M8" s="1128"/>
      <c r="N8" s="1128"/>
    </row>
    <row r="9" spans="2:23">
      <c r="B9" s="1128"/>
      <c r="C9" s="1973" t="s">
        <v>461</v>
      </c>
      <c r="D9" s="1973"/>
      <c r="E9" s="1973"/>
      <c r="F9" s="1128"/>
      <c r="G9" s="1128"/>
      <c r="H9" s="1326" t="str">
        <f>'KEY INPUTS'!D45</f>
        <v>Dec. 31, 2019</v>
      </c>
      <c r="I9" s="1128"/>
      <c r="J9" s="1123" t="s">
        <v>462</v>
      </c>
      <c r="K9" s="1128"/>
      <c r="L9" s="1123" t="s">
        <v>441</v>
      </c>
      <c r="M9" s="1128"/>
      <c r="N9" s="1123" t="s">
        <v>559</v>
      </c>
    </row>
    <row r="10" spans="2:23">
      <c r="B10" s="1128"/>
      <c r="C10" s="1128"/>
      <c r="D10" s="1128"/>
      <c r="E10" s="1128"/>
      <c r="F10" s="1128"/>
      <c r="G10" s="1128"/>
      <c r="H10" s="1123" t="s">
        <v>460</v>
      </c>
      <c r="I10" s="1128"/>
      <c r="J10" s="1123">
        <f>'KEY INPUTS'!D34</f>
        <v>2020</v>
      </c>
      <c r="K10" s="1128"/>
      <c r="L10" s="1123" t="s">
        <v>463</v>
      </c>
      <c r="M10" s="1128"/>
      <c r="N10" s="1123" t="s">
        <v>464</v>
      </c>
    </row>
    <row r="11" spans="2:23">
      <c r="B11" s="1128"/>
      <c r="C11" s="1128"/>
      <c r="D11" s="1128"/>
      <c r="E11" s="1128"/>
      <c r="F11" s="1128"/>
      <c r="G11" s="1128"/>
      <c r="H11" s="1327" t="s">
        <v>459</v>
      </c>
      <c r="I11" s="1128"/>
      <c r="J11" s="1327" t="s">
        <v>564</v>
      </c>
      <c r="K11" s="1128"/>
      <c r="L11" s="1327">
        <f>'KEY INPUTS'!D34</f>
        <v>2020</v>
      </c>
      <c r="M11" s="1128"/>
      <c r="N11" s="1328" t="str">
        <f>'KEY INPUTS'!D46</f>
        <v>Dec. 31, 2020</v>
      </c>
      <c r="Q11" s="315"/>
      <c r="R11" s="315"/>
      <c r="S11" s="315"/>
      <c r="T11" s="315"/>
      <c r="U11" s="315"/>
      <c r="V11" s="315"/>
      <c r="W11" s="315"/>
    </row>
    <row r="12" spans="2:23">
      <c r="B12" s="1329" t="s">
        <v>308</v>
      </c>
      <c r="C12" s="1128" t="s">
        <v>919</v>
      </c>
      <c r="D12" s="1128"/>
      <c r="E12" s="1128"/>
      <c r="F12" s="1128"/>
      <c r="G12" s="1128"/>
      <c r="H12" s="1128"/>
      <c r="I12" s="1128"/>
      <c r="J12" s="1128"/>
      <c r="K12" s="1128"/>
      <c r="L12" s="1128"/>
      <c r="M12" s="1128"/>
      <c r="N12" s="1128"/>
      <c r="Q12" s="315"/>
      <c r="R12" s="315"/>
      <c r="S12" s="315"/>
      <c r="T12" s="315"/>
      <c r="U12" s="315"/>
      <c r="V12" s="315"/>
      <c r="W12" s="315"/>
    </row>
    <row r="13" spans="2:23">
      <c r="B13" s="474"/>
      <c r="D13" s="324" t="s">
        <v>920</v>
      </c>
      <c r="G13" s="324" t="s">
        <v>397</v>
      </c>
      <c r="H13" s="573"/>
      <c r="I13" s="324" t="s">
        <v>397</v>
      </c>
      <c r="J13" s="573"/>
      <c r="K13" s="324" t="s">
        <v>397</v>
      </c>
      <c r="L13" s="573"/>
      <c r="M13" s="324" t="s">
        <v>397</v>
      </c>
      <c r="N13" s="661">
        <f>+H13-J13+L13</f>
        <v>0</v>
      </c>
      <c r="Q13" s="370"/>
      <c r="R13" s="315"/>
      <c r="S13" s="315"/>
      <c r="T13" s="315"/>
      <c r="U13" s="315"/>
      <c r="V13" s="315"/>
      <c r="W13" s="315"/>
    </row>
    <row r="14" spans="2:23">
      <c r="B14" s="474"/>
      <c r="H14" s="280"/>
      <c r="J14" s="280"/>
      <c r="L14" s="280"/>
      <c r="Q14" s="315"/>
      <c r="R14" s="315"/>
      <c r="S14" s="315"/>
      <c r="T14" s="315"/>
      <c r="U14" s="315"/>
      <c r="V14" s="315"/>
      <c r="W14" s="315"/>
    </row>
    <row r="15" spans="2:23" ht="21" customHeight="1">
      <c r="B15" s="474" t="s">
        <v>309</v>
      </c>
      <c r="C15" s="660" t="s">
        <v>3190</v>
      </c>
      <c r="D15" s="659"/>
      <c r="E15" s="659"/>
      <c r="F15" s="659"/>
      <c r="G15" s="324" t="s">
        <v>397</v>
      </c>
      <c r="H15" s="573"/>
      <c r="I15" s="324" t="s">
        <v>397</v>
      </c>
      <c r="J15" s="573"/>
      <c r="K15" s="324" t="s">
        <v>397</v>
      </c>
      <c r="L15" s="573"/>
      <c r="M15" s="324" t="s">
        <v>397</v>
      </c>
      <c r="N15" s="1206">
        <f>+H15-J15+L15</f>
        <v>0</v>
      </c>
      <c r="Q15" s="315"/>
      <c r="R15" s="315"/>
      <c r="S15" s="315"/>
      <c r="T15" s="315"/>
      <c r="U15" s="315"/>
      <c r="V15" s="315"/>
      <c r="W15" s="315"/>
    </row>
    <row r="16" spans="2:23" ht="21" customHeight="1">
      <c r="B16" s="474" t="s">
        <v>310</v>
      </c>
      <c r="C16" s="659"/>
      <c r="D16" s="659"/>
      <c r="E16" s="659"/>
      <c r="F16" s="659"/>
      <c r="G16" s="324" t="s">
        <v>397</v>
      </c>
      <c r="H16" s="573"/>
      <c r="I16" s="324" t="s">
        <v>397</v>
      </c>
      <c r="J16" s="573"/>
      <c r="K16" s="324" t="s">
        <v>397</v>
      </c>
      <c r="L16" s="573"/>
      <c r="M16" s="324" t="s">
        <v>397</v>
      </c>
      <c r="N16" s="1206">
        <f>+H16-J16+L16</f>
        <v>0</v>
      </c>
      <c r="Q16" s="315"/>
      <c r="R16" s="315"/>
      <c r="S16" s="315"/>
      <c r="T16" s="315"/>
      <c r="U16" s="315"/>
      <c r="V16" s="315"/>
      <c r="W16" s="315"/>
    </row>
    <row r="17" spans="2:23" ht="21" customHeight="1">
      <c r="B17" s="474" t="s">
        <v>311</v>
      </c>
      <c r="C17" s="659"/>
      <c r="D17" s="659"/>
      <c r="E17" s="659"/>
      <c r="F17" s="659"/>
      <c r="G17" s="324" t="s">
        <v>397</v>
      </c>
      <c r="H17" s="573"/>
      <c r="I17" s="324" t="s">
        <v>397</v>
      </c>
      <c r="J17" s="573"/>
      <c r="K17" s="324" t="s">
        <v>397</v>
      </c>
      <c r="L17" s="573"/>
      <c r="M17" s="324" t="s">
        <v>397</v>
      </c>
      <c r="N17" s="1206">
        <f t="shared" ref="N17:N23" si="0">+H17-J17+L17</f>
        <v>0</v>
      </c>
      <c r="Q17" s="315"/>
      <c r="R17" s="315"/>
      <c r="S17" s="315"/>
      <c r="T17" s="315"/>
      <c r="U17" s="315"/>
      <c r="V17" s="315"/>
      <c r="W17" s="315"/>
    </row>
    <row r="18" spans="2:23" ht="21" customHeight="1">
      <c r="B18" s="474" t="s">
        <v>312</v>
      </c>
      <c r="C18" s="659"/>
      <c r="D18" s="659"/>
      <c r="E18" s="659"/>
      <c r="F18" s="659"/>
      <c r="G18" s="324" t="s">
        <v>397</v>
      </c>
      <c r="H18" s="573"/>
      <c r="I18" s="324" t="s">
        <v>397</v>
      </c>
      <c r="J18" s="573"/>
      <c r="K18" s="324" t="s">
        <v>397</v>
      </c>
      <c r="L18" s="573"/>
      <c r="M18" s="324" t="s">
        <v>397</v>
      </c>
      <c r="N18" s="1206">
        <f t="shared" si="0"/>
        <v>0</v>
      </c>
      <c r="Q18" s="315"/>
      <c r="R18" s="315"/>
      <c r="S18" s="315"/>
      <c r="T18" s="315"/>
      <c r="U18" s="315"/>
      <c r="V18" s="315"/>
      <c r="W18" s="315"/>
    </row>
    <row r="19" spans="2:23" ht="21" customHeight="1">
      <c r="B19" s="474"/>
      <c r="C19" s="1208" t="s">
        <v>3268</v>
      </c>
      <c r="D19" s="1208"/>
      <c r="E19" s="1208"/>
      <c r="F19" s="1208"/>
      <c r="G19" s="731" t="s">
        <v>397</v>
      </c>
      <c r="H19" s="573"/>
      <c r="I19" s="731" t="s">
        <v>397</v>
      </c>
      <c r="J19" s="573"/>
      <c r="K19" s="731" t="s">
        <v>397</v>
      </c>
      <c r="L19" s="573"/>
      <c r="M19" s="324" t="s">
        <v>397</v>
      </c>
      <c r="N19" s="1206">
        <f t="shared" si="0"/>
        <v>0</v>
      </c>
      <c r="Q19" s="315"/>
      <c r="R19" s="315"/>
      <c r="S19" s="315"/>
      <c r="T19" s="315"/>
      <c r="U19" s="315"/>
      <c r="V19" s="315"/>
      <c r="W19" s="315"/>
    </row>
    <row r="20" spans="2:23" ht="21" customHeight="1">
      <c r="B20" s="474"/>
      <c r="C20" s="1330" t="s">
        <v>3269</v>
      </c>
      <c r="D20" s="1208"/>
      <c r="E20" s="1208"/>
      <c r="F20" s="1208"/>
      <c r="G20" s="731" t="s">
        <v>397</v>
      </c>
      <c r="H20" s="1207">
        <f>H13+H15+H16+H17+H18+H19</f>
        <v>0</v>
      </c>
      <c r="I20" s="731" t="s">
        <v>397</v>
      </c>
      <c r="J20" s="1207">
        <f>J13+J15+J16+J17+J18+J19</f>
        <v>0</v>
      </c>
      <c r="K20" s="731" t="s">
        <v>397</v>
      </c>
      <c r="L20" s="1207">
        <f>L13+L15+L16+L17+L18+L19</f>
        <v>0</v>
      </c>
      <c r="M20" s="324" t="s">
        <v>397</v>
      </c>
      <c r="N20" s="1207">
        <f>N13+N15+N16+N17+N18+N19</f>
        <v>0</v>
      </c>
      <c r="Q20" s="315"/>
      <c r="R20" s="315"/>
      <c r="S20" s="315"/>
      <c r="T20" s="315"/>
      <c r="U20" s="315"/>
      <c r="V20" s="315"/>
      <c r="W20" s="315"/>
    </row>
    <row r="21" spans="2:23" ht="21" customHeight="1">
      <c r="B21" s="474" t="s">
        <v>313</v>
      </c>
      <c r="C21" s="659"/>
      <c r="D21" s="659"/>
      <c r="E21" s="659"/>
      <c r="F21" s="659"/>
      <c r="G21" s="324" t="s">
        <v>397</v>
      </c>
      <c r="H21" s="573"/>
      <c r="I21" s="324" t="s">
        <v>397</v>
      </c>
      <c r="J21" s="573"/>
      <c r="K21" s="324" t="s">
        <v>397</v>
      </c>
      <c r="L21" s="573"/>
      <c r="M21" s="324" t="s">
        <v>397</v>
      </c>
      <c r="N21" s="1206">
        <f t="shared" si="0"/>
        <v>0</v>
      </c>
      <c r="Q21" s="315"/>
      <c r="R21" s="315"/>
      <c r="S21" s="315"/>
      <c r="T21" s="315"/>
      <c r="U21" s="315"/>
      <c r="V21" s="315"/>
      <c r="W21" s="315"/>
    </row>
    <row r="22" spans="2:23" ht="21" customHeight="1">
      <c r="B22" s="474" t="s">
        <v>314</v>
      </c>
      <c r="C22" s="659"/>
      <c r="D22" s="659"/>
      <c r="E22" s="659"/>
      <c r="F22" s="659"/>
      <c r="G22" s="324" t="s">
        <v>397</v>
      </c>
      <c r="H22" s="573"/>
      <c r="I22" s="324" t="s">
        <v>397</v>
      </c>
      <c r="J22" s="573"/>
      <c r="K22" s="324" t="s">
        <v>397</v>
      </c>
      <c r="L22" s="573"/>
      <c r="M22" s="324" t="s">
        <v>397</v>
      </c>
      <c r="N22" s="1206">
        <f t="shared" si="0"/>
        <v>0</v>
      </c>
      <c r="Q22" s="315"/>
      <c r="R22" s="315"/>
      <c r="S22" s="315"/>
      <c r="T22" s="315"/>
      <c r="U22" s="315"/>
      <c r="V22" s="315"/>
      <c r="W22" s="315"/>
    </row>
    <row r="23" spans="2:23" ht="21" customHeight="1">
      <c r="B23" s="474"/>
      <c r="C23" s="1330" t="s">
        <v>3548</v>
      </c>
      <c r="D23" s="1208"/>
      <c r="E23" s="1208"/>
      <c r="F23" s="1208"/>
      <c r="G23" s="731" t="s">
        <v>397</v>
      </c>
      <c r="H23" s="1207">
        <f>H21+H22</f>
        <v>0</v>
      </c>
      <c r="I23" s="731" t="s">
        <v>397</v>
      </c>
      <c r="J23" s="1207">
        <f>J21+J22</f>
        <v>0</v>
      </c>
      <c r="K23" s="731" t="s">
        <v>397</v>
      </c>
      <c r="L23" s="1207">
        <f>L21+L22</f>
        <v>0</v>
      </c>
      <c r="M23" s="324" t="s">
        <v>397</v>
      </c>
      <c r="N23" s="1206">
        <f t="shared" si="0"/>
        <v>0</v>
      </c>
      <c r="Q23" s="315"/>
      <c r="R23" s="315"/>
      <c r="S23" s="315"/>
      <c r="T23" s="315"/>
      <c r="U23" s="315"/>
      <c r="V23" s="315"/>
      <c r="W23" s="315"/>
    </row>
    <row r="24" spans="2:23">
      <c r="B24" s="474"/>
      <c r="Q24" s="315"/>
      <c r="R24" s="315"/>
      <c r="S24" s="315"/>
      <c r="T24" s="315"/>
      <c r="U24" s="315"/>
      <c r="V24" s="315"/>
      <c r="W24" s="315"/>
    </row>
    <row r="25" spans="2:23">
      <c r="B25" s="1329"/>
      <c r="C25" s="1128" t="s">
        <v>922</v>
      </c>
      <c r="D25" s="1128"/>
      <c r="E25" s="1128"/>
      <c r="F25" s="1128"/>
      <c r="G25" s="1128"/>
      <c r="H25" s="1128"/>
      <c r="I25" s="1128"/>
      <c r="J25" s="1128"/>
      <c r="K25" s="1128"/>
      <c r="L25" s="1128"/>
      <c r="M25" s="1128"/>
      <c r="N25" s="1128"/>
      <c r="Q25" s="315"/>
      <c r="R25" s="315"/>
      <c r="S25" s="315"/>
      <c r="T25" s="315"/>
      <c r="U25" s="315"/>
      <c r="V25" s="315"/>
      <c r="W25" s="315"/>
    </row>
    <row r="26" spans="2:23">
      <c r="B26" s="1329"/>
      <c r="C26" s="1128"/>
      <c r="D26" s="1128"/>
      <c r="E26" s="1128"/>
      <c r="F26" s="1128"/>
      <c r="G26" s="1128"/>
      <c r="H26" s="1128"/>
      <c r="I26" s="1128"/>
      <c r="J26" s="1128"/>
      <c r="K26" s="1128"/>
      <c r="L26" s="1128"/>
      <c r="M26" s="1128"/>
      <c r="N26" s="1128"/>
      <c r="Q26" s="315"/>
      <c r="R26" s="315"/>
      <c r="S26" s="315"/>
      <c r="T26" s="315"/>
      <c r="U26" s="315"/>
      <c r="V26" s="315"/>
      <c r="W26" s="315"/>
    </row>
    <row r="27" spans="2:23">
      <c r="B27" s="1329"/>
      <c r="C27" s="1128"/>
      <c r="D27" s="1128"/>
      <c r="E27" s="1128"/>
      <c r="F27" s="1128"/>
      <c r="G27" s="1128"/>
      <c r="H27" s="1128"/>
      <c r="I27" s="1128"/>
      <c r="J27" s="1128"/>
      <c r="K27" s="1128"/>
      <c r="L27" s="1128"/>
      <c r="M27" s="1128"/>
      <c r="N27" s="1128"/>
      <c r="Q27" s="315"/>
      <c r="R27" s="315"/>
      <c r="S27" s="315"/>
      <c r="T27" s="315"/>
      <c r="U27" s="315"/>
      <c r="V27" s="315"/>
      <c r="W27" s="315"/>
    </row>
    <row r="28" spans="2:23" ht="15.6">
      <c r="B28" s="1971" t="s">
        <v>438</v>
      </c>
      <c r="C28" s="1971"/>
      <c r="D28" s="1971"/>
      <c r="E28" s="1971"/>
      <c r="F28" s="1971"/>
      <c r="G28" s="1971"/>
      <c r="H28" s="1971"/>
      <c r="I28" s="1971"/>
      <c r="J28" s="1971"/>
      <c r="K28" s="1971"/>
      <c r="L28" s="1971"/>
      <c r="M28" s="1971"/>
      <c r="N28" s="1971"/>
    </row>
    <row r="29" spans="2:23" ht="15.6">
      <c r="B29" s="1971" t="s">
        <v>439</v>
      </c>
      <c r="C29" s="1971"/>
      <c r="D29" s="1971"/>
      <c r="E29" s="1971"/>
      <c r="F29" s="1971"/>
      <c r="G29" s="1971"/>
      <c r="H29" s="1971"/>
      <c r="I29" s="1971"/>
      <c r="J29" s="1971"/>
      <c r="K29" s="1971"/>
      <c r="L29" s="1971"/>
      <c r="M29" s="1971"/>
      <c r="N29" s="1971"/>
    </row>
    <row r="30" spans="2:23" ht="6.75" customHeight="1">
      <c r="B30" s="1331"/>
      <c r="C30" s="1331"/>
      <c r="D30" s="1331"/>
      <c r="E30" s="1331"/>
      <c r="F30" s="1331"/>
      <c r="G30" s="1331"/>
      <c r="H30" s="1331"/>
      <c r="I30" s="1331"/>
      <c r="J30" s="1331"/>
      <c r="K30" s="1331"/>
      <c r="L30" s="1331"/>
      <c r="M30" s="1331"/>
      <c r="N30" s="1331"/>
    </row>
    <row r="31" spans="2:23" ht="18" customHeight="1">
      <c r="B31" s="1329"/>
      <c r="C31" s="1128"/>
      <c r="D31" s="1972" t="s">
        <v>18</v>
      </c>
      <c r="E31" s="1972"/>
      <c r="F31" s="1332"/>
      <c r="G31" s="1972" t="s">
        <v>440</v>
      </c>
      <c r="H31" s="1972"/>
      <c r="I31" s="1972"/>
      <c r="J31" s="1972"/>
      <c r="K31" s="1972"/>
      <c r="L31" s="1972"/>
      <c r="M31" s="1332"/>
      <c r="N31" s="1333" t="s">
        <v>441</v>
      </c>
    </row>
    <row r="32" spans="2:23" ht="21" customHeight="1">
      <c r="B32" s="474"/>
      <c r="C32" s="474" t="s">
        <v>308</v>
      </c>
      <c r="D32" s="659"/>
      <c r="E32" s="659"/>
      <c r="G32" s="659"/>
      <c r="H32" s="659"/>
      <c r="I32" s="659"/>
      <c r="J32" s="659"/>
      <c r="K32" s="659"/>
      <c r="L32" s="659"/>
      <c r="M32" s="324" t="s">
        <v>397</v>
      </c>
      <c r="N32" s="369"/>
    </row>
    <row r="33" spans="2:14" ht="21" customHeight="1">
      <c r="B33" s="474"/>
      <c r="C33" s="474" t="s">
        <v>309</v>
      </c>
      <c r="D33" s="659"/>
      <c r="E33" s="659"/>
      <c r="G33" s="659"/>
      <c r="H33" s="659"/>
      <c r="I33" s="659"/>
      <c r="J33" s="659"/>
      <c r="K33" s="659"/>
      <c r="L33" s="659"/>
      <c r="M33" s="324" t="s">
        <v>397</v>
      </c>
      <c r="N33" s="369"/>
    </row>
    <row r="34" spans="2:14" ht="21" customHeight="1">
      <c r="B34" s="474"/>
      <c r="C34" s="474" t="s">
        <v>310</v>
      </c>
      <c r="D34" s="659"/>
      <c r="E34" s="659"/>
      <c r="G34" s="659"/>
      <c r="H34" s="659"/>
      <c r="I34" s="659"/>
      <c r="J34" s="659"/>
      <c r="K34" s="659"/>
      <c r="L34" s="659"/>
      <c r="M34" s="324" t="s">
        <v>397</v>
      </c>
      <c r="N34" s="369"/>
    </row>
    <row r="35" spans="2:14" ht="21" customHeight="1">
      <c r="B35" s="474"/>
      <c r="C35" s="474" t="s">
        <v>311</v>
      </c>
      <c r="D35" s="659"/>
      <c r="E35" s="659"/>
      <c r="G35" s="659"/>
      <c r="H35" s="659"/>
      <c r="I35" s="659"/>
      <c r="J35" s="659"/>
      <c r="K35" s="659"/>
      <c r="L35" s="659"/>
      <c r="M35" s="324" t="s">
        <v>397</v>
      </c>
      <c r="N35" s="369"/>
    </row>
    <row r="36" spans="2:14" ht="21" customHeight="1">
      <c r="B36" s="474"/>
      <c r="C36" s="474" t="s">
        <v>312</v>
      </c>
      <c r="D36" s="659"/>
      <c r="E36" s="659"/>
      <c r="G36" s="659"/>
      <c r="H36" s="659"/>
      <c r="I36" s="659"/>
      <c r="J36" s="659"/>
      <c r="K36" s="659"/>
      <c r="L36" s="659"/>
      <c r="M36" s="324" t="s">
        <v>397</v>
      </c>
      <c r="N36" s="369"/>
    </row>
    <row r="37" spans="2:14">
      <c r="B37" s="1329"/>
      <c r="C37" s="1128"/>
      <c r="D37" s="1128"/>
      <c r="E37" s="1128"/>
      <c r="F37" s="1128"/>
      <c r="G37" s="1128"/>
      <c r="H37" s="1128"/>
      <c r="I37" s="1128"/>
      <c r="J37" s="1128"/>
      <c r="K37" s="1128"/>
      <c r="L37" s="1128"/>
      <c r="M37" s="1128"/>
      <c r="N37" s="1128"/>
    </row>
    <row r="38" spans="2:14">
      <c r="B38" s="1329"/>
      <c r="C38" s="1128"/>
      <c r="D38" s="1128"/>
      <c r="E38" s="1128"/>
      <c r="F38" s="1128"/>
      <c r="G38" s="1128"/>
      <c r="H38" s="1128"/>
      <c r="I38" s="1128"/>
      <c r="J38" s="1128"/>
      <c r="K38" s="1128"/>
      <c r="L38" s="1128"/>
      <c r="M38" s="1128"/>
      <c r="N38" s="1128"/>
    </row>
    <row r="39" spans="2:14">
      <c r="B39" s="1329"/>
      <c r="C39" s="1128"/>
      <c r="D39" s="1128"/>
      <c r="E39" s="1128"/>
      <c r="F39" s="1128"/>
      <c r="G39" s="1128"/>
      <c r="H39" s="1128"/>
      <c r="I39" s="1128"/>
      <c r="J39" s="1128"/>
      <c r="K39" s="1128"/>
      <c r="L39" s="1128"/>
      <c r="M39" s="1128"/>
      <c r="N39" s="1128"/>
    </row>
    <row r="40" spans="2:14" ht="15.6">
      <c r="B40" s="1971" t="s">
        <v>264</v>
      </c>
      <c r="C40" s="1971"/>
      <c r="D40" s="1971"/>
      <c r="E40" s="1971"/>
      <c r="F40" s="1971"/>
      <c r="G40" s="1971"/>
      <c r="H40" s="1971"/>
      <c r="I40" s="1971"/>
      <c r="J40" s="1971"/>
      <c r="K40" s="1971"/>
      <c r="L40" s="1971"/>
      <c r="M40" s="1971"/>
      <c r="N40" s="1971"/>
    </row>
    <row r="41" spans="2:14">
      <c r="B41" s="1329"/>
      <c r="C41" s="1128"/>
      <c r="D41" s="1128"/>
      <c r="E41" s="1128"/>
      <c r="F41" s="1128"/>
      <c r="G41" s="1128"/>
      <c r="H41" s="1128"/>
      <c r="I41" s="1128"/>
      <c r="J41" s="1128"/>
      <c r="K41" s="1128"/>
      <c r="L41" s="1128"/>
      <c r="M41" s="1128"/>
      <c r="N41" s="1128"/>
    </row>
    <row r="42" spans="2:14">
      <c r="B42" s="1329"/>
      <c r="C42" s="1128"/>
      <c r="D42" s="1128"/>
      <c r="E42" s="1128"/>
      <c r="F42" s="1128"/>
      <c r="G42" s="1128"/>
      <c r="H42" s="1128"/>
      <c r="I42" s="1128"/>
      <c r="J42" s="1128"/>
      <c r="K42" s="1128"/>
      <c r="L42" s="1128"/>
      <c r="M42" s="1128"/>
      <c r="N42" s="1123" t="s">
        <v>446</v>
      </c>
    </row>
    <row r="43" spans="2:14">
      <c r="B43" s="1329"/>
      <c r="C43" s="1128"/>
      <c r="D43" s="1128"/>
      <c r="E43" s="1128"/>
      <c r="F43" s="1128"/>
      <c r="G43" s="1128"/>
      <c r="H43" s="1128"/>
      <c r="I43" s="1128"/>
      <c r="J43" s="1128"/>
      <c r="K43" s="1128"/>
      <c r="L43" s="1128"/>
      <c r="M43" s="1128"/>
      <c r="N43" s="1123" t="s">
        <v>447</v>
      </c>
    </row>
    <row r="44" spans="2:14">
      <c r="B44" s="1329"/>
      <c r="C44" s="1128"/>
      <c r="D44" s="1973" t="s">
        <v>443</v>
      </c>
      <c r="E44" s="1973"/>
      <c r="F44" s="1128"/>
      <c r="G44" s="1128"/>
      <c r="H44" s="1973" t="s">
        <v>444</v>
      </c>
      <c r="I44" s="1973"/>
      <c r="J44" s="1327" t="s">
        <v>445</v>
      </c>
      <c r="K44" s="1128"/>
      <c r="L44" s="1327" t="s">
        <v>441</v>
      </c>
      <c r="M44" s="1128"/>
      <c r="N44" s="1327" t="str">
        <f>"Year "&amp;TEXT('KEY INPUTS'!D33,"0")&amp;""</f>
        <v>Year 2021</v>
      </c>
    </row>
    <row r="45" spans="2:14">
      <c r="B45" s="1329"/>
      <c r="C45" s="1128"/>
      <c r="D45" s="1128"/>
      <c r="E45" s="1128"/>
      <c r="F45" s="1128"/>
      <c r="G45" s="1128"/>
      <c r="H45" s="1128"/>
      <c r="I45" s="1128"/>
      <c r="J45" s="1128"/>
      <c r="K45" s="1128"/>
      <c r="L45" s="1128"/>
      <c r="M45" s="1128"/>
      <c r="N45" s="1128"/>
    </row>
    <row r="46" spans="2:14" ht="21" customHeight="1">
      <c r="B46" s="474"/>
      <c r="C46" s="474" t="s">
        <v>308</v>
      </c>
      <c r="D46" s="659"/>
      <c r="E46" s="659"/>
      <c r="F46" s="659"/>
      <c r="G46" s="659"/>
      <c r="H46" s="659"/>
      <c r="I46" s="659"/>
      <c r="J46" s="659"/>
      <c r="K46" s="324" t="s">
        <v>397</v>
      </c>
      <c r="L46" s="369"/>
      <c r="M46" s="658"/>
      <c r="N46" s="369"/>
    </row>
    <row r="47" spans="2:14" ht="21" customHeight="1">
      <c r="B47" s="474"/>
      <c r="C47" s="474" t="s">
        <v>309</v>
      </c>
      <c r="D47" s="659"/>
      <c r="E47" s="659"/>
      <c r="F47" s="659"/>
      <c r="G47" s="659"/>
      <c r="H47" s="659"/>
      <c r="I47" s="659"/>
      <c r="J47" s="659"/>
      <c r="K47" s="324" t="s">
        <v>397</v>
      </c>
      <c r="L47" s="369"/>
      <c r="M47" s="658"/>
      <c r="N47" s="369"/>
    </row>
    <row r="48" spans="2:14" ht="21" customHeight="1">
      <c r="B48" s="474"/>
      <c r="C48" s="474" t="s">
        <v>310</v>
      </c>
      <c r="D48" s="659"/>
      <c r="E48" s="659"/>
      <c r="F48" s="659"/>
      <c r="G48" s="659"/>
      <c r="H48" s="659"/>
      <c r="I48" s="659"/>
      <c r="J48" s="659"/>
      <c r="K48" s="324" t="s">
        <v>397</v>
      </c>
      <c r="L48" s="369"/>
      <c r="M48" s="658"/>
      <c r="N48" s="369"/>
    </row>
    <row r="49" spans="2:14" ht="21" customHeight="1">
      <c r="B49" s="474"/>
      <c r="C49" s="474" t="s">
        <v>311</v>
      </c>
      <c r="D49" s="659"/>
      <c r="E49" s="659"/>
      <c r="F49" s="659"/>
      <c r="G49" s="659"/>
      <c r="H49" s="659"/>
      <c r="I49" s="659"/>
      <c r="J49" s="659"/>
      <c r="K49" s="324" t="s">
        <v>397</v>
      </c>
      <c r="L49" s="369"/>
      <c r="M49" s="658"/>
      <c r="N49" s="369"/>
    </row>
    <row r="50" spans="2:14">
      <c r="B50" s="474"/>
    </row>
    <row r="51" spans="2:14">
      <c r="B51" s="474"/>
    </row>
    <row r="52" spans="2:14">
      <c r="B52" s="474"/>
    </row>
    <row r="53" spans="2:14">
      <c r="B53" s="474"/>
    </row>
    <row r="54" spans="2:14">
      <c r="B54" s="474"/>
    </row>
    <row r="55" spans="2:14">
      <c r="B55" s="474"/>
    </row>
    <row r="56" spans="2:14">
      <c r="B56" s="474"/>
    </row>
    <row r="57" spans="2:14">
      <c r="B57" s="474"/>
    </row>
    <row r="58" spans="2:14">
      <c r="B58" s="474"/>
    </row>
    <row r="59" spans="2:14">
      <c r="B59" s="474"/>
    </row>
    <row r="60" spans="2:14">
      <c r="B60" s="474"/>
    </row>
    <row r="61" spans="2:14" ht="13.8">
      <c r="B61" s="1851" t="s">
        <v>3223</v>
      </c>
      <c r="C61" s="1851"/>
      <c r="D61" s="1851"/>
      <c r="E61" s="1851"/>
      <c r="F61" s="1851"/>
      <c r="G61" s="1851"/>
      <c r="H61" s="1851"/>
      <c r="I61" s="1851"/>
      <c r="J61" s="1851"/>
      <c r="K61" s="1851"/>
      <c r="L61" s="1851"/>
      <c r="M61" s="1851"/>
      <c r="N61" s="1851"/>
    </row>
    <row r="62" spans="2:14">
      <c r="B62" s="474"/>
    </row>
    <row r="63" spans="2:14">
      <c r="B63" s="474"/>
    </row>
    <row r="64" spans="2:14">
      <c r="B64" s="474"/>
    </row>
    <row r="65" spans="2:2">
      <c r="B65" s="474"/>
    </row>
    <row r="66" spans="2:2">
      <c r="B66" s="474"/>
    </row>
    <row r="67" spans="2:2">
      <c r="B67" s="474"/>
    </row>
    <row r="68" spans="2:2">
      <c r="B68" s="474"/>
    </row>
    <row r="69" spans="2:2">
      <c r="B69" s="474"/>
    </row>
  </sheetData>
  <sheetProtection algorithmName="SHA-512" hashValue="FmjDV5QMq+OnHdQ+tMXnxBDC6KxuaBSqKypKkssbK0dMpy+1miaT9KvWX4Hjjdp5VbC8GW9+V0OhYe3uuSakuQ==" saltValue="utgYJDWGIFds6Cx5oRuyMg=="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5">
    <tabColor theme="3" tint="0.79998168889431442"/>
  </sheetPr>
  <dimension ref="A1:O36"/>
  <sheetViews>
    <sheetView zoomScaleNormal="100" workbookViewId="0">
      <selection activeCell="B31" sqref="B31"/>
    </sheetView>
  </sheetViews>
  <sheetFormatPr defaultColWidth="9.109375" defaultRowHeight="13.2"/>
  <cols>
    <col min="1" max="1" width="5.6640625" style="315" customWidth="1"/>
    <col min="2" max="4" width="4.88671875" style="315" customWidth="1"/>
    <col min="5" max="5" width="46.6640625" style="315" customWidth="1"/>
    <col min="6" max="6" width="7.6640625" style="315" customWidth="1"/>
    <col min="7" max="8" width="16.6640625" style="315" customWidth="1"/>
    <col min="9" max="12" width="15.6640625" style="315" customWidth="1"/>
    <col min="13" max="13" width="10.44140625" style="315" bestFit="1" customWidth="1"/>
    <col min="14" max="16384" width="9.109375" style="315"/>
  </cols>
  <sheetData>
    <row r="1" spans="1:15">
      <c r="B1" s="844"/>
      <c r="C1" s="844"/>
      <c r="D1" s="844"/>
      <c r="E1" s="844"/>
      <c r="F1" s="844"/>
      <c r="G1" s="844"/>
      <c r="H1" s="844"/>
      <c r="I1" s="844"/>
      <c r="J1" s="844"/>
      <c r="K1" s="844"/>
      <c r="L1" s="844"/>
    </row>
    <row r="2" spans="1:15" ht="17.399999999999999">
      <c r="B2" s="1602" t="s">
        <v>3599</v>
      </c>
      <c r="C2" s="1602"/>
      <c r="D2" s="1602"/>
      <c r="E2" s="1602"/>
      <c r="F2" s="1602"/>
      <c r="G2" s="1602"/>
      <c r="H2" s="1602"/>
      <c r="I2" s="1602"/>
      <c r="J2" s="1602"/>
      <c r="K2" s="1602"/>
      <c r="L2" s="1602"/>
    </row>
    <row r="3" spans="1:15">
      <c r="B3" s="844"/>
      <c r="C3" s="844"/>
      <c r="D3" s="844"/>
      <c r="E3" s="844"/>
      <c r="F3" s="844"/>
      <c r="G3" s="844"/>
      <c r="H3" s="844"/>
      <c r="I3" s="844"/>
      <c r="J3" s="844"/>
      <c r="K3" s="844"/>
      <c r="L3" s="844"/>
    </row>
    <row r="4" spans="1:15">
      <c r="B4" s="844"/>
      <c r="C4" s="844"/>
      <c r="D4" s="844"/>
      <c r="E4" s="844"/>
      <c r="F4" s="844"/>
      <c r="G4" s="844"/>
      <c r="H4" s="844"/>
      <c r="I4" s="844"/>
      <c r="J4" s="844"/>
      <c r="K4" s="844"/>
      <c r="L4" s="844"/>
    </row>
    <row r="5" spans="1:15" ht="13.8" thickBot="1">
      <c r="B5" s="844"/>
      <c r="C5" s="844"/>
      <c r="D5" s="844"/>
      <c r="E5" s="844"/>
      <c r="F5" s="844"/>
      <c r="G5" s="844"/>
      <c r="H5" s="844"/>
      <c r="I5" s="844"/>
      <c r="J5" s="844"/>
      <c r="K5" s="844"/>
      <c r="L5" s="844"/>
    </row>
    <row r="6" spans="1:15" ht="13.8" thickTop="1">
      <c r="B6" s="877"/>
      <c r="C6" s="877"/>
      <c r="D6" s="877"/>
      <c r="E6" s="1058"/>
      <c r="F6" s="877"/>
      <c r="G6" s="878"/>
      <c r="H6" s="1059"/>
      <c r="I6" s="878"/>
      <c r="J6" s="877"/>
      <c r="K6" s="877"/>
      <c r="L6" s="854"/>
    </row>
    <row r="7" spans="1:15" ht="15.6">
      <c r="B7" s="1636" t="s">
        <v>18</v>
      </c>
      <c r="C7" s="1636"/>
      <c r="D7" s="1636"/>
      <c r="E7" s="1681" t="s">
        <v>440</v>
      </c>
      <c r="F7" s="1637"/>
      <c r="G7" s="880" t="s">
        <v>441</v>
      </c>
      <c r="H7" s="1506" t="s">
        <v>469</v>
      </c>
      <c r="I7" s="880" t="s">
        <v>559</v>
      </c>
      <c r="J7" s="1687" t="str">
        <f>"REDUCED  IN  "&amp;TEXT('KEY INPUTS'!D34,"0")</f>
        <v>REDUCED  IN  2020</v>
      </c>
      <c r="K7" s="1688"/>
      <c r="L7" s="855" t="s">
        <v>559</v>
      </c>
    </row>
    <row r="8" spans="1:15">
      <c r="B8" s="844"/>
      <c r="C8" s="844"/>
      <c r="D8" s="844"/>
      <c r="E8" s="1060"/>
      <c r="F8" s="844"/>
      <c r="G8" s="880" t="s">
        <v>468</v>
      </c>
      <c r="H8" s="1506" t="s">
        <v>470</v>
      </c>
      <c r="I8" s="883" t="str">
        <f>'KEY INPUTS'!D45</f>
        <v>Dec. 31, 2019</v>
      </c>
      <c r="J8" s="880" t="str">
        <f>"By "&amp;TEXT('KEY INPUTS'!D34,"0")</f>
        <v>By 2020</v>
      </c>
      <c r="K8" s="880" t="s">
        <v>466</v>
      </c>
      <c r="L8" s="856" t="str">
        <f>'KEY INPUTS'!D46</f>
        <v>Dec. 31, 2020</v>
      </c>
    </row>
    <row r="9" spans="1:15" ht="13.8" thickBot="1">
      <c r="B9" s="886"/>
      <c r="C9" s="886"/>
      <c r="D9" s="886"/>
      <c r="E9" s="889"/>
      <c r="F9" s="886"/>
      <c r="G9" s="888"/>
      <c r="H9" s="1061" t="s">
        <v>471</v>
      </c>
      <c r="I9" s="887"/>
      <c r="J9" s="888" t="s">
        <v>564</v>
      </c>
      <c r="K9" s="888" t="s">
        <v>467</v>
      </c>
      <c r="L9" s="857"/>
    </row>
    <row r="10" spans="1:15" ht="21" customHeight="1" thickTop="1">
      <c r="B10" s="1682"/>
      <c r="C10" s="1682"/>
      <c r="D10" s="1683"/>
      <c r="E10" s="584"/>
      <c r="F10" s="563"/>
      <c r="G10" s="585"/>
      <c r="H10" s="585"/>
      <c r="I10" s="586"/>
      <c r="J10" s="586"/>
      <c r="K10" s="586"/>
      <c r="L10" s="1524">
        <f>+I10-J10-K10</f>
        <v>0</v>
      </c>
    </row>
    <row r="11" spans="1:15" ht="21" customHeight="1">
      <c r="B11" s="1684"/>
      <c r="C11" s="1562"/>
      <c r="D11" s="1685"/>
      <c r="E11" s="587"/>
      <c r="F11" s="565"/>
      <c r="G11" s="574"/>
      <c r="H11" s="574"/>
      <c r="I11" s="367"/>
      <c r="J11" s="367"/>
      <c r="K11" s="367"/>
      <c r="L11" s="1525">
        <f>+I11-J11-K11</f>
        <v>0</v>
      </c>
      <c r="M11" s="318"/>
    </row>
    <row r="12" spans="1:15" ht="21" customHeight="1">
      <c r="B12" s="1684"/>
      <c r="C12" s="1562"/>
      <c r="D12" s="1685"/>
      <c r="E12" s="587"/>
      <c r="F12" s="565"/>
      <c r="G12" s="588"/>
      <c r="H12" s="574"/>
      <c r="I12" s="589"/>
      <c r="J12" s="367"/>
      <c r="K12" s="367"/>
      <c r="L12" s="1525">
        <f t="shared" ref="L12:L23" si="0">+I12-J12-K12</f>
        <v>0</v>
      </c>
      <c r="M12" s="318"/>
    </row>
    <row r="13" spans="1:15" ht="21" customHeight="1">
      <c r="B13" s="1562"/>
      <c r="C13" s="1562"/>
      <c r="D13" s="1685"/>
      <c r="E13" s="587"/>
      <c r="F13" s="565"/>
      <c r="G13" s="574"/>
      <c r="H13" s="574"/>
      <c r="I13" s="367"/>
      <c r="J13" s="367"/>
      <c r="K13" s="367"/>
      <c r="L13" s="1525">
        <f t="shared" si="0"/>
        <v>0</v>
      </c>
    </row>
    <row r="14" spans="1:15" ht="21" customHeight="1">
      <c r="B14" s="1684"/>
      <c r="C14" s="1562"/>
      <c r="D14" s="1685"/>
      <c r="E14" s="587"/>
      <c r="F14" s="565"/>
      <c r="G14" s="574"/>
      <c r="H14" s="574"/>
      <c r="I14" s="367"/>
      <c r="J14" s="367"/>
      <c r="K14" s="367"/>
      <c r="L14" s="1525">
        <f t="shared" si="0"/>
        <v>0</v>
      </c>
      <c r="O14" s="370"/>
    </row>
    <row r="15" spans="1:15" ht="21" customHeight="1">
      <c r="B15" s="1684"/>
      <c r="C15" s="1562"/>
      <c r="D15" s="1685"/>
      <c r="E15" s="587"/>
      <c r="F15" s="565"/>
      <c r="G15" s="588"/>
      <c r="H15" s="574"/>
      <c r="I15" s="589"/>
      <c r="J15" s="367"/>
      <c r="K15" s="367"/>
      <c r="L15" s="1525">
        <f t="shared" si="0"/>
        <v>0</v>
      </c>
    </row>
    <row r="16" spans="1:15" ht="21" customHeight="1">
      <c r="A16" s="1613" t="s">
        <v>3600</v>
      </c>
      <c r="B16" s="1562"/>
      <c r="C16" s="1562"/>
      <c r="D16" s="1685"/>
      <c r="E16" s="587"/>
      <c r="F16" s="565"/>
      <c r="G16" s="574"/>
      <c r="H16" s="574"/>
      <c r="I16" s="367"/>
      <c r="J16" s="367"/>
      <c r="K16" s="367"/>
      <c r="L16" s="1525">
        <f t="shared" si="0"/>
        <v>0</v>
      </c>
    </row>
    <row r="17" spans="1:12" ht="21" customHeight="1">
      <c r="A17" s="1613"/>
      <c r="B17" s="1562"/>
      <c r="C17" s="1562"/>
      <c r="D17" s="1685"/>
      <c r="E17" s="587"/>
      <c r="F17" s="565"/>
      <c r="G17" s="574"/>
      <c r="H17" s="574"/>
      <c r="I17" s="367"/>
      <c r="J17" s="367"/>
      <c r="K17" s="367"/>
      <c r="L17" s="1525">
        <f t="shared" si="0"/>
        <v>0</v>
      </c>
    </row>
    <row r="18" spans="1:12" ht="21" customHeight="1">
      <c r="A18" s="1613"/>
      <c r="B18" s="1562"/>
      <c r="C18" s="1562"/>
      <c r="D18" s="1685"/>
      <c r="E18" s="587"/>
      <c r="F18" s="565"/>
      <c r="G18" s="574"/>
      <c r="H18" s="574"/>
      <c r="I18" s="367"/>
      <c r="J18" s="367"/>
      <c r="K18" s="367"/>
      <c r="L18" s="1525">
        <f t="shared" si="0"/>
        <v>0</v>
      </c>
    </row>
    <row r="19" spans="1:12" ht="21" customHeight="1">
      <c r="A19" s="1505"/>
      <c r="B19" s="1504"/>
      <c r="C19" s="1504"/>
      <c r="D19" s="1507"/>
      <c r="E19" s="587"/>
      <c r="F19" s="565"/>
      <c r="G19" s="574"/>
      <c r="H19" s="574"/>
      <c r="I19" s="367"/>
      <c r="J19" s="367"/>
      <c r="K19" s="367"/>
      <c r="L19" s="1525">
        <f t="shared" si="0"/>
        <v>0</v>
      </c>
    </row>
    <row r="20" spans="1:12" ht="21" customHeight="1">
      <c r="A20" s="1505"/>
      <c r="B20" s="1504"/>
      <c r="C20" s="1504"/>
      <c r="D20" s="1507"/>
      <c r="E20" s="587"/>
      <c r="F20" s="565"/>
      <c r="G20" s="574"/>
      <c r="H20" s="574"/>
      <c r="I20" s="367"/>
      <c r="J20" s="367"/>
      <c r="K20" s="367"/>
      <c r="L20" s="1525">
        <f t="shared" si="0"/>
        <v>0</v>
      </c>
    </row>
    <row r="21" spans="1:12" ht="21" customHeight="1">
      <c r="B21" s="1562"/>
      <c r="C21" s="1562"/>
      <c r="D21" s="1685"/>
      <c r="E21" s="587"/>
      <c r="F21" s="565"/>
      <c r="G21" s="574"/>
      <c r="H21" s="574"/>
      <c r="I21" s="367"/>
      <c r="J21" s="367"/>
      <c r="K21" s="367"/>
      <c r="L21" s="1525">
        <f t="shared" si="0"/>
        <v>0</v>
      </c>
    </row>
    <row r="22" spans="1:12" ht="21" customHeight="1">
      <c r="B22" s="1504"/>
      <c r="C22" s="1504"/>
      <c r="D22" s="1507"/>
      <c r="E22" s="587"/>
      <c r="F22" s="565"/>
      <c r="G22" s="574"/>
      <c r="H22" s="574"/>
      <c r="I22" s="367"/>
      <c r="J22" s="367"/>
      <c r="K22" s="367"/>
      <c r="L22" s="1525">
        <f t="shared" si="0"/>
        <v>0</v>
      </c>
    </row>
    <row r="23" spans="1:12" ht="21" customHeight="1">
      <c r="B23" s="1562"/>
      <c r="C23" s="1562"/>
      <c r="D23" s="1685"/>
      <c r="E23" s="587"/>
      <c r="F23" s="565"/>
      <c r="G23" s="574"/>
      <c r="H23" s="574"/>
      <c r="I23" s="367"/>
      <c r="J23" s="367"/>
      <c r="K23" s="367"/>
      <c r="L23" s="1525">
        <f t="shared" si="0"/>
        <v>0</v>
      </c>
    </row>
    <row r="24" spans="1:12" ht="21" customHeight="1" thickBot="1">
      <c r="B24" s="279"/>
      <c r="C24" s="279"/>
      <c r="D24" s="279"/>
      <c r="E24" s="279"/>
      <c r="F24" s="888" t="s">
        <v>674</v>
      </c>
      <c r="G24" s="1006">
        <f t="shared" ref="G24:L24" si="1">SUM(G10:G23)</f>
        <v>0</v>
      </c>
      <c r="H24" s="1006">
        <f t="shared" si="1"/>
        <v>0</v>
      </c>
      <c r="I24" s="1006">
        <f t="shared" si="1"/>
        <v>0</v>
      </c>
      <c r="J24" s="1006">
        <f t="shared" si="1"/>
        <v>0</v>
      </c>
      <c r="K24" s="1006">
        <f t="shared" si="1"/>
        <v>0</v>
      </c>
      <c r="L24" s="853">
        <f t="shared" si="1"/>
        <v>0</v>
      </c>
    </row>
    <row r="25" spans="1:12" ht="12.75" customHeight="1" thickTop="1">
      <c r="B25" s="279"/>
      <c r="C25" s="279"/>
      <c r="D25" s="279"/>
      <c r="E25" s="279"/>
      <c r="F25" s="1048"/>
      <c r="G25" s="1048"/>
      <c r="H25" s="1048"/>
      <c r="I25" s="1062"/>
      <c r="J25" s="1062"/>
      <c r="K25" s="1048"/>
      <c r="L25" s="1048"/>
    </row>
    <row r="26" spans="1:12">
      <c r="B26" s="1520" t="s">
        <v>3596</v>
      </c>
      <c r="C26" s="1048"/>
      <c r="D26" s="1048"/>
      <c r="E26" s="1048"/>
      <c r="F26" s="1048"/>
      <c r="G26" s="1048"/>
      <c r="H26" s="1048"/>
      <c r="I26" s="1048"/>
      <c r="J26" s="1048"/>
      <c r="K26" s="1048"/>
      <c r="L26" s="1048"/>
    </row>
    <row r="27" spans="1:12" ht="13.5" customHeight="1">
      <c r="B27" s="1048" t="s">
        <v>128</v>
      </c>
      <c r="C27" s="1048"/>
      <c r="D27" s="1048"/>
      <c r="E27" s="1048"/>
      <c r="F27" s="279"/>
      <c r="G27" s="279"/>
      <c r="H27" s="279"/>
      <c r="I27" s="279"/>
      <c r="J27" s="279"/>
      <c r="K27" s="279"/>
      <c r="L27" s="279"/>
    </row>
    <row r="28" spans="1:12" ht="13.5" customHeight="1">
      <c r="B28" s="34"/>
      <c r="J28" s="1570"/>
      <c r="K28" s="1570"/>
    </row>
    <row r="29" spans="1:12">
      <c r="B29" s="844"/>
      <c r="C29" s="844"/>
      <c r="D29" s="844"/>
      <c r="E29" s="844"/>
      <c r="F29" s="844"/>
      <c r="G29" s="844"/>
      <c r="H29" s="844"/>
      <c r="I29" s="844"/>
      <c r="J29" s="1686" t="s">
        <v>129</v>
      </c>
      <c r="K29" s="1686"/>
    </row>
    <row r="30" spans="1:12">
      <c r="B30" s="844"/>
      <c r="C30" s="844"/>
      <c r="D30" s="844"/>
      <c r="E30" s="844"/>
      <c r="F30" s="844"/>
      <c r="G30" s="844"/>
      <c r="H30" s="844"/>
      <c r="I30" s="844"/>
      <c r="J30" s="844"/>
      <c r="K30" s="844"/>
    </row>
    <row r="35" spans="9:12">
      <c r="L35" s="318">
        <f>+I24-J24-L24</f>
        <v>0</v>
      </c>
    </row>
    <row r="36" spans="9:12">
      <c r="I36" s="318"/>
      <c r="J36" s="318"/>
    </row>
  </sheetData>
  <sheetProtection algorithmName="SHA-512" hashValue="k6MRD5GgMdQVf28X1EP/3ob2JEZR8zy+w/bKIE0YKK/p573/zg2e8kgjf8jBJxm3URiT7OxNkIHS1AWD2C+gWA==" saltValue="6hL1OorvEBF7z0YhzuB6cw=="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0">
    <tabColor theme="3" tint="0.79998168889431442"/>
  </sheetPr>
  <dimension ref="B1:U50"/>
  <sheetViews>
    <sheetView zoomScaleNormal="100" zoomScaleSheetLayoutView="80" workbookViewId="0"/>
  </sheetViews>
  <sheetFormatPr defaultColWidth="8.88671875" defaultRowHeight="13.2"/>
  <cols>
    <col min="1" max="4" width="4.6640625" style="391" customWidth="1"/>
    <col min="5" max="5" width="17.88671875" style="391" customWidth="1"/>
    <col min="6" max="6" width="8.88671875" style="391"/>
    <col min="7" max="7" width="16.6640625" style="391" customWidth="1"/>
    <col min="8" max="8" width="1.6640625" style="391" customWidth="1"/>
    <col min="9" max="9" width="15.6640625" style="391" customWidth="1"/>
    <col min="10" max="10" width="1.6640625" style="391" customWidth="1"/>
    <col min="11" max="11" width="8.6640625" style="391" customWidth="1"/>
    <col min="12" max="12" width="7.6640625" style="391" customWidth="1"/>
    <col min="13" max="15" width="8.88671875" style="391"/>
    <col min="16" max="17" width="10.33203125" style="391" bestFit="1" customWidth="1"/>
    <col min="18" max="16384" width="8.88671875" style="391"/>
  </cols>
  <sheetData>
    <row r="1" spans="2:21">
      <c r="B1" s="1096"/>
      <c r="C1" s="1096"/>
      <c r="D1" s="1096"/>
      <c r="E1" s="1096"/>
      <c r="F1" s="1096"/>
      <c r="G1" s="1096"/>
      <c r="H1" s="1096"/>
      <c r="I1" s="1096"/>
      <c r="J1" s="1096"/>
      <c r="K1" s="1096"/>
      <c r="L1" s="1096"/>
    </row>
    <row r="2" spans="2:21" ht="20.399999999999999">
      <c r="B2" s="1826" t="s">
        <v>132</v>
      </c>
      <c r="C2" s="1826"/>
      <c r="D2" s="1826"/>
      <c r="E2" s="1826"/>
      <c r="F2" s="1826"/>
      <c r="G2" s="1826"/>
      <c r="H2" s="1826"/>
      <c r="I2" s="1826"/>
      <c r="J2" s="1826"/>
      <c r="K2" s="1826"/>
      <c r="L2" s="1826"/>
    </row>
    <row r="3" spans="2:21" ht="20.399999999999999">
      <c r="B3" s="1826" t="str">
        <f>"AND  "&amp;TEXT('KEY INPUTS'!D34+1,"0")&amp;"  DEBT  SERVICE  FOR  BONDS"</f>
        <v>AND  2021  DEBT  SERVICE  FOR  BONDS</v>
      </c>
      <c r="C3" s="1826"/>
      <c r="D3" s="1826"/>
      <c r="E3" s="1826"/>
      <c r="F3" s="1826"/>
      <c r="G3" s="1826"/>
      <c r="H3" s="1826"/>
      <c r="I3" s="1826"/>
      <c r="J3" s="1826"/>
      <c r="K3" s="1826"/>
      <c r="L3" s="1826"/>
    </row>
    <row r="4" spans="2:21" ht="15.6">
      <c r="B4" s="1806" t="str">
        <f>UPPER('KEY INPUTS'!D57)&amp;" UTILITY  ASSESSMENT  BONDS"</f>
        <v xml:space="preserve"> UTILITY  ASSESSMENT  BONDS</v>
      </c>
      <c r="C4" s="1806"/>
      <c r="D4" s="1806"/>
      <c r="E4" s="1806"/>
      <c r="F4" s="1806"/>
      <c r="G4" s="1806"/>
      <c r="H4" s="1806"/>
      <c r="I4" s="1806"/>
      <c r="J4" s="1806"/>
      <c r="K4" s="1806"/>
      <c r="L4" s="1806"/>
    </row>
    <row r="5" spans="2:21" ht="9.75" customHeight="1" thickBot="1">
      <c r="B5" s="1361"/>
      <c r="C5" s="1361"/>
      <c r="D5" s="1361"/>
      <c r="E5" s="1361"/>
      <c r="F5" s="1361"/>
      <c r="G5" s="1361"/>
      <c r="H5" s="1361"/>
      <c r="I5" s="1361"/>
      <c r="J5" s="1361"/>
      <c r="K5" s="1361"/>
      <c r="L5" s="1361"/>
    </row>
    <row r="6" spans="2:21" ht="27.75" customHeight="1" thickTop="1" thickBot="1">
      <c r="B6" s="1315"/>
      <c r="C6" s="1315"/>
      <c r="D6" s="1315"/>
      <c r="E6" s="1315"/>
      <c r="F6" s="1315"/>
      <c r="G6" s="1097" t="s">
        <v>101</v>
      </c>
      <c r="H6" s="1978" t="s">
        <v>102</v>
      </c>
      <c r="I6" s="1797"/>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52"/>
      <c r="D7" s="1152"/>
      <c r="E7" s="1152"/>
      <c r="F7" s="1152"/>
      <c r="G7" s="1153" t="s">
        <v>662</v>
      </c>
      <c r="H7" s="1724"/>
      <c r="I7" s="1725"/>
      <c r="K7" s="1096"/>
      <c r="L7" s="1096"/>
      <c r="O7" s="315"/>
      <c r="P7" s="315"/>
      <c r="Q7" s="315"/>
      <c r="R7" s="315"/>
      <c r="S7" s="315"/>
      <c r="T7" s="315"/>
      <c r="U7" s="315"/>
    </row>
    <row r="8" spans="2:21" ht="21" customHeight="1">
      <c r="B8" s="681" t="s">
        <v>97</v>
      </c>
      <c r="C8" s="681"/>
      <c r="D8" s="681"/>
      <c r="E8" s="681"/>
      <c r="F8" s="681"/>
      <c r="G8" s="1156" t="s">
        <v>662</v>
      </c>
      <c r="H8" s="1722"/>
      <c r="I8" s="1723"/>
      <c r="K8" s="1096"/>
      <c r="L8" s="1096"/>
      <c r="O8" s="370"/>
      <c r="P8" s="315"/>
      <c r="Q8" s="315"/>
      <c r="R8" s="315"/>
      <c r="S8" s="315"/>
      <c r="T8" s="315"/>
      <c r="U8" s="315"/>
    </row>
    <row r="9" spans="2:21" ht="21" customHeight="1">
      <c r="B9" s="681"/>
      <c r="C9" s="681"/>
      <c r="D9" s="681"/>
      <c r="E9" s="681"/>
      <c r="F9" s="681"/>
      <c r="G9" s="1156"/>
      <c r="H9" s="776"/>
      <c r="I9" s="1211"/>
      <c r="K9" s="1096"/>
      <c r="L9" s="1096"/>
      <c r="O9" s="315"/>
      <c r="P9" s="315"/>
      <c r="Q9" s="315"/>
      <c r="R9" s="315"/>
      <c r="S9" s="315"/>
      <c r="T9" s="315"/>
      <c r="U9" s="315"/>
    </row>
    <row r="10" spans="2:21" ht="21" customHeight="1">
      <c r="B10" s="681" t="s">
        <v>268</v>
      </c>
      <c r="C10" s="681"/>
      <c r="D10" s="681"/>
      <c r="E10" s="681"/>
      <c r="F10" s="681"/>
      <c r="G10" s="593"/>
      <c r="H10" s="1874" t="s">
        <v>662</v>
      </c>
      <c r="I10" s="1875"/>
      <c r="K10" s="1096"/>
      <c r="L10" s="1096"/>
      <c r="O10" s="315"/>
      <c r="P10" s="315"/>
      <c r="Q10" s="315"/>
      <c r="R10" s="315"/>
      <c r="S10" s="315"/>
      <c r="T10" s="315"/>
      <c r="U10" s="315"/>
    </row>
    <row r="11" spans="2:21" ht="21" customHeight="1" thickBot="1">
      <c r="B11" s="681" t="str">
        <f>'KEY INPUTS'!D28</f>
        <v>Outstanding - December 31, 2020</v>
      </c>
      <c r="C11" s="681"/>
      <c r="D11" s="681"/>
      <c r="E11" s="681"/>
      <c r="F11" s="681"/>
      <c r="G11" s="1111">
        <f>+H7+H8-G10</f>
        <v>0</v>
      </c>
      <c r="H11" s="1870" t="s">
        <v>662</v>
      </c>
      <c r="I11" s="1871"/>
      <c r="K11" s="1096"/>
      <c r="L11" s="1096"/>
      <c r="O11" s="315"/>
      <c r="P11" s="315"/>
      <c r="Q11" s="315"/>
      <c r="R11" s="315"/>
      <c r="S11" s="315"/>
      <c r="T11" s="315"/>
      <c r="U11" s="315"/>
    </row>
    <row r="12" spans="2:21" ht="21" customHeight="1" thickBot="1">
      <c r="B12" s="1096"/>
      <c r="C12" s="1096"/>
      <c r="D12" s="1096"/>
      <c r="E12" s="1096"/>
      <c r="F12" s="1096"/>
      <c r="G12" s="1113">
        <f>SUM(G7:G11)</f>
        <v>0</v>
      </c>
      <c r="H12" s="1858">
        <f>SUM(H7:I11)</f>
        <v>0</v>
      </c>
      <c r="I12" s="1859"/>
      <c r="K12" s="1096"/>
      <c r="L12" s="1096"/>
      <c r="O12" s="315"/>
      <c r="P12" s="315"/>
      <c r="Q12" s="315"/>
      <c r="R12" s="315"/>
      <c r="S12" s="315"/>
      <c r="T12" s="315"/>
      <c r="U12" s="315"/>
    </row>
    <row r="13" spans="2:21" ht="21" customHeight="1" thickTop="1">
      <c r="B13" s="1364" t="str">
        <f>TEXT('KEY INPUTS'!D34+1,"0")&amp;" Bond Maturities - Assessment Bonds"</f>
        <v>2021 Bond Maturities - Assessment Bonds</v>
      </c>
      <c r="C13" s="1110"/>
      <c r="D13" s="1110"/>
      <c r="E13" s="1110"/>
      <c r="F13" s="1110"/>
      <c r="G13" s="1110"/>
      <c r="H13" s="1110"/>
      <c r="I13" s="1363"/>
      <c r="J13" s="444" t="s">
        <v>397</v>
      </c>
      <c r="K13" s="1748"/>
      <c r="L13" s="1748"/>
      <c r="O13" s="315"/>
      <c r="P13" s="315"/>
      <c r="Q13" s="315"/>
      <c r="R13" s="315"/>
      <c r="S13" s="315"/>
      <c r="T13" s="315"/>
      <c r="U13" s="315"/>
    </row>
    <row r="14" spans="2:21" ht="21" customHeight="1" thickBot="1">
      <c r="B14" s="1365" t="str">
        <f>TEXT('KEY INPUTS'!D34+1,"0")&amp;" Interest on Bonds"</f>
        <v>2021 Interest on Bonds</v>
      </c>
      <c r="C14" s="1214"/>
      <c r="D14" s="1214"/>
      <c r="E14" s="1214"/>
      <c r="F14" s="1214"/>
      <c r="G14" s="1239"/>
      <c r="H14" s="481" t="s">
        <v>397</v>
      </c>
      <c r="I14" s="600"/>
      <c r="K14" s="1096"/>
      <c r="L14" s="1096"/>
      <c r="O14" s="315"/>
      <c r="P14" s="315"/>
      <c r="Q14" s="315"/>
      <c r="R14" s="315"/>
      <c r="S14" s="315"/>
      <c r="T14" s="315"/>
      <c r="U14" s="315"/>
    </row>
    <row r="15" spans="2:21" ht="16.5" customHeight="1" thickTop="1">
      <c r="B15" s="1997"/>
      <c r="C15" s="1997"/>
      <c r="D15" s="1997"/>
      <c r="E15" s="1997"/>
      <c r="F15" s="1997"/>
      <c r="G15" s="1997"/>
      <c r="H15" s="1997"/>
      <c r="I15" s="1998"/>
      <c r="K15" s="1096"/>
      <c r="L15" s="1096"/>
      <c r="O15" s="315"/>
      <c r="P15" s="315"/>
      <c r="Q15" s="315"/>
      <c r="R15" s="315"/>
      <c r="S15" s="315"/>
      <c r="T15" s="315"/>
      <c r="U15" s="315"/>
    </row>
    <row r="16" spans="2:21" ht="26.25" customHeight="1" thickBot="1">
      <c r="B16" s="1976" t="str">
        <f>UPPER('KEY INPUTS'!D57) &amp;" UTILITY  CAPITAL  BONDS"</f>
        <v xml:space="preserve"> UTILITY  CAPITAL  BONDS</v>
      </c>
      <c r="C16" s="1976"/>
      <c r="D16" s="1976"/>
      <c r="E16" s="1976"/>
      <c r="F16" s="1976"/>
      <c r="G16" s="1976"/>
      <c r="H16" s="1976"/>
      <c r="I16" s="1977"/>
      <c r="K16" s="1096"/>
      <c r="L16" s="1096"/>
      <c r="O16" s="315"/>
      <c r="P16" s="315"/>
      <c r="Q16" s="315"/>
      <c r="R16" s="315"/>
      <c r="S16" s="315"/>
      <c r="T16" s="315"/>
      <c r="U16" s="315"/>
    </row>
    <row r="17" spans="2:21" ht="21" customHeight="1" thickTop="1">
      <c r="B17" s="1193" t="str">
        <f>'KEY INPUTS'!D27</f>
        <v>Outstanding - January 1, 2020</v>
      </c>
      <c r="C17" s="1152"/>
      <c r="D17" s="1152"/>
      <c r="E17" s="1152"/>
      <c r="F17" s="1152"/>
      <c r="G17" s="1153" t="s">
        <v>662</v>
      </c>
      <c r="H17" s="1724"/>
      <c r="I17" s="1725"/>
      <c r="K17" s="1096"/>
      <c r="L17" s="1096"/>
      <c r="O17" s="315"/>
      <c r="P17" s="315"/>
      <c r="Q17" s="315"/>
      <c r="R17" s="315"/>
      <c r="S17" s="315"/>
      <c r="T17" s="315"/>
      <c r="U17" s="315"/>
    </row>
    <row r="18" spans="2:21" ht="21" customHeight="1">
      <c r="B18" s="681" t="s">
        <v>97</v>
      </c>
      <c r="C18" s="681"/>
      <c r="D18" s="681"/>
      <c r="E18" s="681"/>
      <c r="F18" s="681"/>
      <c r="G18" s="1156" t="s">
        <v>662</v>
      </c>
      <c r="H18" s="1722"/>
      <c r="I18" s="1723"/>
      <c r="K18" s="1096"/>
      <c r="L18" s="1096"/>
      <c r="O18" s="315"/>
      <c r="P18" s="315"/>
      <c r="Q18" s="315"/>
      <c r="R18" s="315"/>
      <c r="S18" s="315"/>
      <c r="T18" s="315"/>
      <c r="U18" s="315"/>
    </row>
    <row r="19" spans="2:21" ht="21" customHeight="1">
      <c r="B19" s="681" t="s">
        <v>268</v>
      </c>
      <c r="C19" s="681"/>
      <c r="D19" s="681"/>
      <c r="E19" s="681"/>
      <c r="F19" s="681"/>
      <c r="G19" s="593"/>
      <c r="H19" s="1874" t="s">
        <v>662</v>
      </c>
      <c r="I19" s="1875"/>
      <c r="K19" s="1096"/>
      <c r="L19" s="1096"/>
      <c r="O19" s="315"/>
      <c r="P19" s="315"/>
      <c r="Q19" s="315"/>
      <c r="R19" s="315"/>
      <c r="S19" s="315"/>
      <c r="T19" s="315"/>
      <c r="U19" s="315"/>
    </row>
    <row r="20" spans="2:21" ht="21" customHeight="1">
      <c r="B20" s="681"/>
      <c r="C20" s="681"/>
      <c r="D20" s="681"/>
      <c r="E20" s="681"/>
      <c r="F20" s="681"/>
      <c r="G20" s="680"/>
      <c r="H20" s="1860"/>
      <c r="I20" s="1861"/>
      <c r="K20" s="1096"/>
      <c r="L20" s="1096"/>
      <c r="O20" s="315"/>
      <c r="P20" s="315"/>
      <c r="Q20" s="315"/>
      <c r="R20" s="315"/>
      <c r="S20" s="315"/>
      <c r="T20" s="315"/>
      <c r="U20" s="315"/>
    </row>
    <row r="21" spans="2:21" ht="21" customHeight="1">
      <c r="B21" s="681"/>
      <c r="C21" s="681"/>
      <c r="D21" s="681"/>
      <c r="E21" s="681"/>
      <c r="F21" s="681"/>
      <c r="G21" s="680"/>
      <c r="H21" s="1860"/>
      <c r="I21" s="1861"/>
      <c r="K21" s="1096"/>
      <c r="L21" s="1096"/>
      <c r="O21" s="315"/>
      <c r="P21" s="315"/>
      <c r="Q21" s="315"/>
      <c r="R21" s="315"/>
      <c r="S21" s="315"/>
      <c r="T21" s="315"/>
      <c r="U21" s="315"/>
    </row>
    <row r="22" spans="2:21" ht="21" customHeight="1" thickBot="1">
      <c r="B22" s="681" t="str">
        <f>'KEY INPUTS'!D28</f>
        <v>Outstanding - December 31, 2020</v>
      </c>
      <c r="C22" s="681"/>
      <c r="D22" s="681"/>
      <c r="E22" s="681"/>
      <c r="F22" s="681"/>
      <c r="G22" s="1111">
        <f>+H17+H18-G19-G20-G21+H20+H21</f>
        <v>0</v>
      </c>
      <c r="H22" s="1870" t="s">
        <v>662</v>
      </c>
      <c r="I22" s="1871"/>
      <c r="K22" s="1096"/>
      <c r="L22" s="1096"/>
      <c r="O22" s="315"/>
      <c r="P22" s="315"/>
      <c r="Q22" s="315"/>
      <c r="R22" s="315"/>
      <c r="S22" s="315"/>
      <c r="T22" s="315"/>
      <c r="U22" s="315"/>
    </row>
    <row r="23" spans="2:21" ht="21" customHeight="1" thickBot="1">
      <c r="B23" s="1096"/>
      <c r="C23" s="1096"/>
      <c r="D23" s="1096"/>
      <c r="E23" s="1096"/>
      <c r="F23" s="1096"/>
      <c r="G23" s="1113">
        <f>SUM(G17:G22)</f>
        <v>0</v>
      </c>
      <c r="H23" s="1858">
        <f>SUM(H17:I22)</f>
        <v>0</v>
      </c>
      <c r="I23" s="1859"/>
      <c r="K23" s="1096"/>
      <c r="L23" s="1096"/>
    </row>
    <row r="24" spans="2:21" ht="21" customHeight="1" thickTop="1">
      <c r="B24" s="1364" t="str">
        <f>TEXT('KEY INPUTS'!D34+1,"0")&amp;" Bond Maturities - Capital Bonds"</f>
        <v>2021 Bond Maturities - Capital Bonds</v>
      </c>
      <c r="C24" s="1110"/>
      <c r="D24" s="1110"/>
      <c r="E24" s="1110"/>
      <c r="F24" s="1110"/>
      <c r="G24" s="1110"/>
      <c r="H24" s="1110"/>
      <c r="I24" s="1366"/>
      <c r="J24" s="444" t="s">
        <v>397</v>
      </c>
      <c r="K24" s="1748"/>
      <c r="L24" s="1748"/>
    </row>
    <row r="25" spans="2:21" ht="21" customHeight="1" thickBot="1">
      <c r="B25" s="1365" t="str">
        <f>TEXT('KEY INPUTS'!D34+1,"0")&amp;" Interest on Bonds"</f>
        <v>2021 Interest on Bonds</v>
      </c>
      <c r="C25" s="1214"/>
      <c r="D25" s="1214"/>
      <c r="E25" s="1214"/>
      <c r="F25" s="1214"/>
      <c r="G25" s="1239"/>
      <c r="H25" s="481" t="s">
        <v>397</v>
      </c>
      <c r="I25" s="600"/>
      <c r="J25" s="482"/>
      <c r="K25" s="1214"/>
      <c r="L25" s="1365" t="s">
        <v>3190</v>
      </c>
    </row>
    <row r="26" spans="2:21" ht="21" customHeight="1" thickTop="1">
      <c r="B26" s="1096"/>
      <c r="C26" s="1096"/>
      <c r="D26" s="1096"/>
      <c r="E26" s="1096"/>
      <c r="F26" s="1096"/>
      <c r="G26" s="1096"/>
      <c r="H26" s="1096"/>
      <c r="I26" s="1096"/>
      <c r="J26" s="1096"/>
      <c r="K26" s="1096"/>
      <c r="L26" s="1096"/>
    </row>
    <row r="27" spans="2:21" ht="19.5" customHeight="1" thickBot="1">
      <c r="B27" s="1976" t="str">
        <f>"INTEREST  ON  BONDS  -  "&amp;UPPER('KEY INPUTS'!D57)&amp;"  UTILITY  BUDGET"</f>
        <v>INTEREST  ON  BONDS  -    UTILITY  BUDGET</v>
      </c>
      <c r="C27" s="1976"/>
      <c r="D27" s="1976"/>
      <c r="E27" s="1976"/>
      <c r="F27" s="1976"/>
      <c r="G27" s="1976"/>
      <c r="H27" s="1976"/>
      <c r="I27" s="1976"/>
      <c r="J27" s="1976"/>
      <c r="K27" s="1976"/>
      <c r="L27" s="1976"/>
    </row>
    <row r="28" spans="2:21" ht="21" customHeight="1" thickTop="1">
      <c r="B28" s="1376" t="str">
        <f>TEXT('KEY INPUTS'!D34+1,"0")&amp;" Interest on Bonds (*Items)"</f>
        <v>2021 Interest on Bonds (*Items)</v>
      </c>
      <c r="C28" s="1152"/>
      <c r="D28" s="1152"/>
      <c r="E28" s="1152"/>
      <c r="F28" s="1152"/>
      <c r="G28" s="1152"/>
      <c r="H28" s="450" t="s">
        <v>397</v>
      </c>
      <c r="I28" s="1212">
        <f>+I14+I25</f>
        <v>0</v>
      </c>
      <c r="K28" s="1096"/>
      <c r="L28" s="1096"/>
      <c r="O28" s="457"/>
      <c r="P28" s="457"/>
      <c r="Q28" s="457"/>
      <c r="R28" s="457"/>
    </row>
    <row r="29" spans="2:21" ht="21" customHeight="1">
      <c r="B29" s="905" t="str">
        <f>"Less: Interest Accrued to "&amp;TEXT('KEY INPUTS'!D29,"mm/dd/yyy")&amp;" (Trial Balance)"</f>
        <v>Less: Interest Accrued to 12/31/2020 (Trial Balance)</v>
      </c>
      <c r="C29" s="681"/>
      <c r="D29" s="681"/>
      <c r="E29" s="681"/>
      <c r="F29" s="681"/>
      <c r="G29" s="681"/>
      <c r="H29" s="395" t="s">
        <v>397</v>
      </c>
      <c r="I29" s="663"/>
      <c r="K29" s="1096"/>
      <c r="L29" s="1096"/>
      <c r="O29" s="457"/>
      <c r="P29" s="457"/>
      <c r="Q29" s="457"/>
      <c r="R29" s="457"/>
    </row>
    <row r="30" spans="2:21" ht="21" customHeight="1">
      <c r="B30" s="681"/>
      <c r="C30" s="681" t="s">
        <v>337</v>
      </c>
      <c r="D30" s="681"/>
      <c r="E30" s="681"/>
      <c r="F30" s="681"/>
      <c r="G30" s="681"/>
      <c r="H30" s="395" t="s">
        <v>397</v>
      </c>
      <c r="I30" s="489">
        <f>+I28-I29</f>
        <v>0</v>
      </c>
      <c r="K30" s="1096"/>
      <c r="L30" s="1096"/>
      <c r="O30" s="457"/>
      <c r="P30" s="457"/>
      <c r="Q30" s="457"/>
      <c r="R30" s="457"/>
    </row>
    <row r="31" spans="2:21" ht="21" customHeight="1">
      <c r="B31" s="905" t="str">
        <f>"Add: Interest to be Accrued as of "&amp;TEXT('KEY INPUTS'!D30,"mm/dd/yyyy")&amp;""</f>
        <v>Add: Interest to be Accrued as of 12/31/2021</v>
      </c>
      <c r="C31" s="681"/>
      <c r="D31" s="681"/>
      <c r="E31" s="681"/>
      <c r="F31" s="681"/>
      <c r="G31" s="681"/>
      <c r="H31" s="395" t="s">
        <v>397</v>
      </c>
      <c r="I31" s="663"/>
      <c r="K31" s="1096"/>
      <c r="L31" s="1096"/>
      <c r="O31" s="457"/>
      <c r="P31" s="457"/>
      <c r="Q31" s="457"/>
      <c r="R31" s="457"/>
    </row>
    <row r="32" spans="2:21" ht="21" customHeight="1">
      <c r="B32" s="905" t="str">
        <f>"Required Appropriation "&amp;TEXT('KEY INPUTS'!D34+1,"0")</f>
        <v>Required Appropriation 2021</v>
      </c>
      <c r="C32" s="681"/>
      <c r="D32" s="681"/>
      <c r="E32" s="681"/>
      <c r="F32" s="681"/>
      <c r="G32" s="681"/>
      <c r="H32" s="681"/>
      <c r="I32" s="1396"/>
      <c r="J32" s="484" t="s">
        <v>397</v>
      </c>
      <c r="K32" s="1880">
        <f>+I30+I31</f>
        <v>0</v>
      </c>
      <c r="L32" s="1881"/>
      <c r="O32" s="457"/>
      <c r="P32" s="457"/>
      <c r="Q32" s="457"/>
      <c r="R32" s="457"/>
    </row>
    <row r="33" spans="2:12" ht="13.5" customHeight="1">
      <c r="B33" s="1174"/>
      <c r="C33" s="1174"/>
      <c r="D33" s="1174"/>
      <c r="E33" s="1174"/>
      <c r="F33" s="1174"/>
      <c r="G33" s="1174"/>
      <c r="H33" s="1174"/>
      <c r="I33" s="1174"/>
      <c r="J33" s="1174"/>
      <c r="K33" s="1409"/>
      <c r="L33" s="1280"/>
    </row>
    <row r="34" spans="2:12" ht="13.5" customHeight="1">
      <c r="B34" s="1174"/>
      <c r="C34" s="1174"/>
      <c r="D34" s="1174"/>
      <c r="E34" s="1174"/>
      <c r="F34" s="1174"/>
      <c r="G34" s="1174"/>
      <c r="H34" s="1174"/>
      <c r="I34" s="1174"/>
      <c r="J34" s="1174"/>
      <c r="K34" s="1409"/>
      <c r="L34" s="1280"/>
    </row>
    <row r="35" spans="2:12" ht="21" customHeight="1" thickBot="1">
      <c r="B35" s="1984" t="str">
        <f>"LIST  OF  BONDS  ISSUED  DURING  "&amp;TEXT('KEY INPUTS'!D34,"0")&amp;""</f>
        <v>LIST  OF  BONDS  ISSUED  DURING  2020</v>
      </c>
      <c r="C35" s="1984"/>
      <c r="D35" s="1984"/>
      <c r="E35" s="1984"/>
      <c r="F35" s="1984"/>
      <c r="G35" s="1984"/>
      <c r="H35" s="1984"/>
      <c r="I35" s="1984"/>
      <c r="J35" s="1984"/>
      <c r="K35" s="1984"/>
      <c r="L35" s="1984"/>
    </row>
    <row r="36" spans="2:12" ht="27" customHeight="1" thickTop="1" thickBot="1">
      <c r="B36" s="1796" t="s">
        <v>440</v>
      </c>
      <c r="C36" s="1796"/>
      <c r="D36" s="1796"/>
      <c r="E36" s="1796"/>
      <c r="F36" s="1796"/>
      <c r="G36" s="1379" t="str">
        <f>TEXT('KEY INPUTS'!D33,"0")&amp;" Maturity"</f>
        <v>2021 Maturity</v>
      </c>
      <c r="H36" s="1978" t="s">
        <v>96</v>
      </c>
      <c r="I36" s="1797"/>
      <c r="J36" s="1995" t="s">
        <v>94</v>
      </c>
      <c r="K36" s="1996"/>
      <c r="L36" s="1395" t="s">
        <v>95</v>
      </c>
    </row>
    <row r="37" spans="2:12" ht="21" customHeight="1" thickTop="1">
      <c r="B37" s="664"/>
      <c r="C37" s="664"/>
      <c r="D37" s="664"/>
      <c r="E37" s="664"/>
      <c r="F37" s="664"/>
      <c r="G37" s="597"/>
      <c r="H37" s="1724"/>
      <c r="I37" s="1725"/>
      <c r="J37" s="1882"/>
      <c r="K37" s="1883"/>
      <c r="L37" s="908"/>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214"/>
      <c r="C41" s="1214"/>
      <c r="D41" s="1214"/>
      <c r="E41" s="1214"/>
      <c r="F41" s="1367"/>
      <c r="G41" s="1113">
        <f>SUM(G37:G40)</f>
        <v>0</v>
      </c>
      <c r="H41" s="1876">
        <f>SUM(H37:I40)</f>
        <v>0</v>
      </c>
      <c r="I41" s="1877"/>
      <c r="J41" s="1368"/>
      <c r="K41" s="1214"/>
      <c r="L41" s="1215"/>
    </row>
    <row r="42" spans="2:12" ht="13.8" thickTop="1">
      <c r="G42" s="773"/>
      <c r="H42" s="773"/>
      <c r="I42" s="773"/>
    </row>
    <row r="50" spans="2:12" ht="13.8">
      <c r="B50" s="1799" t="s">
        <v>3224</v>
      </c>
      <c r="C50" s="1799"/>
      <c r="D50" s="1799"/>
      <c r="E50" s="1799"/>
      <c r="F50" s="1799"/>
      <c r="G50" s="1799"/>
      <c r="H50" s="1799"/>
      <c r="I50" s="1799"/>
      <c r="J50" s="1799"/>
      <c r="K50" s="1799"/>
      <c r="L50" s="1799"/>
    </row>
  </sheetData>
  <sheetProtection algorithmName="SHA-512" hashValue="h0QJnnNwjEw1faBN2NmdXbx1foIJR0JG/grcpW68k7QkACEwehFAPaJG38uW3NwC8yeJ/6XhtzUw5fI/UEwAeA==" saltValue="X2D6BC3+ZiXqCc+Yl5VaLg=="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1">
    <tabColor theme="3" tint="0.79998168889431442"/>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INPUTS'!D$57)&amp;"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K7" s="1128"/>
      <c r="L7" s="1128"/>
      <c r="O7" s="315"/>
      <c r="P7" s="315"/>
      <c r="Q7" s="315"/>
      <c r="R7" s="315"/>
      <c r="S7" s="315"/>
      <c r="T7" s="315"/>
      <c r="U7" s="315"/>
    </row>
    <row r="8" spans="2:21" ht="21" customHeight="1">
      <c r="B8" s="681" t="s">
        <v>97</v>
      </c>
      <c r="C8" s="1121"/>
      <c r="D8" s="1121"/>
      <c r="E8" s="1121"/>
      <c r="F8" s="1121"/>
      <c r="G8" s="963" t="s">
        <v>662</v>
      </c>
      <c r="H8" s="1722"/>
      <c r="I8" s="1723"/>
      <c r="K8" s="1128"/>
      <c r="L8" s="1128"/>
      <c r="O8" s="370"/>
      <c r="P8" s="315"/>
      <c r="Q8" s="315"/>
      <c r="R8" s="315"/>
      <c r="S8" s="315"/>
      <c r="T8" s="315"/>
      <c r="U8" s="315"/>
    </row>
    <row r="9" spans="2:21" ht="21" customHeight="1">
      <c r="B9" s="681"/>
      <c r="C9" s="1121"/>
      <c r="D9" s="1121"/>
      <c r="E9" s="1121"/>
      <c r="F9" s="1121"/>
      <c r="G9" s="963"/>
      <c r="H9" s="1371"/>
      <c r="I9" s="1372"/>
      <c r="K9" s="1128"/>
      <c r="L9" s="1128"/>
      <c r="O9" s="315"/>
      <c r="P9" s="315"/>
      <c r="Q9" s="315"/>
      <c r="R9" s="315"/>
      <c r="S9" s="315"/>
      <c r="T9" s="315"/>
      <c r="U9" s="315"/>
    </row>
    <row r="10" spans="2:21" ht="21" customHeight="1">
      <c r="B10" s="681" t="s">
        <v>268</v>
      </c>
      <c r="C10" s="1121"/>
      <c r="D10" s="1121"/>
      <c r="E10" s="1121"/>
      <c r="F10" s="1121"/>
      <c r="G10" s="593"/>
      <c r="H10" s="1743" t="s">
        <v>662</v>
      </c>
      <c r="I10" s="1744"/>
      <c r="K10" s="1128"/>
      <c r="L10" s="1128"/>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K11" s="1128"/>
      <c r="L11" s="1128"/>
      <c r="O11" s="315"/>
      <c r="P11" s="315"/>
      <c r="Q11" s="315"/>
      <c r="R11" s="315"/>
      <c r="S11" s="315"/>
      <c r="T11" s="315"/>
      <c r="U11" s="315"/>
    </row>
    <row r="12" spans="2:21" ht="21" customHeight="1" thickBot="1">
      <c r="B12" s="1096"/>
      <c r="C12" s="1128"/>
      <c r="D12" s="1128"/>
      <c r="E12" s="1128"/>
      <c r="F12" s="1128"/>
      <c r="G12" s="1065">
        <f>SUM(G7:G11)</f>
        <v>0</v>
      </c>
      <c r="H12" s="1741">
        <f>SUM(H7:I11)</f>
        <v>0</v>
      </c>
      <c r="I12" s="1742"/>
      <c r="K12" s="1128"/>
      <c r="L12" s="1128"/>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K14" s="1128"/>
      <c r="L14" s="1128"/>
      <c r="O14" s="315"/>
      <c r="P14" s="315"/>
      <c r="Q14" s="315"/>
      <c r="R14" s="315"/>
      <c r="S14" s="315"/>
      <c r="T14" s="315"/>
      <c r="U14" s="315"/>
    </row>
    <row r="15" spans="2:21" ht="16.5" customHeight="1" thickTop="1">
      <c r="B15" s="2000"/>
      <c r="C15" s="2000"/>
      <c r="D15" s="2000"/>
      <c r="E15" s="2000"/>
      <c r="F15" s="2000"/>
      <c r="G15" s="2000"/>
      <c r="H15" s="2000"/>
      <c r="I15" s="2001"/>
      <c r="K15" s="1128"/>
      <c r="L15" s="1128"/>
      <c r="O15" s="315"/>
      <c r="P15" s="315"/>
      <c r="Q15" s="315"/>
      <c r="R15" s="315"/>
      <c r="S15" s="315"/>
      <c r="T15" s="315"/>
      <c r="U15" s="315"/>
    </row>
    <row r="16" spans="2:21" ht="26.25" customHeight="1" thickBot="1">
      <c r="B16" s="1976" t="str">
        <f>UPPER('KEY INPUTS'!D$57)&amp;"  UTILITY"&amp;" ________________ LOAN"</f>
        <v xml:space="preserve">  UTILITY ________________ LOAN</v>
      </c>
      <c r="C16" s="1976"/>
      <c r="D16" s="1976"/>
      <c r="E16" s="1976"/>
      <c r="F16" s="1976"/>
      <c r="G16" s="1976"/>
      <c r="H16" s="1976"/>
      <c r="I16" s="1977"/>
      <c r="K16" s="1128"/>
      <c r="L16" s="1128"/>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K17" s="1128"/>
      <c r="L17" s="1128"/>
      <c r="O17" s="315"/>
      <c r="P17" s="315"/>
      <c r="Q17" s="315"/>
      <c r="R17" s="315"/>
      <c r="S17" s="315"/>
      <c r="T17" s="315"/>
      <c r="U17" s="315"/>
    </row>
    <row r="18" spans="2:21" ht="21" customHeight="1">
      <c r="B18" s="681" t="s">
        <v>97</v>
      </c>
      <c r="C18" s="1121"/>
      <c r="D18" s="1121"/>
      <c r="E18" s="1121"/>
      <c r="F18" s="1121"/>
      <c r="G18" s="963" t="s">
        <v>662</v>
      </c>
      <c r="H18" s="1722"/>
      <c r="I18" s="1723"/>
      <c r="K18" s="1128"/>
      <c r="L18" s="1128"/>
      <c r="O18" s="315"/>
      <c r="P18" s="315"/>
      <c r="Q18" s="315"/>
      <c r="R18" s="315"/>
      <c r="S18" s="315"/>
      <c r="T18" s="315"/>
      <c r="U18" s="315"/>
    </row>
    <row r="19" spans="2:21" ht="21" customHeight="1">
      <c r="B19" s="681" t="s">
        <v>268</v>
      </c>
      <c r="C19" s="1121"/>
      <c r="D19" s="1121"/>
      <c r="E19" s="1121"/>
      <c r="F19" s="1121"/>
      <c r="G19" s="593"/>
      <c r="H19" s="1743" t="s">
        <v>662</v>
      </c>
      <c r="I19" s="1744"/>
      <c r="K19" s="1128"/>
      <c r="L19" s="1128"/>
      <c r="O19" s="315"/>
      <c r="P19" s="315"/>
      <c r="Q19" s="315"/>
      <c r="R19" s="315"/>
      <c r="S19" s="315"/>
      <c r="T19" s="315"/>
      <c r="U19" s="315"/>
    </row>
    <row r="20" spans="2:21" ht="21" customHeight="1">
      <c r="B20" s="681"/>
      <c r="C20" s="1121"/>
      <c r="D20" s="1121"/>
      <c r="E20" s="1121"/>
      <c r="F20" s="1121"/>
      <c r="G20" s="1087"/>
      <c r="H20" s="1745"/>
      <c r="I20" s="1746"/>
      <c r="K20" s="1128"/>
      <c r="L20" s="1128"/>
      <c r="O20" s="315"/>
      <c r="P20" s="315"/>
      <c r="Q20" s="315"/>
      <c r="R20" s="315"/>
      <c r="S20" s="315"/>
      <c r="T20" s="315"/>
      <c r="U20" s="315"/>
    </row>
    <row r="21" spans="2:21" ht="21" customHeight="1">
      <c r="B21" s="681"/>
      <c r="C21" s="1121"/>
      <c r="D21" s="1121"/>
      <c r="E21" s="1121"/>
      <c r="F21" s="1121"/>
      <c r="G21" s="1087"/>
      <c r="H21" s="1745"/>
      <c r="I21" s="1746"/>
      <c r="K21" s="1128"/>
      <c r="L21" s="1128"/>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K22" s="1128"/>
      <c r="L22" s="1128"/>
      <c r="O22" s="315"/>
      <c r="P22" s="315"/>
      <c r="Q22" s="315"/>
      <c r="R22" s="315"/>
      <c r="S22" s="315"/>
      <c r="T22" s="315"/>
      <c r="U22" s="315"/>
    </row>
    <row r="23" spans="2:21" ht="21" customHeight="1" thickBot="1">
      <c r="B23" s="1096"/>
      <c r="C23" s="1128"/>
      <c r="D23" s="1128"/>
      <c r="E23" s="1128"/>
      <c r="F23" s="1128"/>
      <c r="G23" s="1065">
        <f>SUM(G17:G22)</f>
        <v>0</v>
      </c>
      <c r="H23" s="1741">
        <f>SUM(H17:I22)</f>
        <v>0</v>
      </c>
      <c r="I23" s="1742"/>
      <c r="K23" s="1128"/>
      <c r="L23" s="1128"/>
    </row>
    <row r="24" spans="2:21" ht="21" customHeight="1" thickTop="1">
      <c r="B24" s="1364" t="str">
        <f>TEXT('KEY INPUTS'!D34+1,"0")&amp;" Loan Maturities"</f>
        <v>2021 Loan Maturities</v>
      </c>
      <c r="C24" s="1373"/>
      <c r="D24" s="1373"/>
      <c r="E24" s="1373"/>
      <c r="F24" s="1373"/>
      <c r="G24" s="1373"/>
      <c r="H24" s="1373"/>
      <c r="I24" s="1374"/>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1144"/>
      <c r="L25" s="1144"/>
    </row>
    <row r="26" spans="2:21" ht="21" customHeight="1" thickTop="1">
      <c r="B26" s="1128"/>
      <c r="C26" s="1128"/>
      <c r="D26" s="1128"/>
      <c r="E26" s="1128"/>
      <c r="F26" s="1128"/>
      <c r="G26" s="1128"/>
      <c r="H26" s="1128"/>
      <c r="I26" s="1128"/>
      <c r="J26" s="1128"/>
      <c r="K26" s="1128"/>
      <c r="L26" s="1128"/>
    </row>
    <row r="27" spans="2:21" ht="19.5" customHeight="1" thickBot="1">
      <c r="B27" s="1976" t="str">
        <f>"INTEREST  ON  LOANS  - "&amp;UPPER('KEY INPUTS'!D57)&amp;"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1140" t="s">
        <v>397</v>
      </c>
      <c r="I28" s="1375">
        <f>+I25+I14</f>
        <v>0</v>
      </c>
      <c r="K28" s="1128"/>
      <c r="L28" s="1128"/>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c r="K29" s="1128"/>
      <c r="L29" s="1128"/>
    </row>
    <row r="30" spans="2:21" ht="21" customHeight="1">
      <c r="B30" s="681"/>
      <c r="C30" s="681" t="s">
        <v>337</v>
      </c>
      <c r="D30" s="1121"/>
      <c r="E30" s="1121"/>
      <c r="F30" s="1121"/>
      <c r="G30" s="1121"/>
      <c r="H30" s="327" t="s">
        <v>397</v>
      </c>
      <c r="I30" s="505">
        <f>+I28-I29</f>
        <v>0</v>
      </c>
      <c r="K30" s="1128"/>
      <c r="L30" s="1128"/>
    </row>
    <row r="31" spans="2:21" ht="21" customHeight="1">
      <c r="B31" s="905" t="str">
        <f>"Add: Interest to be Accrued as of "&amp;TEXT('KEY INPUTS'!D30,"mm/dd/yyyy")&amp;""</f>
        <v>Add: Interest to be Accrued as of 12/31/2021</v>
      </c>
      <c r="C31" s="681"/>
      <c r="D31" s="1121"/>
      <c r="E31" s="1121"/>
      <c r="F31" s="1121"/>
      <c r="G31" s="1121"/>
      <c r="H31" s="327" t="s">
        <v>397</v>
      </c>
      <c r="I31" s="592"/>
      <c r="K31" s="1128"/>
      <c r="L31" s="1128"/>
    </row>
    <row r="32" spans="2:21" ht="21" customHeight="1">
      <c r="B32" s="905" t="str">
        <f>"Required Appropriation "&amp;TEXT('KEY INPUTS'!D34+1,"0")</f>
        <v>Required Appropriation 2021</v>
      </c>
      <c r="C32" s="681"/>
      <c r="D32" s="1121"/>
      <c r="E32" s="1121"/>
      <c r="F32" s="1121"/>
      <c r="G32" s="1121"/>
      <c r="H32" s="327"/>
      <c r="I32" s="1147"/>
      <c r="J32" s="1412" t="s">
        <v>397</v>
      </c>
      <c r="K32" s="1985">
        <f>+I30+I31</f>
        <v>0</v>
      </c>
      <c r="L32" s="1986"/>
    </row>
    <row r="33" spans="2:12" ht="13.5" customHeight="1">
      <c r="B33" s="1244"/>
      <c r="C33" s="1244"/>
      <c r="D33" s="1244"/>
      <c r="E33" s="1244"/>
      <c r="F33" s="1244"/>
      <c r="G33" s="1244"/>
      <c r="H33" s="1244"/>
      <c r="I33" s="1244"/>
      <c r="J33" s="1244"/>
      <c r="K33" s="1411"/>
      <c r="L33" s="1252"/>
    </row>
    <row r="34" spans="2:12" ht="13.5" customHeight="1">
      <c r="B34" s="1244"/>
      <c r="C34" s="1244"/>
      <c r="D34" s="1244"/>
      <c r="E34" s="1244"/>
      <c r="F34" s="1244"/>
      <c r="G34" s="1244"/>
      <c r="H34" s="1244"/>
      <c r="I34" s="1244"/>
      <c r="J34" s="1244"/>
      <c r="K34" s="1411"/>
      <c r="L34" s="1252"/>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3225</v>
      </c>
      <c r="C51" s="1850"/>
      <c r="D51" s="1850"/>
      <c r="E51" s="1850"/>
      <c r="F51" s="1850"/>
      <c r="G51" s="1850"/>
      <c r="H51" s="1850"/>
      <c r="I51" s="1850"/>
      <c r="J51" s="1850"/>
      <c r="K51" s="1850"/>
      <c r="L51" s="1850"/>
    </row>
  </sheetData>
  <sheetProtection algorithmName="SHA-512" hashValue="xPyxVAFUIDHrozM9OOTMAGvCVooCe5eXmoPk+zfoxOHRFiJqzyXKGGms3BrXSbcL49jLkDlcGeOh6/adWqUO8A==" saltValue="N4NrR8PVl6YPO33mGDihB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2">
    <tabColor theme="3" tint="0.79998168889431442"/>
  </sheetPr>
  <dimension ref="B2:U51"/>
  <sheetViews>
    <sheetView zoomScaleNormal="100" zoomScaleSheetLayoutView="80" workbookViewId="0"/>
  </sheetViews>
  <sheetFormatPr defaultColWidth="9.109375" defaultRowHeight="13.2"/>
  <cols>
    <col min="1" max="3" width="4.6640625" style="324" customWidth="1"/>
    <col min="4" max="4" width="4.5546875" style="324" customWidth="1"/>
    <col min="5" max="5" width="17.88671875" style="324" customWidth="1"/>
    <col min="6" max="6" width="9.109375" style="324"/>
    <col min="7" max="7" width="16.6640625" style="324" customWidth="1"/>
    <col min="8" max="8" width="1.6640625" style="324" customWidth="1"/>
    <col min="9" max="9" width="15.6640625" style="324" customWidth="1"/>
    <col min="10" max="10" width="1.6640625" style="324" customWidth="1"/>
    <col min="11" max="11" width="8.6640625" style="324" customWidth="1"/>
    <col min="12" max="12" width="7.6640625" style="324" customWidth="1"/>
    <col min="13" max="16384" width="9.109375" style="324"/>
  </cols>
  <sheetData>
    <row r="2" spans="2:21" ht="20.399999999999999">
      <c r="B2" s="1916" t="s">
        <v>510</v>
      </c>
      <c r="C2" s="1916"/>
      <c r="D2" s="1916"/>
      <c r="E2" s="1916"/>
      <c r="F2" s="1916"/>
      <c r="G2" s="1916"/>
      <c r="H2" s="1916"/>
      <c r="I2" s="1916"/>
      <c r="J2" s="1916"/>
      <c r="K2" s="1916"/>
      <c r="L2" s="1916"/>
    </row>
    <row r="3" spans="2:21" ht="20.399999999999999">
      <c r="B3" s="1826" t="str">
        <f>"AND  "&amp;TEXT('KEY INPUTS'!D34+1,"0")&amp;"  DEBT  SERVICE  FOR  LOANS"</f>
        <v>AND  2021  DEBT  SERVICE  FOR  LOANS</v>
      </c>
      <c r="C3" s="1826"/>
      <c r="D3" s="1826"/>
      <c r="E3" s="1826"/>
      <c r="F3" s="1826"/>
      <c r="G3" s="1826"/>
      <c r="H3" s="1826"/>
      <c r="I3" s="1826"/>
      <c r="J3" s="1826"/>
      <c r="K3" s="1826"/>
      <c r="L3" s="1826"/>
    </row>
    <row r="4" spans="2:21" ht="15.6">
      <c r="B4" s="1806" t="str">
        <f>UPPER('KEY INPUTS'!D$57)&amp;"  UTILITY"&amp;" ________________ LOAN"</f>
        <v xml:space="preserve">  UTILITY ________________ LOAN</v>
      </c>
      <c r="C4" s="1806"/>
      <c r="D4" s="1806"/>
      <c r="E4" s="1806"/>
      <c r="F4" s="1806"/>
      <c r="G4" s="1806"/>
      <c r="H4" s="1806"/>
      <c r="I4" s="1806"/>
      <c r="J4" s="1806"/>
      <c r="K4" s="1806"/>
      <c r="L4" s="1806"/>
    </row>
    <row r="5" spans="2:21" ht="9.75" customHeight="1" thickBot="1">
      <c r="B5" s="1369"/>
      <c r="C5" s="1369"/>
      <c r="D5" s="1369"/>
      <c r="E5" s="1369"/>
      <c r="F5" s="1369"/>
      <c r="G5" s="1369"/>
      <c r="H5" s="1369"/>
      <c r="I5" s="1369"/>
      <c r="J5" s="1369"/>
      <c r="K5" s="1369"/>
      <c r="L5" s="1369"/>
    </row>
    <row r="6" spans="2:21" ht="27.75" customHeight="1" thickTop="1" thickBot="1">
      <c r="B6" s="1370"/>
      <c r="C6" s="1370"/>
      <c r="D6" s="1370"/>
      <c r="E6" s="1370"/>
      <c r="F6" s="1370"/>
      <c r="G6" s="1116" t="s">
        <v>101</v>
      </c>
      <c r="H6" s="1981" t="s">
        <v>102</v>
      </c>
      <c r="I6" s="1824"/>
      <c r="J6" s="1979" t="str">
        <f>'KEY INPUTS'!D33&amp;" Debt
Service"</f>
        <v>2021 Debt
Service</v>
      </c>
      <c r="K6" s="1980"/>
      <c r="L6" s="1980"/>
      <c r="O6" s="315"/>
      <c r="P6" s="315"/>
      <c r="Q6" s="315"/>
      <c r="R6" s="315"/>
      <c r="S6" s="315"/>
      <c r="T6" s="315"/>
      <c r="U6" s="315"/>
    </row>
    <row r="7" spans="2:21" ht="21" customHeight="1" thickTop="1">
      <c r="B7" s="1193" t="str">
        <f>'KEY INPUTS'!D27</f>
        <v>Outstanding - January 1, 2020</v>
      </c>
      <c r="C7" s="1140"/>
      <c r="D7" s="1140"/>
      <c r="E7" s="1140"/>
      <c r="F7" s="1140"/>
      <c r="G7" s="1070" t="s">
        <v>662</v>
      </c>
      <c r="H7" s="1724"/>
      <c r="I7" s="1725"/>
      <c r="J7" s="1128"/>
      <c r="K7" s="1128"/>
      <c r="L7" s="1128"/>
      <c r="O7" s="315"/>
      <c r="P7" s="315"/>
      <c r="Q7" s="315"/>
      <c r="R7" s="315"/>
      <c r="S7" s="315"/>
      <c r="T7" s="315"/>
      <c r="U7" s="315"/>
    </row>
    <row r="8" spans="2:21" ht="21" customHeight="1">
      <c r="B8" s="681" t="s">
        <v>97</v>
      </c>
      <c r="C8" s="1121"/>
      <c r="D8" s="1121"/>
      <c r="E8" s="1121"/>
      <c r="F8" s="1121"/>
      <c r="G8" s="963" t="s">
        <v>662</v>
      </c>
      <c r="H8" s="1722"/>
      <c r="I8" s="1723"/>
      <c r="J8" s="1128"/>
      <c r="K8" s="1128"/>
      <c r="L8" s="1128"/>
      <c r="O8" s="370"/>
      <c r="P8" s="315"/>
      <c r="Q8" s="315"/>
      <c r="R8" s="315"/>
      <c r="S8" s="315"/>
      <c r="T8" s="315"/>
      <c r="U8" s="315"/>
    </row>
    <row r="9" spans="2:21" ht="21" customHeight="1">
      <c r="B9" s="681"/>
      <c r="C9" s="1121"/>
      <c r="D9" s="1121"/>
      <c r="E9" s="1121"/>
      <c r="F9" s="1121"/>
      <c r="G9" s="963"/>
      <c r="H9" s="1371"/>
      <c r="I9" s="1372"/>
      <c r="J9" s="1128"/>
      <c r="K9" s="1128"/>
      <c r="L9" s="1128"/>
      <c r="O9" s="315"/>
      <c r="P9" s="315"/>
      <c r="Q9" s="315"/>
      <c r="R9" s="315"/>
      <c r="S9" s="315"/>
      <c r="T9" s="315"/>
      <c r="U9" s="315"/>
    </row>
    <row r="10" spans="2:21" ht="21" customHeight="1">
      <c r="B10" s="681" t="s">
        <v>268</v>
      </c>
      <c r="C10" s="1121"/>
      <c r="D10" s="1121"/>
      <c r="E10" s="1121"/>
      <c r="F10" s="1121"/>
      <c r="G10" s="593"/>
      <c r="H10" s="1743" t="s">
        <v>662</v>
      </c>
      <c r="I10" s="1744"/>
      <c r="J10" s="1128"/>
      <c r="K10" s="1128"/>
      <c r="L10" s="1128"/>
      <c r="O10" s="315"/>
      <c r="P10" s="315"/>
      <c r="Q10" s="315"/>
      <c r="R10" s="315"/>
      <c r="S10" s="315"/>
      <c r="T10" s="315"/>
      <c r="U10" s="315"/>
    </row>
    <row r="11" spans="2:21" ht="21" customHeight="1" thickBot="1">
      <c r="B11" s="681" t="str">
        <f>'KEY INPUTS'!D28</f>
        <v>Outstanding - December 31, 2020</v>
      </c>
      <c r="C11" s="1121"/>
      <c r="D11" s="1121"/>
      <c r="E11" s="1121"/>
      <c r="F11" s="1121"/>
      <c r="G11" s="1071">
        <f>+H7+H8-G10</f>
        <v>0</v>
      </c>
      <c r="H11" s="1737" t="s">
        <v>662</v>
      </c>
      <c r="I11" s="1738"/>
      <c r="J11" s="1128"/>
      <c r="K11" s="1128"/>
      <c r="L11" s="1128"/>
      <c r="O11" s="315"/>
      <c r="P11" s="315"/>
      <c r="Q11" s="315"/>
      <c r="R11" s="315"/>
      <c r="S11" s="315"/>
      <c r="T11" s="315"/>
      <c r="U11" s="315"/>
    </row>
    <row r="12" spans="2:21" ht="21" customHeight="1" thickBot="1">
      <c r="B12" s="1096"/>
      <c r="C12" s="1128"/>
      <c r="D12" s="1128"/>
      <c r="E12" s="1128"/>
      <c r="F12" s="1128"/>
      <c r="G12" s="1065">
        <f>SUM(G7:G11)</f>
        <v>0</v>
      </c>
      <c r="H12" s="1741">
        <f>SUM(H7:I11)</f>
        <v>0</v>
      </c>
      <c r="I12" s="1742"/>
      <c r="J12" s="1128"/>
      <c r="K12" s="1128"/>
      <c r="L12" s="1128"/>
      <c r="O12" s="315"/>
      <c r="P12" s="315"/>
      <c r="Q12" s="315"/>
      <c r="R12" s="315"/>
      <c r="S12" s="315"/>
      <c r="T12" s="315"/>
      <c r="U12" s="315"/>
    </row>
    <row r="13" spans="2:21" ht="21" customHeight="1" thickTop="1">
      <c r="B13" s="1364" t="str">
        <f>TEXT('KEY INPUTS'!D34+1,"0")&amp;" Loan Maturities"</f>
        <v>2021 Loan Maturities</v>
      </c>
      <c r="C13" s="1373"/>
      <c r="D13" s="1373"/>
      <c r="E13" s="1373"/>
      <c r="F13" s="1373"/>
      <c r="G13" s="1373"/>
      <c r="H13" s="1373"/>
      <c r="I13" s="1374"/>
      <c r="J13" s="472" t="s">
        <v>397</v>
      </c>
      <c r="K13" s="1748"/>
      <c r="L13" s="1748"/>
      <c r="O13" s="315"/>
      <c r="P13" s="315"/>
      <c r="Q13" s="315"/>
      <c r="R13" s="315"/>
      <c r="S13" s="315"/>
      <c r="T13" s="315"/>
      <c r="U13" s="315"/>
    </row>
    <row r="14" spans="2:21" ht="21" customHeight="1" thickBot="1">
      <c r="B14" s="1365" t="str">
        <f>TEXT('KEY INPUTS'!D34+1,"0")&amp;" Interest on Loans"</f>
        <v>2021 Interest on Loans</v>
      </c>
      <c r="C14" s="1144"/>
      <c r="D14" s="1144"/>
      <c r="E14" s="1144"/>
      <c r="F14" s="1144"/>
      <c r="G14" s="1357"/>
      <c r="H14" s="406" t="s">
        <v>397</v>
      </c>
      <c r="I14" s="665"/>
      <c r="K14" s="1128"/>
      <c r="L14" s="1128"/>
      <c r="O14" s="315"/>
      <c r="P14" s="315"/>
      <c r="Q14" s="315"/>
      <c r="R14" s="315"/>
      <c r="S14" s="315"/>
      <c r="T14" s="315"/>
      <c r="U14" s="315"/>
    </row>
    <row r="15" spans="2:21" ht="16.5" customHeight="1" thickTop="1">
      <c r="B15" s="2000"/>
      <c r="C15" s="2000"/>
      <c r="D15" s="2000"/>
      <c r="E15" s="2000"/>
      <c r="F15" s="2000"/>
      <c r="G15" s="2000"/>
      <c r="H15" s="2000"/>
      <c r="I15" s="2001"/>
      <c r="K15" s="1128"/>
      <c r="L15" s="1128"/>
      <c r="O15" s="315"/>
      <c r="P15" s="315"/>
      <c r="Q15" s="315"/>
      <c r="R15" s="315"/>
      <c r="S15" s="315"/>
      <c r="T15" s="315"/>
      <c r="U15" s="315"/>
    </row>
    <row r="16" spans="2:21" ht="26.25" customHeight="1" thickBot="1">
      <c r="B16" s="1976" t="str">
        <f>UPPER('KEY INPUTS'!D$57)&amp;"  UTILITY"&amp;" ________________ LOAN"</f>
        <v xml:space="preserve">  UTILITY ________________ LOAN</v>
      </c>
      <c r="C16" s="1976"/>
      <c r="D16" s="1976"/>
      <c r="E16" s="1976"/>
      <c r="F16" s="1976"/>
      <c r="G16" s="1976"/>
      <c r="H16" s="1976"/>
      <c r="I16" s="1977"/>
      <c r="K16" s="1128"/>
      <c r="L16" s="1128"/>
      <c r="O16" s="315"/>
      <c r="P16" s="315"/>
      <c r="Q16" s="315"/>
      <c r="R16" s="315"/>
      <c r="S16" s="315"/>
      <c r="T16" s="315"/>
      <c r="U16" s="315"/>
    </row>
    <row r="17" spans="2:21" ht="21" customHeight="1" thickTop="1">
      <c r="B17" s="1193" t="str">
        <f>'KEY INPUTS'!D27</f>
        <v>Outstanding - January 1, 2020</v>
      </c>
      <c r="C17" s="1140"/>
      <c r="D17" s="1140"/>
      <c r="E17" s="1140"/>
      <c r="F17" s="1140"/>
      <c r="G17" s="1070" t="s">
        <v>662</v>
      </c>
      <c r="H17" s="1724"/>
      <c r="I17" s="1725"/>
      <c r="K17" s="1128"/>
      <c r="L17" s="1128"/>
      <c r="O17" s="315"/>
      <c r="P17" s="315"/>
      <c r="Q17" s="315"/>
      <c r="R17" s="315"/>
      <c r="S17" s="315"/>
      <c r="T17" s="315"/>
      <c r="U17" s="315"/>
    </row>
    <row r="18" spans="2:21" ht="21" customHeight="1">
      <c r="B18" s="681" t="s">
        <v>97</v>
      </c>
      <c r="C18" s="1121"/>
      <c r="D18" s="1121"/>
      <c r="E18" s="1121"/>
      <c r="F18" s="1121"/>
      <c r="G18" s="963" t="s">
        <v>662</v>
      </c>
      <c r="H18" s="1722"/>
      <c r="I18" s="1723"/>
      <c r="K18" s="1128"/>
      <c r="L18" s="1128"/>
      <c r="O18" s="315"/>
      <c r="P18" s="315"/>
      <c r="Q18" s="315"/>
      <c r="R18" s="315"/>
      <c r="S18" s="315"/>
      <c r="T18" s="315"/>
      <c r="U18" s="315"/>
    </row>
    <row r="19" spans="2:21" ht="21" customHeight="1">
      <c r="B19" s="681" t="s">
        <v>268</v>
      </c>
      <c r="C19" s="1121"/>
      <c r="D19" s="1121"/>
      <c r="E19" s="1121"/>
      <c r="F19" s="1121"/>
      <c r="G19" s="593"/>
      <c r="H19" s="1743" t="s">
        <v>662</v>
      </c>
      <c r="I19" s="1744"/>
      <c r="K19" s="1128"/>
      <c r="L19" s="1128"/>
      <c r="O19" s="315"/>
      <c r="P19" s="315"/>
      <c r="Q19" s="315"/>
      <c r="R19" s="315"/>
      <c r="S19" s="315"/>
      <c r="T19" s="315"/>
      <c r="U19" s="315"/>
    </row>
    <row r="20" spans="2:21" ht="21" customHeight="1">
      <c r="B20" s="681"/>
      <c r="C20" s="1121"/>
      <c r="D20" s="1121"/>
      <c r="E20" s="1121"/>
      <c r="F20" s="1121"/>
      <c r="G20" s="1087"/>
      <c r="H20" s="1745"/>
      <c r="I20" s="1746"/>
      <c r="K20" s="1128"/>
      <c r="L20" s="1128"/>
      <c r="O20" s="315"/>
      <c r="P20" s="315"/>
      <c r="Q20" s="315"/>
      <c r="R20" s="315"/>
      <c r="S20" s="315"/>
      <c r="T20" s="315"/>
      <c r="U20" s="315"/>
    </row>
    <row r="21" spans="2:21" ht="21" customHeight="1">
      <c r="B21" s="681"/>
      <c r="C21" s="1121"/>
      <c r="D21" s="1121"/>
      <c r="E21" s="1121"/>
      <c r="F21" s="1121"/>
      <c r="G21" s="1087"/>
      <c r="H21" s="1745"/>
      <c r="I21" s="1746"/>
      <c r="K21" s="1128"/>
      <c r="L21" s="1128"/>
      <c r="O21" s="315"/>
      <c r="P21" s="315"/>
      <c r="Q21" s="315"/>
      <c r="R21" s="315"/>
      <c r="S21" s="315"/>
      <c r="T21" s="315"/>
      <c r="U21" s="315"/>
    </row>
    <row r="22" spans="2:21" ht="21" customHeight="1" thickBot="1">
      <c r="B22" s="681" t="str">
        <f>'KEY INPUTS'!D28</f>
        <v>Outstanding - December 31, 2020</v>
      </c>
      <c r="C22" s="1121"/>
      <c r="D22" s="1121"/>
      <c r="E22" s="1121"/>
      <c r="F22" s="1121"/>
      <c r="G22" s="1071">
        <f>+H17+H18-G19-G20-G21+H20+H21</f>
        <v>0</v>
      </c>
      <c r="H22" s="1737" t="s">
        <v>662</v>
      </c>
      <c r="I22" s="1738"/>
      <c r="K22" s="1128"/>
      <c r="L22" s="1128"/>
      <c r="O22" s="315"/>
      <c r="P22" s="315"/>
      <c r="Q22" s="315"/>
      <c r="R22" s="315"/>
      <c r="S22" s="315"/>
      <c r="T22" s="315"/>
      <c r="U22" s="315"/>
    </row>
    <row r="23" spans="2:21" ht="21" customHeight="1" thickBot="1">
      <c r="B23" s="1096"/>
      <c r="C23" s="1128"/>
      <c r="D23" s="1128"/>
      <c r="E23" s="1128"/>
      <c r="F23" s="1128"/>
      <c r="G23" s="1065">
        <f>SUM(G17:G22)</f>
        <v>0</v>
      </c>
      <c r="H23" s="1741">
        <f>SUM(H17:I22)</f>
        <v>0</v>
      </c>
      <c r="I23" s="1742"/>
      <c r="K23" s="1128"/>
      <c r="L23" s="1128"/>
    </row>
    <row r="24" spans="2:21" ht="21" customHeight="1" thickTop="1">
      <c r="B24" s="1364" t="str">
        <f>TEXT('KEY INPUTS'!D34+1,"0")&amp;" Loan Maturities"</f>
        <v>2021 Loan Maturities</v>
      </c>
      <c r="C24" s="1373"/>
      <c r="D24" s="1373"/>
      <c r="E24" s="1373"/>
      <c r="F24" s="1373"/>
      <c r="G24" s="1373"/>
      <c r="H24" s="1373"/>
      <c r="I24" s="1374"/>
      <c r="J24" s="472" t="s">
        <v>397</v>
      </c>
      <c r="K24" s="1748"/>
      <c r="L24" s="1748"/>
    </row>
    <row r="25" spans="2:21" ht="21" customHeight="1" thickBot="1">
      <c r="B25" s="1365" t="str">
        <f>TEXT('KEY INPUTS'!D34+1,"0")&amp;" Interest on Loans"</f>
        <v>2021 Interest on Loans</v>
      </c>
      <c r="C25" s="1144"/>
      <c r="D25" s="1144"/>
      <c r="E25" s="1144"/>
      <c r="F25" s="1144"/>
      <c r="G25" s="1357"/>
      <c r="H25" s="406" t="s">
        <v>397</v>
      </c>
      <c r="I25" s="600"/>
      <c r="J25" s="498"/>
      <c r="K25" s="1144"/>
      <c r="L25" s="1144"/>
    </row>
    <row r="26" spans="2:21" ht="21" customHeight="1" thickTop="1">
      <c r="B26" s="1128"/>
      <c r="C26" s="1128"/>
      <c r="D26" s="1128"/>
      <c r="E26" s="1128"/>
      <c r="F26" s="1128"/>
      <c r="G26" s="1128"/>
      <c r="H26" s="1128"/>
      <c r="I26" s="1128"/>
      <c r="J26" s="1128"/>
      <c r="K26" s="1128"/>
      <c r="L26" s="1128"/>
    </row>
    <row r="27" spans="2:21" ht="19.5" customHeight="1" thickBot="1">
      <c r="B27" s="1976" t="str">
        <f>"INTEREST  ON  LOANS  - "&amp;UPPER('KEY INPUTS'!D57)&amp;"  UTILITY  BUDGET"</f>
        <v>INTEREST  ON  LOANS  -   UTILITY  BUDGET</v>
      </c>
      <c r="C27" s="1976"/>
      <c r="D27" s="1976"/>
      <c r="E27" s="1976"/>
      <c r="F27" s="1976"/>
      <c r="G27" s="1976"/>
      <c r="H27" s="1976"/>
      <c r="I27" s="1976"/>
      <c r="J27" s="1976"/>
      <c r="K27" s="1976"/>
      <c r="L27" s="1976"/>
    </row>
    <row r="28" spans="2:21" ht="21" customHeight="1" thickTop="1">
      <c r="B28" s="1376" t="str">
        <f>TEXT('KEY INPUTS'!D34+1,"0")&amp;" Interest on Loans (*Items)"</f>
        <v>2021 Interest on Loans (*Items)</v>
      </c>
      <c r="C28" s="1152"/>
      <c r="D28" s="1140"/>
      <c r="E28" s="1140"/>
      <c r="F28" s="1140"/>
      <c r="G28" s="1140"/>
      <c r="H28" s="408" t="s">
        <v>397</v>
      </c>
      <c r="I28" s="1375">
        <f>+I25+I14</f>
        <v>0</v>
      </c>
      <c r="K28" s="1128"/>
      <c r="L28" s="1128"/>
    </row>
    <row r="29" spans="2:21" ht="21" customHeight="1">
      <c r="B29" s="905" t="str">
        <f>"Less: Interest Accrued to "&amp;TEXT('KEY INPUTS'!D29,"mm/dd/yyy")&amp;" (Trial Balance)"</f>
        <v>Less: Interest Accrued to 12/31/2020 (Trial Balance)</v>
      </c>
      <c r="C29" s="681"/>
      <c r="D29" s="1121"/>
      <c r="E29" s="1121"/>
      <c r="F29" s="1121"/>
      <c r="G29" s="1121"/>
      <c r="H29" s="327" t="s">
        <v>397</v>
      </c>
      <c r="I29" s="592"/>
      <c r="K29" s="1128"/>
      <c r="L29" s="1128"/>
    </row>
    <row r="30" spans="2:21" ht="21" customHeight="1">
      <c r="B30" s="681"/>
      <c r="C30" s="681" t="s">
        <v>337</v>
      </c>
      <c r="D30" s="1121"/>
      <c r="E30" s="1121"/>
      <c r="F30" s="1121"/>
      <c r="G30" s="1121"/>
      <c r="H30" s="327" t="s">
        <v>397</v>
      </c>
      <c r="I30" s="1377">
        <f>+I28-I29</f>
        <v>0</v>
      </c>
      <c r="K30" s="1128"/>
      <c r="L30" s="1128"/>
    </row>
    <row r="31" spans="2:21" ht="21" customHeight="1">
      <c r="B31" s="905" t="str">
        <f>"Add: Interest to be Accrued as of "&amp;TEXT('KEY INPUTS'!D30,"mm/dd/yyyy")&amp;""</f>
        <v>Add: Interest to be Accrued as of 12/31/2021</v>
      </c>
      <c r="C31" s="681"/>
      <c r="D31" s="1121"/>
      <c r="E31" s="1121"/>
      <c r="F31" s="1121"/>
      <c r="G31" s="1121"/>
      <c r="H31" s="327" t="s">
        <v>397</v>
      </c>
      <c r="I31" s="592"/>
      <c r="K31" s="1128"/>
      <c r="L31" s="1128"/>
    </row>
    <row r="32" spans="2:21" ht="21" customHeight="1">
      <c r="B32" s="905" t="str">
        <f>"Required Appropriation "&amp;TEXT('KEY INPUTS'!D34+1,"0")</f>
        <v>Required Appropriation 2021</v>
      </c>
      <c r="C32" s="681"/>
      <c r="D32" s="1121"/>
      <c r="E32" s="1121"/>
      <c r="F32" s="1121"/>
      <c r="G32" s="1121"/>
      <c r="H32" s="1121"/>
      <c r="I32" s="1147"/>
      <c r="J32" s="499" t="s">
        <v>397</v>
      </c>
      <c r="K32" s="1985">
        <f>+I30+I31</f>
        <v>0</v>
      </c>
      <c r="L32" s="1986"/>
    </row>
    <row r="33" spans="2:12" ht="13.5" customHeight="1">
      <c r="B33" s="1244"/>
      <c r="C33" s="1244"/>
      <c r="D33" s="1244"/>
      <c r="E33" s="1244"/>
      <c r="F33" s="1244"/>
      <c r="G33" s="1244"/>
      <c r="H33" s="1244"/>
      <c r="I33" s="1244"/>
      <c r="J33" s="1244"/>
      <c r="K33" s="1411"/>
      <c r="L33" s="1252"/>
    </row>
    <row r="34" spans="2:12" ht="13.5" customHeight="1">
      <c r="B34" s="1244"/>
      <c r="C34" s="1244"/>
      <c r="D34" s="1244"/>
      <c r="E34" s="1244"/>
      <c r="F34" s="1244"/>
      <c r="G34" s="1244"/>
      <c r="H34" s="1244"/>
      <c r="I34" s="1244"/>
      <c r="J34" s="1244"/>
      <c r="K34" s="1411"/>
      <c r="L34" s="1252"/>
    </row>
    <row r="35" spans="2:12" ht="21" customHeight="1" thickBot="1">
      <c r="B35" s="1984" t="str">
        <f>"LIST  OF  LOANS  ISSUED  DURING  "&amp;TEXT('KEY INPUTS'!D34,"0")&amp;""</f>
        <v>LIST  OF  LOANS  ISSUED  DURING  2020</v>
      </c>
      <c r="C35" s="1984"/>
      <c r="D35" s="1984"/>
      <c r="E35" s="1984"/>
      <c r="F35" s="1984"/>
      <c r="G35" s="1984"/>
      <c r="H35" s="1984"/>
      <c r="I35" s="1984"/>
      <c r="J35" s="1984"/>
      <c r="K35" s="1984"/>
      <c r="L35" s="1984"/>
    </row>
    <row r="36" spans="2:12" ht="27" customHeight="1" thickTop="1" thickBot="1">
      <c r="B36" s="1823" t="s">
        <v>440</v>
      </c>
      <c r="C36" s="1823"/>
      <c r="D36" s="1823"/>
      <c r="E36" s="1823"/>
      <c r="F36" s="1823"/>
      <c r="G36" s="1379" t="str">
        <f>TEXT('KEY INPUTS'!D33,"0")&amp;" Maturity"</f>
        <v>2021 Maturity</v>
      </c>
      <c r="H36" s="1981" t="s">
        <v>96</v>
      </c>
      <c r="I36" s="1824"/>
      <c r="J36" s="1982" t="s">
        <v>94</v>
      </c>
      <c r="K36" s="1983"/>
      <c r="L36" s="1380" t="s">
        <v>95</v>
      </c>
    </row>
    <row r="37" spans="2:12" ht="21" customHeight="1" thickTop="1">
      <c r="B37" s="664"/>
      <c r="C37" s="664"/>
      <c r="D37" s="664"/>
      <c r="E37" s="664"/>
      <c r="F37" s="664"/>
      <c r="G37" s="597"/>
      <c r="H37" s="1724"/>
      <c r="I37" s="1725"/>
      <c r="J37" s="1897"/>
      <c r="K37" s="1883"/>
      <c r="L37" s="906"/>
    </row>
    <row r="38" spans="2:12" ht="21" customHeight="1">
      <c r="B38" s="639"/>
      <c r="C38" s="639"/>
      <c r="D38" s="639"/>
      <c r="E38" s="639"/>
      <c r="F38" s="639"/>
      <c r="G38" s="593"/>
      <c r="H38" s="1722"/>
      <c r="I38" s="1723"/>
      <c r="J38" s="1862"/>
      <c r="K38" s="1863"/>
      <c r="L38" s="907"/>
    </row>
    <row r="39" spans="2:12" ht="21" customHeight="1">
      <c r="B39" s="639"/>
      <c r="C39" s="639"/>
      <c r="D39" s="639"/>
      <c r="E39" s="639"/>
      <c r="F39" s="639"/>
      <c r="G39" s="593"/>
      <c r="H39" s="1722"/>
      <c r="I39" s="1723"/>
      <c r="J39" s="1862"/>
      <c r="K39" s="1863"/>
      <c r="L39" s="907"/>
    </row>
    <row r="40" spans="2:12" ht="21" customHeight="1">
      <c r="B40" s="639"/>
      <c r="C40" s="639"/>
      <c r="D40" s="639"/>
      <c r="E40" s="639"/>
      <c r="F40" s="639"/>
      <c r="G40" s="593"/>
      <c r="H40" s="1722"/>
      <c r="I40" s="1723"/>
      <c r="J40" s="1862"/>
      <c r="K40" s="1863"/>
      <c r="L40" s="907"/>
    </row>
    <row r="41" spans="2:12" ht="21" customHeight="1" thickBot="1">
      <c r="B41" s="1144"/>
      <c r="C41" s="1144"/>
      <c r="D41" s="1144"/>
      <c r="E41" s="1144"/>
      <c r="F41" s="1145"/>
      <c r="G41" s="1065">
        <f>SUM(G37:G40)</f>
        <v>0</v>
      </c>
      <c r="H41" s="1720">
        <f>SUM(H37:I40)</f>
        <v>0</v>
      </c>
      <c r="I41" s="1721"/>
      <c r="J41" s="1378"/>
      <c r="K41" s="1144"/>
      <c r="L41" s="1138"/>
    </row>
    <row r="42" spans="2:12" ht="13.8" thickTop="1">
      <c r="G42" s="497"/>
      <c r="H42" s="497"/>
      <c r="I42" s="497"/>
    </row>
    <row r="51" spans="2:12" ht="13.8">
      <c r="B51" s="1850" t="s">
        <v>3419</v>
      </c>
      <c r="C51" s="1850"/>
      <c r="D51" s="1850"/>
      <c r="E51" s="1850"/>
      <c r="F51" s="1850"/>
      <c r="G51" s="1850"/>
      <c r="H51" s="1850"/>
      <c r="I51" s="1850"/>
      <c r="J51" s="1850"/>
      <c r="K51" s="1850"/>
      <c r="L51" s="1850"/>
    </row>
  </sheetData>
  <sheetProtection algorithmName="SHA-512" hashValue="c2xA/RxtChcRkh0Y6AfWM4pR8rWvfX9sS6sZRbfQj0Idmge2MENA2qNdZZjFBaZ35rWG44YDB/BfylGZDv0iMg==" saltValue="D9A5N9ZIjVex2w1fJ0tWH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9">
    <tabColor theme="3" tint="0.79998168889431442"/>
  </sheetPr>
  <dimension ref="A2:V30"/>
  <sheetViews>
    <sheetView zoomScaleNormal="100" zoomScaleSheetLayoutView="80" workbookViewId="0"/>
  </sheetViews>
  <sheetFormatPr defaultColWidth="8.88671875" defaultRowHeight="13.2"/>
  <cols>
    <col min="1" max="1" width="5.6640625" style="324" customWidth="1"/>
    <col min="2" max="3" width="4.88671875" style="324" customWidth="1"/>
    <col min="4" max="4" width="30.44140625" style="324" customWidth="1"/>
    <col min="5" max="11" width="15.6640625" style="324" customWidth="1"/>
    <col min="12" max="12" width="1.6640625" style="324" customWidth="1"/>
    <col min="13" max="13" width="12.6640625" style="324" customWidth="1"/>
    <col min="14" max="16384" width="8.88671875" style="324"/>
  </cols>
  <sheetData>
    <row r="2" spans="1:22" ht="20.399999999999999">
      <c r="B2" s="1854" t="str">
        <f>"DEBT  SERVICE  FOR  "&amp;UPPER('KEY INPUTS'!D53)&amp;"  UTILITY  NOTES  (OTHER  THAN  UTILITY  ASSESSMENT  NOTES)"</f>
        <v>DEBT  SERVICE  FOR    UTILITY  NOTES  (OTHER  THAN  UTILITY  ASSESSMENT  NOTES)</v>
      </c>
      <c r="C2" s="1854"/>
      <c r="D2" s="1854"/>
      <c r="E2" s="1854"/>
      <c r="F2" s="1854"/>
      <c r="G2" s="1854"/>
      <c r="H2" s="1854"/>
      <c r="I2" s="1854"/>
      <c r="J2" s="1854"/>
      <c r="K2" s="1854"/>
      <c r="L2" s="1854"/>
      <c r="M2" s="1854"/>
    </row>
    <row r="3" spans="1:22" ht="21" thickBot="1">
      <c r="B3" s="1854"/>
      <c r="C3" s="1854"/>
      <c r="D3" s="1854"/>
      <c r="E3" s="1854"/>
      <c r="F3" s="1854"/>
      <c r="G3" s="1854"/>
      <c r="H3" s="1854"/>
      <c r="I3" s="1854"/>
      <c r="J3" s="1854"/>
      <c r="K3" s="1854"/>
      <c r="L3" s="1854"/>
      <c r="M3" s="1854"/>
    </row>
    <row r="4" spans="1:22" ht="13.5" customHeight="1" thickTop="1">
      <c r="B4" s="418"/>
      <c r="C4" s="418"/>
      <c r="D4" s="418"/>
      <c r="E4" s="419"/>
      <c r="F4" s="419"/>
      <c r="G4" s="419"/>
      <c r="H4" s="419"/>
      <c r="I4" s="419"/>
      <c r="J4" s="418"/>
      <c r="K4" s="1473"/>
      <c r="L4" s="418"/>
      <c r="M4" s="1474"/>
    </row>
    <row r="5" spans="1:22" ht="13.5" customHeight="1">
      <c r="E5" s="415" t="s">
        <v>144</v>
      </c>
      <c r="F5" s="414" t="s">
        <v>144</v>
      </c>
      <c r="G5" s="414" t="s">
        <v>441</v>
      </c>
      <c r="H5" s="414" t="s">
        <v>18</v>
      </c>
      <c r="I5" s="414" t="s">
        <v>572</v>
      </c>
      <c r="J5" s="1898">
        <f>'KEY INPUTS'!D33</f>
        <v>2021</v>
      </c>
      <c r="K5" s="1899"/>
      <c r="L5" s="1475"/>
      <c r="M5" s="1476" t="s">
        <v>573</v>
      </c>
    </row>
    <row r="6" spans="1:22" ht="13.5" customHeight="1">
      <c r="C6" s="1902" t="s">
        <v>143</v>
      </c>
      <c r="D6" s="1903"/>
      <c r="E6" s="415" t="s">
        <v>441</v>
      </c>
      <c r="F6" s="414" t="s">
        <v>145</v>
      </c>
      <c r="G6" s="414" t="s">
        <v>569</v>
      </c>
      <c r="H6" s="414" t="s">
        <v>570</v>
      </c>
      <c r="I6" s="414" t="s">
        <v>570</v>
      </c>
      <c r="J6" s="1900"/>
      <c r="K6" s="1901"/>
      <c r="L6" s="1477"/>
      <c r="M6" s="1476" t="s">
        <v>576</v>
      </c>
    </row>
    <row r="7" spans="1:22" ht="13.5" customHeight="1">
      <c r="E7" s="415" t="s">
        <v>97</v>
      </c>
      <c r="F7" s="415" t="s">
        <v>146</v>
      </c>
      <c r="G7" s="415" t="s">
        <v>206</v>
      </c>
      <c r="H7" s="415" t="s">
        <v>571</v>
      </c>
      <c r="I7" s="415" t="s">
        <v>573</v>
      </c>
      <c r="J7" s="415" t="s">
        <v>118</v>
      </c>
      <c r="K7" s="415" t="s">
        <v>574</v>
      </c>
      <c r="L7" s="414"/>
      <c r="M7" s="1476" t="s">
        <v>577</v>
      </c>
    </row>
    <row r="8" spans="1:22" ht="13.5" customHeight="1" thickBot="1">
      <c r="B8" s="413"/>
      <c r="C8" s="413"/>
      <c r="D8" s="413"/>
      <c r="E8" s="411"/>
      <c r="F8" s="411"/>
      <c r="G8" s="787" t="str">
        <f>'KEY INPUTS'!D46</f>
        <v>Dec. 31, 2020</v>
      </c>
      <c r="H8" s="411"/>
      <c r="I8" s="411"/>
      <c r="J8" s="412"/>
      <c r="K8" s="539"/>
      <c r="L8" s="1478"/>
      <c r="M8" s="1479"/>
      <c r="P8" s="315"/>
      <c r="Q8" s="315"/>
      <c r="R8" s="315"/>
      <c r="S8" s="315"/>
      <c r="T8" s="315"/>
      <c r="U8" s="315"/>
      <c r="V8" s="315"/>
    </row>
    <row r="9" spans="1:22" ht="21" customHeight="1" thickTop="1">
      <c r="B9" s="1480" t="s">
        <v>308</v>
      </c>
      <c r="C9" s="664"/>
      <c r="D9" s="667"/>
      <c r="E9" s="597"/>
      <c r="F9" s="1481"/>
      <c r="G9" s="597"/>
      <c r="H9" s="1482"/>
      <c r="I9" s="789"/>
      <c r="J9" s="597"/>
      <c r="K9" s="597">
        <f>+I9*G9</f>
        <v>0</v>
      </c>
      <c r="L9" s="1483"/>
      <c r="M9" s="1484"/>
      <c r="P9" s="315"/>
      <c r="Q9" s="315"/>
      <c r="R9" s="315"/>
      <c r="S9" s="315"/>
      <c r="T9" s="315"/>
      <c r="U9" s="315"/>
      <c r="V9" s="315"/>
    </row>
    <row r="10" spans="1:22" ht="21" customHeight="1">
      <c r="B10" s="1485" t="s">
        <v>309</v>
      </c>
      <c r="C10" s="1486"/>
      <c r="D10" s="643"/>
      <c r="E10" s="593"/>
      <c r="F10" s="1487"/>
      <c r="G10" s="593"/>
      <c r="H10" s="1488"/>
      <c r="I10" s="615"/>
      <c r="J10" s="1489"/>
      <c r="K10" s="593">
        <f>+I10*G10</f>
        <v>0</v>
      </c>
      <c r="L10" s="623"/>
      <c r="M10" s="1490"/>
      <c r="N10" s="324" t="s">
        <v>3190</v>
      </c>
      <c r="O10" s="324" t="s">
        <v>3190</v>
      </c>
      <c r="P10" s="370"/>
      <c r="Q10" s="315"/>
      <c r="R10" s="315"/>
      <c r="S10" s="315"/>
      <c r="T10" s="315"/>
      <c r="U10" s="315"/>
      <c r="V10" s="315"/>
    </row>
    <row r="11" spans="1:22" ht="21" customHeight="1">
      <c r="B11" s="1485" t="s">
        <v>310</v>
      </c>
      <c r="C11" s="639"/>
      <c r="D11" s="643"/>
      <c r="E11" s="593"/>
      <c r="F11" s="676"/>
      <c r="G11" s="593"/>
      <c r="H11" s="593"/>
      <c r="I11" s="615"/>
      <c r="J11" s="593"/>
      <c r="K11" s="593"/>
      <c r="L11" s="623"/>
      <c r="M11" s="675"/>
      <c r="P11" s="315"/>
      <c r="Q11" s="315"/>
      <c r="R11" s="315"/>
      <c r="S11" s="315"/>
      <c r="T11" s="315"/>
      <c r="U11" s="315"/>
      <c r="V11" s="315"/>
    </row>
    <row r="12" spans="1:22" ht="21" customHeight="1">
      <c r="B12" s="1485" t="s">
        <v>311</v>
      </c>
      <c r="C12" s="639"/>
      <c r="D12" s="643"/>
      <c r="E12" s="593"/>
      <c r="F12" s="676"/>
      <c r="G12" s="593"/>
      <c r="H12" s="593"/>
      <c r="I12" s="615"/>
      <c r="J12" s="593"/>
      <c r="K12" s="593"/>
      <c r="L12" s="623"/>
      <c r="M12" s="675"/>
      <c r="P12" s="315"/>
      <c r="Q12" s="315"/>
      <c r="R12" s="315"/>
      <c r="S12" s="315"/>
      <c r="T12" s="315"/>
      <c r="U12" s="315"/>
      <c r="V12" s="315"/>
    </row>
    <row r="13" spans="1:22" ht="21" customHeight="1">
      <c r="B13" s="1485" t="s">
        <v>312</v>
      </c>
      <c r="C13" s="639"/>
      <c r="D13" s="643"/>
      <c r="E13" s="593"/>
      <c r="F13" s="676"/>
      <c r="G13" s="593"/>
      <c r="H13" s="593"/>
      <c r="I13" s="615"/>
      <c r="J13" s="593"/>
      <c r="K13" s="593"/>
      <c r="L13" s="623"/>
      <c r="M13" s="675"/>
      <c r="P13" s="315"/>
      <c r="Q13" s="315"/>
      <c r="R13" s="315"/>
      <c r="S13" s="315"/>
      <c r="T13" s="315"/>
      <c r="U13" s="315"/>
      <c r="V13" s="315"/>
    </row>
    <row r="14" spans="1:22" ht="21" customHeight="1">
      <c r="B14" s="1485" t="s">
        <v>313</v>
      </c>
      <c r="C14" s="639"/>
      <c r="D14" s="643"/>
      <c r="E14" s="596"/>
      <c r="F14" s="677"/>
      <c r="G14" s="596"/>
      <c r="H14" s="596"/>
      <c r="I14" s="618"/>
      <c r="J14" s="593"/>
      <c r="K14" s="593"/>
      <c r="L14" s="623"/>
      <c r="M14" s="675"/>
      <c r="P14" s="315"/>
      <c r="Q14" s="315"/>
      <c r="R14" s="315"/>
      <c r="S14" s="315"/>
      <c r="T14" s="315"/>
      <c r="U14" s="315"/>
      <c r="V14" s="315"/>
    </row>
    <row r="15" spans="1:22" ht="21" customHeight="1">
      <c r="A15" s="1830" t="s">
        <v>3226</v>
      </c>
      <c r="B15" s="1485" t="s">
        <v>314</v>
      </c>
      <c r="C15" s="678"/>
      <c r="D15" s="679"/>
      <c r="E15" s="593"/>
      <c r="F15" s="676"/>
      <c r="G15" s="593"/>
      <c r="H15" s="593"/>
      <c r="I15" s="615"/>
      <c r="J15" s="593"/>
      <c r="K15" s="593"/>
      <c r="L15" s="623"/>
      <c r="M15" s="675"/>
      <c r="P15" s="315"/>
      <c r="Q15" s="315"/>
      <c r="R15" s="315"/>
      <c r="S15" s="315"/>
      <c r="T15" s="315"/>
      <c r="U15" s="315"/>
      <c r="V15" s="315"/>
    </row>
    <row r="16" spans="1:22" ht="21" customHeight="1">
      <c r="A16" s="1830"/>
      <c r="B16" s="1485" t="s">
        <v>409</v>
      </c>
      <c r="C16" s="639"/>
      <c r="D16" s="643"/>
      <c r="E16" s="593"/>
      <c r="F16" s="676"/>
      <c r="G16" s="593"/>
      <c r="H16" s="593"/>
      <c r="I16" s="615"/>
      <c r="J16" s="593"/>
      <c r="K16" s="593"/>
      <c r="L16" s="623"/>
      <c r="M16" s="675"/>
      <c r="P16" s="315"/>
      <c r="Q16" s="315"/>
      <c r="R16" s="315"/>
      <c r="S16" s="315"/>
      <c r="T16" s="315"/>
      <c r="U16" s="315"/>
      <c r="V16" s="315"/>
    </row>
    <row r="17" spans="1:22" ht="21" customHeight="1">
      <c r="A17" s="1830"/>
      <c r="B17" s="1485" t="s">
        <v>410</v>
      </c>
      <c r="C17" s="639"/>
      <c r="D17" s="643"/>
      <c r="E17" s="593"/>
      <c r="F17" s="676"/>
      <c r="G17" s="593"/>
      <c r="H17" s="593"/>
      <c r="I17" s="615"/>
      <c r="J17" s="593"/>
      <c r="K17" s="593"/>
      <c r="L17" s="623"/>
      <c r="M17" s="675"/>
      <c r="P17" s="315"/>
      <c r="Q17" s="315"/>
      <c r="R17" s="315"/>
      <c r="S17" s="315"/>
      <c r="T17" s="315"/>
      <c r="U17" s="315"/>
      <c r="V17" s="315"/>
    </row>
    <row r="18" spans="1:22" ht="21" customHeight="1">
      <c r="A18" s="538"/>
      <c r="B18" s="1491" t="s">
        <v>834</v>
      </c>
      <c r="C18" s="327"/>
      <c r="D18" s="407"/>
      <c r="E18" s="118">
        <f>SUM(E9:E17)</f>
        <v>0</v>
      </c>
      <c r="F18" s="1492"/>
      <c r="G18" s="118">
        <f>SUM(G9:G17)</f>
        <v>0</v>
      </c>
      <c r="H18" s="118"/>
      <c r="I18" s="1493"/>
      <c r="J18" s="118">
        <f>SUM(J9:J17)</f>
        <v>0</v>
      </c>
      <c r="K18" s="118">
        <f>SUM(K9:K17)</f>
        <v>0</v>
      </c>
      <c r="L18" s="1494"/>
      <c r="M18" s="1495"/>
      <c r="P18" s="315"/>
      <c r="Q18" s="315"/>
      <c r="R18" s="315"/>
      <c r="S18" s="315"/>
      <c r="T18" s="315"/>
      <c r="U18" s="315"/>
      <c r="V18" s="315"/>
    </row>
    <row r="19" spans="1:22" ht="21" customHeight="1">
      <c r="A19" s="538"/>
      <c r="B19" s="474"/>
      <c r="E19" s="189"/>
      <c r="G19" s="189"/>
      <c r="H19" s="189"/>
      <c r="I19" s="1496"/>
      <c r="J19" s="189"/>
      <c r="K19" s="189"/>
      <c r="L19" s="189"/>
      <c r="P19" s="315"/>
      <c r="Q19" s="315"/>
      <c r="R19" s="315"/>
      <c r="S19" s="315"/>
      <c r="T19" s="315"/>
      <c r="U19" s="315"/>
      <c r="V19" s="315"/>
    </row>
    <row r="20" spans="1:22" ht="21" customHeight="1">
      <c r="A20" s="538"/>
      <c r="B20" s="474"/>
      <c r="E20" s="189"/>
      <c r="G20" s="189"/>
      <c r="H20" s="189"/>
      <c r="I20" s="1496"/>
      <c r="J20" s="189"/>
      <c r="K20" s="189"/>
      <c r="L20" s="189"/>
      <c r="P20" s="315"/>
      <c r="Q20" s="315"/>
      <c r="R20" s="315"/>
      <c r="S20" s="315"/>
      <c r="T20" s="315"/>
      <c r="U20" s="315"/>
      <c r="V20" s="315"/>
    </row>
    <row r="21" spans="1:22" ht="13.5" customHeight="1">
      <c r="B21" s="1497"/>
      <c r="C21" s="404"/>
      <c r="D21" s="795"/>
      <c r="J21" s="791"/>
      <c r="P21" s="315"/>
      <c r="Q21" s="315"/>
      <c r="R21" s="315"/>
      <c r="S21" s="315"/>
      <c r="T21" s="315"/>
      <c r="U21" s="315"/>
      <c r="V21" s="315"/>
    </row>
    <row r="22" spans="1:22">
      <c r="B22" s="1498" t="s">
        <v>44</v>
      </c>
      <c r="C22" s="791"/>
      <c r="D22" s="1499"/>
      <c r="E22" s="791"/>
      <c r="I22" s="1857"/>
      <c r="J22" s="1857"/>
      <c r="K22" s="1857"/>
      <c r="L22" s="1857"/>
      <c r="M22" s="1857"/>
      <c r="P22" s="315"/>
      <c r="Q22" s="315"/>
      <c r="R22" s="315"/>
      <c r="S22" s="315"/>
      <c r="T22" s="315"/>
      <c r="U22" s="315"/>
      <c r="V22" s="315"/>
    </row>
    <row r="23" spans="1:22" ht="15.6" customHeight="1">
      <c r="B23" s="1500" t="s">
        <v>45</v>
      </c>
      <c r="C23" s="1500"/>
      <c r="D23" s="1498" t="s">
        <v>46</v>
      </c>
      <c r="E23" s="791"/>
      <c r="M23" s="280"/>
      <c r="P23" s="315"/>
      <c r="Q23" s="315"/>
      <c r="R23" s="315"/>
      <c r="S23" s="315"/>
      <c r="T23" s="315"/>
      <c r="U23" s="315"/>
      <c r="V23" s="315"/>
    </row>
    <row r="24" spans="1:22" ht="15.6" customHeight="1">
      <c r="B24" s="1498"/>
      <c r="C24" s="1498"/>
      <c r="D24" s="1500" t="s">
        <v>47</v>
      </c>
      <c r="E24" s="791"/>
      <c r="M24" s="1501"/>
      <c r="P24" s="315"/>
      <c r="Q24" s="315"/>
      <c r="R24" s="315"/>
      <c r="S24" s="315"/>
      <c r="T24" s="315"/>
      <c r="U24" s="315"/>
      <c r="V24" s="315"/>
    </row>
    <row r="25" spans="1:22" ht="15.6" customHeight="1">
      <c r="B25" s="1498"/>
      <c r="C25" s="1498"/>
      <c r="D25" s="1498" t="s">
        <v>48</v>
      </c>
      <c r="E25" s="791"/>
      <c r="M25" s="280"/>
    </row>
    <row r="26" spans="1:22" ht="15.6" customHeight="1">
      <c r="B26" s="1498"/>
      <c r="C26" s="1498"/>
      <c r="D26" s="1498" t="str">
        <f>"All notes with an original date of issue of "&amp;'KEY INPUTS'!D33-3&amp;" or prior require one legally payable installment to be budgeted if it"</f>
        <v>All notes with an original date of issue of 2018 or prior require one legally payable installment to be budgeted if it</v>
      </c>
      <c r="E26" s="791"/>
      <c r="M26" s="1501"/>
    </row>
    <row r="27" spans="1:22" ht="15.6" customHeight="1">
      <c r="B27" s="1498"/>
      <c r="C27" s="1498"/>
      <c r="D27" s="1498" t="str">
        <f>"is contemplated that such notes will be renewed in "&amp;TEXT('KEY INPUTS'!D34+1,"0")&amp;" or written intent of permanent financing submitted."</f>
        <v>is contemplated that such notes will be renewed in 2021 or written intent of permanent financing submitted.</v>
      </c>
      <c r="E27" s="791"/>
      <c r="M27" s="280"/>
    </row>
    <row r="28" spans="1:22">
      <c r="B28" s="1498"/>
      <c r="C28" s="1498"/>
      <c r="D28" s="1498" t="s">
        <v>49</v>
      </c>
      <c r="E28" s="791"/>
    </row>
    <row r="29" spans="1:22">
      <c r="B29" s="791"/>
      <c r="C29" s="791"/>
      <c r="D29" s="1500" t="s">
        <v>50</v>
      </c>
      <c r="E29" s="791"/>
    </row>
    <row r="30" spans="1:22">
      <c r="J30" s="791" t="s">
        <v>103</v>
      </c>
    </row>
  </sheetData>
  <sheetProtection algorithmName="SHA-512" hashValue="b4ZbUtt23sF25nJoOAS5D+vBhU3Yr4wFQWNp/UWLM1FNe8+SFW/7XmdB+TzfJewM2LmcvRopnsDKMgsqEd8VkA==" saltValue="QspegNJjsTpVBaL4hcA82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3">
    <tabColor theme="3" tint="0.79998168889431442"/>
  </sheetPr>
  <dimension ref="A1:V30"/>
  <sheetViews>
    <sheetView zoomScaleNormal="100" zoomScaleSheetLayoutView="80" workbookViewId="0"/>
  </sheetViews>
  <sheetFormatPr defaultColWidth="8.88671875" defaultRowHeight="13.2"/>
  <cols>
    <col min="1" max="1" width="5.6640625" style="391" customWidth="1"/>
    <col min="2" max="3" width="4.88671875" style="391" customWidth="1"/>
    <col min="4" max="4" width="30.44140625" style="391" customWidth="1"/>
    <col min="5" max="11" width="15.6640625" style="391" customWidth="1"/>
    <col min="12" max="12" width="1.6640625" style="391" customWidth="1"/>
    <col min="13" max="13" width="12.6640625" style="391" customWidth="1"/>
    <col min="14" max="16384" width="8.88671875" style="391"/>
  </cols>
  <sheetData>
    <row r="1" spans="1:22">
      <c r="B1" s="1096"/>
      <c r="C1" s="1096"/>
      <c r="D1" s="1096"/>
      <c r="E1" s="1096"/>
      <c r="F1" s="1096"/>
      <c r="G1" s="1096"/>
      <c r="H1" s="1096"/>
      <c r="I1" s="1096"/>
      <c r="J1" s="1096"/>
      <c r="K1" s="1096"/>
      <c r="L1" s="1096"/>
      <c r="M1" s="1096"/>
    </row>
    <row r="2" spans="1:22" ht="20.399999999999999">
      <c r="B2" s="1826" t="str">
        <f>"DEBT  SERVICE  FOR  "&amp;UPPER('KEY INPUTS'!D57)&amp;"  UTILITY  NOTES  (OTHER  THAN  UTILITY  ASSESSMENT  NOTES)"</f>
        <v>DEBT  SERVICE  FOR    UTILITY  NOTES  (OTHER  THAN  UTILITY  ASSESSMENT  NOTES)</v>
      </c>
      <c r="C2" s="1826"/>
      <c r="D2" s="1826"/>
      <c r="E2" s="1826"/>
      <c r="F2" s="1826"/>
      <c r="G2" s="1826"/>
      <c r="H2" s="1826"/>
      <c r="I2" s="1826"/>
      <c r="J2" s="1826"/>
      <c r="K2" s="1826"/>
      <c r="L2" s="1826"/>
      <c r="M2" s="1826"/>
    </row>
    <row r="3" spans="1:22" ht="21" thickBot="1">
      <c r="B3" s="1826"/>
      <c r="C3" s="1826"/>
      <c r="D3" s="1826"/>
      <c r="E3" s="1826"/>
      <c r="F3" s="1826"/>
      <c r="G3" s="1826"/>
      <c r="H3" s="1826"/>
      <c r="I3" s="1826"/>
      <c r="J3" s="1826"/>
      <c r="K3" s="1826"/>
      <c r="L3" s="1826"/>
      <c r="M3" s="1826"/>
    </row>
    <row r="4" spans="1:22" ht="13.5" customHeight="1" thickTop="1">
      <c r="B4" s="1219"/>
      <c r="C4" s="1219"/>
      <c r="D4" s="1219"/>
      <c r="E4" s="1220"/>
      <c r="F4" s="1220"/>
      <c r="G4" s="1220"/>
      <c r="H4" s="1220"/>
      <c r="I4" s="1220"/>
      <c r="J4" s="1219"/>
      <c r="K4" s="1221"/>
      <c r="L4" s="1219"/>
      <c r="M4" s="1222"/>
    </row>
    <row r="5" spans="1:22" ht="13.5" customHeight="1">
      <c r="B5" s="1096"/>
      <c r="C5" s="1096"/>
      <c r="D5" s="1096"/>
      <c r="E5" s="1223" t="s">
        <v>144</v>
      </c>
      <c r="F5" s="1224" t="s">
        <v>144</v>
      </c>
      <c r="G5" s="1224" t="s">
        <v>441</v>
      </c>
      <c r="H5" s="1224" t="s">
        <v>18</v>
      </c>
      <c r="I5" s="1224" t="s">
        <v>572</v>
      </c>
      <c r="J5" s="1910">
        <f>'KEY INPUTS'!D33</f>
        <v>2021</v>
      </c>
      <c r="K5" s="1911"/>
      <c r="L5" s="1251"/>
      <c r="M5" s="1226" t="s">
        <v>573</v>
      </c>
    </row>
    <row r="6" spans="1:22" ht="13.5" customHeight="1">
      <c r="B6" s="1096"/>
      <c r="C6" s="1908" t="s">
        <v>143</v>
      </c>
      <c r="D6" s="1909"/>
      <c r="E6" s="1223" t="s">
        <v>441</v>
      </c>
      <c r="F6" s="1224" t="s">
        <v>145</v>
      </c>
      <c r="G6" s="1224" t="s">
        <v>569</v>
      </c>
      <c r="H6" s="1224" t="s">
        <v>570</v>
      </c>
      <c r="I6" s="1224" t="s">
        <v>570</v>
      </c>
      <c r="J6" s="1912"/>
      <c r="K6" s="1913"/>
      <c r="L6" s="1227"/>
      <c r="M6" s="1226" t="s">
        <v>576</v>
      </c>
    </row>
    <row r="7" spans="1:22" ht="13.5" customHeight="1">
      <c r="B7" s="1096"/>
      <c r="C7" s="1096"/>
      <c r="D7" s="1096"/>
      <c r="E7" s="1223" t="s">
        <v>97</v>
      </c>
      <c r="F7" s="1223" t="s">
        <v>146</v>
      </c>
      <c r="G7" s="1223" t="s">
        <v>206</v>
      </c>
      <c r="H7" s="1223" t="s">
        <v>571</v>
      </c>
      <c r="I7" s="1223" t="s">
        <v>573</v>
      </c>
      <c r="J7" s="1223" t="s">
        <v>118</v>
      </c>
      <c r="K7" s="1223" t="s">
        <v>574</v>
      </c>
      <c r="L7" s="1224"/>
      <c r="M7" s="1226" t="s">
        <v>577</v>
      </c>
    </row>
    <row r="8" spans="1:22" ht="13.5" customHeight="1" thickBot="1">
      <c r="B8" s="1151"/>
      <c r="C8" s="1151"/>
      <c r="D8" s="1151"/>
      <c r="E8" s="1228"/>
      <c r="F8" s="1228"/>
      <c r="G8" s="1229" t="str">
        <f>'KEY INPUTS'!D46</f>
        <v>Dec. 31, 2020</v>
      </c>
      <c r="H8" s="1228"/>
      <c r="I8" s="1228"/>
      <c r="J8" s="1230"/>
      <c r="K8" s="1231"/>
      <c r="L8" s="1232"/>
      <c r="M8" s="1233"/>
      <c r="P8" s="315"/>
      <c r="Q8" s="315"/>
      <c r="R8" s="315"/>
      <c r="S8" s="315"/>
      <c r="T8" s="315"/>
      <c r="U8" s="315"/>
      <c r="V8" s="315"/>
    </row>
    <row r="9" spans="1:22" ht="21" customHeight="1" thickTop="1">
      <c r="B9" s="530" t="s">
        <v>308</v>
      </c>
      <c r="C9" s="666"/>
      <c r="D9" s="667"/>
      <c r="E9" s="610"/>
      <c r="F9" s="1450"/>
      <c r="G9" s="610"/>
      <c r="H9" s="669"/>
      <c r="I9" s="612"/>
      <c r="J9" s="610"/>
      <c r="K9" s="610"/>
      <c r="L9" s="621"/>
      <c r="M9" s="670"/>
      <c r="P9" s="315"/>
      <c r="Q9" s="315"/>
      <c r="R9" s="315"/>
      <c r="S9" s="315"/>
      <c r="T9" s="315"/>
      <c r="U9" s="315"/>
      <c r="V9" s="315"/>
    </row>
    <row r="10" spans="1:22" ht="21" customHeight="1">
      <c r="B10" s="529" t="s">
        <v>309</v>
      </c>
      <c r="C10" s="671"/>
      <c r="D10" s="643"/>
      <c r="E10" s="593"/>
      <c r="F10" s="1451"/>
      <c r="G10" s="593"/>
      <c r="H10" s="593"/>
      <c r="I10" s="673"/>
      <c r="J10" s="674"/>
      <c r="K10" s="593"/>
      <c r="L10" s="623"/>
      <c r="M10" s="675"/>
      <c r="N10" s="391" t="s">
        <v>3190</v>
      </c>
      <c r="O10" s="391" t="s">
        <v>3190</v>
      </c>
      <c r="P10" s="370"/>
      <c r="Q10" s="315"/>
      <c r="R10" s="315"/>
      <c r="S10" s="315"/>
      <c r="T10" s="315"/>
      <c r="U10" s="315"/>
      <c r="V10" s="315"/>
    </row>
    <row r="11" spans="1:22" ht="21" customHeight="1">
      <c r="B11" s="529" t="s">
        <v>310</v>
      </c>
      <c r="C11" s="639"/>
      <c r="D11" s="643"/>
      <c r="E11" s="593"/>
      <c r="F11" s="1452"/>
      <c r="G11" s="593"/>
      <c r="H11" s="593"/>
      <c r="I11" s="615"/>
      <c r="J11" s="593"/>
      <c r="K11" s="593"/>
      <c r="L11" s="623"/>
      <c r="M11" s="675"/>
      <c r="P11" s="315"/>
      <c r="Q11" s="315"/>
      <c r="R11" s="315"/>
      <c r="S11" s="315"/>
      <c r="T11" s="315"/>
      <c r="U11" s="315"/>
      <c r="V11" s="315"/>
    </row>
    <row r="12" spans="1:22" ht="21" customHeight="1">
      <c r="B12" s="529" t="s">
        <v>311</v>
      </c>
      <c r="C12" s="639"/>
      <c r="D12" s="643"/>
      <c r="E12" s="593"/>
      <c r="F12" s="1452"/>
      <c r="G12" s="593"/>
      <c r="H12" s="593"/>
      <c r="I12" s="615"/>
      <c r="J12" s="593"/>
      <c r="K12" s="593"/>
      <c r="L12" s="623"/>
      <c r="M12" s="675"/>
      <c r="P12" s="315"/>
      <c r="Q12" s="315"/>
      <c r="R12" s="315"/>
      <c r="S12" s="315"/>
      <c r="T12" s="315"/>
      <c r="U12" s="315"/>
      <c r="V12" s="315"/>
    </row>
    <row r="13" spans="1:22" ht="21" customHeight="1">
      <c r="B13" s="529" t="s">
        <v>312</v>
      </c>
      <c r="C13" s="639"/>
      <c r="D13" s="643"/>
      <c r="E13" s="593"/>
      <c r="F13" s="1452"/>
      <c r="G13" s="593"/>
      <c r="H13" s="593"/>
      <c r="I13" s="615"/>
      <c r="J13" s="593"/>
      <c r="K13" s="593"/>
      <c r="L13" s="623"/>
      <c r="M13" s="675"/>
      <c r="P13" s="315"/>
      <c r="Q13" s="315"/>
      <c r="R13" s="315"/>
      <c r="S13" s="315"/>
      <c r="T13" s="315"/>
      <c r="U13" s="315"/>
      <c r="V13" s="315"/>
    </row>
    <row r="14" spans="1:22" ht="21" customHeight="1">
      <c r="B14" s="529" t="s">
        <v>313</v>
      </c>
      <c r="C14" s="639"/>
      <c r="D14" s="643"/>
      <c r="E14" s="596"/>
      <c r="F14" s="1453"/>
      <c r="G14" s="596"/>
      <c r="H14" s="596"/>
      <c r="I14" s="618"/>
      <c r="J14" s="593"/>
      <c r="K14" s="593"/>
      <c r="L14" s="623"/>
      <c r="M14" s="675"/>
      <c r="P14" s="315"/>
      <c r="Q14" s="315"/>
      <c r="R14" s="315"/>
      <c r="S14" s="315"/>
      <c r="T14" s="315"/>
      <c r="U14" s="315"/>
      <c r="V14" s="315"/>
    </row>
    <row r="15" spans="1:22" ht="21" customHeight="1">
      <c r="A15" s="1907" t="s">
        <v>3226</v>
      </c>
      <c r="B15" s="529" t="s">
        <v>314</v>
      </c>
      <c r="C15" s="678"/>
      <c r="D15" s="679"/>
      <c r="E15" s="593"/>
      <c r="F15" s="1452"/>
      <c r="G15" s="593"/>
      <c r="H15" s="593"/>
      <c r="I15" s="615"/>
      <c r="J15" s="593"/>
      <c r="K15" s="593"/>
      <c r="L15" s="623"/>
      <c r="M15" s="675"/>
      <c r="P15" s="315"/>
      <c r="Q15" s="315"/>
      <c r="R15" s="315"/>
      <c r="S15" s="315"/>
      <c r="T15" s="315"/>
      <c r="U15" s="315"/>
      <c r="V15" s="315"/>
    </row>
    <row r="16" spans="1:22" ht="21" customHeight="1">
      <c r="A16" s="1907"/>
      <c r="B16" s="529" t="s">
        <v>409</v>
      </c>
      <c r="C16" s="639"/>
      <c r="D16" s="643"/>
      <c r="E16" s="593"/>
      <c r="F16" s="1452"/>
      <c r="G16" s="593"/>
      <c r="H16" s="593"/>
      <c r="I16" s="615"/>
      <c r="J16" s="593"/>
      <c r="K16" s="593"/>
      <c r="L16" s="623"/>
      <c r="M16" s="675"/>
      <c r="P16" s="315"/>
      <c r="Q16" s="315"/>
      <c r="R16" s="315"/>
      <c r="S16" s="315"/>
      <c r="T16" s="315"/>
      <c r="U16" s="315"/>
      <c r="V16" s="315"/>
    </row>
    <row r="17" spans="1:22" ht="21" customHeight="1">
      <c r="A17" s="1907"/>
      <c r="B17" s="529" t="s">
        <v>410</v>
      </c>
      <c r="C17" s="639"/>
      <c r="D17" s="643"/>
      <c r="E17" s="593"/>
      <c r="F17" s="1452"/>
      <c r="G17" s="593"/>
      <c r="H17" s="593"/>
      <c r="I17" s="615"/>
      <c r="J17" s="593"/>
      <c r="K17" s="593"/>
      <c r="L17" s="623"/>
      <c r="M17" s="675"/>
      <c r="P17" s="315"/>
      <c r="Q17" s="315"/>
      <c r="R17" s="315"/>
      <c r="S17" s="315"/>
      <c r="T17" s="315"/>
      <c r="U17" s="315"/>
      <c r="V17" s="315"/>
    </row>
    <row r="18" spans="1:22" ht="21" customHeight="1">
      <c r="A18" s="528"/>
      <c r="B18" s="687" t="s">
        <v>834</v>
      </c>
      <c r="C18" s="681"/>
      <c r="D18" s="682"/>
      <c r="E18" s="680">
        <f>SUM(E9:E17)+'50-Utility6'!E18</f>
        <v>0</v>
      </c>
      <c r="F18" s="683"/>
      <c r="G18" s="680">
        <f>SUM(G9:G17)+'50-Utility6'!G18</f>
        <v>0</v>
      </c>
      <c r="H18" s="680"/>
      <c r="I18" s="684"/>
      <c r="J18" s="680">
        <f>SUM(J9:J17)+'50-Utility6'!J18</f>
        <v>0</v>
      </c>
      <c r="K18" s="680">
        <f>SUM(K9:K17)+'50-Utility6'!K18</f>
        <v>0</v>
      </c>
      <c r="L18" s="685"/>
      <c r="M18" s="686"/>
      <c r="P18" s="315"/>
      <c r="Q18" s="315"/>
      <c r="R18" s="315"/>
      <c r="S18" s="315"/>
      <c r="T18" s="315"/>
      <c r="U18" s="315"/>
      <c r="V18" s="315"/>
    </row>
    <row r="19" spans="1:22" ht="21" customHeight="1">
      <c r="A19" s="528"/>
      <c r="B19" s="1334"/>
      <c r="C19" s="1174"/>
      <c r="D19" s="1174"/>
      <c r="E19" s="1335"/>
      <c r="F19" s="1174"/>
      <c r="G19" s="1335"/>
      <c r="H19" s="1335"/>
      <c r="I19" s="1336"/>
      <c r="J19" s="1335"/>
      <c r="K19" s="1335"/>
      <c r="L19" s="1335"/>
      <c r="M19" s="1174"/>
      <c r="P19" s="315"/>
      <c r="Q19" s="315"/>
      <c r="R19" s="315"/>
      <c r="S19" s="315"/>
      <c r="T19" s="315"/>
      <c r="U19" s="315"/>
      <c r="V19" s="315"/>
    </row>
    <row r="20" spans="1:22" ht="21" customHeight="1">
      <c r="A20" s="528"/>
      <c r="B20" s="1334"/>
      <c r="C20" s="1174"/>
      <c r="D20" s="1174"/>
      <c r="E20" s="1335"/>
      <c r="F20" s="1174"/>
      <c r="G20" s="1335"/>
      <c r="H20" s="1335"/>
      <c r="I20" s="1336"/>
      <c r="J20" s="1335"/>
      <c r="K20" s="1335"/>
      <c r="L20" s="1335"/>
      <c r="M20" s="1174"/>
      <c r="P20" s="315"/>
      <c r="Q20" s="315"/>
      <c r="R20" s="315"/>
      <c r="S20" s="315"/>
      <c r="T20" s="315"/>
      <c r="U20" s="315"/>
      <c r="V20" s="315"/>
    </row>
    <row r="21" spans="1:22" ht="13.5" customHeight="1" thickBot="1">
      <c r="B21" s="1337"/>
      <c r="C21" s="1338"/>
      <c r="D21" s="1339"/>
      <c r="E21" s="1174"/>
      <c r="F21" s="1174"/>
      <c r="G21" s="1174"/>
      <c r="H21" s="1174"/>
      <c r="I21" s="1174"/>
      <c r="J21" s="1340"/>
      <c r="K21" s="1174"/>
      <c r="L21" s="1174"/>
      <c r="M21" s="1174"/>
      <c r="P21" s="315"/>
      <c r="Q21" s="315"/>
      <c r="R21" s="315"/>
      <c r="S21" s="315"/>
      <c r="T21" s="315"/>
      <c r="U21" s="315"/>
      <c r="V21" s="315"/>
    </row>
    <row r="22" spans="1:22" ht="14.4" thickTop="1" thickBot="1">
      <c r="B22" s="1202" t="s">
        <v>44</v>
      </c>
      <c r="C22" s="1101"/>
      <c r="D22" s="1341"/>
      <c r="E22" s="1101"/>
      <c r="F22" s="1096"/>
      <c r="G22" s="1096"/>
      <c r="H22" s="1096"/>
      <c r="I22" s="1904" t="str">
        <f>"INTEREST  ON  NOTES  -  "&amp;UPPER('KEY INPUTS'!D57)&amp;" UTILITY  BUDGET"</f>
        <v>INTEREST  ON  NOTES  -   UTILITY  BUDGET</v>
      </c>
      <c r="J22" s="1905"/>
      <c r="K22" s="1905"/>
      <c r="L22" s="1905"/>
      <c r="M22" s="1906"/>
      <c r="P22" s="315"/>
      <c r="Q22" s="315"/>
      <c r="R22" s="315"/>
      <c r="S22" s="315"/>
      <c r="T22" s="315"/>
      <c r="U22" s="315"/>
      <c r="V22" s="315"/>
    </row>
    <row r="23" spans="1:22" ht="15.6" customHeight="1">
      <c r="B23" s="1342" t="s">
        <v>45</v>
      </c>
      <c r="C23" s="1342"/>
      <c r="D23" s="1202" t="s">
        <v>46</v>
      </c>
      <c r="E23" s="1101"/>
      <c r="F23" s="1096"/>
      <c r="G23" s="1096"/>
      <c r="H23" s="1096"/>
      <c r="I23" s="1343" t="str">
        <f>TEXT('KEY INPUTS'!D34+1,"0")&amp;"  Interest on Notes"</f>
        <v>2021  Interest on Notes</v>
      </c>
      <c r="J23" s="1173"/>
      <c r="K23" s="1173"/>
      <c r="L23" s="519" t="s">
        <v>397</v>
      </c>
      <c r="M23" s="1216">
        <f>K18</f>
        <v>0</v>
      </c>
      <c r="P23" s="315"/>
      <c r="Q23" s="315"/>
      <c r="R23" s="315"/>
      <c r="S23" s="315"/>
      <c r="T23" s="315"/>
      <c r="U23" s="315"/>
      <c r="V23" s="315"/>
    </row>
    <row r="24" spans="1:22" ht="15.6" customHeight="1">
      <c r="B24" s="1202"/>
      <c r="C24" s="1202"/>
      <c r="D24" s="1342" t="s">
        <v>47</v>
      </c>
      <c r="E24" s="1101"/>
      <c r="F24" s="1096"/>
      <c r="G24" s="1096"/>
      <c r="H24" s="1096"/>
      <c r="I24" s="1397" t="str">
        <f>"Less: Interest Accrued to "&amp;TEXT('KEY INPUTS'!D29,"mm/dd/yyyy")&amp;" (Trial Balance)"</f>
        <v>Less: Interest Accrued to 12/31/2020 (Trial Balance)</v>
      </c>
      <c r="J24" s="681"/>
      <c r="K24" s="681"/>
      <c r="L24" s="517" t="s">
        <v>397</v>
      </c>
      <c r="M24" s="663"/>
      <c r="P24" s="315"/>
      <c r="Q24" s="315"/>
      <c r="R24" s="315"/>
      <c r="S24" s="315"/>
      <c r="T24" s="315"/>
      <c r="U24" s="315"/>
      <c r="V24" s="315"/>
    </row>
    <row r="25" spans="1:22" ht="15.6" customHeight="1">
      <c r="B25" s="1202"/>
      <c r="C25" s="1202"/>
      <c r="D25" s="1202" t="s">
        <v>48</v>
      </c>
      <c r="E25" s="1101"/>
      <c r="F25" s="1096"/>
      <c r="G25" s="1096"/>
      <c r="H25" s="1096"/>
      <c r="I25" s="1103"/>
      <c r="J25" s="681" t="s">
        <v>337</v>
      </c>
      <c r="K25" s="681"/>
      <c r="L25" s="517" t="s">
        <v>397</v>
      </c>
      <c r="M25" s="1217">
        <f>+M23-M24</f>
        <v>0</v>
      </c>
    </row>
    <row r="26" spans="1:22" ht="15.6" customHeight="1">
      <c r="B26" s="1202"/>
      <c r="C26" s="1202"/>
      <c r="D26" s="1202" t="str">
        <f>"All notes with an original date of issue of "&amp;'KEY INPUTS'!D33-3&amp;" or prior require one legally payable installment to be budgeted if it"</f>
        <v>All notes with an original date of issue of 2018 or prior require one legally payable installment to be budgeted if it</v>
      </c>
      <c r="E26" s="1101"/>
      <c r="F26" s="1096"/>
      <c r="G26" s="1096"/>
      <c r="H26" s="1096"/>
      <c r="I26" s="1397" t="str">
        <f>"Add: Interest to be Accrued as of "&amp;TEXT('KEY INPUTS'!D30,"mm/dd/yyyy")&amp;""</f>
        <v>Add: Interest to be Accrued as of 12/31/2021</v>
      </c>
      <c r="J26" s="681"/>
      <c r="K26" s="681"/>
      <c r="L26" s="517" t="s">
        <v>397</v>
      </c>
      <c r="M26" s="663"/>
    </row>
    <row r="27" spans="1:22" ht="15.6" customHeight="1" thickBot="1">
      <c r="B27" s="1202"/>
      <c r="C27" s="1202"/>
      <c r="D27" s="1202" t="str">
        <f>"is contemplated that such notes will be renewed in "&amp;TEXT('KEY INPUTS'!D34+1,"0")&amp;" or written intent of permanent financing submitted."</f>
        <v>is contemplated that such notes will be renewed in 2021 or written intent of permanent financing submitted.</v>
      </c>
      <c r="E27" s="1101"/>
      <c r="F27" s="1096"/>
      <c r="G27" s="1096"/>
      <c r="H27" s="1096"/>
      <c r="I27" s="1398" t="str">
        <f>"Required Appropriation - "&amp;TEXT('KEY INPUTS'!D34+1,"0")&amp;""</f>
        <v>Required Appropriation - 2021</v>
      </c>
      <c r="J27" s="1151"/>
      <c r="K27" s="1151"/>
      <c r="L27" s="515" t="s">
        <v>397</v>
      </c>
      <c r="M27" s="1218">
        <f>+M25+M26</f>
        <v>0</v>
      </c>
    </row>
    <row r="28" spans="1:22" ht="13.8" thickTop="1">
      <c r="B28" s="1202"/>
      <c r="C28" s="1202"/>
      <c r="D28" s="1202" t="s">
        <v>49</v>
      </c>
      <c r="E28" s="1101"/>
      <c r="F28" s="1096"/>
      <c r="G28" s="1096"/>
      <c r="H28" s="1096"/>
      <c r="I28" s="1096"/>
      <c r="J28" s="1096"/>
      <c r="K28" s="1096"/>
      <c r="L28" s="1096"/>
      <c r="M28" s="1096"/>
    </row>
    <row r="29" spans="1:22">
      <c r="B29" s="1101"/>
      <c r="C29" s="1101"/>
      <c r="D29" s="1342" t="s">
        <v>50</v>
      </c>
      <c r="E29" s="1101"/>
      <c r="F29" s="1096"/>
      <c r="G29" s="1096"/>
      <c r="H29" s="1096"/>
      <c r="I29" s="1096"/>
      <c r="J29" s="1096"/>
      <c r="K29" s="1096"/>
      <c r="L29" s="1096"/>
      <c r="M29" s="1096"/>
    </row>
    <row r="30" spans="1:22">
      <c r="B30" s="1096"/>
      <c r="C30" s="1096"/>
      <c r="D30" s="1096"/>
      <c r="E30" s="1096"/>
      <c r="F30" s="1096"/>
      <c r="G30" s="1096"/>
      <c r="H30" s="1096"/>
      <c r="I30" s="1096"/>
      <c r="J30" s="1340" t="s">
        <v>103</v>
      </c>
      <c r="K30" s="1096"/>
      <c r="L30" s="1096"/>
      <c r="M30" s="1096"/>
    </row>
  </sheetData>
  <sheetProtection algorithmName="SHA-512" hashValue="OqaIMOI5/xk3OkdspLKW+N2rPleMobYdo6fDKVy0gASQhUCxThhanq2IAjYTJcc/x9yqJ45ojWnIYSp2jxh7kg==" saltValue="U/v21L9s4cZJE0SwsNPSw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4">
    <tabColor theme="3" tint="0.79998168889431442"/>
  </sheetPr>
  <dimension ref="A2:T29"/>
  <sheetViews>
    <sheetView zoomScaleNormal="100" zoomScaleSheetLayoutView="80" workbookViewId="0"/>
  </sheetViews>
  <sheetFormatPr defaultColWidth="9.109375" defaultRowHeight="13.2"/>
  <cols>
    <col min="1" max="1" width="5.6640625" style="324" customWidth="1"/>
    <col min="2" max="3" width="4.88671875" style="324" customWidth="1"/>
    <col min="4" max="4" width="31.5546875" style="324" customWidth="1"/>
    <col min="5" max="12" width="15.6640625" style="324" customWidth="1"/>
    <col min="13" max="16384" width="9.109375" style="324"/>
  </cols>
  <sheetData>
    <row r="2" spans="1:20" ht="20.399999999999999">
      <c r="B2" s="1893" t="str">
        <f>"DEBT  SERVICE  SCHEDULE  FOR  "&amp;UPPER('KEY INPUTS'!D57) &amp;"  UTILITY  ASSESSMENT  NOTES"</f>
        <v>DEBT  SERVICE  SCHEDULE  FOR    UTILITY  ASSESSMENT  NOTES</v>
      </c>
      <c r="C2" s="1893"/>
      <c r="D2" s="1893"/>
      <c r="E2" s="1893"/>
      <c r="F2" s="1893"/>
      <c r="G2" s="1893"/>
      <c r="H2" s="1893"/>
      <c r="I2" s="1893"/>
      <c r="J2" s="1893"/>
      <c r="K2" s="1893"/>
      <c r="L2" s="1893"/>
    </row>
    <row r="3" spans="1:20" ht="21" thickBot="1">
      <c r="B3" s="1854"/>
      <c r="C3" s="1854"/>
      <c r="D3" s="1854"/>
      <c r="E3" s="1854"/>
      <c r="F3" s="1854"/>
      <c r="G3" s="1854"/>
      <c r="H3" s="1854"/>
      <c r="I3" s="1854"/>
      <c r="J3" s="1854"/>
      <c r="K3" s="1854"/>
      <c r="L3" s="1854"/>
    </row>
    <row r="4" spans="1:20" ht="13.5" customHeight="1" thickTop="1">
      <c r="B4" s="2002"/>
      <c r="C4" s="2002"/>
      <c r="D4" s="2003"/>
      <c r="E4" s="815"/>
      <c r="F4" s="419"/>
      <c r="G4" s="419"/>
      <c r="H4" s="419"/>
      <c r="I4" s="419"/>
      <c r="J4" s="418"/>
      <c r="K4" s="418"/>
      <c r="L4" s="417"/>
    </row>
    <row r="5" spans="1:20" ht="13.5" customHeight="1">
      <c r="E5" s="415" t="s">
        <v>144</v>
      </c>
      <c r="F5" s="414" t="s">
        <v>144</v>
      </c>
      <c r="G5" s="414" t="s">
        <v>441</v>
      </c>
      <c r="H5" s="414" t="s">
        <v>18</v>
      </c>
      <c r="I5" s="414" t="s">
        <v>572</v>
      </c>
      <c r="J5" s="2004">
        <f>'KEY INPUTS'!D33</f>
        <v>2021</v>
      </c>
      <c r="K5" s="2005"/>
      <c r="L5" s="416" t="s">
        <v>573</v>
      </c>
    </row>
    <row r="6" spans="1:20" ht="13.5" customHeight="1">
      <c r="C6" s="1902" t="s">
        <v>143</v>
      </c>
      <c r="D6" s="1903"/>
      <c r="E6" s="415" t="s">
        <v>441</v>
      </c>
      <c r="F6" s="414" t="s">
        <v>145</v>
      </c>
      <c r="G6" s="414" t="s">
        <v>569</v>
      </c>
      <c r="H6" s="414" t="s">
        <v>570</v>
      </c>
      <c r="I6" s="414" t="s">
        <v>570</v>
      </c>
      <c r="J6" s="2006"/>
      <c r="K6" s="2007"/>
      <c r="L6" s="416" t="s">
        <v>576</v>
      </c>
    </row>
    <row r="7" spans="1:20" ht="13.5" customHeight="1">
      <c r="E7" s="415" t="s">
        <v>97</v>
      </c>
      <c r="F7" s="415" t="s">
        <v>146</v>
      </c>
      <c r="G7" s="415" t="s">
        <v>206</v>
      </c>
      <c r="H7" s="415" t="s">
        <v>571</v>
      </c>
      <c r="I7" s="415" t="s">
        <v>573</v>
      </c>
      <c r="J7" s="415" t="s">
        <v>118</v>
      </c>
      <c r="K7" s="415" t="s">
        <v>574</v>
      </c>
      <c r="L7" s="416" t="s">
        <v>577</v>
      </c>
      <c r="N7" s="315"/>
      <c r="O7" s="315"/>
      <c r="P7" s="315"/>
      <c r="Q7" s="315"/>
      <c r="R7" s="315"/>
      <c r="S7" s="315"/>
      <c r="T7" s="315"/>
    </row>
    <row r="8" spans="1:20" ht="13.5" customHeight="1" thickBot="1">
      <c r="B8" s="413"/>
      <c r="C8" s="413"/>
      <c r="D8" s="413"/>
      <c r="E8" s="411"/>
      <c r="F8" s="411"/>
      <c r="G8" s="787" t="str">
        <f>'KEY INPUTS'!D46</f>
        <v>Dec. 31, 2020</v>
      </c>
      <c r="H8" s="411"/>
      <c r="I8" s="411"/>
      <c r="J8" s="412"/>
      <c r="K8" s="539" t="s">
        <v>575</v>
      </c>
      <c r="L8" s="409"/>
      <c r="N8" s="315"/>
      <c r="O8" s="315"/>
      <c r="P8" s="315"/>
      <c r="Q8" s="315"/>
      <c r="R8" s="315"/>
      <c r="S8" s="315"/>
      <c r="T8" s="315"/>
    </row>
    <row r="9" spans="1:20" ht="21" customHeight="1" thickTop="1">
      <c r="B9" s="1920"/>
      <c r="C9" s="1920"/>
      <c r="D9" s="1921"/>
      <c r="E9" s="597"/>
      <c r="F9" s="788"/>
      <c r="G9" s="597"/>
      <c r="H9" s="597"/>
      <c r="I9" s="789"/>
      <c r="J9" s="597"/>
      <c r="K9" s="597"/>
      <c r="L9" s="790"/>
      <c r="N9" s="370"/>
      <c r="O9" s="315"/>
      <c r="P9" s="315"/>
      <c r="Q9" s="315"/>
      <c r="R9" s="315"/>
      <c r="S9" s="315"/>
      <c r="T9" s="315"/>
    </row>
    <row r="10" spans="1:20" ht="21" customHeight="1">
      <c r="B10" s="1914"/>
      <c r="C10" s="1914"/>
      <c r="D10" s="1915"/>
      <c r="E10" s="593"/>
      <c r="F10" s="676"/>
      <c r="G10" s="593"/>
      <c r="H10" s="593"/>
      <c r="I10" s="615"/>
      <c r="J10" s="593"/>
      <c r="K10" s="593"/>
      <c r="L10" s="690"/>
      <c r="N10" s="315"/>
      <c r="O10" s="315"/>
      <c r="P10" s="315"/>
      <c r="Q10" s="315"/>
      <c r="R10" s="315"/>
      <c r="S10" s="315"/>
      <c r="T10" s="315"/>
    </row>
    <row r="11" spans="1:20" ht="21" customHeight="1">
      <c r="B11" s="1914"/>
      <c r="C11" s="1914"/>
      <c r="D11" s="1915"/>
      <c r="E11" s="593"/>
      <c r="F11" s="676"/>
      <c r="G11" s="593"/>
      <c r="H11" s="593"/>
      <c r="I11" s="615"/>
      <c r="J11" s="593"/>
      <c r="K11" s="593"/>
      <c r="L11" s="690"/>
      <c r="N11" s="315"/>
      <c r="O11" s="315"/>
      <c r="P11" s="315"/>
      <c r="Q11" s="315"/>
      <c r="R11" s="315"/>
      <c r="S11" s="315"/>
      <c r="T11" s="315"/>
    </row>
    <row r="12" spans="1:20" ht="21" customHeight="1">
      <c r="B12" s="1914"/>
      <c r="C12" s="1914"/>
      <c r="D12" s="1915"/>
      <c r="E12" s="593"/>
      <c r="F12" s="676"/>
      <c r="G12" s="593"/>
      <c r="H12" s="593"/>
      <c r="I12" s="615"/>
      <c r="J12" s="593"/>
      <c r="K12" s="593"/>
      <c r="L12" s="690"/>
      <c r="N12" s="315"/>
      <c r="O12" s="315"/>
      <c r="P12" s="315"/>
      <c r="Q12" s="315"/>
      <c r="R12" s="315"/>
      <c r="S12" s="315"/>
      <c r="T12" s="315"/>
    </row>
    <row r="13" spans="1:20" ht="21" customHeight="1">
      <c r="B13" s="1914"/>
      <c r="C13" s="1914"/>
      <c r="D13" s="1915"/>
      <c r="E13" s="593"/>
      <c r="F13" s="676"/>
      <c r="G13" s="593"/>
      <c r="H13" s="593"/>
      <c r="I13" s="615"/>
      <c r="J13" s="593"/>
      <c r="K13" s="593"/>
      <c r="L13" s="690"/>
      <c r="N13" s="315"/>
      <c r="O13" s="315"/>
      <c r="P13" s="315"/>
      <c r="Q13" s="315"/>
      <c r="R13" s="315"/>
      <c r="S13" s="315"/>
      <c r="T13" s="315"/>
    </row>
    <row r="14" spans="1:20" ht="21" customHeight="1">
      <c r="B14" s="1914"/>
      <c r="C14" s="1914"/>
      <c r="D14" s="1915"/>
      <c r="E14" s="596"/>
      <c r="F14" s="677"/>
      <c r="G14" s="596"/>
      <c r="H14" s="596"/>
      <c r="I14" s="618"/>
      <c r="J14" s="593"/>
      <c r="K14" s="593"/>
      <c r="L14" s="690"/>
      <c r="N14" s="315"/>
      <c r="O14" s="315"/>
      <c r="P14" s="315"/>
      <c r="Q14" s="315"/>
      <c r="R14" s="315"/>
      <c r="S14" s="315"/>
      <c r="T14" s="315"/>
    </row>
    <row r="15" spans="1:20" ht="21" customHeight="1">
      <c r="A15" s="1830" t="s">
        <v>3227</v>
      </c>
      <c r="B15" s="1914"/>
      <c r="C15" s="1914"/>
      <c r="D15" s="1915"/>
      <c r="E15" s="593"/>
      <c r="F15" s="676"/>
      <c r="G15" s="593"/>
      <c r="H15" s="593"/>
      <c r="I15" s="615"/>
      <c r="J15" s="593"/>
      <c r="K15" s="593"/>
      <c r="L15" s="690"/>
      <c r="N15" s="315"/>
      <c r="O15" s="315"/>
      <c r="P15" s="315"/>
      <c r="Q15" s="315"/>
      <c r="R15" s="315"/>
      <c r="S15" s="315"/>
      <c r="T15" s="315"/>
    </row>
    <row r="16" spans="1:20" ht="21" customHeight="1">
      <c r="A16" s="1830"/>
      <c r="B16" s="1914"/>
      <c r="C16" s="1914"/>
      <c r="D16" s="1915"/>
      <c r="E16" s="593"/>
      <c r="F16" s="676"/>
      <c r="G16" s="593"/>
      <c r="H16" s="593"/>
      <c r="I16" s="615"/>
      <c r="J16" s="593"/>
      <c r="K16" s="593"/>
      <c r="L16" s="690"/>
      <c r="N16" s="315"/>
      <c r="O16" s="315"/>
      <c r="P16" s="315"/>
      <c r="Q16" s="315"/>
      <c r="R16" s="315"/>
      <c r="S16" s="315"/>
      <c r="T16" s="315"/>
    </row>
    <row r="17" spans="1:20" ht="21" customHeight="1">
      <c r="A17" s="1830"/>
      <c r="B17" s="1914"/>
      <c r="C17" s="1914"/>
      <c r="D17" s="1915"/>
      <c r="E17" s="593"/>
      <c r="F17" s="676"/>
      <c r="G17" s="593"/>
      <c r="H17" s="593"/>
      <c r="I17" s="615"/>
      <c r="J17" s="593"/>
      <c r="K17" s="593"/>
      <c r="L17" s="690"/>
      <c r="N17" s="315"/>
      <c r="O17" s="315"/>
      <c r="P17" s="315"/>
      <c r="Q17" s="315"/>
      <c r="R17" s="315"/>
      <c r="S17" s="315"/>
      <c r="T17" s="315"/>
    </row>
    <row r="18" spans="1:20" ht="21" customHeight="1">
      <c r="A18" s="538"/>
      <c r="B18" s="1914"/>
      <c r="C18" s="1914"/>
      <c r="D18" s="1915"/>
      <c r="E18" s="593"/>
      <c r="F18" s="676"/>
      <c r="G18" s="593"/>
      <c r="H18" s="593"/>
      <c r="I18" s="615"/>
      <c r="J18" s="593"/>
      <c r="K18" s="593"/>
      <c r="L18" s="690"/>
      <c r="N18" s="315"/>
      <c r="O18" s="315"/>
      <c r="P18" s="315"/>
      <c r="Q18" s="315"/>
      <c r="R18" s="315"/>
      <c r="S18" s="315"/>
      <c r="T18" s="315"/>
    </row>
    <row r="19" spans="1:20" ht="21" customHeight="1">
      <c r="B19" s="1914"/>
      <c r="C19" s="1914"/>
      <c r="D19" s="1915"/>
      <c r="E19" s="593"/>
      <c r="F19" s="676"/>
      <c r="G19" s="593"/>
      <c r="H19" s="593"/>
      <c r="I19" s="615"/>
      <c r="J19" s="593"/>
      <c r="K19" s="593"/>
      <c r="L19" s="690"/>
      <c r="N19" s="315"/>
      <c r="O19" s="315"/>
      <c r="P19" s="315"/>
      <c r="Q19" s="315"/>
      <c r="R19" s="315"/>
      <c r="S19" s="315"/>
      <c r="T19" s="315"/>
    </row>
    <row r="20" spans="1:20" ht="21" customHeight="1">
      <c r="B20" s="1914"/>
      <c r="C20" s="1914"/>
      <c r="D20" s="1915"/>
      <c r="E20" s="593"/>
      <c r="F20" s="676"/>
      <c r="G20" s="593"/>
      <c r="H20" s="593"/>
      <c r="I20" s="615"/>
      <c r="J20" s="593"/>
      <c r="K20" s="593"/>
      <c r="L20" s="690"/>
      <c r="N20" s="315"/>
      <c r="O20" s="315"/>
      <c r="P20" s="315"/>
      <c r="Q20" s="315"/>
      <c r="R20" s="315"/>
      <c r="S20" s="315"/>
      <c r="T20" s="315"/>
    </row>
    <row r="21" spans="1:20" ht="21" customHeight="1">
      <c r="B21" s="1914"/>
      <c r="C21" s="1914"/>
      <c r="D21" s="1915"/>
      <c r="E21" s="593"/>
      <c r="F21" s="676"/>
      <c r="G21" s="593"/>
      <c r="H21" s="593"/>
      <c r="I21" s="615"/>
      <c r="J21" s="593"/>
      <c r="K21" s="593"/>
      <c r="L21" s="690"/>
      <c r="N21" s="315"/>
      <c r="O21" s="315"/>
      <c r="P21" s="315"/>
      <c r="Q21" s="315"/>
      <c r="R21" s="315"/>
      <c r="S21" s="315"/>
      <c r="T21" s="315"/>
    </row>
    <row r="22" spans="1:20" ht="21" customHeight="1">
      <c r="B22" s="1914"/>
      <c r="C22" s="1914"/>
      <c r="D22" s="1915"/>
      <c r="E22" s="593"/>
      <c r="F22" s="676"/>
      <c r="G22" s="593"/>
      <c r="H22" s="593"/>
      <c r="I22" s="615"/>
      <c r="J22" s="593"/>
      <c r="K22" s="593"/>
      <c r="L22" s="690"/>
      <c r="N22" s="315"/>
      <c r="O22" s="315"/>
      <c r="P22" s="315"/>
      <c r="Q22" s="315"/>
      <c r="R22" s="315"/>
      <c r="S22" s="315"/>
      <c r="T22" s="315"/>
    </row>
    <row r="23" spans="1:20" ht="21" customHeight="1" thickBot="1">
      <c r="B23" s="1354"/>
      <c r="C23" s="1214"/>
      <c r="D23" s="1239"/>
      <c r="E23" s="1113">
        <f>SUM(E9:E22)</f>
        <v>0</v>
      </c>
      <c r="F23" s="1228"/>
      <c r="G23" s="1113">
        <f>SUM(G9:G22)</f>
        <v>0</v>
      </c>
      <c r="H23" s="1113"/>
      <c r="I23" s="1113"/>
      <c r="J23" s="1113">
        <f>SUM(J9:J22)</f>
        <v>0</v>
      </c>
      <c r="K23" s="1113">
        <f>SUM(K9:K22)</f>
        <v>0</v>
      </c>
      <c r="L23" s="1240"/>
      <c r="N23" s="315"/>
      <c r="O23" s="315"/>
      <c r="P23" s="315"/>
      <c r="Q23" s="315"/>
      <c r="R23" s="315"/>
      <c r="S23" s="315"/>
      <c r="T23" s="315"/>
    </row>
    <row r="24" spans="1:20" ht="13.5" customHeight="1" thickTop="1">
      <c r="B24" s="1417" t="s">
        <v>44</v>
      </c>
      <c r="C24" s="1341"/>
      <c r="D24" s="1418"/>
      <c r="E24" s="1096"/>
      <c r="F24" s="1096"/>
      <c r="G24" s="1096"/>
      <c r="H24" s="1096"/>
      <c r="I24" s="1096"/>
      <c r="J24" s="1288"/>
      <c r="K24" s="1288"/>
      <c r="L24" s="1096"/>
    </row>
    <row r="25" spans="1:20" ht="13.5" customHeight="1">
      <c r="B25" s="1417" t="s">
        <v>579</v>
      </c>
      <c r="C25" s="1341"/>
      <c r="D25" s="1418"/>
      <c r="E25" s="1096"/>
      <c r="F25" s="1096"/>
      <c r="G25" s="1096"/>
      <c r="H25" s="1096"/>
      <c r="I25" s="1096"/>
      <c r="J25" s="1096"/>
      <c r="K25" s="1096"/>
      <c r="L25" s="1096"/>
    </row>
    <row r="26" spans="1:20" ht="13.5" customHeight="1">
      <c r="B26" s="1417"/>
      <c r="C26" s="1341" t="str">
        <f>"Utility Assessment Notes with an original date of issue of December 31, "&amp;'KEY INPUTS'!D33-3&amp;" or prior must be appropriated in full in the "&amp;TEXT('KEY INPUTS'!D34+1,"0")&amp;" Dedicated Utility Assessment Budget or written intent of"</f>
        <v>Utility Assessment Notes with an original date of issue of December 31, 2018 or prior must be appropriated in full in the 2021 Dedicated Utility Assessment Budget or written intent of</v>
      </c>
      <c r="D26" s="1418"/>
      <c r="E26" s="1096"/>
      <c r="F26" s="1096"/>
      <c r="G26" s="1096"/>
      <c r="H26" s="1096"/>
      <c r="I26" s="1096"/>
      <c r="J26" s="1096"/>
      <c r="K26" s="1096"/>
      <c r="L26" s="1096"/>
    </row>
    <row r="27" spans="1:20" ht="13.5" customHeight="1">
      <c r="B27" s="1417"/>
      <c r="C27" s="1341"/>
      <c r="D27" s="1419" t="s">
        <v>532</v>
      </c>
      <c r="E27" s="1096"/>
      <c r="F27" s="1096"/>
      <c r="G27" s="1096"/>
      <c r="H27" s="1096"/>
      <c r="I27" s="1096"/>
      <c r="J27" s="1096"/>
      <c r="K27" s="1096"/>
      <c r="L27" s="1096"/>
    </row>
    <row r="28" spans="1:20" ht="13.5" customHeight="1">
      <c r="B28" s="1417"/>
      <c r="C28" s="1341" t="s">
        <v>318</v>
      </c>
      <c r="D28" s="1418"/>
      <c r="E28" s="1096"/>
      <c r="F28" s="1096"/>
      <c r="G28" s="1096"/>
      <c r="H28" s="1096"/>
      <c r="I28" s="1096"/>
      <c r="J28" s="1101"/>
      <c r="K28" s="1096"/>
      <c r="L28" s="1096"/>
    </row>
    <row r="29" spans="1:20">
      <c r="B29" s="534"/>
      <c r="C29" s="404"/>
      <c r="D29" s="404"/>
    </row>
  </sheetData>
  <sheetProtection algorithmName="SHA-512" hashValue="WoDwGpGPg/Rq+fEmZOk8yJp+HN0a4EqKqBiAg/eG1CQk2Vij3LBx7fzigy5SGmsieLgJSzkk9LPvatLyLuOulw==" saltValue="DlfGuIuv2voOeHD2fTgLwg==" spinCount="100000" sheet="1" objects="1" scenarios="1"/>
  <mergeCells count="20">
    <mergeCell ref="A15:A17"/>
    <mergeCell ref="B2:L2"/>
    <mergeCell ref="B3:L3"/>
    <mergeCell ref="B4:D4"/>
    <mergeCell ref="J5:K6"/>
    <mergeCell ref="C6:D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5">
    <tabColor theme="3" tint="0.79998168889431442"/>
  </sheetPr>
  <dimension ref="A2:R27"/>
  <sheetViews>
    <sheetView zoomScaleNormal="100" zoomScaleSheetLayoutView="80" workbookViewId="0">
      <selection activeCell="B1" sqref="B1"/>
    </sheetView>
  </sheetViews>
  <sheetFormatPr defaultColWidth="9.109375" defaultRowHeight="13.2"/>
  <cols>
    <col min="1" max="1" width="5.6640625" style="324" customWidth="1"/>
    <col min="2" max="3" width="4.88671875" style="324" customWidth="1"/>
    <col min="4" max="4" width="35.88671875" style="324" customWidth="1"/>
    <col min="5" max="6" width="15.6640625" style="324" customWidth="1"/>
    <col min="7" max="9" width="30.6640625" style="324" customWidth="1"/>
    <col min="10" max="16384" width="9.109375" style="324"/>
  </cols>
  <sheetData>
    <row r="2" spans="1:18" ht="20.399999999999999">
      <c r="B2" s="1826" t="str">
        <f>"SCHEDULE  OF  CAPITAL  LEASE  PROGRAM  OBLIGATIONS "&amp;UPPER('KEY INPUTS'!D57)&amp;"  UTILITY"</f>
        <v>SCHEDULE  OF  CAPITAL  LEASE  PROGRAM  OBLIGATIONS   UTILITY</v>
      </c>
      <c r="C2" s="1826"/>
      <c r="D2" s="1826"/>
      <c r="E2" s="1826"/>
      <c r="F2" s="1826"/>
      <c r="G2" s="1826"/>
      <c r="H2" s="1826"/>
      <c r="I2" s="1826"/>
    </row>
    <row r="3" spans="1:18" ht="21" thickBot="1">
      <c r="B3" s="1916"/>
      <c r="C3" s="1916"/>
      <c r="D3" s="1916"/>
      <c r="E3" s="1916"/>
      <c r="F3" s="1916"/>
      <c r="G3" s="1916"/>
      <c r="H3" s="1916"/>
      <c r="I3" s="1916"/>
    </row>
    <row r="4" spans="1:18" ht="13.5" customHeight="1" thickTop="1">
      <c r="B4" s="1987"/>
      <c r="C4" s="1987"/>
      <c r="D4" s="1987"/>
      <c r="E4" s="1987"/>
      <c r="F4" s="1988"/>
      <c r="G4" s="1345"/>
      <c r="H4" s="1124"/>
      <c r="I4" s="1249"/>
    </row>
    <row r="5" spans="1:18" ht="13.5" customHeight="1">
      <c r="B5" s="1128"/>
      <c r="C5" s="1128"/>
      <c r="D5" s="1128"/>
      <c r="E5" s="1123"/>
      <c r="F5" s="1123"/>
      <c r="G5" s="1133" t="s">
        <v>441</v>
      </c>
      <c r="H5" s="1989" t="str">
        <f>'KEY INPUTS'!D34+1&amp;" Budget Requirements"</f>
        <v>2021 Budget Requirements</v>
      </c>
      <c r="I5" s="1990"/>
      <c r="J5" s="765"/>
    </row>
    <row r="6" spans="1:18" ht="13.5" customHeight="1">
      <c r="B6" s="1128"/>
      <c r="C6" s="1825" t="s">
        <v>440</v>
      </c>
      <c r="D6" s="1825"/>
      <c r="E6" s="1123"/>
      <c r="F6" s="1123"/>
      <c r="G6" s="1133" t="s">
        <v>457</v>
      </c>
      <c r="H6" s="1991"/>
      <c r="I6" s="1992"/>
      <c r="J6" s="765"/>
    </row>
    <row r="7" spans="1:18" ht="13.5" customHeight="1">
      <c r="B7" s="1128"/>
      <c r="C7" s="1128"/>
      <c r="D7" s="1128"/>
      <c r="E7" s="1123"/>
      <c r="F7" s="1253"/>
      <c r="G7" s="1254" t="str">
        <f>'KEY INPUTS'!D46</f>
        <v>Dec. 31, 2020</v>
      </c>
      <c r="H7" s="1129" t="s">
        <v>3229</v>
      </c>
      <c r="I7" s="1131" t="s">
        <v>458</v>
      </c>
      <c r="L7" s="315"/>
      <c r="M7" s="315"/>
      <c r="N7" s="315"/>
      <c r="O7" s="315"/>
      <c r="P7" s="315"/>
      <c r="Q7" s="315"/>
      <c r="R7" s="315"/>
    </row>
    <row r="8" spans="1:18" ht="13.5" customHeight="1" thickBot="1">
      <c r="B8" s="1135"/>
      <c r="C8" s="1135"/>
      <c r="D8" s="1135"/>
      <c r="E8" s="1135"/>
      <c r="F8" s="1255"/>
      <c r="G8" s="1256"/>
      <c r="H8" s="1137"/>
      <c r="I8" s="1257"/>
      <c r="L8" s="315"/>
      <c r="M8" s="315"/>
      <c r="N8" s="315"/>
      <c r="O8" s="315"/>
      <c r="P8" s="315"/>
      <c r="Q8" s="315"/>
      <c r="R8" s="315"/>
    </row>
    <row r="9" spans="1:18" ht="21" customHeight="1" thickTop="1">
      <c r="B9" s="2010"/>
      <c r="C9" s="2010"/>
      <c r="D9" s="2010"/>
      <c r="E9" s="2010"/>
      <c r="F9" s="2011"/>
      <c r="G9" s="792"/>
      <c r="H9" s="597"/>
      <c r="I9" s="793"/>
      <c r="L9" s="370"/>
      <c r="M9" s="315"/>
      <c r="N9" s="315"/>
      <c r="O9" s="315"/>
      <c r="P9" s="315"/>
      <c r="Q9" s="315"/>
      <c r="R9" s="315"/>
    </row>
    <row r="10" spans="1:18" ht="21" customHeight="1">
      <c r="B10" s="2008"/>
      <c r="C10" s="2008"/>
      <c r="D10" s="2008"/>
      <c r="E10" s="2008"/>
      <c r="F10" s="2009"/>
      <c r="G10" s="623"/>
      <c r="H10" s="593"/>
      <c r="I10" s="594"/>
      <c r="L10" s="315"/>
      <c r="M10" s="315"/>
      <c r="N10" s="315"/>
      <c r="O10" s="315"/>
      <c r="P10" s="315"/>
      <c r="Q10" s="315"/>
      <c r="R10" s="315"/>
    </row>
    <row r="11" spans="1:18" ht="21" customHeight="1">
      <c r="B11" s="2008"/>
      <c r="C11" s="2008"/>
      <c r="D11" s="2008"/>
      <c r="E11" s="2008"/>
      <c r="F11" s="2009"/>
      <c r="G11" s="623"/>
      <c r="H11" s="593"/>
      <c r="I11" s="594"/>
      <c r="L11" s="315"/>
      <c r="M11" s="315"/>
      <c r="N11" s="315"/>
      <c r="O11" s="315"/>
      <c r="P11" s="315"/>
      <c r="Q11" s="315"/>
      <c r="R11" s="315"/>
    </row>
    <row r="12" spans="1:18" ht="21" customHeight="1">
      <c r="B12" s="2008"/>
      <c r="C12" s="2008"/>
      <c r="D12" s="2008"/>
      <c r="E12" s="2008"/>
      <c r="F12" s="2009"/>
      <c r="G12" s="623"/>
      <c r="H12" s="593"/>
      <c r="I12" s="594"/>
      <c r="L12" s="315"/>
      <c r="M12" s="315"/>
      <c r="N12" s="315"/>
      <c r="O12" s="315"/>
      <c r="P12" s="315"/>
      <c r="Q12" s="315"/>
      <c r="R12" s="315"/>
    </row>
    <row r="13" spans="1:18" ht="21" customHeight="1">
      <c r="B13" s="2008"/>
      <c r="C13" s="2008"/>
      <c r="D13" s="2008"/>
      <c r="E13" s="2008"/>
      <c r="F13" s="2009"/>
      <c r="G13" s="623"/>
      <c r="H13" s="593"/>
      <c r="I13" s="594"/>
      <c r="L13" s="315"/>
      <c r="M13" s="315"/>
      <c r="N13" s="315"/>
      <c r="O13" s="315"/>
      <c r="P13" s="315"/>
      <c r="Q13" s="315"/>
      <c r="R13" s="315"/>
    </row>
    <row r="14" spans="1:18" ht="21" customHeight="1">
      <c r="B14" s="2008"/>
      <c r="C14" s="2008"/>
      <c r="D14" s="2008"/>
      <c r="E14" s="2008"/>
      <c r="F14" s="2009"/>
      <c r="G14" s="624"/>
      <c r="H14" s="593"/>
      <c r="I14" s="594"/>
      <c r="L14" s="315"/>
      <c r="M14" s="315"/>
      <c r="N14" s="315"/>
      <c r="O14" s="315"/>
      <c r="P14" s="315"/>
      <c r="Q14" s="315"/>
      <c r="R14" s="315"/>
    </row>
    <row r="15" spans="1:18" ht="21" customHeight="1">
      <c r="A15" s="1830" t="s">
        <v>3228</v>
      </c>
      <c r="B15" s="2008"/>
      <c r="C15" s="2008"/>
      <c r="D15" s="2008"/>
      <c r="E15" s="2008"/>
      <c r="F15" s="2009"/>
      <c r="G15" s="623"/>
      <c r="H15" s="593"/>
      <c r="I15" s="594"/>
      <c r="L15" s="315"/>
      <c r="M15" s="315"/>
      <c r="N15" s="315"/>
      <c r="O15" s="315"/>
      <c r="P15" s="315"/>
      <c r="Q15" s="315"/>
      <c r="R15" s="315"/>
    </row>
    <row r="16" spans="1:18" ht="21" customHeight="1">
      <c r="A16" s="1830"/>
      <c r="B16" s="2008"/>
      <c r="C16" s="2008"/>
      <c r="D16" s="2008"/>
      <c r="E16" s="2008"/>
      <c r="F16" s="2009"/>
      <c r="G16" s="623"/>
      <c r="H16" s="593"/>
      <c r="I16" s="594"/>
      <c r="L16" s="315"/>
      <c r="M16" s="315"/>
      <c r="N16" s="315"/>
      <c r="O16" s="315"/>
      <c r="P16" s="315"/>
      <c r="Q16" s="315"/>
      <c r="R16" s="315"/>
    </row>
    <row r="17" spans="1:18" ht="21" customHeight="1">
      <c r="A17" s="1830"/>
      <c r="B17" s="2008"/>
      <c r="C17" s="2008"/>
      <c r="D17" s="2008"/>
      <c r="E17" s="2008"/>
      <c r="F17" s="2009"/>
      <c r="G17" s="623"/>
      <c r="H17" s="593"/>
      <c r="I17" s="594"/>
      <c r="L17" s="315"/>
      <c r="M17" s="315"/>
      <c r="N17" s="315"/>
      <c r="O17" s="315"/>
      <c r="P17" s="315"/>
      <c r="Q17" s="315"/>
      <c r="R17" s="315"/>
    </row>
    <row r="18" spans="1:18" ht="21" customHeight="1">
      <c r="A18" s="538"/>
      <c r="B18" s="2008"/>
      <c r="C18" s="2008"/>
      <c r="D18" s="2008"/>
      <c r="E18" s="2008"/>
      <c r="F18" s="2009"/>
      <c r="G18" s="623"/>
      <c r="H18" s="593"/>
      <c r="I18" s="594"/>
      <c r="L18" s="315"/>
      <c r="M18" s="315"/>
      <c r="N18" s="315"/>
      <c r="O18" s="315"/>
      <c r="P18" s="315"/>
      <c r="Q18" s="315"/>
      <c r="R18" s="315"/>
    </row>
    <row r="19" spans="1:18" ht="21" customHeight="1">
      <c r="B19" s="2008"/>
      <c r="C19" s="2008"/>
      <c r="D19" s="2008"/>
      <c r="E19" s="2008"/>
      <c r="F19" s="2009"/>
      <c r="G19" s="623"/>
      <c r="H19" s="593"/>
      <c r="I19" s="594"/>
      <c r="L19" s="315"/>
      <c r="M19" s="315"/>
      <c r="N19" s="315"/>
      <c r="O19" s="315"/>
      <c r="P19" s="315"/>
      <c r="Q19" s="315"/>
      <c r="R19" s="315"/>
    </row>
    <row r="20" spans="1:18" ht="21" customHeight="1">
      <c r="B20" s="2008"/>
      <c r="C20" s="2008"/>
      <c r="D20" s="2008"/>
      <c r="E20" s="2008"/>
      <c r="F20" s="2009"/>
      <c r="G20" s="623"/>
      <c r="H20" s="593"/>
      <c r="I20" s="594"/>
      <c r="L20" s="315"/>
      <c r="M20" s="315"/>
      <c r="N20" s="315"/>
      <c r="O20" s="315"/>
      <c r="P20" s="315"/>
      <c r="Q20" s="315"/>
      <c r="R20" s="315"/>
    </row>
    <row r="21" spans="1:18" ht="21" customHeight="1">
      <c r="B21" s="2008"/>
      <c r="C21" s="2008"/>
      <c r="D21" s="2008"/>
      <c r="E21" s="2008"/>
      <c r="F21" s="2009"/>
      <c r="G21" s="623"/>
      <c r="H21" s="593"/>
      <c r="I21" s="594"/>
      <c r="L21" s="315"/>
      <c r="M21" s="315"/>
      <c r="N21" s="315"/>
      <c r="O21" s="315"/>
      <c r="P21" s="315"/>
      <c r="Q21" s="315"/>
      <c r="R21" s="315"/>
    </row>
    <row r="22" spans="1:18" ht="21" customHeight="1" thickBot="1">
      <c r="B22" s="2008"/>
      <c r="C22" s="2008"/>
      <c r="D22" s="2008"/>
      <c r="E22" s="2008"/>
      <c r="F22" s="2009"/>
      <c r="G22" s="625"/>
      <c r="H22" s="619"/>
      <c r="I22" s="626"/>
      <c r="L22" s="315"/>
      <c r="M22" s="315"/>
      <c r="N22" s="315"/>
      <c r="O22" s="315"/>
      <c r="P22" s="315"/>
      <c r="Q22" s="315"/>
      <c r="R22" s="315"/>
    </row>
    <row r="23" spans="1:18" ht="21" customHeight="1" thickTop="1" thickBot="1">
      <c r="B23" s="537"/>
      <c r="C23" s="1144"/>
      <c r="D23" s="1355" t="s">
        <v>142</v>
      </c>
      <c r="E23" s="1044"/>
      <c r="F23" s="1255"/>
      <c r="G23" s="1356">
        <f>SUM(G9:G22)</f>
        <v>0</v>
      </c>
      <c r="H23" s="1065">
        <f>SUM(H9:H22)</f>
        <v>0</v>
      </c>
      <c r="I23" s="1143">
        <f>SUM(I9:I22)</f>
        <v>0</v>
      </c>
      <c r="L23" s="315"/>
      <c r="M23" s="315"/>
      <c r="N23" s="315"/>
      <c r="O23" s="315"/>
      <c r="P23" s="315"/>
      <c r="Q23" s="315"/>
      <c r="R23" s="315"/>
    </row>
    <row r="24" spans="1:18" ht="13.5" customHeight="1" thickTop="1">
      <c r="B24" s="794"/>
      <c r="C24" s="404"/>
      <c r="D24" s="795"/>
      <c r="H24" s="497"/>
      <c r="I24" s="497"/>
    </row>
    <row r="25" spans="1:18" ht="13.5" customHeight="1">
      <c r="B25" s="794"/>
      <c r="C25" s="404"/>
      <c r="D25" s="795"/>
    </row>
    <row r="26" spans="1:18" ht="13.5" customHeight="1">
      <c r="B26" s="794"/>
      <c r="C26" s="404"/>
      <c r="D26" s="795"/>
      <c r="H26" s="791"/>
    </row>
    <row r="27" spans="1:18">
      <c r="B27" s="534"/>
      <c r="C27" s="404"/>
      <c r="D27" s="404"/>
    </row>
  </sheetData>
  <sheetProtection algorithmName="SHA-512" hashValue="VjEHSo1P8alOMbW5ILMGtmjH5Uoagr/E2R2WpzhRoLMRI8CyXiqZD+bR3i69V6ZUib8W+rmQVIGHCP4UY4MIug==" saltValue="z+7EbUf/vrQW6ouaphRZ8w=="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6">
    <tabColor theme="3" tint="0.79998168889431442"/>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INPUTS'!D57)&amp;"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87"/>
      <c r="C4" s="1987"/>
      <c r="D4" s="1988"/>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133"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692"/>
      <c r="C9" s="664"/>
      <c r="D9" s="667"/>
      <c r="E9" s="597"/>
      <c r="F9" s="597"/>
      <c r="G9" s="597"/>
      <c r="H9" s="597"/>
      <c r="I9" s="597"/>
      <c r="J9" s="597"/>
      <c r="K9" s="597"/>
      <c r="L9" s="793"/>
      <c r="O9" s="315"/>
      <c r="P9" s="315"/>
      <c r="Q9" s="315"/>
      <c r="R9" s="315"/>
      <c r="S9" s="315"/>
      <c r="T9" s="315"/>
      <c r="U9" s="315"/>
    </row>
    <row r="10" spans="2:21" ht="21" customHeight="1">
      <c r="B10" s="696"/>
      <c r="C10" s="639"/>
      <c r="D10" s="643"/>
      <c r="E10" s="593"/>
      <c r="F10" s="593"/>
      <c r="G10" s="593"/>
      <c r="H10" s="593"/>
      <c r="I10" s="593"/>
      <c r="J10" s="593"/>
      <c r="K10" s="594"/>
      <c r="L10" s="594"/>
      <c r="O10" s="370"/>
      <c r="P10" s="315"/>
      <c r="Q10" s="315"/>
      <c r="R10" s="315"/>
      <c r="S10" s="315"/>
      <c r="T10" s="315"/>
      <c r="U10" s="315"/>
    </row>
    <row r="11" spans="2:21" ht="21" customHeight="1">
      <c r="B11" s="796"/>
      <c r="C11" s="639"/>
      <c r="D11" s="643"/>
      <c r="E11" s="593"/>
      <c r="F11" s="593"/>
      <c r="G11" s="593"/>
      <c r="H11" s="593"/>
      <c r="I11" s="593"/>
      <c r="J11" s="593"/>
      <c r="K11" s="594"/>
      <c r="L11" s="594"/>
      <c r="O11" s="315"/>
      <c r="P11" s="315"/>
      <c r="Q11" s="315"/>
      <c r="R11" s="315"/>
      <c r="S11" s="315"/>
      <c r="T11" s="315"/>
      <c r="U11" s="315"/>
    </row>
    <row r="12" spans="2:21" ht="21" customHeight="1">
      <c r="B12" s="796"/>
      <c r="C12" s="639"/>
      <c r="D12" s="643"/>
      <c r="E12" s="593"/>
      <c r="F12" s="593"/>
      <c r="G12" s="593"/>
      <c r="H12" s="593"/>
      <c r="I12" s="367"/>
      <c r="J12" s="593"/>
      <c r="K12" s="594"/>
      <c r="L12" s="594"/>
      <c r="O12" s="315"/>
      <c r="P12" s="315"/>
      <c r="Q12" s="315"/>
      <c r="R12" s="315"/>
      <c r="S12" s="315"/>
      <c r="T12" s="315"/>
      <c r="U12" s="315"/>
    </row>
    <row r="13" spans="2:21" ht="21" customHeight="1">
      <c r="B13" s="796"/>
      <c r="C13" s="639"/>
      <c r="D13" s="643"/>
      <c r="E13" s="593"/>
      <c r="F13" s="593"/>
      <c r="G13" s="593"/>
      <c r="H13" s="593"/>
      <c r="I13" s="593"/>
      <c r="J13" s="593"/>
      <c r="K13" s="594"/>
      <c r="L13" s="594"/>
      <c r="O13" s="315"/>
      <c r="P13" s="315"/>
      <c r="Q13" s="315"/>
      <c r="R13" s="315"/>
      <c r="S13" s="315"/>
      <c r="T13" s="315"/>
      <c r="U13" s="315"/>
    </row>
    <row r="14" spans="2:21" ht="21" customHeight="1">
      <c r="B14" s="696"/>
      <c r="C14" s="639"/>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3230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3427</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420"/>
      <c r="C28" s="1146" t="s">
        <v>551</v>
      </c>
      <c r="D28" s="1421"/>
      <c r="E28" s="1128"/>
      <c r="F28" s="1128"/>
      <c r="G28" s="1128"/>
      <c r="H28" s="1128"/>
      <c r="I28" s="1128"/>
      <c r="J28" s="1128"/>
      <c r="K28" s="1351"/>
      <c r="L28" s="1351"/>
    </row>
    <row r="42" spans="11:12">
      <c r="K42" s="324" t="s">
        <v>3272</v>
      </c>
      <c r="L42" s="546">
        <f>K27+L27</f>
        <v>0</v>
      </c>
    </row>
  </sheetData>
  <sheetProtection algorithmName="SHA-512" hashValue="0jvxnQnMToVt4WByRqxC+etq2zDXO5pRc6WD5EREDCjI3sps9PLS9fBCHdwrRrnlwdA3lV2wG1438w/PZT7deA==" saltValue="HJalhgfZd3T7G/kgGHuVY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7">
    <tabColor theme="3" tint="0.79998168889431442"/>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INPUTS'!D57)&amp;"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87"/>
      <c r="C4" s="1987"/>
      <c r="D4" s="1988"/>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133"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291">
        <f>+'52-Utility6'!E27</f>
        <v>0</v>
      </c>
      <c r="F9" s="1291">
        <f>+'52-Utility6'!F27</f>
        <v>0</v>
      </c>
      <c r="G9" s="1291">
        <f>+'52-Utility6'!G27</f>
        <v>0</v>
      </c>
      <c r="H9" s="1291">
        <f>+'52-Utility6'!H27</f>
        <v>0</v>
      </c>
      <c r="I9" s="1291">
        <f>+'52-Utility6'!I27</f>
        <v>0</v>
      </c>
      <c r="J9" s="1291">
        <f>+'52-Utility6'!J27</f>
        <v>0</v>
      </c>
      <c r="K9" s="1291">
        <f>+'52-Utility6'!K27</f>
        <v>0</v>
      </c>
      <c r="L9" s="1422">
        <f>+'52-Utility6'!L27</f>
        <v>0</v>
      </c>
      <c r="O9" s="315"/>
      <c r="P9" s="315"/>
      <c r="Q9" s="315"/>
      <c r="R9" s="315"/>
      <c r="S9" s="315"/>
      <c r="T9" s="315"/>
      <c r="U9" s="315"/>
    </row>
    <row r="10" spans="2:21" ht="21" customHeight="1">
      <c r="B10" s="696"/>
      <c r="C10" s="639"/>
      <c r="D10" s="643"/>
      <c r="E10" s="593"/>
      <c r="F10" s="593"/>
      <c r="G10" s="593"/>
      <c r="H10" s="593"/>
      <c r="I10" s="593"/>
      <c r="J10" s="593"/>
      <c r="K10" s="594"/>
      <c r="L10" s="594"/>
      <c r="O10" s="370"/>
      <c r="P10" s="315"/>
      <c r="Q10" s="315"/>
      <c r="R10" s="315"/>
      <c r="S10" s="315"/>
      <c r="T10" s="315"/>
      <c r="U10" s="315"/>
    </row>
    <row r="11" spans="2:21" ht="21" customHeight="1">
      <c r="B11" s="796"/>
      <c r="C11" s="639"/>
      <c r="D11" s="643"/>
      <c r="E11" s="593"/>
      <c r="F11" s="593"/>
      <c r="G11" s="593"/>
      <c r="H11" s="593"/>
      <c r="I11" s="593"/>
      <c r="J11" s="593"/>
      <c r="K11" s="594"/>
      <c r="L11" s="594"/>
      <c r="O11" s="315"/>
      <c r="P11" s="315"/>
      <c r="Q11" s="315"/>
      <c r="R11" s="315"/>
      <c r="S11" s="315"/>
      <c r="T11" s="315"/>
      <c r="U11" s="315"/>
    </row>
    <row r="12" spans="2:21" ht="21" customHeight="1">
      <c r="B12" s="796"/>
      <c r="C12" s="639"/>
      <c r="D12" s="643"/>
      <c r="E12" s="593"/>
      <c r="F12" s="593"/>
      <c r="G12" s="593"/>
      <c r="H12" s="593"/>
      <c r="I12" s="367"/>
      <c r="J12" s="593"/>
      <c r="K12" s="594"/>
      <c r="L12" s="594"/>
      <c r="O12" s="315"/>
      <c r="P12" s="315"/>
      <c r="Q12" s="315"/>
      <c r="R12" s="315"/>
      <c r="S12" s="315"/>
      <c r="T12" s="315"/>
      <c r="U12" s="315"/>
    </row>
    <row r="13" spans="2:21" ht="21" customHeight="1">
      <c r="B13" s="796"/>
      <c r="C13" s="639"/>
      <c r="D13" s="643"/>
      <c r="E13" s="593"/>
      <c r="F13" s="593"/>
      <c r="G13" s="593"/>
      <c r="H13" s="593"/>
      <c r="I13" s="593"/>
      <c r="J13" s="593"/>
      <c r="K13" s="594"/>
      <c r="L13" s="594"/>
      <c r="O13" s="315"/>
      <c r="P13" s="315"/>
      <c r="Q13" s="315"/>
      <c r="R13" s="315"/>
      <c r="S13" s="315"/>
      <c r="T13" s="315"/>
      <c r="U13" s="315"/>
    </row>
    <row r="14" spans="2:21" ht="21" customHeight="1">
      <c r="B14" s="696"/>
      <c r="C14" s="639"/>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3420</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3427</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420"/>
      <c r="C28" s="1146" t="s">
        <v>551</v>
      </c>
      <c r="D28" s="1421"/>
      <c r="E28" s="1128"/>
      <c r="F28" s="1128"/>
      <c r="G28" s="1128"/>
      <c r="H28" s="1128"/>
      <c r="I28" s="1128"/>
      <c r="J28" s="1128"/>
      <c r="K28" s="1351"/>
      <c r="L28" s="1351"/>
    </row>
    <row r="42" spans="11:12">
      <c r="K42" s="324" t="s">
        <v>3272</v>
      </c>
      <c r="L42" s="546">
        <f>K27+L27</f>
        <v>0</v>
      </c>
    </row>
  </sheetData>
  <sheetProtection algorithmName="SHA-512" hashValue="btX/jLvwkZC6q2nN+LmGLVYhWeUwd4Y9ugRFJCkhMFwjj2o1rjIFuaJuD0noT1QLXYRDaF2zhAs0GcUgZOrOrg==" saltValue="56Og0tr//UK+3y4BqyRaZ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8">
    <tabColor theme="3" tint="0.79998168889431442"/>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INPUTS'!D57)&amp;"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87"/>
      <c r="C4" s="1987"/>
      <c r="D4" s="1988"/>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133"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291">
        <f>+'52.1-Utility6'!E27</f>
        <v>0</v>
      </c>
      <c r="F9" s="1291">
        <f>+'52.1-Utility6'!F27</f>
        <v>0</v>
      </c>
      <c r="G9" s="1291">
        <f>+'52.1-Utility6'!G27</f>
        <v>0</v>
      </c>
      <c r="H9" s="1291">
        <f>+'52.1-Utility6'!H27</f>
        <v>0</v>
      </c>
      <c r="I9" s="1291">
        <f>+'52.1-Utility6'!I27</f>
        <v>0</v>
      </c>
      <c r="J9" s="1291">
        <f>+'52.1-Utility6'!J27</f>
        <v>0</v>
      </c>
      <c r="K9" s="1291">
        <f>+'52.1-Utility6'!K27</f>
        <v>0</v>
      </c>
      <c r="L9" s="1422">
        <f>+'52.1-Utility6'!L27</f>
        <v>0</v>
      </c>
      <c r="O9" s="315"/>
      <c r="P9" s="315"/>
      <c r="Q9" s="315"/>
      <c r="R9" s="315"/>
      <c r="S9" s="315"/>
      <c r="T9" s="315"/>
      <c r="U9" s="315"/>
    </row>
    <row r="10" spans="2:21" ht="21" customHeight="1">
      <c r="B10" s="696"/>
      <c r="C10" s="639"/>
      <c r="D10" s="643"/>
      <c r="E10" s="593"/>
      <c r="F10" s="593"/>
      <c r="G10" s="593"/>
      <c r="H10" s="593"/>
      <c r="I10" s="593"/>
      <c r="J10" s="593"/>
      <c r="K10" s="594"/>
      <c r="L10" s="594"/>
      <c r="O10" s="370"/>
      <c r="P10" s="315"/>
      <c r="Q10" s="315"/>
      <c r="R10" s="315"/>
      <c r="S10" s="315"/>
      <c r="T10" s="315"/>
      <c r="U10" s="315"/>
    </row>
    <row r="11" spans="2:21" ht="21" customHeight="1">
      <c r="B11" s="796"/>
      <c r="C11" s="639"/>
      <c r="D11" s="643"/>
      <c r="E11" s="593"/>
      <c r="F11" s="593"/>
      <c r="G11" s="593"/>
      <c r="H11" s="593"/>
      <c r="I11" s="593"/>
      <c r="J11" s="593"/>
      <c r="K11" s="594"/>
      <c r="L11" s="594"/>
      <c r="O11" s="315"/>
      <c r="P11" s="315"/>
      <c r="Q11" s="315"/>
      <c r="R11" s="315"/>
      <c r="S11" s="315"/>
      <c r="T11" s="315"/>
      <c r="U11" s="315"/>
    </row>
    <row r="12" spans="2:21" ht="21" customHeight="1">
      <c r="B12" s="796"/>
      <c r="C12" s="639"/>
      <c r="D12" s="643"/>
      <c r="E12" s="593"/>
      <c r="F12" s="593"/>
      <c r="G12" s="593"/>
      <c r="H12" s="593"/>
      <c r="I12" s="367"/>
      <c r="J12" s="593"/>
      <c r="K12" s="594"/>
      <c r="L12" s="594"/>
      <c r="O12" s="315"/>
      <c r="P12" s="315"/>
      <c r="Q12" s="315"/>
      <c r="R12" s="315"/>
      <c r="S12" s="315"/>
      <c r="T12" s="315"/>
      <c r="U12" s="315"/>
    </row>
    <row r="13" spans="2:21" ht="21" customHeight="1">
      <c r="B13" s="796"/>
      <c r="C13" s="639"/>
      <c r="D13" s="643"/>
      <c r="E13" s="593"/>
      <c r="F13" s="593"/>
      <c r="G13" s="593"/>
      <c r="H13" s="593"/>
      <c r="I13" s="593"/>
      <c r="J13" s="593"/>
      <c r="K13" s="594"/>
      <c r="L13" s="594"/>
      <c r="O13" s="315"/>
      <c r="P13" s="315"/>
      <c r="Q13" s="315"/>
      <c r="R13" s="315"/>
      <c r="S13" s="315"/>
      <c r="T13" s="315"/>
      <c r="U13" s="315"/>
    </row>
    <row r="14" spans="2:21" ht="21" customHeight="1">
      <c r="B14" s="696"/>
      <c r="C14" s="639"/>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3421</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3427</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420"/>
      <c r="C28" s="1146" t="s">
        <v>551</v>
      </c>
      <c r="D28" s="1421"/>
      <c r="E28" s="1128"/>
      <c r="F28" s="1128"/>
      <c r="G28" s="1128"/>
      <c r="H28" s="1128"/>
      <c r="I28" s="1128"/>
      <c r="J28" s="1128"/>
      <c r="K28" s="1351"/>
      <c r="L28" s="1351"/>
    </row>
    <row r="42" spans="11:12">
      <c r="K42" s="324" t="s">
        <v>3272</v>
      </c>
      <c r="L42" s="546">
        <f>K27+L27</f>
        <v>0</v>
      </c>
    </row>
  </sheetData>
  <sheetProtection algorithmName="SHA-512" hashValue="SpGOx35KLTRF7ISBNXX7BAPG827c5y3rlAQmUIAIAWbcfPLZa/ZcboMopbmUYBtd/cImS+FIjyJDk12pS4dHYA==" saltValue="UR1LyEKwCMKq4xrGYWZSI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9">
    <tabColor theme="3" tint="0.79998168889431442"/>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INPUTS'!D57)&amp;"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87"/>
      <c r="C4" s="1987"/>
      <c r="D4" s="1988"/>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133"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291">
        <f>+'52.2-Utility6'!E27</f>
        <v>0</v>
      </c>
      <c r="F9" s="1291">
        <f>+'52.2-Utility6'!F27</f>
        <v>0</v>
      </c>
      <c r="G9" s="1291">
        <f>+'52.2-Utility6'!G27</f>
        <v>0</v>
      </c>
      <c r="H9" s="1291">
        <f>+'52.2-Utility6'!H27</f>
        <v>0</v>
      </c>
      <c r="I9" s="1291">
        <f>+'52.2-Utility6'!I27</f>
        <v>0</v>
      </c>
      <c r="J9" s="1291">
        <f>+'52.2-Utility6'!J27</f>
        <v>0</v>
      </c>
      <c r="K9" s="1291">
        <f>+'52.2-Utility6'!K27</f>
        <v>0</v>
      </c>
      <c r="L9" s="1422">
        <f>+'52.2-Utility6'!L27</f>
        <v>0</v>
      </c>
      <c r="O9" s="315"/>
      <c r="P9" s="315"/>
      <c r="Q9" s="315"/>
      <c r="R9" s="315"/>
      <c r="S9" s="315"/>
      <c r="T9" s="315"/>
      <c r="U9" s="315"/>
    </row>
    <row r="10" spans="2:21" ht="21" customHeight="1">
      <c r="B10" s="696"/>
      <c r="C10" s="639"/>
      <c r="D10" s="643"/>
      <c r="E10" s="593"/>
      <c r="F10" s="593"/>
      <c r="G10" s="593"/>
      <c r="H10" s="593"/>
      <c r="I10" s="593"/>
      <c r="J10" s="593"/>
      <c r="K10" s="594"/>
      <c r="L10" s="594"/>
      <c r="O10" s="370"/>
      <c r="P10" s="315"/>
      <c r="Q10" s="315"/>
      <c r="R10" s="315"/>
      <c r="S10" s="315"/>
      <c r="T10" s="315"/>
      <c r="U10" s="315"/>
    </row>
    <row r="11" spans="2:21" ht="21" customHeight="1">
      <c r="B11" s="796"/>
      <c r="C11" s="639"/>
      <c r="D11" s="643"/>
      <c r="E11" s="593"/>
      <c r="F11" s="593"/>
      <c r="G11" s="593"/>
      <c r="H11" s="593"/>
      <c r="I11" s="593"/>
      <c r="J11" s="593"/>
      <c r="K11" s="594"/>
      <c r="L11" s="594"/>
      <c r="O11" s="315"/>
      <c r="P11" s="315"/>
      <c r="Q11" s="315"/>
      <c r="R11" s="315"/>
      <c r="S11" s="315"/>
      <c r="T11" s="315"/>
      <c r="U11" s="315"/>
    </row>
    <row r="12" spans="2:21" ht="21" customHeight="1">
      <c r="B12" s="796"/>
      <c r="C12" s="639"/>
      <c r="D12" s="643"/>
      <c r="E12" s="593"/>
      <c r="F12" s="593"/>
      <c r="G12" s="593"/>
      <c r="H12" s="593"/>
      <c r="I12" s="367"/>
      <c r="J12" s="593"/>
      <c r="K12" s="594"/>
      <c r="L12" s="594"/>
      <c r="O12" s="315"/>
      <c r="P12" s="315"/>
      <c r="Q12" s="315"/>
      <c r="R12" s="315"/>
      <c r="S12" s="315"/>
      <c r="T12" s="315"/>
      <c r="U12" s="315"/>
    </row>
    <row r="13" spans="2:21" ht="21" customHeight="1">
      <c r="B13" s="796"/>
      <c r="C13" s="639"/>
      <c r="D13" s="643"/>
      <c r="E13" s="593"/>
      <c r="F13" s="593"/>
      <c r="G13" s="593"/>
      <c r="H13" s="593"/>
      <c r="I13" s="593"/>
      <c r="J13" s="593"/>
      <c r="K13" s="594"/>
      <c r="L13" s="594"/>
      <c r="O13" s="315"/>
      <c r="P13" s="315"/>
      <c r="Q13" s="315"/>
      <c r="R13" s="315"/>
      <c r="S13" s="315"/>
      <c r="T13" s="315"/>
      <c r="U13" s="315"/>
    </row>
    <row r="14" spans="2:21" ht="21" customHeight="1">
      <c r="B14" s="696"/>
      <c r="C14" s="639"/>
      <c r="D14" s="643"/>
      <c r="E14" s="593"/>
      <c r="F14" s="593"/>
      <c r="G14" s="593"/>
      <c r="H14" s="593"/>
      <c r="I14" s="593"/>
      <c r="J14" s="593"/>
      <c r="K14" s="594"/>
      <c r="L14" s="594"/>
      <c r="O14" s="315"/>
      <c r="P14" s="315"/>
      <c r="Q14" s="315"/>
      <c r="R14" s="315"/>
      <c r="S14" s="315"/>
      <c r="T14" s="315"/>
      <c r="U14" s="315"/>
    </row>
    <row r="15" spans="2:21" ht="21" customHeight="1">
      <c r="B15" s="696"/>
      <c r="C15" s="639"/>
      <c r="D15" s="643"/>
      <c r="E15" s="593"/>
      <c r="F15" s="593"/>
      <c r="G15" s="593"/>
      <c r="H15" s="593"/>
      <c r="I15" s="593"/>
      <c r="J15" s="593"/>
      <c r="K15" s="594"/>
      <c r="L15" s="594"/>
      <c r="O15" s="315"/>
      <c r="P15" s="315"/>
      <c r="Q15" s="315"/>
      <c r="R15" s="315"/>
      <c r="S15" s="315"/>
      <c r="T15" s="315"/>
      <c r="U15" s="315"/>
    </row>
    <row r="16" spans="2:21" ht="21" customHeight="1">
      <c r="B16" s="696"/>
      <c r="C16" s="639"/>
      <c r="D16" s="643"/>
      <c r="E16" s="596"/>
      <c r="F16" s="596"/>
      <c r="G16" s="596"/>
      <c r="H16" s="596"/>
      <c r="I16" s="596"/>
      <c r="J16" s="596"/>
      <c r="K16" s="594"/>
      <c r="L16" s="594"/>
      <c r="O16" s="315"/>
      <c r="P16" s="315"/>
      <c r="Q16" s="315"/>
      <c r="R16" s="315"/>
      <c r="S16" s="315"/>
      <c r="T16" s="315"/>
      <c r="U16" s="315"/>
    </row>
    <row r="17" spans="1:21" ht="21" customHeight="1">
      <c r="A17" s="1830" t="s">
        <v>3422</v>
      </c>
      <c r="B17" s="696"/>
      <c r="C17" s="639"/>
      <c r="D17" s="643"/>
      <c r="E17" s="593"/>
      <c r="F17" s="593"/>
      <c r="G17" s="593"/>
      <c r="H17" s="593"/>
      <c r="I17" s="593"/>
      <c r="J17" s="593"/>
      <c r="K17" s="594"/>
      <c r="L17" s="594"/>
      <c r="O17" s="315"/>
      <c r="P17" s="315"/>
      <c r="Q17" s="315"/>
      <c r="R17" s="315"/>
      <c r="S17" s="315"/>
      <c r="T17" s="315"/>
      <c r="U17" s="315"/>
    </row>
    <row r="18" spans="1:21" ht="21" customHeight="1">
      <c r="A18" s="1830"/>
      <c r="B18" s="696"/>
      <c r="C18" s="639"/>
      <c r="D18" s="643"/>
      <c r="E18" s="593"/>
      <c r="F18" s="593"/>
      <c r="G18" s="593"/>
      <c r="H18" s="593"/>
      <c r="I18" s="593"/>
      <c r="J18" s="593"/>
      <c r="K18" s="594"/>
      <c r="L18" s="594"/>
      <c r="O18" s="315"/>
      <c r="P18" s="315"/>
      <c r="Q18" s="315"/>
      <c r="R18" s="315"/>
      <c r="S18" s="315"/>
      <c r="T18" s="315"/>
      <c r="U18" s="315"/>
    </row>
    <row r="19" spans="1:21" ht="21" customHeight="1">
      <c r="A19" s="1830"/>
      <c r="B19" s="696"/>
      <c r="C19" s="639"/>
      <c r="D19" s="643"/>
      <c r="E19" s="593"/>
      <c r="F19" s="593"/>
      <c r="G19" s="593"/>
      <c r="H19" s="593"/>
      <c r="I19" s="593"/>
      <c r="J19" s="593"/>
      <c r="K19" s="594"/>
      <c r="L19" s="594"/>
      <c r="O19" s="315"/>
      <c r="P19" s="315"/>
      <c r="Q19" s="315"/>
      <c r="R19" s="315"/>
      <c r="S19" s="315"/>
      <c r="T19" s="315"/>
      <c r="U19" s="315"/>
    </row>
    <row r="20" spans="1:21" ht="21" customHeight="1">
      <c r="A20" s="538"/>
      <c r="B20" s="696"/>
      <c r="C20" s="639"/>
      <c r="D20" s="643"/>
      <c r="E20" s="593"/>
      <c r="F20" s="593"/>
      <c r="G20" s="593"/>
      <c r="H20" s="593"/>
      <c r="I20" s="593"/>
      <c r="J20" s="593"/>
      <c r="K20" s="594"/>
      <c r="L20" s="594"/>
      <c r="O20" s="315"/>
      <c r="P20" s="315"/>
      <c r="Q20" s="315"/>
      <c r="R20" s="315"/>
      <c r="S20" s="315"/>
      <c r="T20" s="315"/>
      <c r="U20" s="315"/>
    </row>
    <row r="21" spans="1:21" ht="21" customHeight="1">
      <c r="A21" s="538"/>
      <c r="B21" s="696"/>
      <c r="C21" s="639"/>
      <c r="D21" s="643"/>
      <c r="E21" s="593"/>
      <c r="F21" s="593"/>
      <c r="G21" s="593"/>
      <c r="H21" s="593"/>
      <c r="I21" s="593"/>
      <c r="J21" s="593"/>
      <c r="K21" s="594"/>
      <c r="L21" s="594"/>
      <c r="O21" s="315"/>
      <c r="P21" s="315"/>
      <c r="Q21" s="315"/>
      <c r="R21" s="315"/>
      <c r="S21" s="315"/>
      <c r="T21" s="315"/>
      <c r="U21" s="315"/>
    </row>
    <row r="22" spans="1:21" ht="21" customHeight="1">
      <c r="A22" s="538"/>
      <c r="B22" s="696"/>
      <c r="C22" s="639"/>
      <c r="D22" s="643"/>
      <c r="E22" s="593"/>
      <c r="F22" s="593"/>
      <c r="G22" s="593"/>
      <c r="H22" s="593"/>
      <c r="I22" s="593"/>
      <c r="J22" s="593"/>
      <c r="K22" s="594"/>
      <c r="L22" s="594"/>
      <c r="O22" s="315"/>
      <c r="P22" s="315"/>
      <c r="Q22" s="315"/>
      <c r="R22" s="315"/>
      <c r="S22" s="315"/>
      <c r="T22" s="315"/>
      <c r="U22" s="315"/>
    </row>
    <row r="23" spans="1:21" ht="21" customHeight="1">
      <c r="B23" s="696"/>
      <c r="C23" s="639"/>
      <c r="D23" s="643"/>
      <c r="E23" s="593"/>
      <c r="F23" s="593"/>
      <c r="G23" s="593"/>
      <c r="H23" s="593"/>
      <c r="I23" s="593"/>
      <c r="J23" s="593"/>
      <c r="K23" s="594"/>
      <c r="L23" s="594"/>
      <c r="O23" s="315"/>
      <c r="P23" s="315"/>
      <c r="Q23" s="315"/>
      <c r="R23" s="315"/>
      <c r="S23" s="315"/>
      <c r="T23" s="315"/>
      <c r="U23" s="315"/>
    </row>
    <row r="24" spans="1:21" ht="21" customHeight="1">
      <c r="B24" s="696"/>
      <c r="C24" s="639"/>
      <c r="D24" s="643"/>
      <c r="E24" s="593"/>
      <c r="F24" s="593"/>
      <c r="G24" s="593"/>
      <c r="H24" s="593"/>
      <c r="I24" s="593"/>
      <c r="J24" s="593"/>
      <c r="K24" s="594"/>
      <c r="L24" s="594"/>
      <c r="O24" s="315"/>
      <c r="P24" s="315"/>
      <c r="Q24" s="315"/>
      <c r="R24" s="315"/>
      <c r="S24" s="315"/>
      <c r="T24" s="315"/>
      <c r="U24" s="315"/>
    </row>
    <row r="25" spans="1:21" ht="21" customHeight="1">
      <c r="B25" s="696"/>
      <c r="C25" s="639"/>
      <c r="D25" s="643"/>
      <c r="E25" s="593"/>
      <c r="F25" s="593"/>
      <c r="G25" s="593"/>
      <c r="H25" s="593"/>
      <c r="I25" s="593"/>
      <c r="J25" s="593"/>
      <c r="K25" s="594"/>
      <c r="L25" s="594"/>
    </row>
    <row r="26" spans="1:21" ht="21" customHeight="1" thickBot="1">
      <c r="B26" s="696"/>
      <c r="C26" s="639"/>
      <c r="D26" s="697"/>
      <c r="E26" s="619"/>
      <c r="F26" s="619"/>
      <c r="G26" s="619"/>
      <c r="H26" s="619"/>
      <c r="I26" s="619"/>
      <c r="J26" s="619"/>
      <c r="K26" s="619"/>
      <c r="L26" s="626"/>
    </row>
    <row r="27" spans="1:21" ht="21" customHeight="1" thickTop="1" thickBot="1">
      <c r="B27" s="1238"/>
      <c r="C27" s="1144"/>
      <c r="D27" s="1357" t="s">
        <v>3427</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420"/>
      <c r="C28" s="1146" t="s">
        <v>551</v>
      </c>
      <c r="D28" s="1421"/>
      <c r="E28" s="1128"/>
      <c r="F28" s="1128"/>
      <c r="G28" s="1128"/>
      <c r="H28" s="1128"/>
      <c r="I28" s="1128"/>
      <c r="J28" s="1128"/>
      <c r="K28" s="1351"/>
      <c r="L28" s="1351"/>
    </row>
    <row r="42" spans="11:12">
      <c r="K42" s="324" t="s">
        <v>3272</v>
      </c>
      <c r="L42" s="546">
        <f>K27+L27</f>
        <v>0</v>
      </c>
    </row>
  </sheetData>
  <sheetProtection algorithmName="SHA-512" hashValue="Y8iaQvR3LELZWmpJRzJ+By/nhZ3XoeVwg1BQIMeZySVbrvyVKRdF8DVv3bpnqMIWyEg22XKUqvg9aYOB2C6y1w==" saltValue="oaDCJfNzkHSRwJd02KFxF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0">
    <tabColor theme="3" tint="0.79998168889431442"/>
  </sheetPr>
  <dimension ref="A1:U42"/>
  <sheetViews>
    <sheetView zoomScaleNormal="100" zoomScaleSheetLayoutView="80" workbookViewId="0">
      <selection activeCell="B1" sqref="B1"/>
    </sheetView>
  </sheetViews>
  <sheetFormatPr defaultColWidth="9.109375" defaultRowHeight="13.2"/>
  <cols>
    <col min="1" max="2" width="5.6640625" style="324" customWidth="1"/>
    <col min="3" max="3" width="4.88671875" style="324" customWidth="1"/>
    <col min="4" max="4" width="30.6640625" style="324" customWidth="1"/>
    <col min="5" max="12" width="15.6640625" style="324" customWidth="1"/>
    <col min="13" max="16384" width="9.109375" style="324"/>
  </cols>
  <sheetData>
    <row r="1" spans="2:21" ht="8.25" customHeight="1"/>
    <row r="2" spans="2:21" ht="20.399999999999999">
      <c r="B2" s="1826" t="str">
        <f>"SCHEDULE  OF  IMPROVEMENT  AUTHORIZATIONS  "&amp;UPPER('KEY INPUTS'!D57)&amp;"  (UTILITY  CAPITAL  FUND)"</f>
        <v>SCHEDULE  OF  IMPROVEMENT  AUTHORIZATIONS    (UTILITY  CAPITAL  FUND)</v>
      </c>
      <c r="C2" s="1826"/>
      <c r="D2" s="1826"/>
      <c r="E2" s="1826"/>
      <c r="F2" s="1826"/>
      <c r="G2" s="1826"/>
      <c r="H2" s="1826"/>
      <c r="I2" s="1826"/>
      <c r="J2" s="1826"/>
      <c r="K2" s="1826"/>
      <c r="L2" s="1826"/>
    </row>
    <row r="3" spans="2:21" ht="9.75" customHeight="1" thickBot="1">
      <c r="B3" s="1916"/>
      <c r="C3" s="1916"/>
      <c r="D3" s="1916"/>
      <c r="E3" s="1916"/>
      <c r="F3" s="1916"/>
      <c r="G3" s="1916"/>
      <c r="H3" s="1916"/>
      <c r="I3" s="1916"/>
      <c r="J3" s="1916"/>
      <c r="K3" s="1916"/>
      <c r="L3" s="1916"/>
    </row>
    <row r="4" spans="2:21" ht="13.5" customHeight="1" thickTop="1">
      <c r="B4" s="1987"/>
      <c r="C4" s="1987"/>
      <c r="D4" s="1988"/>
      <c r="E4" s="1940" t="str">
        <f>'KEY INPUTS'!D25</f>
        <v>Balance - January 1, 2020</v>
      </c>
      <c r="F4" s="1941"/>
      <c r="G4" s="1125"/>
      <c r="H4" s="1125"/>
      <c r="I4" s="1125"/>
      <c r="J4" s="1125"/>
      <c r="K4" s="1934" t="str">
        <f>'KEY INPUTS'!D26</f>
        <v>Balance - December 31, 2020</v>
      </c>
      <c r="L4" s="1935"/>
    </row>
    <row r="5" spans="2:21" ht="13.5" customHeight="1">
      <c r="B5" s="1825" t="s">
        <v>544</v>
      </c>
      <c r="C5" s="1825"/>
      <c r="D5" s="1917"/>
      <c r="E5" s="1942"/>
      <c r="F5" s="1943"/>
      <c r="G5" s="1133"/>
      <c r="H5" s="1133"/>
      <c r="I5" s="1133"/>
      <c r="J5" s="1133"/>
      <c r="K5" s="1936"/>
      <c r="L5" s="1937"/>
    </row>
    <row r="6" spans="2:21" ht="13.5" customHeight="1">
      <c r="B6" s="1825" t="s">
        <v>545</v>
      </c>
      <c r="C6" s="1825"/>
      <c r="D6" s="1917"/>
      <c r="E6" s="1944"/>
      <c r="F6" s="1945"/>
      <c r="G6" s="1133">
        <f>'KEY INPUTS'!D34</f>
        <v>2020</v>
      </c>
      <c r="H6" s="1133"/>
      <c r="I6" s="1133" t="s">
        <v>246</v>
      </c>
      <c r="J6" s="1133" t="s">
        <v>228</v>
      </c>
      <c r="K6" s="1938"/>
      <c r="L6" s="1939"/>
    </row>
    <row r="7" spans="2:21" ht="13.5" customHeight="1">
      <c r="B7" s="1825" t="s">
        <v>546</v>
      </c>
      <c r="C7" s="1825"/>
      <c r="D7" s="1917"/>
      <c r="E7" s="1129" t="s">
        <v>547</v>
      </c>
      <c r="F7" s="1129" t="s">
        <v>548</v>
      </c>
      <c r="G7" s="1129" t="s">
        <v>549</v>
      </c>
      <c r="H7" s="1129"/>
      <c r="I7" s="1129"/>
      <c r="J7" s="1129"/>
      <c r="K7" s="1129" t="s">
        <v>547</v>
      </c>
      <c r="L7" s="1131" t="s">
        <v>548</v>
      </c>
    </row>
    <row r="8" spans="2:21" ht="13.5" customHeight="1" thickBot="1">
      <c r="B8" s="1135"/>
      <c r="C8" s="1135"/>
      <c r="D8" s="1135"/>
      <c r="E8" s="1136"/>
      <c r="F8" s="1136"/>
      <c r="G8" s="1137"/>
      <c r="H8" s="1137"/>
      <c r="I8" s="1136"/>
      <c r="J8" s="1136"/>
      <c r="K8" s="1137"/>
      <c r="L8" s="1257"/>
      <c r="O8" s="315"/>
      <c r="P8" s="315"/>
      <c r="Q8" s="315"/>
      <c r="R8" s="315"/>
      <c r="S8" s="315"/>
      <c r="T8" s="315"/>
      <c r="U8" s="315"/>
    </row>
    <row r="9" spans="2:21" ht="21" customHeight="1" thickTop="1">
      <c r="B9" s="1192" t="s">
        <v>3324</v>
      </c>
      <c r="C9" s="1152"/>
      <c r="D9" s="1414"/>
      <c r="E9" s="1291">
        <f>+'52.3-Utility6'!E27</f>
        <v>0</v>
      </c>
      <c r="F9" s="1291">
        <f>+'52.3-Utility6'!F27</f>
        <v>0</v>
      </c>
      <c r="G9" s="1291">
        <f>+'52.3-Utility6'!G27</f>
        <v>0</v>
      </c>
      <c r="H9" s="1291">
        <f>+'52.3-Utility6'!H27</f>
        <v>0</v>
      </c>
      <c r="I9" s="1291">
        <f>+'52.3-Utility6'!I27</f>
        <v>0</v>
      </c>
      <c r="J9" s="1291">
        <f>+'52.3-Utility6'!J27</f>
        <v>0</v>
      </c>
      <c r="K9" s="1291">
        <f>+'52.3-Utility6'!K27</f>
        <v>0</v>
      </c>
      <c r="L9" s="1422">
        <f>+'52.3-Utility6'!L27</f>
        <v>0</v>
      </c>
      <c r="O9" s="315"/>
      <c r="P9" s="315"/>
      <c r="Q9" s="315"/>
      <c r="R9" s="315"/>
      <c r="S9" s="315"/>
      <c r="T9" s="315"/>
      <c r="U9" s="315"/>
    </row>
    <row r="10" spans="2:21" ht="21" customHeight="1">
      <c r="B10" s="1423"/>
      <c r="C10" s="1424"/>
      <c r="D10" s="1425"/>
      <c r="E10" s="1426"/>
      <c r="F10" s="1426"/>
      <c r="G10" s="1426"/>
      <c r="H10" s="1426"/>
      <c r="I10" s="1426"/>
      <c r="J10" s="1426"/>
      <c r="K10" s="1427"/>
      <c r="L10" s="1427"/>
      <c r="O10" s="370"/>
      <c r="P10" s="315"/>
      <c r="Q10" s="315"/>
      <c r="R10" s="315"/>
      <c r="S10" s="315"/>
      <c r="T10" s="315"/>
      <c r="U10" s="315"/>
    </row>
    <row r="11" spans="2:21" ht="21" customHeight="1">
      <c r="B11" s="1428"/>
      <c r="C11" s="1424"/>
      <c r="D11" s="1425"/>
      <c r="E11" s="1426"/>
      <c r="F11" s="1426"/>
      <c r="G11" s="1426"/>
      <c r="H11" s="1426"/>
      <c r="I11" s="1426"/>
      <c r="J11" s="1426"/>
      <c r="K11" s="1427"/>
      <c r="L11" s="1427"/>
      <c r="O11" s="315"/>
      <c r="P11" s="315"/>
      <c r="Q11" s="315"/>
      <c r="R11" s="315"/>
      <c r="S11" s="315"/>
      <c r="T11" s="315"/>
      <c r="U11" s="315"/>
    </row>
    <row r="12" spans="2:21" ht="21" customHeight="1">
      <c r="B12" s="1428"/>
      <c r="C12" s="1424"/>
      <c r="D12" s="1425"/>
      <c r="E12" s="1426"/>
      <c r="F12" s="1426"/>
      <c r="G12" s="1426"/>
      <c r="H12" s="1426"/>
      <c r="I12" s="1429"/>
      <c r="J12" s="1426"/>
      <c r="K12" s="1427"/>
      <c r="L12" s="1427"/>
      <c r="O12" s="315"/>
      <c r="P12" s="315"/>
      <c r="Q12" s="315"/>
      <c r="R12" s="315"/>
      <c r="S12" s="315"/>
      <c r="T12" s="315"/>
      <c r="U12" s="315"/>
    </row>
    <row r="13" spans="2:21" ht="21" customHeight="1">
      <c r="B13" s="1428"/>
      <c r="C13" s="1424"/>
      <c r="D13" s="1425"/>
      <c r="E13" s="1426"/>
      <c r="F13" s="1426"/>
      <c r="G13" s="1426"/>
      <c r="H13" s="1426"/>
      <c r="I13" s="1426"/>
      <c r="J13" s="1426"/>
      <c r="K13" s="1427"/>
      <c r="L13" s="1427"/>
      <c r="O13" s="315"/>
      <c r="P13" s="315"/>
      <c r="Q13" s="315"/>
      <c r="R13" s="315"/>
      <c r="S13" s="315"/>
      <c r="T13" s="315"/>
      <c r="U13" s="315"/>
    </row>
    <row r="14" spans="2:21" ht="21" customHeight="1">
      <c r="B14" s="1423"/>
      <c r="C14" s="1424"/>
      <c r="D14" s="1425"/>
      <c r="E14" s="1426"/>
      <c r="F14" s="1426"/>
      <c r="G14" s="1426"/>
      <c r="H14" s="1426"/>
      <c r="I14" s="1426"/>
      <c r="J14" s="1426"/>
      <c r="K14" s="1427"/>
      <c r="L14" s="1427"/>
      <c r="O14" s="315"/>
      <c r="P14" s="315"/>
      <c r="Q14" s="315"/>
      <c r="R14" s="315"/>
      <c r="S14" s="315"/>
      <c r="T14" s="315"/>
      <c r="U14" s="315"/>
    </row>
    <row r="15" spans="2:21" ht="21" customHeight="1">
      <c r="B15" s="1423"/>
      <c r="C15" s="1424"/>
      <c r="D15" s="1425"/>
      <c r="E15" s="1426"/>
      <c r="F15" s="1426"/>
      <c r="G15" s="1426"/>
      <c r="H15" s="1426"/>
      <c r="I15" s="1426"/>
      <c r="J15" s="1426"/>
      <c r="K15" s="1427"/>
      <c r="L15" s="1427"/>
      <c r="O15" s="315"/>
      <c r="P15" s="315"/>
      <c r="Q15" s="315"/>
      <c r="R15" s="315"/>
      <c r="S15" s="315"/>
      <c r="T15" s="315"/>
      <c r="U15" s="315"/>
    </row>
    <row r="16" spans="2:21" ht="21" customHeight="1">
      <c r="B16" s="1423"/>
      <c r="C16" s="1424"/>
      <c r="D16" s="1425"/>
      <c r="E16" s="1430"/>
      <c r="F16" s="1430"/>
      <c r="G16" s="1430"/>
      <c r="H16" s="1430"/>
      <c r="I16" s="1430"/>
      <c r="J16" s="1430"/>
      <c r="K16" s="1427"/>
      <c r="L16" s="1427"/>
      <c r="O16" s="315"/>
      <c r="P16" s="315"/>
      <c r="Q16" s="315"/>
      <c r="R16" s="315"/>
      <c r="S16" s="315"/>
      <c r="T16" s="315"/>
      <c r="U16" s="315"/>
    </row>
    <row r="17" spans="1:21" ht="21" customHeight="1">
      <c r="A17" s="1830" t="s">
        <v>3425</v>
      </c>
      <c r="B17" s="1423"/>
      <c r="C17" s="1424"/>
      <c r="D17" s="1425"/>
      <c r="E17" s="1426"/>
      <c r="F17" s="1426"/>
      <c r="G17" s="1426"/>
      <c r="H17" s="1426"/>
      <c r="I17" s="1426"/>
      <c r="J17" s="1426"/>
      <c r="K17" s="1427"/>
      <c r="L17" s="1427"/>
      <c r="O17" s="315"/>
      <c r="P17" s="315"/>
      <c r="Q17" s="315"/>
      <c r="R17" s="315"/>
      <c r="S17" s="315"/>
      <c r="T17" s="315"/>
      <c r="U17" s="315"/>
    </row>
    <row r="18" spans="1:21" ht="21" customHeight="1">
      <c r="A18" s="1830"/>
      <c r="B18" s="1423"/>
      <c r="C18" s="1424"/>
      <c r="D18" s="1425"/>
      <c r="E18" s="1426"/>
      <c r="F18" s="1426"/>
      <c r="G18" s="1426"/>
      <c r="H18" s="1426"/>
      <c r="I18" s="1426"/>
      <c r="J18" s="1426"/>
      <c r="K18" s="1427"/>
      <c r="L18" s="1427"/>
      <c r="O18" s="315"/>
      <c r="P18" s="315"/>
      <c r="Q18" s="315"/>
      <c r="R18" s="315"/>
      <c r="S18" s="315"/>
      <c r="T18" s="315"/>
      <c r="U18" s="315"/>
    </row>
    <row r="19" spans="1:21" ht="21" customHeight="1">
      <c r="A19" s="1830"/>
      <c r="B19" s="1423"/>
      <c r="C19" s="1424"/>
      <c r="D19" s="1425"/>
      <c r="E19" s="1426"/>
      <c r="F19" s="1426"/>
      <c r="G19" s="1426"/>
      <c r="H19" s="1426"/>
      <c r="I19" s="1426"/>
      <c r="J19" s="1426"/>
      <c r="K19" s="1427"/>
      <c r="L19" s="1427"/>
      <c r="O19" s="315"/>
      <c r="P19" s="315"/>
      <c r="Q19" s="315"/>
      <c r="R19" s="315"/>
      <c r="S19" s="315"/>
      <c r="T19" s="315"/>
      <c r="U19" s="315"/>
    </row>
    <row r="20" spans="1:21" ht="21" customHeight="1">
      <c r="A20" s="538"/>
      <c r="B20" s="1423"/>
      <c r="C20" s="1424"/>
      <c r="D20" s="1425"/>
      <c r="E20" s="1426"/>
      <c r="F20" s="1426"/>
      <c r="G20" s="1426"/>
      <c r="H20" s="1426"/>
      <c r="I20" s="1426"/>
      <c r="J20" s="1426"/>
      <c r="K20" s="1427"/>
      <c r="L20" s="1427"/>
      <c r="O20" s="315"/>
      <c r="P20" s="315"/>
      <c r="Q20" s="315"/>
      <c r="R20" s="315"/>
      <c r="S20" s="315"/>
      <c r="T20" s="315"/>
      <c r="U20" s="315"/>
    </row>
    <row r="21" spans="1:21" ht="21" customHeight="1">
      <c r="A21" s="538"/>
      <c r="B21" s="1423"/>
      <c r="C21" s="1424"/>
      <c r="D21" s="1425"/>
      <c r="E21" s="1426"/>
      <c r="F21" s="1426"/>
      <c r="G21" s="1426"/>
      <c r="H21" s="1426"/>
      <c r="I21" s="1426"/>
      <c r="J21" s="1426"/>
      <c r="K21" s="1427"/>
      <c r="L21" s="1427"/>
      <c r="O21" s="315"/>
      <c r="P21" s="315"/>
      <c r="Q21" s="315"/>
      <c r="R21" s="315"/>
      <c r="S21" s="315"/>
      <c r="T21" s="315"/>
      <c r="U21" s="315"/>
    </row>
    <row r="22" spans="1:21" ht="21" customHeight="1">
      <c r="A22" s="538"/>
      <c r="B22" s="1423"/>
      <c r="C22" s="1424"/>
      <c r="D22" s="1425"/>
      <c r="E22" s="1426"/>
      <c r="F22" s="1426"/>
      <c r="G22" s="1426"/>
      <c r="H22" s="1426"/>
      <c r="I22" s="1426"/>
      <c r="J22" s="1426"/>
      <c r="K22" s="1427"/>
      <c r="L22" s="1427"/>
      <c r="O22" s="315"/>
      <c r="P22" s="315"/>
      <c r="Q22" s="315"/>
      <c r="R22" s="315"/>
      <c r="S22" s="315"/>
      <c r="T22" s="315"/>
      <c r="U22" s="315"/>
    </row>
    <row r="23" spans="1:21" ht="21" customHeight="1">
      <c r="B23" s="1423"/>
      <c r="C23" s="1424"/>
      <c r="D23" s="1425"/>
      <c r="E23" s="1426"/>
      <c r="F23" s="1426"/>
      <c r="G23" s="1426"/>
      <c r="H23" s="1426"/>
      <c r="I23" s="1426"/>
      <c r="J23" s="1426"/>
      <c r="K23" s="1427"/>
      <c r="L23" s="1427"/>
      <c r="O23" s="315"/>
      <c r="P23" s="315"/>
      <c r="Q23" s="315"/>
      <c r="R23" s="315"/>
      <c r="S23" s="315"/>
      <c r="T23" s="315"/>
      <c r="U23" s="315"/>
    </row>
    <row r="24" spans="1:21" ht="21" customHeight="1">
      <c r="B24" s="1423"/>
      <c r="C24" s="1424"/>
      <c r="D24" s="1425"/>
      <c r="E24" s="1426"/>
      <c r="F24" s="1426"/>
      <c r="G24" s="1426"/>
      <c r="H24" s="1426"/>
      <c r="I24" s="1426"/>
      <c r="J24" s="1426"/>
      <c r="K24" s="1427"/>
      <c r="L24" s="1427"/>
      <c r="O24" s="315"/>
      <c r="P24" s="315"/>
      <c r="Q24" s="315"/>
      <c r="R24" s="315"/>
      <c r="S24" s="315"/>
      <c r="T24" s="315"/>
      <c r="U24" s="315"/>
    </row>
    <row r="25" spans="1:21" ht="21" customHeight="1">
      <c r="B25" s="1423"/>
      <c r="C25" s="1424"/>
      <c r="D25" s="1425"/>
      <c r="E25" s="1426"/>
      <c r="F25" s="1426"/>
      <c r="G25" s="1426"/>
      <c r="H25" s="1426"/>
      <c r="I25" s="1426"/>
      <c r="J25" s="1426"/>
      <c r="K25" s="1427"/>
      <c r="L25" s="1427"/>
    </row>
    <row r="26" spans="1:21" ht="21" customHeight="1" thickBot="1">
      <c r="B26" s="1423"/>
      <c r="C26" s="1424"/>
      <c r="D26" s="1431"/>
      <c r="E26" s="1432"/>
      <c r="F26" s="1432"/>
      <c r="G26" s="1432"/>
      <c r="H26" s="1432"/>
      <c r="I26" s="1432"/>
      <c r="J26" s="1432"/>
      <c r="K26" s="1432"/>
      <c r="L26" s="1433"/>
    </row>
    <row r="27" spans="1:21" ht="21" customHeight="1" thickTop="1" thickBot="1">
      <c r="B27" s="1238"/>
      <c r="C27" s="1144"/>
      <c r="D27" s="1357" t="s">
        <v>3428</v>
      </c>
      <c r="E27" s="1065">
        <f t="shared" ref="E27:L27" si="0">SUM(E9:E26)</f>
        <v>0</v>
      </c>
      <c r="F27" s="1065">
        <f t="shared" si="0"/>
        <v>0</v>
      </c>
      <c r="G27" s="1065">
        <f t="shared" si="0"/>
        <v>0</v>
      </c>
      <c r="H27" s="1065">
        <f t="shared" si="0"/>
        <v>0</v>
      </c>
      <c r="I27" s="1065">
        <f t="shared" si="0"/>
        <v>0</v>
      </c>
      <c r="J27" s="1065">
        <f t="shared" si="0"/>
        <v>0</v>
      </c>
      <c r="K27" s="1065">
        <f t="shared" si="0"/>
        <v>0</v>
      </c>
      <c r="L27" s="1143">
        <f t="shared" si="0"/>
        <v>0</v>
      </c>
    </row>
    <row r="28" spans="1:21" ht="13.5" customHeight="1" thickTop="1">
      <c r="B28" s="1420"/>
      <c r="C28" s="1146" t="s">
        <v>551</v>
      </c>
      <c r="D28" s="1421"/>
      <c r="E28" s="1128"/>
      <c r="F28" s="1128"/>
      <c r="G28" s="1128"/>
      <c r="H28" s="1128"/>
      <c r="I28" s="1128"/>
      <c r="J28" s="1128"/>
      <c r="K28" s="1351"/>
      <c r="L28" s="1351"/>
    </row>
    <row r="42" spans="11:12">
      <c r="K42" s="324" t="s">
        <v>3272</v>
      </c>
      <c r="L42" s="546">
        <f>K27+L27</f>
        <v>0</v>
      </c>
    </row>
  </sheetData>
  <sheetProtection algorithmName="SHA-512" hashValue="WipHVGxNUc2C3D1eySEuFTS05V65+FA0rt8VrNLJixQIBHarfU0NEVPKe8i9ch1zP4+srzqq7xeqRTNrPNHQsQ==" saltValue="1m3U5JpBvTN9s+zrAsqMT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1">
    <tabColor theme="3" tint="0.79998168889431442"/>
  </sheetPr>
  <dimension ref="B3:S54"/>
  <sheetViews>
    <sheetView zoomScaleNormal="100" zoomScaleSheetLayoutView="80" workbookViewId="0">
      <selection activeCell="B1" sqref="B1"/>
    </sheetView>
  </sheetViews>
  <sheetFormatPr defaultColWidth="9.109375" defaultRowHeight="13.2"/>
  <cols>
    <col min="1" max="3" width="4.6640625" style="324" customWidth="1"/>
    <col min="4" max="4" width="4.5546875" style="324" customWidth="1"/>
    <col min="5" max="6" width="9.109375" style="324"/>
    <col min="7" max="7" width="14.44140625" style="324" customWidth="1"/>
    <col min="8" max="8" width="15" style="324" customWidth="1"/>
    <col min="9" max="10" width="16.6640625" style="324" customWidth="1"/>
    <col min="11" max="16384" width="9.109375" style="324"/>
  </cols>
  <sheetData>
    <row r="3" spans="2:19" ht="22.8">
      <c r="B3" s="1804" t="str">
        <f>UPPER('KEY INPUTS'!D$57)&amp;" UTILITY  CAPITAL  FUND"</f>
        <v xml:space="preserve"> UTILITY  CAPITAL  FUND</v>
      </c>
      <c r="C3" s="1804"/>
      <c r="D3" s="1804"/>
      <c r="E3" s="1804"/>
      <c r="F3" s="1804"/>
      <c r="G3" s="1804"/>
      <c r="H3" s="1804"/>
      <c r="I3" s="1804"/>
      <c r="J3" s="1804"/>
    </row>
    <row r="4" spans="2:19">
      <c r="B4" s="1128"/>
      <c r="C4" s="1128"/>
      <c r="D4" s="1128"/>
      <c r="E4" s="1128"/>
      <c r="F4" s="1128"/>
      <c r="G4" s="1128"/>
      <c r="H4" s="1128"/>
      <c r="I4" s="1128"/>
      <c r="J4" s="1128"/>
    </row>
    <row r="5" spans="2:19" ht="15.6">
      <c r="B5" s="1821" t="s">
        <v>555</v>
      </c>
      <c r="C5" s="1821"/>
      <c r="D5" s="1821"/>
      <c r="E5" s="1821"/>
      <c r="F5" s="1821"/>
      <c r="G5" s="1821"/>
      <c r="H5" s="1821"/>
      <c r="I5" s="1821"/>
      <c r="J5" s="1821"/>
    </row>
    <row r="6" spans="2:19" ht="13.8" thickBot="1">
      <c r="B6" s="1128"/>
      <c r="C6" s="1128"/>
      <c r="D6" s="1128"/>
      <c r="E6" s="1128"/>
      <c r="F6" s="1128"/>
      <c r="G6" s="1128"/>
      <c r="H6" s="1128"/>
      <c r="I6" s="1128"/>
      <c r="J6" s="1128"/>
    </row>
    <row r="7" spans="2:19" ht="28.5" customHeight="1" thickTop="1" thickBot="1">
      <c r="B7" s="1370"/>
      <c r="C7" s="1370"/>
      <c r="D7" s="1370"/>
      <c r="E7" s="1370"/>
      <c r="F7" s="1370"/>
      <c r="G7" s="1370"/>
      <c r="H7" s="1370"/>
      <c r="I7" s="1116" t="s">
        <v>101</v>
      </c>
      <c r="J7" s="1117" t="s">
        <v>102</v>
      </c>
    </row>
    <row r="8" spans="2:19" ht="21" customHeight="1" thickTop="1">
      <c r="B8" s="1140" t="str">
        <f>'KEY INPUTS'!D25</f>
        <v>Balance - January 1, 2020</v>
      </c>
      <c r="C8" s="1140"/>
      <c r="D8" s="1140"/>
      <c r="E8" s="1140"/>
      <c r="F8" s="1140"/>
      <c r="G8" s="1140"/>
      <c r="H8" s="1382"/>
      <c r="I8" s="1070" t="s">
        <v>662</v>
      </c>
      <c r="J8" s="630"/>
    </row>
    <row r="9" spans="2:19" ht="21" customHeight="1">
      <c r="B9" s="1121" t="str">
        <f>"Received from "&amp;'KEY INPUTS'!D34&amp;" Budget Appropriation"</f>
        <v>Received from 2020 Budget Appropriation</v>
      </c>
      <c r="C9" s="1121"/>
      <c r="D9" s="1121"/>
      <c r="E9" s="1121"/>
      <c r="F9" s="1121"/>
      <c r="G9" s="1121"/>
      <c r="H9" s="1383"/>
      <c r="I9" s="963" t="s">
        <v>662</v>
      </c>
      <c r="J9" s="601"/>
      <c r="M9" s="315"/>
      <c r="N9" s="315"/>
      <c r="O9" s="315"/>
      <c r="P9" s="315"/>
      <c r="Q9" s="315"/>
      <c r="R9" s="315"/>
      <c r="S9" s="315"/>
    </row>
    <row r="10" spans="2:19" ht="21" customHeight="1">
      <c r="B10" s="639"/>
      <c r="C10" s="639"/>
      <c r="D10" s="639"/>
      <c r="E10" s="639"/>
      <c r="F10" s="639"/>
      <c r="G10" s="639"/>
      <c r="H10" s="639"/>
      <c r="I10" s="963" t="s">
        <v>662</v>
      </c>
      <c r="J10" s="601"/>
      <c r="M10" s="315"/>
      <c r="N10" s="315"/>
      <c r="O10" s="315"/>
      <c r="P10" s="315"/>
      <c r="Q10" s="315"/>
      <c r="R10" s="315"/>
      <c r="S10" s="315"/>
    </row>
    <row r="11" spans="2:19" ht="11.25" customHeight="1">
      <c r="B11" s="1384" t="s">
        <v>183</v>
      </c>
      <c r="C11" s="1385"/>
      <c r="D11" s="1385"/>
      <c r="E11" s="1385"/>
      <c r="F11" s="1385"/>
      <c r="G11" s="1385"/>
      <c r="H11" s="1386"/>
      <c r="I11" s="1950" t="s">
        <v>662</v>
      </c>
      <c r="J11" s="1948"/>
      <c r="M11" s="370"/>
      <c r="N11" s="315"/>
      <c r="O11" s="315"/>
      <c r="P11" s="315"/>
      <c r="Q11" s="315"/>
      <c r="R11" s="315"/>
      <c r="S11" s="315"/>
    </row>
    <row r="12" spans="2:19" ht="12.75" customHeight="1">
      <c r="B12" s="1373"/>
      <c r="C12" s="1387" t="s">
        <v>184</v>
      </c>
      <c r="D12" s="1373"/>
      <c r="E12" s="1373"/>
      <c r="F12" s="1373"/>
      <c r="G12" s="1373"/>
      <c r="H12" s="1388"/>
      <c r="I12" s="1951"/>
      <c r="J12" s="1949"/>
      <c r="M12" s="315"/>
      <c r="N12" s="315"/>
      <c r="O12" s="315"/>
      <c r="P12" s="315"/>
      <c r="Q12" s="315"/>
      <c r="R12" s="315"/>
      <c r="S12" s="315"/>
    </row>
    <row r="13" spans="2:19" ht="21" customHeight="1">
      <c r="B13" s="659"/>
      <c r="C13" s="1264"/>
      <c r="D13" s="659"/>
      <c r="E13" s="659"/>
      <c r="F13" s="659"/>
      <c r="G13" s="659"/>
      <c r="H13" s="659"/>
      <c r="I13" s="674"/>
      <c r="J13" s="369"/>
      <c r="M13" s="315"/>
      <c r="N13" s="315"/>
      <c r="O13" s="315"/>
      <c r="P13" s="315"/>
      <c r="Q13" s="315"/>
      <c r="R13" s="315"/>
      <c r="S13" s="315"/>
    </row>
    <row r="14" spans="2:19" ht="21" customHeight="1">
      <c r="B14" s="1121" t="s">
        <v>185</v>
      </c>
      <c r="C14" s="1121"/>
      <c r="D14" s="1121"/>
      <c r="E14" s="1121"/>
      <c r="F14" s="1121"/>
      <c r="G14" s="1121"/>
      <c r="H14" s="1121"/>
      <c r="I14" s="963" t="s">
        <v>662</v>
      </c>
      <c r="J14" s="967" t="s">
        <v>662</v>
      </c>
      <c r="M14" s="315"/>
      <c r="N14" s="315"/>
      <c r="O14" s="315"/>
      <c r="P14" s="315"/>
      <c r="Q14" s="315"/>
      <c r="R14" s="315"/>
      <c r="S14" s="315"/>
    </row>
    <row r="15" spans="2:19" ht="21" customHeight="1">
      <c r="B15" s="639"/>
      <c r="C15" s="639"/>
      <c r="D15" s="639"/>
      <c r="E15" s="639"/>
      <c r="F15" s="639"/>
      <c r="G15" s="639"/>
      <c r="H15" s="639"/>
      <c r="I15" s="593"/>
      <c r="J15" s="967" t="s">
        <v>662</v>
      </c>
      <c r="M15" s="315"/>
      <c r="N15" s="315"/>
      <c r="O15" s="315"/>
      <c r="P15" s="315"/>
      <c r="Q15" s="315"/>
      <c r="R15" s="315"/>
      <c r="S15" s="315"/>
    </row>
    <row r="16" spans="2:19" ht="21" customHeight="1">
      <c r="B16" s="639"/>
      <c r="C16" s="639"/>
      <c r="D16" s="639"/>
      <c r="E16" s="639"/>
      <c r="F16" s="639"/>
      <c r="G16" s="639"/>
      <c r="H16" s="639"/>
      <c r="I16" s="593"/>
      <c r="J16" s="967" t="s">
        <v>662</v>
      </c>
      <c r="M16" s="315"/>
      <c r="N16" s="315"/>
      <c r="O16" s="315"/>
      <c r="P16" s="315"/>
      <c r="Q16" s="315"/>
      <c r="R16" s="315"/>
      <c r="S16" s="315"/>
    </row>
    <row r="17" spans="2:19" ht="21" customHeight="1">
      <c r="B17" s="639"/>
      <c r="C17" s="639"/>
      <c r="D17" s="639"/>
      <c r="E17" s="639"/>
      <c r="F17" s="639"/>
      <c r="G17" s="639"/>
      <c r="H17" s="639"/>
      <c r="I17" s="593"/>
      <c r="J17" s="967" t="s">
        <v>662</v>
      </c>
      <c r="M17" s="315"/>
      <c r="N17" s="315"/>
      <c r="O17" s="315"/>
      <c r="P17" s="315"/>
      <c r="Q17" s="315"/>
      <c r="R17" s="315"/>
      <c r="S17" s="315"/>
    </row>
    <row r="18" spans="2:19" ht="21" customHeight="1">
      <c r="B18" s="639"/>
      <c r="C18" s="639"/>
      <c r="D18" s="639"/>
      <c r="E18" s="639"/>
      <c r="F18" s="639"/>
      <c r="G18" s="639"/>
      <c r="H18" s="639"/>
      <c r="I18" s="593"/>
      <c r="J18" s="967" t="s">
        <v>662</v>
      </c>
      <c r="M18" s="315"/>
      <c r="N18" s="315"/>
      <c r="O18" s="315"/>
      <c r="P18" s="315"/>
      <c r="Q18" s="315"/>
      <c r="R18" s="315"/>
      <c r="S18" s="315"/>
    </row>
    <row r="19" spans="2:19" ht="21" customHeight="1">
      <c r="B19" s="639"/>
      <c r="C19" s="639"/>
      <c r="D19" s="639"/>
      <c r="E19" s="639"/>
      <c r="F19" s="639"/>
      <c r="G19" s="639"/>
      <c r="H19" s="639"/>
      <c r="I19" s="593"/>
      <c r="J19" s="967" t="s">
        <v>662</v>
      </c>
      <c r="M19" s="315"/>
      <c r="N19" s="315"/>
      <c r="O19" s="315"/>
      <c r="P19" s="315"/>
      <c r="Q19" s="315"/>
      <c r="R19" s="315"/>
      <c r="S19" s="315"/>
    </row>
    <row r="20" spans="2:19" ht="21" customHeight="1">
      <c r="B20" s="639"/>
      <c r="C20" s="639"/>
      <c r="D20" s="639"/>
      <c r="E20" s="639"/>
      <c r="F20" s="639"/>
      <c r="G20" s="639"/>
      <c r="H20" s="639"/>
      <c r="I20" s="593"/>
      <c r="J20" s="967" t="s">
        <v>662</v>
      </c>
      <c r="M20" s="315"/>
      <c r="N20" s="315"/>
      <c r="O20" s="315"/>
      <c r="P20" s="315"/>
      <c r="Q20" s="315"/>
      <c r="R20" s="315"/>
      <c r="S20" s="315"/>
    </row>
    <row r="21" spans="2:19" ht="21" customHeight="1">
      <c r="B21" s="639"/>
      <c r="C21" s="639"/>
      <c r="D21" s="639"/>
      <c r="E21" s="639"/>
      <c r="F21" s="639"/>
      <c r="G21" s="639"/>
      <c r="H21" s="639"/>
      <c r="I21" s="593"/>
      <c r="J21" s="967" t="s">
        <v>662</v>
      </c>
      <c r="M21" s="315"/>
      <c r="N21" s="315"/>
      <c r="O21" s="315"/>
      <c r="P21" s="315"/>
      <c r="Q21" s="315"/>
      <c r="R21" s="315"/>
      <c r="S21" s="315"/>
    </row>
    <row r="22" spans="2:19" ht="21" customHeight="1">
      <c r="B22" s="1121" t="s">
        <v>186</v>
      </c>
      <c r="C22" s="1121"/>
      <c r="D22" s="1121"/>
      <c r="E22" s="1121"/>
      <c r="F22" s="1121"/>
      <c r="G22" s="1121"/>
      <c r="H22" s="1383"/>
      <c r="I22" s="593"/>
      <c r="J22" s="967" t="s">
        <v>662</v>
      </c>
      <c r="M22" s="315"/>
      <c r="N22" s="315"/>
      <c r="O22" s="315"/>
      <c r="P22" s="315"/>
      <c r="Q22" s="315"/>
      <c r="R22" s="315"/>
      <c r="S22" s="315"/>
    </row>
    <row r="23" spans="2:19" ht="21" customHeight="1">
      <c r="B23" s="639"/>
      <c r="C23" s="639"/>
      <c r="D23" s="639"/>
      <c r="E23" s="639"/>
      <c r="F23" s="639"/>
      <c r="G23" s="639"/>
      <c r="H23" s="639"/>
      <c r="I23" s="593"/>
      <c r="J23" s="967" t="s">
        <v>662</v>
      </c>
      <c r="M23" s="315"/>
      <c r="N23" s="315"/>
      <c r="O23" s="315"/>
      <c r="P23" s="315"/>
      <c r="Q23" s="315"/>
      <c r="R23" s="315"/>
      <c r="S23" s="315"/>
    </row>
    <row r="24" spans="2:19" ht="21" customHeight="1" thickBot="1">
      <c r="B24" s="1121" t="str">
        <f>'KEY INPUTS'!D26</f>
        <v>Balance - December 31, 2020</v>
      </c>
      <c r="C24" s="1121"/>
      <c r="D24" s="1121"/>
      <c r="E24" s="1121"/>
      <c r="F24" s="1121"/>
      <c r="G24" s="1121"/>
      <c r="H24" s="1383"/>
      <c r="I24" s="1088">
        <f>+SUM(J8:J13)-SUM(I13:I23)</f>
        <v>0</v>
      </c>
      <c r="J24" s="1086" t="s">
        <v>662</v>
      </c>
      <c r="M24" s="315"/>
      <c r="N24" s="315"/>
      <c r="O24" s="315"/>
      <c r="P24" s="315"/>
      <c r="Q24" s="315"/>
      <c r="R24" s="315"/>
      <c r="S24" s="315"/>
    </row>
    <row r="25" spans="2:19" ht="21" customHeight="1" thickTop="1" thickBot="1">
      <c r="B25" s="1128"/>
      <c r="C25" s="1128"/>
      <c r="D25" s="1128"/>
      <c r="E25" s="1128"/>
      <c r="F25" s="1128"/>
      <c r="G25" s="1128"/>
      <c r="H25" s="1128"/>
      <c r="I25" s="1046">
        <f>SUM(I8:I24)</f>
        <v>0</v>
      </c>
      <c r="J25" s="1089">
        <f>SUM(J8:J24)</f>
        <v>0</v>
      </c>
      <c r="M25" s="315"/>
      <c r="N25" s="315"/>
      <c r="O25" s="315"/>
      <c r="P25" s="315"/>
      <c r="Q25" s="315"/>
      <c r="R25" s="315"/>
      <c r="S25" s="315"/>
    </row>
    <row r="26" spans="2:19" ht="13.8" thickTop="1"/>
    <row r="27" spans="2:19">
      <c r="B27" s="1128"/>
      <c r="C27" s="1128"/>
      <c r="D27" s="1128"/>
      <c r="E27" s="1128"/>
      <c r="F27" s="1128"/>
      <c r="G27" s="1128"/>
      <c r="H27" s="1128"/>
      <c r="I27" s="1128"/>
      <c r="J27" s="1128"/>
    </row>
    <row r="28" spans="2:19">
      <c r="B28" s="1128"/>
      <c r="C28" s="1128"/>
      <c r="D28" s="1128"/>
      <c r="E28" s="1128"/>
      <c r="F28" s="1128"/>
      <c r="G28" s="1128"/>
      <c r="H28" s="1128"/>
      <c r="I28" s="1128"/>
      <c r="J28" s="1128"/>
    </row>
    <row r="29" spans="2:19">
      <c r="B29" s="1128"/>
      <c r="C29" s="1128"/>
      <c r="D29" s="1128"/>
      <c r="E29" s="1128"/>
      <c r="F29" s="1128"/>
      <c r="G29" s="1128"/>
      <c r="H29" s="1128"/>
      <c r="I29" s="1128"/>
      <c r="J29" s="1128"/>
    </row>
    <row r="30" spans="2:19" ht="22.8">
      <c r="B30" s="1804" t="str">
        <f>UPPER('KEY INPUTS'!D$57)&amp;" UTILITY  CAPITAL  FUND"</f>
        <v xml:space="preserve"> UTILITY  CAPITAL  FUND</v>
      </c>
      <c r="C30" s="1804"/>
      <c r="D30" s="1804"/>
      <c r="E30" s="1804"/>
      <c r="F30" s="1804"/>
      <c r="G30" s="1804"/>
      <c r="H30" s="1804"/>
      <c r="I30" s="1804"/>
      <c r="J30" s="1804"/>
    </row>
    <row r="31" spans="2:19" ht="7.5" customHeight="1">
      <c r="B31" s="1128"/>
      <c r="C31" s="1128"/>
      <c r="D31" s="1128"/>
      <c r="E31" s="1128"/>
      <c r="F31" s="1128"/>
      <c r="G31" s="1128"/>
      <c r="H31" s="1128"/>
      <c r="I31" s="1128"/>
      <c r="J31" s="1128"/>
    </row>
    <row r="32" spans="2:19" ht="15.6">
      <c r="B32" s="1821" t="s">
        <v>188</v>
      </c>
      <c r="C32" s="1821"/>
      <c r="D32" s="1821"/>
      <c r="E32" s="1821"/>
      <c r="F32" s="1821"/>
      <c r="G32" s="1821"/>
      <c r="H32" s="1821"/>
      <c r="I32" s="1821"/>
      <c r="J32" s="1821"/>
    </row>
    <row r="33" spans="2:10" ht="13.8" thickBot="1">
      <c r="B33" s="1128"/>
      <c r="C33" s="1128"/>
      <c r="D33" s="1128"/>
      <c r="E33" s="1128"/>
      <c r="F33" s="1128"/>
      <c r="G33" s="1128"/>
      <c r="H33" s="1128"/>
      <c r="I33" s="1128"/>
      <c r="J33" s="1128"/>
    </row>
    <row r="34" spans="2:10" ht="26.25" customHeight="1" thickTop="1" thickBot="1">
      <c r="B34" s="1370"/>
      <c r="C34" s="1370"/>
      <c r="D34" s="1370"/>
      <c r="E34" s="1370"/>
      <c r="F34" s="1370"/>
      <c r="G34" s="1370"/>
      <c r="H34" s="1370"/>
      <c r="I34" s="1116" t="s">
        <v>101</v>
      </c>
      <c r="J34" s="1117" t="s">
        <v>102</v>
      </c>
    </row>
    <row r="35" spans="2:10" ht="21" customHeight="1" thickTop="1">
      <c r="B35" s="1140" t="str">
        <f>'KEY INPUTS'!D25</f>
        <v>Balance - January 1, 2020</v>
      </c>
      <c r="C35" s="1140"/>
      <c r="D35" s="1140"/>
      <c r="E35" s="1140"/>
      <c r="F35" s="1140"/>
      <c r="G35" s="1140"/>
      <c r="H35" s="1382"/>
      <c r="I35" s="1070" t="s">
        <v>662</v>
      </c>
      <c r="J35" s="630"/>
    </row>
    <row r="36" spans="2:10" ht="21" customHeight="1">
      <c r="B36" s="1121" t="str">
        <f>"Received from "&amp;TEXT('KEY INPUTS'!D34,"0")&amp;" Budget Appropriation *"</f>
        <v>Received from 2020 Budget Appropriation *</v>
      </c>
      <c r="C36" s="1121"/>
      <c r="D36" s="1121"/>
      <c r="E36" s="1121"/>
      <c r="F36" s="1121"/>
      <c r="G36" s="1121"/>
      <c r="H36" s="1383"/>
      <c r="I36" s="963" t="s">
        <v>662</v>
      </c>
      <c r="J36" s="601"/>
    </row>
    <row r="37" spans="2:10" ht="21" customHeight="1">
      <c r="B37" s="1121" t="str">
        <f>"Received from "&amp;TEXT('KEY INPUTS'!D34,"0")&amp;" Emergency Appropriation *"</f>
        <v>Received from 2020 Emergency Appropriation *</v>
      </c>
      <c r="C37" s="1121"/>
      <c r="D37" s="1121"/>
      <c r="E37" s="1121"/>
      <c r="F37" s="1121"/>
      <c r="G37" s="1121"/>
      <c r="H37" s="1383"/>
      <c r="I37" s="963" t="s">
        <v>662</v>
      </c>
      <c r="J37" s="601"/>
    </row>
    <row r="38" spans="2:10" ht="21" customHeight="1">
      <c r="B38" s="659"/>
      <c r="C38" s="1264"/>
      <c r="D38" s="659"/>
      <c r="E38" s="1373"/>
      <c r="F38" s="1373"/>
      <c r="G38" s="1373"/>
      <c r="H38" s="1373"/>
      <c r="I38" s="674"/>
      <c r="J38" s="369"/>
    </row>
    <row r="39" spans="2:10" ht="21" customHeight="1">
      <c r="B39" s="1121" t="s">
        <v>186</v>
      </c>
      <c r="C39" s="1121"/>
      <c r="D39" s="1121"/>
      <c r="E39" s="1121"/>
      <c r="F39" s="1121"/>
      <c r="G39" s="1121"/>
      <c r="H39" s="1383"/>
      <c r="I39" s="593"/>
      <c r="J39" s="967" t="s">
        <v>662</v>
      </c>
    </row>
    <row r="40" spans="2:10" ht="21" customHeight="1">
      <c r="B40" s="639"/>
      <c r="C40" s="639"/>
      <c r="D40" s="639"/>
      <c r="E40" s="1121"/>
      <c r="F40" s="1121"/>
      <c r="G40" s="1121"/>
      <c r="H40" s="1121"/>
      <c r="I40" s="593"/>
      <c r="J40" s="967" t="s">
        <v>662</v>
      </c>
    </row>
    <row r="41" spans="2:10" ht="21" customHeight="1" thickBot="1">
      <c r="B41" s="1121" t="str">
        <f>'KEY INPUTS'!D26</f>
        <v>Balance - December 31, 2020</v>
      </c>
      <c r="C41" s="1121"/>
      <c r="D41" s="1121"/>
      <c r="E41" s="1121"/>
      <c r="F41" s="1121"/>
      <c r="G41" s="1121"/>
      <c r="H41" s="1383"/>
      <c r="I41" s="1265">
        <f>SUM(J35:J38)-SUM(I38:I40)</f>
        <v>0</v>
      </c>
      <c r="J41" s="1086" t="s">
        <v>662</v>
      </c>
    </row>
    <row r="42" spans="2:10" ht="21" customHeight="1" thickTop="1" thickBot="1">
      <c r="B42" s="1128"/>
      <c r="C42" s="1128"/>
      <c r="D42" s="1128"/>
      <c r="E42" s="1128"/>
      <c r="F42" s="1128"/>
      <c r="G42" s="1128"/>
      <c r="H42" s="1128"/>
      <c r="I42" s="1046">
        <f>SUM(I35:I41)</f>
        <v>0</v>
      </c>
      <c r="J42" s="1089">
        <f>SUM(J35:J41)</f>
        <v>0</v>
      </c>
    </row>
    <row r="43" spans="2:10" ht="21" customHeight="1" thickTop="1">
      <c r="B43" s="1128"/>
      <c r="C43" s="1128"/>
      <c r="D43" s="1128"/>
      <c r="E43" s="1128"/>
      <c r="F43" s="1128"/>
      <c r="G43" s="1128"/>
      <c r="H43" s="1128"/>
      <c r="I43" s="1434"/>
      <c r="J43" s="1434"/>
    </row>
    <row r="44" spans="2:10" ht="21" customHeight="1">
      <c r="B44" s="1128"/>
      <c r="C44" s="1128"/>
      <c r="D44" s="1128"/>
      <c r="E44" s="1128"/>
      <c r="F44" s="1128"/>
      <c r="G44" s="1128"/>
      <c r="H44" s="1128"/>
      <c r="I44" s="1128"/>
      <c r="J44" s="1128"/>
    </row>
    <row r="45" spans="2:10" ht="13.5" customHeight="1">
      <c r="B45" s="1404" t="str">
        <f>"*The full amount of the "&amp;TEXT('KEY INPUTS'!D34,"0")&amp;"  budget appropriation should be transferred to this account unless the balance of the"</f>
        <v>*The full amount of the 2020  budget appropriation should be transferred to this account unless the balance of the</v>
      </c>
      <c r="C45" s="1404"/>
      <c r="D45" s="1128"/>
      <c r="E45" s="1128"/>
      <c r="F45" s="1128"/>
      <c r="G45" s="1128"/>
      <c r="H45" s="1128"/>
      <c r="I45" s="1128"/>
      <c r="J45" s="1128"/>
    </row>
    <row r="46" spans="2:10" ht="13.5" customHeight="1">
      <c r="B46" s="547"/>
      <c r="C46" s="547" t="s">
        <v>187</v>
      </c>
    </row>
    <row r="47" spans="2:10" ht="13.5" customHeight="1">
      <c r="B47" s="547"/>
      <c r="C47" s="547"/>
    </row>
    <row r="48" spans="2:10" ht="13.5" customHeight="1">
      <c r="B48" s="547"/>
      <c r="C48" s="547"/>
    </row>
    <row r="49" spans="2:10" ht="13.5" customHeight="1">
      <c r="B49" s="547"/>
      <c r="C49" s="547"/>
    </row>
    <row r="50" spans="2:10" ht="13.5" customHeight="1">
      <c r="B50" s="547"/>
      <c r="C50" s="547"/>
    </row>
    <row r="51" spans="2:10" ht="13.5" customHeight="1">
      <c r="B51" s="547"/>
      <c r="C51" s="547"/>
    </row>
    <row r="52" spans="2:10" ht="13.5" customHeight="1">
      <c r="B52" s="547"/>
      <c r="C52" s="547"/>
    </row>
    <row r="53" spans="2:10" ht="13.5" customHeight="1">
      <c r="B53" s="547"/>
      <c r="C53" s="547"/>
    </row>
    <row r="54" spans="2:10" ht="13.8">
      <c r="B54" s="1850" t="s">
        <v>3231</v>
      </c>
      <c r="C54" s="1850"/>
      <c r="D54" s="1850"/>
      <c r="E54" s="1850"/>
      <c r="F54" s="1850"/>
      <c r="G54" s="1850"/>
      <c r="H54" s="1850"/>
      <c r="I54" s="1850"/>
      <c r="J54" s="1850"/>
    </row>
  </sheetData>
  <sheetProtection algorithmName="SHA-512" hashValue="VgGR3gHB6WIoBsVA1AjE85qBXCzCLxyyU+Z3SW2DfG177B5fLFlVIvsLjflQ/9VNcVkSeLFY4ZRdkVs5R/l+tA==" saltValue="/12f1DLBpbLn9bQ+ZjP1UQ==" spinCount="100000" sheet="1" objects="1" scenarios="1"/>
  <mergeCells count="7">
    <mergeCell ref="B3:J3"/>
    <mergeCell ref="B5:J5"/>
    <mergeCell ref="B30:J30"/>
    <mergeCell ref="B32:J32"/>
    <mergeCell ref="B54:J54"/>
    <mergeCell ref="I11:I12"/>
    <mergeCell ref="J11:J12"/>
  </mergeCells>
  <pageMargins left="0.25" right="0.25" top="0.5" bottom="0.5" header="0.25" footer="0.25"/>
  <pageSetup paperSize="5" orientation="portrait" r:id="rId1"/>
  <headerFooter alignWithMargins="0"/>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2">
    <tabColor theme="3" tint="0.79998168889431442"/>
  </sheetPr>
  <dimension ref="B1:AC52"/>
  <sheetViews>
    <sheetView zoomScaleNormal="100" zoomScaleSheetLayoutView="80" workbookViewId="0">
      <selection activeCell="B29" sqref="B29:J29"/>
    </sheetView>
  </sheetViews>
  <sheetFormatPr defaultColWidth="8.88671875" defaultRowHeight="13.2"/>
  <cols>
    <col min="1" max="3" width="4.6640625" style="324" customWidth="1"/>
    <col min="4" max="4" width="4.5546875" style="324" customWidth="1"/>
    <col min="5" max="5" width="8.88671875" style="324"/>
    <col min="6" max="6" width="6.6640625" style="324" customWidth="1"/>
    <col min="7" max="10" width="16.6640625" style="324" customWidth="1"/>
    <col min="11" max="20" width="8.88671875" style="324"/>
    <col min="21" max="23" width="4.6640625" style="315" customWidth="1"/>
    <col min="24" max="24" width="8.88671875" style="315"/>
    <col min="25" max="25" width="6.6640625" style="315" customWidth="1"/>
    <col min="26" max="29" width="16.6640625" style="315" customWidth="1"/>
    <col min="30" max="16384" width="8.88671875" style="324"/>
  </cols>
  <sheetData>
    <row r="1" spans="2:19">
      <c r="B1" s="1128"/>
      <c r="C1" s="1128"/>
      <c r="D1" s="1404"/>
      <c r="E1" s="1404"/>
      <c r="F1" s="1128"/>
      <c r="G1" s="1128"/>
      <c r="H1" s="1128"/>
      <c r="I1" s="1128"/>
      <c r="J1" s="1128"/>
    </row>
    <row r="2" spans="2:19">
      <c r="B2" s="1128"/>
      <c r="C2" s="1128"/>
      <c r="D2" s="1404"/>
      <c r="E2" s="1404"/>
      <c r="F2" s="1128"/>
      <c r="G2" s="1128"/>
      <c r="H2" s="1128"/>
      <c r="I2" s="1128"/>
      <c r="J2" s="1128"/>
    </row>
    <row r="3" spans="2:19" ht="24.6">
      <c r="B3" s="1993" t="str">
        <f>UPPER('KEY INPUTS'!D$57)&amp;" UTILITY FUND"</f>
        <v xml:space="preserve"> UTILITY FUND</v>
      </c>
      <c r="C3" s="1993"/>
      <c r="D3" s="1993"/>
      <c r="E3" s="1993"/>
      <c r="F3" s="1993"/>
      <c r="G3" s="1993"/>
      <c r="H3" s="1993"/>
      <c r="I3" s="1993"/>
      <c r="J3" s="1993"/>
    </row>
    <row r="4" spans="2:19">
      <c r="B4" s="1128"/>
      <c r="C4" s="1128"/>
      <c r="D4" s="1128"/>
      <c r="E4" s="1128"/>
      <c r="F4" s="1128"/>
      <c r="G4" s="1128"/>
      <c r="H4" s="1128"/>
      <c r="I4" s="1128"/>
      <c r="J4" s="1128"/>
    </row>
    <row r="5" spans="2:19" ht="17.399999999999999">
      <c r="B5" s="2013" t="str">
        <f>"CAPITAL  IMPROVEMENTS  AUTHORIZED  IN "&amp;TEXT('KEY INPUTS'!D34,"0")&amp;""</f>
        <v>CAPITAL  IMPROVEMENTS  AUTHORIZED  IN 2020</v>
      </c>
      <c r="C5" s="2013"/>
      <c r="D5" s="2013"/>
      <c r="E5" s="2013"/>
      <c r="F5" s="2013"/>
      <c r="G5" s="2013"/>
      <c r="H5" s="2013"/>
      <c r="I5" s="2013"/>
      <c r="J5" s="2013"/>
    </row>
    <row r="6" spans="2:19" ht="17.399999999999999">
      <c r="B6" s="2013" t="s">
        <v>210</v>
      </c>
      <c r="C6" s="2013"/>
      <c r="D6" s="2013"/>
      <c r="E6" s="2013"/>
      <c r="F6" s="2013"/>
      <c r="G6" s="2013"/>
      <c r="H6" s="2013"/>
      <c r="I6" s="2013"/>
      <c r="J6" s="2013"/>
    </row>
    <row r="7" spans="2:19" ht="13.8" thickBot="1">
      <c r="B7" s="1128"/>
      <c r="C7" s="1128"/>
      <c r="D7" s="1128"/>
      <c r="E7" s="1128"/>
      <c r="F7" s="1128"/>
      <c r="G7" s="1128"/>
      <c r="H7" s="1128"/>
      <c r="I7" s="1128"/>
      <c r="J7" s="1128"/>
    </row>
    <row r="8" spans="2:19" ht="13.8" thickTop="1">
      <c r="B8" s="1124"/>
      <c r="C8" s="1124"/>
      <c r="D8" s="1124"/>
      <c r="E8" s="1124"/>
      <c r="F8" s="1124"/>
      <c r="G8" s="1125"/>
      <c r="H8" s="1125"/>
      <c r="I8" s="1125"/>
      <c r="J8" s="1405" t="s">
        <v>251</v>
      </c>
    </row>
    <row r="9" spans="2:19">
      <c r="B9" s="1128"/>
      <c r="C9" s="1825" t="s">
        <v>440</v>
      </c>
      <c r="D9" s="1825"/>
      <c r="E9" s="1825"/>
      <c r="F9" s="1128"/>
      <c r="G9" s="1129" t="s">
        <v>441</v>
      </c>
      <c r="H9" s="1129" t="s">
        <v>209</v>
      </c>
      <c r="I9" s="1129" t="s">
        <v>213</v>
      </c>
      <c r="J9" s="1123" t="s">
        <v>252</v>
      </c>
    </row>
    <row r="10" spans="2:19">
      <c r="B10" s="1128"/>
      <c r="C10" s="1128"/>
      <c r="D10" s="1128"/>
      <c r="E10" s="1128"/>
      <c r="F10" s="1128"/>
      <c r="G10" s="1129" t="s">
        <v>211</v>
      </c>
      <c r="H10" s="1129" t="s">
        <v>212</v>
      </c>
      <c r="I10" s="1129" t="s">
        <v>214</v>
      </c>
      <c r="J10" s="1123" t="str">
        <f>"of " &amp;TEXT('KEY INPUTS'!D34,"0")&amp;" or Prior"</f>
        <v>of 2020 or Prior</v>
      </c>
    </row>
    <row r="11" spans="2:19" ht="13.8" thickBot="1">
      <c r="B11" s="1135"/>
      <c r="C11" s="1135"/>
      <c r="D11" s="1135"/>
      <c r="E11" s="1135"/>
      <c r="F11" s="1135"/>
      <c r="G11" s="1137"/>
      <c r="H11" s="1137" t="s">
        <v>468</v>
      </c>
      <c r="I11" s="1137" t="s">
        <v>250</v>
      </c>
      <c r="J11" s="1406" t="s">
        <v>253</v>
      </c>
      <c r="M11" s="315"/>
      <c r="N11" s="315"/>
      <c r="O11" s="315"/>
      <c r="P11" s="315"/>
      <c r="Q11" s="315"/>
      <c r="R11" s="315"/>
      <c r="S11" s="315"/>
    </row>
    <row r="12" spans="2:19" ht="21" customHeight="1" thickTop="1">
      <c r="B12" s="664"/>
      <c r="C12" s="664"/>
      <c r="D12" s="664"/>
      <c r="E12" s="664"/>
      <c r="F12" s="664"/>
      <c r="G12" s="597"/>
      <c r="H12" s="597"/>
      <c r="I12" s="597"/>
      <c r="J12" s="630"/>
      <c r="M12" s="315"/>
      <c r="N12" s="315"/>
      <c r="O12" s="315"/>
      <c r="P12" s="315"/>
      <c r="Q12" s="315"/>
      <c r="R12" s="315"/>
      <c r="S12" s="315"/>
    </row>
    <row r="13" spans="2:19" ht="21" customHeight="1">
      <c r="B13" s="639"/>
      <c r="C13" s="639"/>
      <c r="D13" s="639"/>
      <c r="E13" s="639"/>
      <c r="F13" s="639"/>
      <c r="G13" s="593"/>
      <c r="H13" s="593"/>
      <c r="I13" s="593"/>
      <c r="J13" s="601"/>
      <c r="M13" s="370"/>
      <c r="N13" s="315"/>
      <c r="O13" s="315"/>
      <c r="P13" s="315"/>
      <c r="Q13" s="315"/>
      <c r="R13" s="315"/>
      <c r="S13" s="315"/>
    </row>
    <row r="14" spans="2:19" ht="21" customHeight="1">
      <c r="B14" s="639"/>
      <c r="C14" s="639"/>
      <c r="D14" s="639"/>
      <c r="E14" s="639"/>
      <c r="F14" s="639"/>
      <c r="G14" s="593"/>
      <c r="H14" s="593"/>
      <c r="I14" s="593"/>
      <c r="J14" s="601"/>
      <c r="M14" s="315"/>
      <c r="N14" s="315"/>
      <c r="O14" s="315"/>
      <c r="P14" s="315"/>
      <c r="Q14" s="315"/>
      <c r="R14" s="315"/>
      <c r="S14" s="315"/>
    </row>
    <row r="15" spans="2:19" ht="21" customHeight="1">
      <c r="B15" s="639"/>
      <c r="C15" s="639"/>
      <c r="D15" s="639"/>
      <c r="E15" s="639"/>
      <c r="F15" s="639"/>
      <c r="G15" s="593"/>
      <c r="H15" s="593"/>
      <c r="I15" s="593"/>
      <c r="J15" s="601"/>
      <c r="M15" s="315"/>
      <c r="N15" s="315"/>
      <c r="O15" s="315"/>
      <c r="P15" s="315"/>
      <c r="Q15" s="315"/>
      <c r="R15" s="315"/>
      <c r="S15" s="315"/>
    </row>
    <row r="16" spans="2:19" ht="21" customHeight="1">
      <c r="B16" s="639"/>
      <c r="C16" s="639"/>
      <c r="D16" s="639"/>
      <c r="E16" s="639"/>
      <c r="F16" s="639"/>
      <c r="G16" s="593"/>
      <c r="H16" s="593"/>
      <c r="I16" s="593"/>
      <c r="J16" s="601"/>
      <c r="M16" s="315"/>
      <c r="N16" s="315"/>
      <c r="O16" s="315"/>
      <c r="P16" s="315"/>
      <c r="Q16" s="315"/>
      <c r="R16" s="315"/>
      <c r="S16" s="315"/>
    </row>
    <row r="17" spans="2:19" ht="21" customHeight="1">
      <c r="B17" s="639"/>
      <c r="C17" s="639"/>
      <c r="D17" s="639"/>
      <c r="E17" s="639"/>
      <c r="F17" s="639"/>
      <c r="G17" s="593"/>
      <c r="H17" s="593"/>
      <c r="I17" s="593"/>
      <c r="J17" s="601"/>
      <c r="M17" s="315"/>
      <c r="N17" s="315"/>
      <c r="O17" s="315"/>
      <c r="P17" s="315"/>
      <c r="Q17" s="315"/>
      <c r="R17" s="315"/>
      <c r="S17" s="315"/>
    </row>
    <row r="18" spans="2:19" ht="21" customHeight="1">
      <c r="B18" s="639"/>
      <c r="C18" s="639"/>
      <c r="D18" s="639"/>
      <c r="E18" s="639"/>
      <c r="F18" s="639"/>
      <c r="G18" s="593"/>
      <c r="H18" s="593"/>
      <c r="I18" s="593"/>
      <c r="J18" s="601"/>
      <c r="M18" s="315"/>
      <c r="N18" s="315"/>
      <c r="O18" s="315"/>
      <c r="P18" s="315"/>
      <c r="Q18" s="315"/>
      <c r="R18" s="315"/>
      <c r="S18" s="315"/>
    </row>
    <row r="19" spans="2:19" ht="21" customHeight="1">
      <c r="B19" s="639"/>
      <c r="C19" s="639"/>
      <c r="D19" s="639"/>
      <c r="E19" s="639"/>
      <c r="F19" s="639"/>
      <c r="G19" s="593"/>
      <c r="H19" s="593"/>
      <c r="I19" s="593"/>
      <c r="J19" s="601"/>
      <c r="M19" s="315"/>
      <c r="N19" s="315"/>
      <c r="O19" s="315"/>
      <c r="P19" s="315"/>
      <c r="Q19" s="315"/>
      <c r="R19" s="315"/>
      <c r="S19" s="315"/>
    </row>
    <row r="20" spans="2:19" ht="21" customHeight="1">
      <c r="B20" s="639"/>
      <c r="C20" s="639"/>
      <c r="D20" s="639"/>
      <c r="E20" s="639"/>
      <c r="F20" s="639"/>
      <c r="G20" s="593"/>
      <c r="H20" s="593"/>
      <c r="I20" s="593"/>
      <c r="J20" s="601"/>
      <c r="M20" s="315"/>
      <c r="N20" s="315"/>
      <c r="O20" s="315"/>
      <c r="P20" s="315"/>
      <c r="Q20" s="315"/>
      <c r="R20" s="315"/>
      <c r="S20" s="315"/>
    </row>
    <row r="21" spans="2:19" ht="21" customHeight="1" thickBot="1">
      <c r="B21" s="639"/>
      <c r="C21" s="639"/>
      <c r="D21" s="639"/>
      <c r="E21" s="639"/>
      <c r="F21" s="639"/>
      <c r="G21" s="619"/>
      <c r="H21" s="619"/>
      <c r="I21" s="619"/>
      <c r="J21" s="662"/>
      <c r="M21" s="315"/>
      <c r="N21" s="315"/>
      <c r="O21" s="315"/>
      <c r="P21" s="315"/>
      <c r="Q21" s="315"/>
      <c r="R21" s="315"/>
      <c r="S21" s="315"/>
    </row>
    <row r="22" spans="2:19" ht="21" customHeight="1" thickTop="1" thickBot="1">
      <c r="B22" s="1135"/>
      <c r="C22" s="1135"/>
      <c r="D22" s="1135"/>
      <c r="E22" s="1135"/>
      <c r="F22" s="1135"/>
      <c r="G22" s="1065">
        <f>SUM(G12:G21)</f>
        <v>0</v>
      </c>
      <c r="H22" s="1065">
        <f>SUM(H12:H21)</f>
        <v>0</v>
      </c>
      <c r="I22" s="1065">
        <f>SUM(I12:I21)</f>
        <v>0</v>
      </c>
      <c r="J22" s="1044">
        <f>SUM(J12:J21)</f>
        <v>0</v>
      </c>
      <c r="M22" s="315"/>
      <c r="N22" s="315"/>
      <c r="O22" s="315"/>
      <c r="P22" s="315"/>
      <c r="Q22" s="315"/>
      <c r="R22" s="315"/>
      <c r="S22" s="315"/>
    </row>
    <row r="23" spans="2:19" ht="13.8" thickTop="1">
      <c r="B23" s="1128"/>
      <c r="C23" s="1128"/>
      <c r="D23" s="1128"/>
      <c r="E23" s="1128"/>
      <c r="F23" s="1128"/>
      <c r="G23" s="1128"/>
      <c r="H23" s="1128"/>
      <c r="I23" s="1128"/>
      <c r="J23" s="1128"/>
      <c r="M23" s="315"/>
      <c r="N23" s="315"/>
      <c r="O23" s="315"/>
      <c r="P23" s="315"/>
      <c r="Q23" s="315"/>
      <c r="R23" s="315"/>
      <c r="S23" s="315"/>
    </row>
    <row r="24" spans="2:19">
      <c r="B24" s="1128"/>
      <c r="C24" s="1128"/>
      <c r="D24" s="1128"/>
      <c r="E24" s="1128"/>
      <c r="F24" s="1128"/>
      <c r="G24" s="1128"/>
      <c r="H24" s="1128"/>
      <c r="I24" s="1128"/>
      <c r="J24" s="1128"/>
      <c r="M24" s="315"/>
      <c r="N24" s="315"/>
      <c r="O24" s="315"/>
      <c r="P24" s="315"/>
      <c r="Q24" s="315"/>
      <c r="R24" s="315"/>
      <c r="S24" s="315"/>
    </row>
    <row r="25" spans="2:19">
      <c r="B25" s="1128"/>
      <c r="C25" s="1128"/>
      <c r="D25" s="1128"/>
      <c r="E25" s="1128"/>
      <c r="F25" s="1128"/>
      <c r="G25" s="1128"/>
      <c r="H25" s="1128"/>
      <c r="I25" s="1128"/>
      <c r="J25" s="1128"/>
      <c r="M25" s="315"/>
      <c r="N25" s="315"/>
      <c r="O25" s="315"/>
      <c r="P25" s="315"/>
      <c r="Q25" s="315"/>
      <c r="R25" s="315"/>
      <c r="S25" s="315"/>
    </row>
    <row r="26" spans="2:19">
      <c r="B26" s="1128"/>
      <c r="C26" s="1128"/>
      <c r="D26" s="1128"/>
      <c r="E26" s="1128"/>
      <c r="F26" s="1128"/>
      <c r="G26" s="1128"/>
      <c r="H26" s="1128"/>
      <c r="I26" s="1128"/>
      <c r="J26" s="1128"/>
      <c r="M26" s="315"/>
      <c r="N26" s="315"/>
      <c r="O26" s="315"/>
      <c r="P26" s="315"/>
      <c r="Q26" s="315"/>
      <c r="R26" s="315"/>
      <c r="S26" s="315"/>
    </row>
    <row r="27" spans="2:19">
      <c r="B27" s="1128"/>
      <c r="C27" s="1128"/>
      <c r="D27" s="1128"/>
      <c r="E27" s="1128"/>
      <c r="F27" s="1128"/>
      <c r="G27" s="1128"/>
      <c r="H27" s="1128"/>
      <c r="I27" s="1128"/>
      <c r="J27" s="1128"/>
      <c r="M27" s="315"/>
      <c r="N27" s="315"/>
      <c r="O27" s="315"/>
      <c r="P27" s="315"/>
      <c r="Q27" s="315"/>
      <c r="R27" s="315"/>
      <c r="S27" s="315"/>
    </row>
    <row r="28" spans="2:19" ht="22.8">
      <c r="B28" s="1804" t="str">
        <f>UPPER('KEY INPUTS'!D$57)&amp;" UTILITY  CAPITAL  FUND"</f>
        <v xml:space="preserve"> UTILITY  CAPITAL  FUND</v>
      </c>
      <c r="C28" s="1804"/>
      <c r="D28" s="1804"/>
      <c r="E28" s="1804"/>
      <c r="F28" s="1804"/>
      <c r="G28" s="1804"/>
      <c r="H28" s="1804"/>
      <c r="I28" s="1804"/>
      <c r="J28" s="1804"/>
    </row>
    <row r="29" spans="2:19" ht="22.8">
      <c r="B29" s="1820" t="s">
        <v>160</v>
      </c>
      <c r="C29" s="1820"/>
      <c r="D29" s="1820"/>
      <c r="E29" s="1820"/>
      <c r="F29" s="1820"/>
      <c r="G29" s="1820"/>
      <c r="H29" s="1820"/>
      <c r="I29" s="1820"/>
      <c r="J29" s="1820"/>
    </row>
    <row r="30" spans="2:19">
      <c r="B30" s="1128"/>
      <c r="C30" s="1128"/>
      <c r="D30" s="1128"/>
      <c r="E30" s="1128"/>
      <c r="F30" s="1128"/>
      <c r="G30" s="1128"/>
      <c r="H30" s="1128"/>
      <c r="I30" s="1128"/>
      <c r="J30" s="1128"/>
    </row>
    <row r="31" spans="2:19" ht="15.6">
      <c r="B31" s="2012" t="str">
        <f>"YEAR  "&amp;TEXT('KEY INPUTS'!D34,"0")&amp;""</f>
        <v>YEAR  2020</v>
      </c>
      <c r="C31" s="2012"/>
      <c r="D31" s="2012"/>
      <c r="E31" s="2012"/>
      <c r="F31" s="2012"/>
      <c r="G31" s="2012"/>
      <c r="H31" s="2012"/>
      <c r="I31" s="2012"/>
      <c r="J31" s="2012"/>
    </row>
    <row r="32" spans="2:19" ht="13.8" thickBot="1">
      <c r="B32" s="1128"/>
      <c r="C32" s="1128"/>
      <c r="D32" s="1128"/>
      <c r="E32" s="1128"/>
      <c r="F32" s="1128"/>
      <c r="G32" s="1128"/>
      <c r="H32" s="1128"/>
      <c r="I32" s="1128"/>
      <c r="J32" s="1128"/>
    </row>
    <row r="33" spans="2:10" ht="28.5" customHeight="1" thickTop="1" thickBot="1">
      <c r="B33" s="1370"/>
      <c r="C33" s="1370"/>
      <c r="D33" s="1370"/>
      <c r="E33" s="1370"/>
      <c r="F33" s="1370"/>
      <c r="G33" s="1370"/>
      <c r="H33" s="1370"/>
      <c r="I33" s="1116" t="s">
        <v>101</v>
      </c>
      <c r="J33" s="1117" t="s">
        <v>102</v>
      </c>
    </row>
    <row r="34" spans="2:10" ht="21" customHeight="1" thickTop="1">
      <c r="B34" s="1407" t="str">
        <f>'KEY INPUTS'!D25</f>
        <v>Balance - January 1, 2020</v>
      </c>
      <c r="C34" s="1140"/>
      <c r="D34" s="1140"/>
      <c r="E34" s="1140"/>
      <c r="F34" s="1140"/>
      <c r="G34" s="1140"/>
      <c r="H34" s="1140"/>
      <c r="I34" s="1070" t="s">
        <v>662</v>
      </c>
      <c r="J34" s="629"/>
    </row>
    <row r="35" spans="2:10" ht="21" customHeight="1">
      <c r="B35" s="1121" t="s">
        <v>161</v>
      </c>
      <c r="C35" s="1121"/>
      <c r="D35" s="1121"/>
      <c r="E35" s="1121"/>
      <c r="F35" s="1121"/>
      <c r="G35" s="1121"/>
      <c r="H35" s="1121"/>
      <c r="I35" s="963" t="s">
        <v>662</v>
      </c>
      <c r="J35" s="571"/>
    </row>
    <row r="36" spans="2:10" ht="21" customHeight="1">
      <c r="B36" s="1121" t="s">
        <v>162</v>
      </c>
      <c r="C36" s="1121"/>
      <c r="D36" s="1121"/>
      <c r="E36" s="1121"/>
      <c r="F36" s="1121"/>
      <c r="G36" s="1121"/>
      <c r="H36" s="1121"/>
      <c r="I36" s="963" t="s">
        <v>662</v>
      </c>
      <c r="J36" s="571"/>
    </row>
    <row r="37" spans="2:10" ht="21" customHeight="1">
      <c r="B37" s="639" t="s">
        <v>3273</v>
      </c>
      <c r="C37" s="639"/>
      <c r="D37" s="639"/>
      <c r="E37" s="1121"/>
      <c r="F37" s="1121"/>
      <c r="G37" s="1121"/>
      <c r="H37" s="1121"/>
      <c r="I37" s="1004"/>
      <c r="J37" s="571"/>
    </row>
    <row r="38" spans="2:10" ht="21" customHeight="1">
      <c r="B38" s="639"/>
      <c r="C38" s="639"/>
      <c r="D38" s="639"/>
      <c r="E38" s="639"/>
      <c r="F38" s="639"/>
      <c r="G38" s="639"/>
      <c r="H38" s="1121"/>
      <c r="I38" s="367"/>
      <c r="J38" s="571"/>
    </row>
    <row r="39" spans="2:10" ht="21" customHeight="1">
      <c r="B39" s="639"/>
      <c r="C39" s="639"/>
      <c r="D39" s="639"/>
      <c r="E39" s="639"/>
      <c r="F39" s="639"/>
      <c r="G39" s="639"/>
      <c r="H39" s="1121"/>
      <c r="I39" s="367"/>
      <c r="J39" s="571"/>
    </row>
    <row r="40" spans="2:10" ht="21" customHeight="1">
      <c r="B40" s="1121" t="s">
        <v>3233</v>
      </c>
      <c r="C40" s="1121"/>
      <c r="D40" s="1121"/>
      <c r="E40" s="1121"/>
      <c r="F40" s="1121"/>
      <c r="G40" s="1121"/>
      <c r="H40" s="1121"/>
      <c r="I40" s="367"/>
      <c r="J40" s="967" t="s">
        <v>662</v>
      </c>
    </row>
    <row r="41" spans="2:10" ht="21" customHeight="1">
      <c r="B41" s="1121" t="str">
        <f>"Appropriation to "&amp;'KEY INPUTS'!D34&amp;" Budget Reserve"</f>
        <v>Appropriation to 2020 Budget Reserve</v>
      </c>
      <c r="C41" s="1121"/>
      <c r="D41" s="1121"/>
      <c r="E41" s="1121"/>
      <c r="F41" s="1121"/>
      <c r="G41" s="1408"/>
      <c r="H41" s="1121"/>
      <c r="I41" s="593"/>
      <c r="J41" s="967" t="s">
        <v>662</v>
      </c>
    </row>
    <row r="42" spans="2:10" ht="21" customHeight="1">
      <c r="B42" s="1121" t="str">
        <f>'KEY INPUTS'!D26</f>
        <v>Balance - December 31, 2020</v>
      </c>
      <c r="C42" s="1121"/>
      <c r="D42" s="1121"/>
      <c r="E42" s="1121"/>
      <c r="F42" s="1121"/>
      <c r="G42" s="1121"/>
      <c r="H42" s="1121"/>
      <c r="I42" s="833">
        <f>SUM(J34:J39)-SUM(I37:I41)</f>
        <v>0</v>
      </c>
      <c r="J42" s="967" t="s">
        <v>662</v>
      </c>
    </row>
    <row r="43" spans="2:10" ht="21" customHeight="1" thickBot="1">
      <c r="B43" s="1128"/>
      <c r="C43" s="1128"/>
      <c r="D43" s="1128"/>
      <c r="E43" s="1128"/>
      <c r="F43" s="1128"/>
      <c r="G43" s="1128"/>
      <c r="H43" s="1128"/>
      <c r="I43" s="1006">
        <f>SUM(I34:I42)</f>
        <v>0</v>
      </c>
      <c r="J43" s="975">
        <f>SUM(J34:J42)</f>
        <v>0</v>
      </c>
    </row>
    <row r="44" spans="2:10" ht="21" customHeight="1" thickTop="1"/>
    <row r="45" spans="2:10" ht="21" customHeight="1"/>
    <row r="46" spans="2:10" ht="21" customHeight="1"/>
    <row r="47" spans="2:10" ht="21" customHeight="1"/>
    <row r="48" spans="2:10" ht="21" customHeight="1"/>
    <row r="49" spans="2:10" ht="21" customHeight="1"/>
    <row r="52" spans="2:10" ht="13.8">
      <c r="B52" s="1850" t="s">
        <v>3232</v>
      </c>
      <c r="C52" s="1850"/>
      <c r="D52" s="1850"/>
      <c r="E52" s="1850"/>
      <c r="F52" s="1850"/>
      <c r="G52" s="1850"/>
      <c r="H52" s="1850"/>
      <c r="I52" s="1850"/>
      <c r="J52" s="1850"/>
    </row>
  </sheetData>
  <sheetProtection password="CAF9"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305</vt:i4>
      </vt:variant>
      <vt:variant>
        <vt:lpstr>Named Ranges</vt:lpstr>
      </vt:variant>
      <vt:variant>
        <vt:i4>304</vt:i4>
      </vt:variant>
    </vt:vector>
  </HeadingPairs>
  <TitlesOfParts>
    <vt:vector size="609" baseType="lpstr">
      <vt:lpstr>Instructions</vt:lpstr>
      <vt:lpstr>69 - Instructions</vt:lpstr>
      <vt:lpstr>KEY INPUTS</vt:lpstr>
      <vt:lpstr>KEY METRICS</vt:lpstr>
      <vt:lpstr>1- Cover</vt:lpstr>
      <vt:lpstr>1a - RMA Certification</vt:lpstr>
      <vt:lpstr>1b - Local Exam Qual Cert</vt:lpstr>
      <vt:lpstr>1c - Fed &amp; State Finan Asst.</vt:lpstr>
      <vt:lpstr>2 - No Utility Fund Cert</vt:lpstr>
      <vt:lpstr>3-Trial Bal-Current Fund</vt:lpstr>
      <vt:lpstr>3a-Trial Bal-Current Fund</vt:lpstr>
      <vt:lpstr>3a.1-Trial Bal-Current Fund</vt:lpstr>
      <vt:lpstr>4-Trial Bal-Pub Assist Fnd</vt:lpstr>
      <vt:lpstr>5-Trial Bal-Grants</vt:lpstr>
      <vt:lpstr>6-Trial Bal-Trust Fnds</vt:lpstr>
      <vt:lpstr>6.1-Trial Bal-Trust Fnds</vt:lpstr>
      <vt:lpstr>6.2-Trial Bal-Trust Fnds</vt:lpstr>
      <vt:lpstr>6.3-Trial Bal-Trust Fnds</vt:lpstr>
      <vt:lpstr>6.4-Trial Bal-Trust Fnds</vt:lpstr>
      <vt:lpstr>6.TOTAL-Trial Bal-Trust Fnds</vt:lpstr>
      <vt:lpstr>6b-Trust Fund Reserves</vt:lpstr>
      <vt:lpstr>6b.1-Trust Fund Reserves</vt:lpstr>
      <vt:lpstr>6b.2-Trust Fund Reserves</vt:lpstr>
      <vt:lpstr>6b.3-Trust Fund Reserves</vt:lpstr>
      <vt:lpstr>6b-Total Trust Fund Reserves</vt:lpstr>
      <vt:lpstr>7-Trust Asm Cash &amp; Investments</vt:lpstr>
      <vt:lpstr>8-Trial Bal-Gen Cap Fund</vt:lpstr>
      <vt:lpstr>8.1-Trial Bal-Gen Cap Fund</vt:lpstr>
      <vt:lpstr>9-Cash Reconciliation</vt:lpstr>
      <vt:lpstr>9a-Cash Reconciliation</vt:lpstr>
      <vt:lpstr>9a.1-Cash Reconciliation</vt:lpstr>
      <vt:lpstr>9a.2-Cash Reconciliation</vt:lpstr>
      <vt:lpstr>9a.3-Cash Reconciliation</vt:lpstr>
      <vt:lpstr>9a TOTAL-Cash Reconciliation</vt:lpstr>
      <vt:lpstr>10-Grants Receivable</vt:lpstr>
      <vt:lpstr>10.1-Grants Receivable</vt:lpstr>
      <vt:lpstr>10.2-Grants Receivable</vt:lpstr>
      <vt:lpstr>10.3-Grants Receivable</vt:lpstr>
      <vt:lpstr>10.4-Grants Receivable</vt:lpstr>
      <vt:lpstr>10.5-Grants Receivable</vt:lpstr>
      <vt:lpstr>10.6-Grants Receivable</vt:lpstr>
      <vt:lpstr>10.7-Grants Receivable</vt:lpstr>
      <vt:lpstr>10.8-Grants Receivable</vt:lpstr>
      <vt:lpstr>10.9-Grants Receivable</vt:lpstr>
      <vt:lpstr>10.10-Grants Receivable</vt:lpstr>
      <vt:lpstr>10.11-Grants Receivable</vt:lpstr>
      <vt:lpstr>10.12-Grants Receivable</vt:lpstr>
      <vt:lpstr>10.13-Grants Receivable</vt:lpstr>
      <vt:lpstr>10.14-Grants Receivable</vt:lpstr>
      <vt:lpstr>10.15-Grants Receivable</vt:lpstr>
      <vt:lpstr>10.16-Grants Receivable</vt:lpstr>
      <vt:lpstr>10.17-Grants Receivable</vt:lpstr>
      <vt:lpstr>10.18-Grants Receivable</vt:lpstr>
      <vt:lpstr>10.19-Grants Receivable</vt:lpstr>
      <vt:lpstr>10.20-Grants Receivable</vt:lpstr>
      <vt:lpstr>10.21-Grants Receivable</vt:lpstr>
      <vt:lpstr>10.22-Grants Receivable</vt:lpstr>
      <vt:lpstr>10.23-Grants Receivable</vt:lpstr>
      <vt:lpstr>10.24-Grants Receivable</vt:lpstr>
      <vt:lpstr>10 Totals Grants Receivable</vt:lpstr>
      <vt:lpstr>11 Grants Approp Rsrv</vt:lpstr>
      <vt:lpstr>11.1 Grants Approp Rsrv</vt:lpstr>
      <vt:lpstr>11.2 Grants Approp Rsrv</vt:lpstr>
      <vt:lpstr>11.3 Grants Approp Rsrv</vt:lpstr>
      <vt:lpstr>11.4 Grants Approp Rsrv</vt:lpstr>
      <vt:lpstr>11.5 Grants Approp Rsrv</vt:lpstr>
      <vt:lpstr>11.6 Grants Approp Rsrv</vt:lpstr>
      <vt:lpstr>11.7 Grants Approp Rsrv</vt:lpstr>
      <vt:lpstr>11.8 Grants Approp Rsrv</vt:lpstr>
      <vt:lpstr>11.9 Grants Approp Rsrv</vt:lpstr>
      <vt:lpstr>11.10 Grants Approp Rsrv</vt:lpstr>
      <vt:lpstr>11.11 Grants Approp Rsrv</vt:lpstr>
      <vt:lpstr>11.12 Grants Approp Rsrv</vt:lpstr>
      <vt:lpstr>11.13 Grants Approp Rsrv</vt:lpstr>
      <vt:lpstr>11.14 Grants Approp Rsrv</vt:lpstr>
      <vt:lpstr>11.15 Grants Approp Rsrv</vt:lpstr>
      <vt:lpstr>11.16 Grants Approp Rsrv</vt:lpstr>
      <vt:lpstr>11.17 Grants Approp Rsrv</vt:lpstr>
      <vt:lpstr>11.18 Grants Approp Rsrv</vt:lpstr>
      <vt:lpstr>11.19 Grants Approp Rsrv</vt:lpstr>
      <vt:lpstr>11.20 Grants Approp Rsrv</vt:lpstr>
      <vt:lpstr>11.21 Grants Approp Rsrv</vt:lpstr>
      <vt:lpstr>11.22 Grants Approp Rsrv</vt:lpstr>
      <vt:lpstr>11.23 Grants Approp Rsrv</vt:lpstr>
      <vt:lpstr>11.24 Grants Approp Rsrv</vt:lpstr>
      <vt:lpstr>11.25 Grants Approp Rsrv</vt:lpstr>
      <vt:lpstr>11.26 Grants Approp Rsrv</vt:lpstr>
      <vt:lpstr>11.27 Grants Approp Rsrv</vt:lpstr>
      <vt:lpstr>11.28 Grants Approp Rsrv</vt:lpstr>
      <vt:lpstr>11.29 Grants Approp Rsrv</vt:lpstr>
      <vt:lpstr>11.30 Grants Approp Rsrv</vt:lpstr>
      <vt:lpstr>11.31 Grants Approp Rsrv</vt:lpstr>
      <vt:lpstr>11.32 Grants Approp Rsrv</vt:lpstr>
      <vt:lpstr>11.33 Grants Approp Rsrv</vt:lpstr>
      <vt:lpstr>11.34 Grants Approp Rsrv</vt:lpstr>
      <vt:lpstr>11.35 Grants Approp Rsrv</vt:lpstr>
      <vt:lpstr>11.36 Grants Approp Rsrv</vt:lpstr>
      <vt:lpstr>11.37 Grants Approp Rsrv</vt:lpstr>
      <vt:lpstr>11.38 Grants Approp Rsrv</vt:lpstr>
      <vt:lpstr>11.39 Grants Approp Rsrv</vt:lpstr>
      <vt:lpstr>11- Totals Grants Approp Rsrv</vt:lpstr>
      <vt:lpstr>12-Grants Unappropriated</vt:lpstr>
      <vt:lpstr>12.1-Grants Unappropriated</vt:lpstr>
      <vt:lpstr>12.2-Grants Unappropriated</vt:lpstr>
      <vt:lpstr>12 Total-Grants Unappropriated</vt:lpstr>
      <vt:lpstr>13-Other Taxes</vt:lpstr>
      <vt:lpstr>14-Other Taxes</vt:lpstr>
      <vt:lpstr>15-Other Taxes</vt:lpstr>
      <vt:lpstr>17-Budget Revenues</vt:lpstr>
      <vt:lpstr>17a-Budget Revenues</vt:lpstr>
      <vt:lpstr>17a.1-Budget Revenues </vt:lpstr>
      <vt:lpstr>17a.2-Budget Revenues</vt:lpstr>
      <vt:lpstr>17a.3-Budget Revenues</vt:lpstr>
      <vt:lpstr>17a Totals-Budget Revenues</vt:lpstr>
      <vt:lpstr>18-Budget Appropriations</vt:lpstr>
      <vt:lpstr>19-Results of Op-Cur Fnd</vt:lpstr>
      <vt:lpstr>20-Misc Rev Not Ant</vt:lpstr>
      <vt:lpstr>20.1-Misc Rev Not Ant</vt:lpstr>
      <vt:lpstr>20 Total-Misc Rev Not Ant</vt:lpstr>
      <vt:lpstr>21-Current Fund Surplus</vt:lpstr>
      <vt:lpstr>22-CY Levy</vt:lpstr>
      <vt:lpstr>22a-Tax Levy Sale</vt:lpstr>
      <vt:lpstr>23-SCVet Deductions</vt:lpstr>
      <vt:lpstr>24-Reserves for Tax Appeals</vt:lpstr>
      <vt:lpstr>26-Delinquent Taxes and Liens</vt:lpstr>
      <vt:lpstr>27-Foreclosed Property</vt:lpstr>
      <vt:lpstr>28-Deferred Charges</vt:lpstr>
      <vt:lpstr>29-Special Emergency</vt:lpstr>
      <vt:lpstr>30-Special Emergency</vt:lpstr>
      <vt:lpstr>31-Capital Bond Schedule</vt:lpstr>
      <vt:lpstr>31A-Loan Schedule</vt:lpstr>
      <vt:lpstr>31A.1-Loan Schedule</vt:lpstr>
      <vt:lpstr>31A.2-Loan Schedule</vt:lpstr>
      <vt:lpstr>32-Bond Schedule</vt:lpstr>
      <vt:lpstr>33-Note Debt Service</vt:lpstr>
      <vt:lpstr>33.1-Note Debt Service</vt:lpstr>
      <vt:lpstr>33 Totals-Note Debt Service</vt:lpstr>
      <vt:lpstr>34-Assmt Note Debt Service</vt:lpstr>
      <vt:lpstr>34a-Cap Lease Program Oblg</vt:lpstr>
      <vt:lpstr>35- Cap Fund Imprv Auth</vt:lpstr>
      <vt:lpstr>35.1- Cap Fund Imprv Auth </vt:lpstr>
      <vt:lpstr>35.2- Cap Fund Imprv Auth</vt:lpstr>
      <vt:lpstr>35.3- Cap Fund Imprv Auth</vt:lpstr>
      <vt:lpstr>35.4- Cap Fund Imprv Auth</vt:lpstr>
      <vt:lpstr>35.5- Cap Fund Imprv Auth</vt:lpstr>
      <vt:lpstr>35.6- Cap Fund Imprv Auth</vt:lpstr>
      <vt:lpstr>35.7- Cap Fund Imprv Auth</vt:lpstr>
      <vt:lpstr>35.8- Cap Fund Imprv Auth</vt:lpstr>
      <vt:lpstr>35.9- Cap Fund Imprv Auth</vt:lpstr>
      <vt:lpstr>35 Totals- Cap Fund Imprv Auth</vt:lpstr>
      <vt:lpstr>36- Capital Improvement Fund</vt:lpstr>
      <vt:lpstr>37- Cap Fund Down Pymts</vt:lpstr>
      <vt:lpstr>38- Capital Surplus</vt:lpstr>
      <vt:lpstr>39- Req. Information</vt:lpstr>
      <vt:lpstr>40</vt:lpstr>
      <vt:lpstr>41-Utility1 </vt:lpstr>
      <vt:lpstr>41a-Utility1</vt:lpstr>
      <vt:lpstr>41a.1-Utility1</vt:lpstr>
      <vt:lpstr>42-Utility1</vt:lpstr>
      <vt:lpstr>43-Utility1</vt:lpstr>
      <vt:lpstr>44-Utility1</vt:lpstr>
      <vt:lpstr>45-Utility1</vt:lpstr>
      <vt:lpstr>46-Utility1</vt:lpstr>
      <vt:lpstr>47-Utility1</vt:lpstr>
      <vt:lpstr>48-Utility1</vt:lpstr>
      <vt:lpstr>48a-Utility1</vt:lpstr>
      <vt:lpstr>49-Utility1</vt:lpstr>
      <vt:lpstr>49a-Utility1</vt:lpstr>
      <vt:lpstr>49a.1-Utility1</vt:lpstr>
      <vt:lpstr>50-Utility1</vt:lpstr>
      <vt:lpstr>50.1-Utility1</vt:lpstr>
      <vt:lpstr>51-Utility1</vt:lpstr>
      <vt:lpstr>51a-Utility1</vt:lpstr>
      <vt:lpstr>52-Utility1</vt:lpstr>
      <vt:lpstr>52.1-Utility1</vt:lpstr>
      <vt:lpstr>52.2-Utility1</vt:lpstr>
      <vt:lpstr>52.3-Utility1</vt:lpstr>
      <vt:lpstr>52-Totals-Utility 1</vt:lpstr>
      <vt:lpstr>53-Utility1</vt:lpstr>
      <vt:lpstr>54-Utility1</vt:lpstr>
      <vt:lpstr>41-Utility2</vt:lpstr>
      <vt:lpstr>41a-Utility2</vt:lpstr>
      <vt:lpstr>41a.1-Utility2</vt:lpstr>
      <vt:lpstr>42-Utility2</vt:lpstr>
      <vt:lpstr>43-Utility2</vt:lpstr>
      <vt:lpstr>44-Utility2</vt:lpstr>
      <vt:lpstr>45-Utility2</vt:lpstr>
      <vt:lpstr>46-Utility2 </vt:lpstr>
      <vt:lpstr>47-Utility2</vt:lpstr>
      <vt:lpstr>48-Utility2</vt:lpstr>
      <vt:lpstr>48a-Utility2</vt:lpstr>
      <vt:lpstr>49-Utility2</vt:lpstr>
      <vt:lpstr>49a-Utility2</vt:lpstr>
      <vt:lpstr>49a.1-Utility2 </vt:lpstr>
      <vt:lpstr>50-Utility2</vt:lpstr>
      <vt:lpstr>50.1-Utility2</vt:lpstr>
      <vt:lpstr>51-Utility2</vt:lpstr>
      <vt:lpstr>51a-Utility2</vt:lpstr>
      <vt:lpstr>52-Utility2</vt:lpstr>
      <vt:lpstr>52.1-Utility2</vt:lpstr>
      <vt:lpstr>52.2-Utility2</vt:lpstr>
      <vt:lpstr>52.3-Utility2</vt:lpstr>
      <vt:lpstr>52-Totals-Utility2</vt:lpstr>
      <vt:lpstr>53-Utility2</vt:lpstr>
      <vt:lpstr>54-Utility2</vt:lpstr>
      <vt:lpstr>41-Utility3</vt:lpstr>
      <vt:lpstr>41a-Utility3</vt:lpstr>
      <vt:lpstr>41a.1-Utility3</vt:lpstr>
      <vt:lpstr>42-Utility3</vt:lpstr>
      <vt:lpstr>43-Utility3</vt:lpstr>
      <vt:lpstr>44-Utility3</vt:lpstr>
      <vt:lpstr>45-Utility3</vt:lpstr>
      <vt:lpstr>46-Utility3</vt:lpstr>
      <vt:lpstr>47-Utility3</vt:lpstr>
      <vt:lpstr>48-Utility3</vt:lpstr>
      <vt:lpstr>48a-Utility3</vt:lpstr>
      <vt:lpstr>49-Utility3</vt:lpstr>
      <vt:lpstr>49a-Utility3</vt:lpstr>
      <vt:lpstr>49a.1-Utility3</vt:lpstr>
      <vt:lpstr>50-Utility3</vt:lpstr>
      <vt:lpstr>50.1-Utility3</vt:lpstr>
      <vt:lpstr>51-Utility3</vt:lpstr>
      <vt:lpstr>51a-Utility3</vt:lpstr>
      <vt:lpstr>52-Utility3</vt:lpstr>
      <vt:lpstr>52.1-Utility3</vt:lpstr>
      <vt:lpstr>52.2-Utility3</vt:lpstr>
      <vt:lpstr>52.3-Utility3</vt:lpstr>
      <vt:lpstr>52-Totals-Utility3</vt:lpstr>
      <vt:lpstr>53-Utility3</vt:lpstr>
      <vt:lpstr>54-Utility3</vt:lpstr>
      <vt:lpstr>41-Utility4</vt:lpstr>
      <vt:lpstr>41a-Utility4</vt:lpstr>
      <vt:lpstr>41a.1-Utility4</vt:lpstr>
      <vt:lpstr>42-Utility4</vt:lpstr>
      <vt:lpstr>43-Utility4</vt:lpstr>
      <vt:lpstr>44-Utility4</vt:lpstr>
      <vt:lpstr>45-Utility4</vt:lpstr>
      <vt:lpstr>46-Utility4</vt:lpstr>
      <vt:lpstr>47-Utility4</vt:lpstr>
      <vt:lpstr>48-Utility4</vt:lpstr>
      <vt:lpstr>48a-Utility4</vt:lpstr>
      <vt:lpstr>49-Utility4</vt:lpstr>
      <vt:lpstr>49a-Utility4</vt:lpstr>
      <vt:lpstr>49a.1-Utility4</vt:lpstr>
      <vt:lpstr>50-Utility4</vt:lpstr>
      <vt:lpstr>50.1-Utility4</vt:lpstr>
      <vt:lpstr>51-Utility4</vt:lpstr>
      <vt:lpstr>51a-Utility4</vt:lpstr>
      <vt:lpstr>52-Utility4</vt:lpstr>
      <vt:lpstr>52.1-Utility4</vt:lpstr>
      <vt:lpstr>52.2-Utility4</vt:lpstr>
      <vt:lpstr>52.3-Utility4</vt:lpstr>
      <vt:lpstr>52-Totals-Utility4</vt:lpstr>
      <vt:lpstr>53-Utility4</vt:lpstr>
      <vt:lpstr>54-Utility4</vt:lpstr>
      <vt:lpstr>41-Utility5</vt:lpstr>
      <vt:lpstr>41a-Utility5</vt:lpstr>
      <vt:lpstr>41a.1-Utility5</vt:lpstr>
      <vt:lpstr>42-Utility5</vt:lpstr>
      <vt:lpstr>43-Utility5</vt:lpstr>
      <vt:lpstr>44-Utility5</vt:lpstr>
      <vt:lpstr>45-Utility5</vt:lpstr>
      <vt:lpstr>46-Utility5</vt:lpstr>
      <vt:lpstr>47-Utility5</vt:lpstr>
      <vt:lpstr>48-Utility5</vt:lpstr>
      <vt:lpstr>48a-Utility5</vt:lpstr>
      <vt:lpstr>49-Utility5</vt:lpstr>
      <vt:lpstr>49a-Utility5</vt:lpstr>
      <vt:lpstr>49a.1-Utility5</vt:lpstr>
      <vt:lpstr>50-Utility5</vt:lpstr>
      <vt:lpstr>50.1-Utility5</vt:lpstr>
      <vt:lpstr>51-Utility5</vt:lpstr>
      <vt:lpstr>51a-Utility5</vt:lpstr>
      <vt:lpstr>52-Utility5</vt:lpstr>
      <vt:lpstr>52.1-Utility5</vt:lpstr>
      <vt:lpstr>52.2-Utility5</vt:lpstr>
      <vt:lpstr>52.3-Utility5</vt:lpstr>
      <vt:lpstr>52-Totals-Utility5</vt:lpstr>
      <vt:lpstr>53-Utility5</vt:lpstr>
      <vt:lpstr>54-Utility5</vt:lpstr>
      <vt:lpstr>41-Utility6</vt:lpstr>
      <vt:lpstr>41a-Utility6</vt:lpstr>
      <vt:lpstr>41a.1-Utility6</vt:lpstr>
      <vt:lpstr>42-Utility6</vt:lpstr>
      <vt:lpstr>43-Utility6</vt:lpstr>
      <vt:lpstr>44-Utility6</vt:lpstr>
      <vt:lpstr>45-Utility6</vt:lpstr>
      <vt:lpstr>46-Utility6</vt:lpstr>
      <vt:lpstr>47-Utility6</vt:lpstr>
      <vt:lpstr>48-Utility6</vt:lpstr>
      <vt:lpstr>48a-Utility6</vt:lpstr>
      <vt:lpstr>49-Utility6</vt:lpstr>
      <vt:lpstr>49a-Utility6</vt:lpstr>
      <vt:lpstr>49a.1-Utility6</vt:lpstr>
      <vt:lpstr>50-Utility6</vt:lpstr>
      <vt:lpstr>50.1-Utility6</vt:lpstr>
      <vt:lpstr>51-Utility6</vt:lpstr>
      <vt:lpstr>51a-Utility6</vt:lpstr>
      <vt:lpstr>52-Utility6</vt:lpstr>
      <vt:lpstr>52.1-Utility6</vt:lpstr>
      <vt:lpstr>52.2-Utility6</vt:lpstr>
      <vt:lpstr>52.3-Utility6</vt:lpstr>
      <vt:lpstr>52-Totals-Utility6</vt:lpstr>
      <vt:lpstr>53-Utility6</vt:lpstr>
      <vt:lpstr>54-Utility6</vt:lpstr>
      <vt:lpstr>'1- Cover'!Print_Area</vt:lpstr>
      <vt:lpstr>'10 Totals Grants Receivable'!Print_Area</vt:lpstr>
      <vt:lpstr>'10.10-Grants Receivable'!Print_Area</vt:lpstr>
      <vt:lpstr>'10.11-Grants Receivable'!Print_Area</vt:lpstr>
      <vt:lpstr>'10.12-Grants Receivable'!Print_Area</vt:lpstr>
      <vt:lpstr>'10.13-Grants Receivable'!Print_Area</vt:lpstr>
      <vt:lpstr>'10.14-Grants Receivable'!Print_Area</vt:lpstr>
      <vt:lpstr>'10.15-Grants Receivable'!Print_Area</vt:lpstr>
      <vt:lpstr>'10.16-Grants Receivable'!Print_Area</vt:lpstr>
      <vt:lpstr>'10.17-Grants Receivable'!Print_Area</vt:lpstr>
      <vt:lpstr>'10.18-Grants Receivable'!Print_Area</vt:lpstr>
      <vt:lpstr>'10.19-Grants Receivable'!Print_Area</vt:lpstr>
      <vt:lpstr>'10.1-Grants Receivable'!Print_Area</vt:lpstr>
      <vt:lpstr>'10.20-Grants Receivable'!Print_Area</vt:lpstr>
      <vt:lpstr>'10.21-Grants Receivable'!Print_Area</vt:lpstr>
      <vt:lpstr>'10.22-Grants Receivable'!Print_Area</vt:lpstr>
      <vt:lpstr>'10.23-Grants Receivable'!Print_Area</vt:lpstr>
      <vt:lpstr>'10.24-Grants Receivable'!Print_Area</vt:lpstr>
      <vt:lpstr>'10.2-Grants Receivable'!Print_Area</vt:lpstr>
      <vt:lpstr>'10.3-Grants Receivable'!Print_Area</vt:lpstr>
      <vt:lpstr>'10.4-Grants Receivable'!Print_Area</vt:lpstr>
      <vt:lpstr>'10.5-Grants Receivable'!Print_Area</vt:lpstr>
      <vt:lpstr>'10.6-Grants Receivable'!Print_Area</vt:lpstr>
      <vt:lpstr>'10.7-Grants Receivable'!Print_Area</vt:lpstr>
      <vt:lpstr>'10.8-Grants Receivable'!Print_Area</vt:lpstr>
      <vt:lpstr>'10.9-Grants Receivable'!Print_Area</vt:lpstr>
      <vt:lpstr>'10-Grants Receivable'!Print_Area</vt:lpstr>
      <vt:lpstr>'11 Grants Approp Rsrv'!Print_Area</vt:lpstr>
      <vt:lpstr>'11- Totals Grants Approp Rsrv'!Print_Area</vt:lpstr>
      <vt:lpstr>'11.1 Grants Approp Rsrv'!Print_Area</vt:lpstr>
      <vt:lpstr>'11.10 Grants Approp Rsrv'!Print_Area</vt:lpstr>
      <vt:lpstr>'11.11 Grants Approp Rsrv'!Print_Area</vt:lpstr>
      <vt:lpstr>'11.12 Grants Approp Rsrv'!Print_Area</vt:lpstr>
      <vt:lpstr>'11.13 Grants Approp Rsrv'!Print_Area</vt:lpstr>
      <vt:lpstr>'11.14 Grants Approp Rsrv'!Print_Area</vt:lpstr>
      <vt:lpstr>'11.15 Grants Approp Rsrv'!Print_Area</vt:lpstr>
      <vt:lpstr>'11.16 Grants Approp Rsrv'!Print_Area</vt:lpstr>
      <vt:lpstr>'11.17 Grants Approp Rsrv'!Print_Area</vt:lpstr>
      <vt:lpstr>'11.18 Grants Approp Rsrv'!Print_Area</vt:lpstr>
      <vt:lpstr>'11.19 Grants Approp Rsrv'!Print_Area</vt:lpstr>
      <vt:lpstr>'11.2 Grants Approp Rsrv'!Print_Area</vt:lpstr>
      <vt:lpstr>'11.20 Grants Approp Rsrv'!Print_Area</vt:lpstr>
      <vt:lpstr>'11.21 Grants Approp Rsrv'!Print_Area</vt:lpstr>
      <vt:lpstr>'11.22 Grants Approp Rsrv'!Print_Area</vt:lpstr>
      <vt:lpstr>'11.23 Grants Approp Rsrv'!Print_Area</vt:lpstr>
      <vt:lpstr>'11.24 Grants Approp Rsrv'!Print_Area</vt:lpstr>
      <vt:lpstr>'11.25 Grants Approp Rsrv'!Print_Area</vt:lpstr>
      <vt:lpstr>'11.26 Grants Approp Rsrv'!Print_Area</vt:lpstr>
      <vt:lpstr>'11.27 Grants Approp Rsrv'!Print_Area</vt:lpstr>
      <vt:lpstr>'11.28 Grants Approp Rsrv'!Print_Area</vt:lpstr>
      <vt:lpstr>'11.29 Grants Approp Rsrv'!Print_Area</vt:lpstr>
      <vt:lpstr>'11.3 Grants Approp Rsrv'!Print_Area</vt:lpstr>
      <vt:lpstr>'11.30 Grants Approp Rsrv'!Print_Area</vt:lpstr>
      <vt:lpstr>'11.31 Grants Approp Rsrv'!Print_Area</vt:lpstr>
      <vt:lpstr>'11.32 Grants Approp Rsrv'!Print_Area</vt:lpstr>
      <vt:lpstr>'11.33 Grants Approp Rsrv'!Print_Area</vt:lpstr>
      <vt:lpstr>'11.34 Grants Approp Rsrv'!Print_Area</vt:lpstr>
      <vt:lpstr>'11.35 Grants Approp Rsrv'!Print_Area</vt:lpstr>
      <vt:lpstr>'11.36 Grants Approp Rsrv'!Print_Area</vt:lpstr>
      <vt:lpstr>'11.37 Grants Approp Rsrv'!Print_Area</vt:lpstr>
      <vt:lpstr>'11.38 Grants Approp Rsrv'!Print_Area</vt:lpstr>
      <vt:lpstr>'11.39 Grants Approp Rsrv'!Print_Area</vt:lpstr>
      <vt:lpstr>'11.4 Grants Approp Rsrv'!Print_Area</vt:lpstr>
      <vt:lpstr>'11.5 Grants Approp Rsrv'!Print_Area</vt:lpstr>
      <vt:lpstr>'11.6 Grants Approp Rsrv'!Print_Area</vt:lpstr>
      <vt:lpstr>'11.7 Grants Approp Rsrv'!Print_Area</vt:lpstr>
      <vt:lpstr>'11.8 Grants Approp Rsrv'!Print_Area</vt:lpstr>
      <vt:lpstr>'11.9 Grants Approp Rsrv'!Print_Area</vt:lpstr>
      <vt:lpstr>'12 Total-Grants Unappropriated'!Print_Area</vt:lpstr>
      <vt:lpstr>'12.1-Grants Unappropriated'!Print_Area</vt:lpstr>
      <vt:lpstr>'12.2-Grants Unappropriated'!Print_Area</vt:lpstr>
      <vt:lpstr>'12-Grants Unappropriated'!Print_Area</vt:lpstr>
      <vt:lpstr>'13-Other Taxes'!Print_Area</vt:lpstr>
      <vt:lpstr>'14-Other Taxes'!Print_Area</vt:lpstr>
      <vt:lpstr>'15-Other Taxes'!Print_Area</vt:lpstr>
      <vt:lpstr>'17a Totals-Budget Revenues'!Print_Area</vt:lpstr>
      <vt:lpstr>'17a.1-Budget Revenues '!Print_Area</vt:lpstr>
      <vt:lpstr>'17a.2-Budget Revenues'!Print_Area</vt:lpstr>
      <vt:lpstr>'17a.3-Budget Revenues'!Print_Area</vt:lpstr>
      <vt:lpstr>'17a-Budget Revenues'!Print_Area</vt:lpstr>
      <vt:lpstr>'17-Budget Revenues'!Print_Area</vt:lpstr>
      <vt:lpstr>'18-Budget Appropriations'!Print_Area</vt:lpstr>
      <vt:lpstr>'19-Results of Op-Cur Fnd'!Print_Area</vt:lpstr>
      <vt:lpstr>'1a - RMA Certification'!Print_Area</vt:lpstr>
      <vt:lpstr>'1b - Local Exam Qual Cert'!Print_Area</vt:lpstr>
      <vt:lpstr>'1c - Fed &amp; State Finan Asst.'!Print_Area</vt:lpstr>
      <vt:lpstr>'2 - No Utility Fund Cert'!Print_Area</vt:lpstr>
      <vt:lpstr>'20 Total-Misc Rev Not Ant'!Print_Area</vt:lpstr>
      <vt:lpstr>'20.1-Misc Rev Not Ant'!Print_Area</vt:lpstr>
      <vt:lpstr>'20-Misc Rev Not Ant'!Print_Area</vt:lpstr>
      <vt:lpstr>'21-Current Fund Surplus'!Print_Area</vt:lpstr>
      <vt:lpstr>'22a-Tax Levy Sale'!Print_Area</vt:lpstr>
      <vt:lpstr>'22-CY Levy'!Print_Area</vt:lpstr>
      <vt:lpstr>'23-SCVet Deductions'!Print_Area</vt:lpstr>
      <vt:lpstr>'24-Reserves for Tax Appeals'!Print_Area</vt:lpstr>
      <vt:lpstr>'26-Delinquent Taxes and Liens'!Print_Area</vt:lpstr>
      <vt:lpstr>'27-Foreclosed Property'!Print_Area</vt:lpstr>
      <vt:lpstr>'28-Deferred Charges'!Print_Area</vt:lpstr>
      <vt:lpstr>'29-Special Emergency'!Print_Area</vt:lpstr>
      <vt:lpstr>'30-Special Emergency'!Print_Area</vt:lpstr>
      <vt:lpstr>'31A.1-Loan Schedule'!Print_Area</vt:lpstr>
      <vt:lpstr>'31A.2-Loan Schedule'!Print_Area</vt:lpstr>
      <vt:lpstr>'31A-Loan Schedule'!Print_Area</vt:lpstr>
      <vt:lpstr>'31-Capital Bond Schedule'!Print_Area</vt:lpstr>
      <vt:lpstr>'32-Bond Schedule'!Print_Area</vt:lpstr>
      <vt:lpstr>'33 Totals-Note Debt Service'!Print_Area</vt:lpstr>
      <vt:lpstr>'33.1-Note Debt Service'!Print_Area</vt:lpstr>
      <vt:lpstr>'33-Note Debt Service'!Print_Area</vt:lpstr>
      <vt:lpstr>'34a-Cap Lease Program Oblg'!Print_Area</vt:lpstr>
      <vt:lpstr>'34-Assmt Note Debt Service'!Print_Area</vt:lpstr>
      <vt:lpstr>'35- Cap Fund Imprv Auth'!Print_Area</vt:lpstr>
      <vt:lpstr>'35 Totals- Cap Fund Imprv Auth'!Print_Area</vt:lpstr>
      <vt:lpstr>'35.1- Cap Fund Imprv Auth '!Print_Area</vt:lpstr>
      <vt:lpstr>'35.2- Cap Fund Imprv Auth'!Print_Area</vt:lpstr>
      <vt:lpstr>'35.3- Cap Fund Imprv Auth'!Print_Area</vt:lpstr>
      <vt:lpstr>'35.4- Cap Fund Imprv Auth'!Print_Area</vt:lpstr>
      <vt:lpstr>'35.5- Cap Fund Imprv Auth'!Print_Area</vt:lpstr>
      <vt:lpstr>'35.6- Cap Fund Imprv Auth'!Print_Area</vt:lpstr>
      <vt:lpstr>'35.7- Cap Fund Imprv Auth'!Print_Area</vt:lpstr>
      <vt:lpstr>'35.8- Cap Fund Imprv Auth'!Print_Area</vt:lpstr>
      <vt:lpstr>'35.9- Cap Fund Imprv Auth'!Print_Area</vt:lpstr>
      <vt:lpstr>'36- Capital Improvement Fund'!Print_Area</vt:lpstr>
      <vt:lpstr>'37- Cap Fund Down Pymts'!Print_Area</vt:lpstr>
      <vt:lpstr>'38- Capital Surplus'!Print_Area</vt:lpstr>
      <vt:lpstr>'39- Req. Information'!Print_Area</vt:lpstr>
      <vt:lpstr>'3a.1-Trial Bal-Current Fund'!Print_Area</vt:lpstr>
      <vt:lpstr>'3a-Trial Bal-Current Fund'!Print_Area</vt:lpstr>
      <vt:lpstr>'3-Trial Bal-Current Fund'!Print_Area</vt:lpstr>
      <vt:lpstr>'40'!Print_Area</vt:lpstr>
      <vt:lpstr>'41a.1-Utility1'!Print_Area</vt:lpstr>
      <vt:lpstr>'41a.1-Utility2'!Print_Area</vt:lpstr>
      <vt:lpstr>'41a.1-Utility3'!Print_Area</vt:lpstr>
      <vt:lpstr>'41a.1-Utility4'!Print_Area</vt:lpstr>
      <vt:lpstr>'41a.1-Utility5'!Print_Area</vt:lpstr>
      <vt:lpstr>'41a.1-Utility6'!Print_Area</vt:lpstr>
      <vt:lpstr>'41a-Utility1'!Print_Area</vt:lpstr>
      <vt:lpstr>'41a-Utility2'!Print_Area</vt:lpstr>
      <vt:lpstr>'41a-Utility3'!Print_Area</vt:lpstr>
      <vt:lpstr>'41a-Utility4'!Print_Area</vt:lpstr>
      <vt:lpstr>'41a-Utility5'!Print_Area</vt:lpstr>
      <vt:lpstr>'41a-Utility6'!Print_Area</vt:lpstr>
      <vt:lpstr>'41-Utility1 '!Print_Area</vt:lpstr>
      <vt:lpstr>'41-Utility2'!Print_Area</vt:lpstr>
      <vt:lpstr>'41-Utility3'!Print_Area</vt:lpstr>
      <vt:lpstr>'41-Utility4'!Print_Area</vt:lpstr>
      <vt:lpstr>'41-Utility5'!Print_Area</vt:lpstr>
      <vt:lpstr>'41-Utility6'!Print_Area</vt:lpstr>
      <vt:lpstr>'42-Utility1'!Print_Area</vt:lpstr>
      <vt:lpstr>'42-Utility2'!Print_Area</vt:lpstr>
      <vt:lpstr>'42-Utility3'!Print_Area</vt:lpstr>
      <vt:lpstr>'42-Utility4'!Print_Area</vt:lpstr>
      <vt:lpstr>'42-Utility5'!Print_Area</vt:lpstr>
      <vt:lpstr>'42-Utility6'!Print_Area</vt:lpstr>
      <vt:lpstr>'43-Utility1'!Print_Area</vt:lpstr>
      <vt:lpstr>'43-Utility2'!Print_Area</vt:lpstr>
      <vt:lpstr>'43-Utility3'!Print_Area</vt:lpstr>
      <vt:lpstr>'43-Utility4'!Print_Area</vt:lpstr>
      <vt:lpstr>'43-Utility5'!Print_Area</vt:lpstr>
      <vt:lpstr>'43-Utility6'!Print_Area</vt:lpstr>
      <vt:lpstr>'44-Utility1'!Print_Area</vt:lpstr>
      <vt:lpstr>'44-Utility2'!Print_Area</vt:lpstr>
      <vt:lpstr>'44-Utility3'!Print_Area</vt:lpstr>
      <vt:lpstr>'44-Utility4'!Print_Area</vt:lpstr>
      <vt:lpstr>'44-Utility5'!Print_Area</vt:lpstr>
      <vt:lpstr>'44-Utility6'!Print_Area</vt:lpstr>
      <vt:lpstr>'45-Utility1'!Print_Area</vt:lpstr>
      <vt:lpstr>'45-Utility2'!Print_Area</vt:lpstr>
      <vt:lpstr>'45-Utility3'!Print_Area</vt:lpstr>
      <vt:lpstr>'45-Utility4'!Print_Area</vt:lpstr>
      <vt:lpstr>'45-Utility5'!Print_Area</vt:lpstr>
      <vt:lpstr>'45-Utility6'!Print_Area</vt:lpstr>
      <vt:lpstr>'46-Utility1'!Print_Area</vt:lpstr>
      <vt:lpstr>'46-Utility2 '!Print_Area</vt:lpstr>
      <vt:lpstr>'46-Utility3'!Print_Area</vt:lpstr>
      <vt:lpstr>'46-Utility4'!Print_Area</vt:lpstr>
      <vt:lpstr>'46-Utility5'!Print_Area</vt:lpstr>
      <vt:lpstr>'46-Utility6'!Print_Area</vt:lpstr>
      <vt:lpstr>'47-Utility1'!Print_Area</vt:lpstr>
      <vt:lpstr>'47-Utility2'!Print_Area</vt:lpstr>
      <vt:lpstr>'47-Utility3'!Print_Area</vt:lpstr>
      <vt:lpstr>'47-Utility4'!Print_Area</vt:lpstr>
      <vt:lpstr>'47-Utility5'!Print_Area</vt:lpstr>
      <vt:lpstr>'47-Utility6'!Print_Area</vt:lpstr>
      <vt:lpstr>'48a-Utility1'!Print_Area</vt:lpstr>
      <vt:lpstr>'48a-Utility2'!Print_Area</vt:lpstr>
      <vt:lpstr>'48a-Utility3'!Print_Area</vt:lpstr>
      <vt:lpstr>'48a-Utility4'!Print_Area</vt:lpstr>
      <vt:lpstr>'48a-Utility5'!Print_Area</vt:lpstr>
      <vt:lpstr>'48a-Utility6'!Print_Area</vt:lpstr>
      <vt:lpstr>'48-Utility1'!Print_Area</vt:lpstr>
      <vt:lpstr>'48-Utility2'!Print_Area</vt:lpstr>
      <vt:lpstr>'48-Utility3'!Print_Area</vt:lpstr>
      <vt:lpstr>'48-Utility4'!Print_Area</vt:lpstr>
      <vt:lpstr>'48-Utility5'!Print_Area</vt:lpstr>
      <vt:lpstr>'48-Utility6'!Print_Area</vt:lpstr>
      <vt:lpstr>'49a.1-Utility1'!Print_Area</vt:lpstr>
      <vt:lpstr>'49a.1-Utility2 '!Print_Area</vt:lpstr>
      <vt:lpstr>'49a.1-Utility3'!Print_Area</vt:lpstr>
      <vt:lpstr>'49a.1-Utility4'!Print_Area</vt:lpstr>
      <vt:lpstr>'49a.1-Utility5'!Print_Area</vt:lpstr>
      <vt:lpstr>'49a.1-Utility6'!Print_Area</vt:lpstr>
      <vt:lpstr>'49a-Utility1'!Print_Area</vt:lpstr>
      <vt:lpstr>'49a-Utility2'!Print_Area</vt:lpstr>
      <vt:lpstr>'49a-Utility3'!Print_Area</vt:lpstr>
      <vt:lpstr>'49a-Utility4'!Print_Area</vt:lpstr>
      <vt:lpstr>'49a-Utility5'!Print_Area</vt:lpstr>
      <vt:lpstr>'49a-Utility6'!Print_Area</vt:lpstr>
      <vt:lpstr>'49-Utility1'!Print_Area</vt:lpstr>
      <vt:lpstr>'49-Utility2'!Print_Area</vt:lpstr>
      <vt:lpstr>'49-Utility3'!Print_Area</vt:lpstr>
      <vt:lpstr>'49-Utility4'!Print_Area</vt:lpstr>
      <vt:lpstr>'49-Utility5'!Print_Area</vt:lpstr>
      <vt:lpstr>'49-Utility6'!Print_Area</vt:lpstr>
      <vt:lpstr>'4-Trial Bal-Pub Assist Fnd'!Print_Area</vt:lpstr>
      <vt:lpstr>'50.1-Utility1'!Print_Area</vt:lpstr>
      <vt:lpstr>'50.1-Utility2'!Print_Area</vt:lpstr>
      <vt:lpstr>'50.1-Utility3'!Print_Area</vt:lpstr>
      <vt:lpstr>'50.1-Utility4'!Print_Area</vt:lpstr>
      <vt:lpstr>'50.1-Utility5'!Print_Area</vt:lpstr>
      <vt:lpstr>'50.1-Utility6'!Print_Area</vt:lpstr>
      <vt:lpstr>'50-Utility1'!Print_Area</vt:lpstr>
      <vt:lpstr>'50-Utility2'!Print_Area</vt:lpstr>
      <vt:lpstr>'50-Utility3'!Print_Area</vt:lpstr>
      <vt:lpstr>'50-Utility4'!Print_Area</vt:lpstr>
      <vt:lpstr>'50-Utility5'!Print_Area</vt:lpstr>
      <vt:lpstr>'50-Utility6'!Print_Area</vt:lpstr>
      <vt:lpstr>'51a-Utility1'!Print_Area</vt:lpstr>
      <vt:lpstr>'51a-Utility2'!Print_Area</vt:lpstr>
      <vt:lpstr>'51a-Utility3'!Print_Area</vt:lpstr>
      <vt:lpstr>'51a-Utility4'!Print_Area</vt:lpstr>
      <vt:lpstr>'51a-Utility5'!Print_Area</vt:lpstr>
      <vt:lpstr>'51a-Utility6'!Print_Area</vt:lpstr>
      <vt:lpstr>'51-Utility1'!Print_Area</vt:lpstr>
      <vt:lpstr>'51-Utility2'!Print_Area</vt:lpstr>
      <vt:lpstr>'51-Utility3'!Print_Area</vt:lpstr>
      <vt:lpstr>'51-Utility4'!Print_Area</vt:lpstr>
      <vt:lpstr>'51-Utility5'!Print_Area</vt:lpstr>
      <vt:lpstr>'51-Utility6'!Print_Area</vt:lpstr>
      <vt:lpstr>'52.1-Utility1'!Print_Area</vt:lpstr>
      <vt:lpstr>'52.1-Utility2'!Print_Area</vt:lpstr>
      <vt:lpstr>'52.1-Utility3'!Print_Area</vt:lpstr>
      <vt:lpstr>'52.1-Utility4'!Print_Area</vt:lpstr>
      <vt:lpstr>'52.1-Utility5'!Print_Area</vt:lpstr>
      <vt:lpstr>'52.1-Utility6'!Print_Area</vt:lpstr>
      <vt:lpstr>'52.2-Utility1'!Print_Area</vt:lpstr>
      <vt:lpstr>'52.2-Utility2'!Print_Area</vt:lpstr>
      <vt:lpstr>'52.2-Utility3'!Print_Area</vt:lpstr>
      <vt:lpstr>'52.2-Utility4'!Print_Area</vt:lpstr>
      <vt:lpstr>'52.2-Utility5'!Print_Area</vt:lpstr>
      <vt:lpstr>'52.2-Utility6'!Print_Area</vt:lpstr>
      <vt:lpstr>'52.3-Utility1'!Print_Area</vt:lpstr>
      <vt:lpstr>'52.3-Utility2'!Print_Area</vt:lpstr>
      <vt:lpstr>'52.3-Utility3'!Print_Area</vt:lpstr>
      <vt:lpstr>'52.3-Utility4'!Print_Area</vt:lpstr>
      <vt:lpstr>'52.3-Utility5'!Print_Area</vt:lpstr>
      <vt:lpstr>'52.3-Utility6'!Print_Area</vt:lpstr>
      <vt:lpstr>'52-Totals-Utility 1'!Print_Area</vt:lpstr>
      <vt:lpstr>'52-Totals-Utility2'!Print_Area</vt:lpstr>
      <vt:lpstr>'52-Totals-Utility3'!Print_Area</vt:lpstr>
      <vt:lpstr>'52-Totals-Utility4'!Print_Area</vt:lpstr>
      <vt:lpstr>'52-Totals-Utility5'!Print_Area</vt:lpstr>
      <vt:lpstr>'52-Totals-Utility6'!Print_Area</vt:lpstr>
      <vt:lpstr>'52-Utility1'!Print_Area</vt:lpstr>
      <vt:lpstr>'52-Utility2'!Print_Area</vt:lpstr>
      <vt:lpstr>'52-Utility3'!Print_Area</vt:lpstr>
      <vt:lpstr>'52-Utility4'!Print_Area</vt:lpstr>
      <vt:lpstr>'52-Utility5'!Print_Area</vt:lpstr>
      <vt:lpstr>'52-Utility6'!Print_Area</vt:lpstr>
      <vt:lpstr>'53-Utility1'!Print_Area</vt:lpstr>
      <vt:lpstr>'53-Utility2'!Print_Area</vt:lpstr>
      <vt:lpstr>'53-Utility3'!Print_Area</vt:lpstr>
      <vt:lpstr>'53-Utility4'!Print_Area</vt:lpstr>
      <vt:lpstr>'53-Utility5'!Print_Area</vt:lpstr>
      <vt:lpstr>'53-Utility6'!Print_Area</vt:lpstr>
      <vt:lpstr>'54-Utility1'!Print_Area</vt:lpstr>
      <vt:lpstr>'54-Utility2'!Print_Area</vt:lpstr>
      <vt:lpstr>'54-Utility3'!Print_Area</vt:lpstr>
      <vt:lpstr>'54-Utility4'!Print_Area</vt:lpstr>
      <vt:lpstr>'54-Utility5'!Print_Area</vt:lpstr>
      <vt:lpstr>'54-Utility6'!Print_Area</vt:lpstr>
      <vt:lpstr>'5-Trial Bal-Grants'!Print_Area</vt:lpstr>
      <vt:lpstr>'6.1-Trial Bal-Trust Fnds'!Print_Area</vt:lpstr>
      <vt:lpstr>'6.2-Trial Bal-Trust Fnds'!Print_Area</vt:lpstr>
      <vt:lpstr>'6.3-Trial Bal-Trust Fnds'!Print_Area</vt:lpstr>
      <vt:lpstr>'6.4-Trial Bal-Trust Fnds'!Print_Area</vt:lpstr>
      <vt:lpstr>'6.TOTAL-Trial Bal-Trust Fnds'!Print_Area</vt:lpstr>
      <vt:lpstr>'69 - Instructions'!Print_Area</vt:lpstr>
      <vt:lpstr>'6b.1-Trust Fund Reserves'!Print_Area</vt:lpstr>
      <vt:lpstr>'6b.2-Trust Fund Reserves'!Print_Area</vt:lpstr>
      <vt:lpstr>'6b.3-Trust Fund Reserves'!Print_Area</vt:lpstr>
      <vt:lpstr>'6b-Total Trust Fund Reserves'!Print_Area</vt:lpstr>
      <vt:lpstr>'6b-Trust Fund Reserves'!Print_Area</vt:lpstr>
      <vt:lpstr>'6-Trial Bal-Trust Fnds'!Print_Area</vt:lpstr>
      <vt:lpstr>'7-Trust Asm Cash &amp; Investments'!Print_Area</vt:lpstr>
      <vt:lpstr>'8.1-Trial Bal-Gen Cap Fund'!Print_Area</vt:lpstr>
      <vt:lpstr>'8-Trial Bal-Gen Cap Fund'!Print_Area</vt:lpstr>
      <vt:lpstr>'9a TOTAL-Cash Reconciliation'!Print_Area</vt:lpstr>
      <vt:lpstr>'9a.1-Cash Reconciliation'!Print_Area</vt:lpstr>
      <vt:lpstr>'9a.2-Cash Reconciliation'!Print_Area</vt:lpstr>
      <vt:lpstr>'9a.3-Cash Reconciliation'!Print_Area</vt:lpstr>
      <vt:lpstr>'9a-Cash Reconciliation'!Print_Area</vt:lpstr>
      <vt:lpstr>'9-Cash Reconciliation'!Print_Area</vt:lpstr>
      <vt:lpstr>Instructions!Print_Area</vt:lpstr>
      <vt:lpstr>'KEY INPUTS'!Print_Area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DLGS@dca.nj.gov</dc:creator>
  <cp:lastModifiedBy>Robert Scharle'</cp:lastModifiedBy>
  <cp:lastPrinted>2021-01-18T16:59:08Z</cp:lastPrinted>
  <dcterms:created xsi:type="dcterms:W3CDTF">1999-12-07T13:42:27Z</dcterms:created>
  <dcterms:modified xsi:type="dcterms:W3CDTF">2021-01-18T23:17:03Z</dcterms:modified>
</cp:coreProperties>
</file>