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Robert Scharle\Documents\Wenonah\Annual FinancialStatement\2021\"/>
    </mc:Choice>
  </mc:AlternateContent>
  <workbookProtection workbookAlgorithmName="SHA-512" workbookHashValue="6zqaJji4yidVurzxYp8ux7XrfzTosN/zcVsqO3h/IYlPwllBGwYoYP4X85ZJADWs6azglFzMvqPjQVd80kJUdg==" workbookSaltValue="inI1LeE2jGGllitZZylzrQ==" workbookSpinCount="100000" lockStructure="1"/>
  <bookViews>
    <workbookView xWindow="0" yWindow="0" windowWidth="30720" windowHeight="13512" tabRatio="950" firstSheet="115" activeTab="123"/>
  </bookViews>
  <sheets>
    <sheet name="Instructions" sheetId="366" r:id="rId1"/>
    <sheet name="69 - Instructions" sheetId="91" state="hidden" r:id="rId2"/>
    <sheet name="KEY INPUTS" sheetId="2" r:id="rId3"/>
    <sheet name="KEY METRICS" sheetId="121" state="hidden" r:id="rId4"/>
    <sheet name="1- Cover" sheetId="57" r:id="rId5"/>
    <sheet name="1a - RMA Certification" sheetId="56" r:id="rId6"/>
    <sheet name="1b - Local Exam Qual Cert" sheetId="54" r:id="rId7"/>
    <sheet name="1c - Fed &amp; State Finan Asst." sheetId="102" r:id="rId8"/>
    <sheet name="2 - No Utility Fund Cert" sheetId="52" r:id="rId9"/>
    <sheet name="3-Trial Bal-Current Fund" sheetId="4" r:id="rId10"/>
    <sheet name="3a-Trial Bal-Current Fund" sheetId="1" r:id="rId11"/>
    <sheet name="3a.1-Trial Bal-Current Fund" sheetId="367" r:id="rId12"/>
    <sheet name="4-Trial Bal-Pub Assist Fnd" sheetId="6" r:id="rId13"/>
    <sheet name="5-Trial Bal-Grants" sheetId="7" r:id="rId14"/>
    <sheet name="6-Trial Bal-Trust Fnds" sheetId="8" r:id="rId15"/>
    <sheet name="6.1-Trial Bal-Trust Fnds" sheetId="9" r:id="rId16"/>
    <sheet name="6.2-Trial Bal-Trust Fnds" sheetId="125" r:id="rId17"/>
    <sheet name="6.3-Trial Bal-Trust Fnds" sheetId="126" state="hidden" r:id="rId18"/>
    <sheet name="6.4-Trial Bal-Trust Fnds" sheetId="127" state="hidden" r:id="rId19"/>
    <sheet name="6.TOTAL-Trial Bal-Trust Fnds" sheetId="128" r:id="rId20"/>
    <sheet name="6b-Trust Fund Reserves" sheetId="97" r:id="rId21"/>
    <sheet name="6b.1-Trust Fund Reserves" sheetId="122" state="hidden" r:id="rId22"/>
    <sheet name="6b.2-Trust Fund Reserves" sheetId="129" state="hidden" r:id="rId23"/>
    <sheet name="6b.3-Trust Fund Reserves" sheetId="130" state="hidden" r:id="rId24"/>
    <sheet name="6b-Total Trust Fund Reserves" sheetId="131" r:id="rId25"/>
    <sheet name="7-Trust Asm Cash &amp; Investments" sheetId="10" r:id="rId26"/>
    <sheet name="8-Trial Bal-Gen Cap Fund" sheetId="11" r:id="rId27"/>
    <sheet name="8.1-Trial Bal-Gen Cap Fund" sheetId="305" r:id="rId28"/>
    <sheet name="9-Cash Reconciliation" sheetId="12" r:id="rId29"/>
    <sheet name="9a-Cash Reconciliation" sheetId="13" r:id="rId30"/>
    <sheet name="9a.1-Cash Reconciliation" sheetId="14" state="hidden" r:id="rId31"/>
    <sheet name="9a.2-Cash Reconciliation" sheetId="123" state="hidden" r:id="rId32"/>
    <sheet name="9a.3-Cash Reconciliation" sheetId="124" state="hidden" r:id="rId33"/>
    <sheet name="9a TOTAL-Cash Reconciliation" sheetId="132" r:id="rId34"/>
    <sheet name="10-Grants Receivable" sheetId="15" r:id="rId35"/>
    <sheet name="10.1-Grants Receivable" sheetId="16" r:id="rId36"/>
    <sheet name="10.2-Grants Receivable" sheetId="133" state="hidden" r:id="rId37"/>
    <sheet name="10.3-Grants Receivable" sheetId="134" state="hidden" r:id="rId38"/>
    <sheet name="10.4-Grants Receivable" sheetId="135" state="hidden" r:id="rId39"/>
    <sheet name="10.5-Grants Receivable" sheetId="136" state="hidden" r:id="rId40"/>
    <sheet name="10.6-Grants Receivable" sheetId="137" state="hidden" r:id="rId41"/>
    <sheet name="10.7-Grants Receivable" sheetId="138" state="hidden" r:id="rId42"/>
    <sheet name="10.8-Grants Receivable" sheetId="139" state="hidden" r:id="rId43"/>
    <sheet name="10.9-Grants Receivable" sheetId="140" state="hidden" r:id="rId44"/>
    <sheet name="10.10-Grants Receivable" sheetId="141" state="hidden" r:id="rId45"/>
    <sheet name="10.11-Grants Receivable" sheetId="142" state="hidden" r:id="rId46"/>
    <sheet name="10.12-Grants Receivable" sheetId="143" state="hidden" r:id="rId47"/>
    <sheet name="10.13-Grants Receivable" sheetId="144" state="hidden" r:id="rId48"/>
    <sheet name="10.14-Grants Receivable" sheetId="145" state="hidden" r:id="rId49"/>
    <sheet name="10.15-Grants Receivable" sheetId="146" state="hidden" r:id="rId50"/>
    <sheet name="10.16-Grants Receivable" sheetId="148" state="hidden" r:id="rId51"/>
    <sheet name="10.17-Grants Receivable" sheetId="147" state="hidden" r:id="rId52"/>
    <sheet name="10.18-Grants Receivable" sheetId="149" state="hidden" r:id="rId53"/>
    <sheet name="10.19-Grants Receivable" sheetId="150" state="hidden" r:id="rId54"/>
    <sheet name="10.20-Grants Receivable" sheetId="151" state="hidden" r:id="rId55"/>
    <sheet name="10.21-Grants Receivable" sheetId="152" state="hidden" r:id="rId56"/>
    <sheet name="10.22-Grants Receivable" sheetId="153" state="hidden" r:id="rId57"/>
    <sheet name="10.23-Grants Receivable" sheetId="154" state="hidden" r:id="rId58"/>
    <sheet name="10.24-Grants Receivable" sheetId="155" state="hidden" r:id="rId59"/>
    <sheet name="10 Totals Grants Receivable" sheetId="156" r:id="rId60"/>
    <sheet name="11 Grants Approp Rsrv" sheetId="17" r:id="rId61"/>
    <sheet name="11.1 Grants Approp Rsrv" sheetId="157" r:id="rId62"/>
    <sheet name="11.2 Grants Approp Rsrv" sheetId="158" r:id="rId63"/>
    <sheet name="11.3 Grants Approp Rsrv" sheetId="159" state="hidden" r:id="rId64"/>
    <sheet name="11.4 Grants Approp Rsrv" sheetId="160" state="hidden" r:id="rId65"/>
    <sheet name="11.5 Grants Approp Rsrv" sheetId="161" state="hidden" r:id="rId66"/>
    <sheet name="11.6 Grants Approp Rsrv" sheetId="162" state="hidden" r:id="rId67"/>
    <sheet name="11.7 Grants Approp Rsrv" sheetId="163" state="hidden" r:id="rId68"/>
    <sheet name="11.8 Grants Approp Rsrv" sheetId="164" state="hidden" r:id="rId69"/>
    <sheet name="11.9 Grants Approp Rsrv" sheetId="165" state="hidden" r:id="rId70"/>
    <sheet name="11.10 Grants Approp Rsrv" sheetId="166" state="hidden" r:id="rId71"/>
    <sheet name="11.11 Grants Approp Rsrv" sheetId="167" state="hidden" r:id="rId72"/>
    <sheet name="11.12 Grants Approp Rsrv" sheetId="168" state="hidden" r:id="rId73"/>
    <sheet name="11.13 Grants Approp Rsrv" sheetId="169" state="hidden" r:id="rId74"/>
    <sheet name="11.14 Grants Approp Rsrv" sheetId="170" state="hidden" r:id="rId75"/>
    <sheet name="11.15 Grants Approp Rsrv" sheetId="171" state="hidden" r:id="rId76"/>
    <sheet name="11.16 Grants Approp Rsrv" sheetId="172" state="hidden" r:id="rId77"/>
    <sheet name="11.17 Grants Approp Rsrv" sheetId="173" state="hidden" r:id="rId78"/>
    <sheet name="11.18 Grants Approp Rsrv" sheetId="174" state="hidden" r:id="rId79"/>
    <sheet name="11.19 Grants Approp Rsrv" sheetId="175" state="hidden" r:id="rId80"/>
    <sheet name="11.20 Grants Approp Rsrv" sheetId="176" state="hidden" r:id="rId81"/>
    <sheet name="11.21 Grants Approp Rsrv" sheetId="177" state="hidden" r:id="rId82"/>
    <sheet name="11.22 Grants Approp Rsrv" sheetId="178" state="hidden" r:id="rId83"/>
    <sheet name="11.23 Grants Approp Rsrv" sheetId="179" state="hidden" r:id="rId84"/>
    <sheet name="11.24 Grants Approp Rsrv" sheetId="180" state="hidden" r:id="rId85"/>
    <sheet name="11.25 Grants Approp Rsrv" sheetId="181" state="hidden" r:id="rId86"/>
    <sheet name="11.26 Grants Approp Rsrv" sheetId="182" state="hidden" r:id="rId87"/>
    <sheet name="11.27 Grants Approp Rsrv" sheetId="183" state="hidden" r:id="rId88"/>
    <sheet name="11.28 Grants Approp Rsrv" sheetId="184" state="hidden" r:id="rId89"/>
    <sheet name="11.29 Grants Approp Rsrv" sheetId="185" state="hidden" r:id="rId90"/>
    <sheet name="11.30 Grants Approp Rsrv" sheetId="186" state="hidden" r:id="rId91"/>
    <sheet name="11.31 Grants Approp Rsrv" sheetId="187" state="hidden" r:id="rId92"/>
    <sheet name="11.32 Grants Approp Rsrv" sheetId="188" state="hidden" r:id="rId93"/>
    <sheet name="11.33 Grants Approp Rsrv" sheetId="189" state="hidden" r:id="rId94"/>
    <sheet name="11.34 Grants Approp Rsrv" sheetId="190" state="hidden" r:id="rId95"/>
    <sheet name="11.35 Grants Approp Rsrv" sheetId="191" state="hidden" r:id="rId96"/>
    <sheet name="11.36 Grants Approp Rsrv" sheetId="192" state="hidden" r:id="rId97"/>
    <sheet name="11.37 Grants Approp Rsrv" sheetId="193" state="hidden" r:id="rId98"/>
    <sheet name="11.38 Grants Approp Rsrv" sheetId="194" state="hidden" r:id="rId99"/>
    <sheet name="11.39 Grants Approp Rsrv" sheetId="195" state="hidden" r:id="rId100"/>
    <sheet name="11- Totals Grants Approp Rsrv" sheetId="196" r:id="rId101"/>
    <sheet name="12-Grants Unappropriated" sheetId="19" state="hidden" r:id="rId102"/>
    <sheet name="12.1-Grants Unappropriated" sheetId="197" state="hidden" r:id="rId103"/>
    <sheet name="12.2-Grants Unappropriated" sheetId="198" state="hidden" r:id="rId104"/>
    <sheet name="12 Total-Grants Unappropriated" sheetId="199" r:id="rId105"/>
    <sheet name="13-Other Taxes" sheetId="20" r:id="rId106"/>
    <sheet name="14-Other Taxes" sheetId="21" r:id="rId107"/>
    <sheet name="15-Other Taxes" sheetId="22" r:id="rId108"/>
    <sheet name="17-Budget Revenues" sheetId="24" r:id="rId109"/>
    <sheet name="17a-Budget Revenues" sheetId="28" r:id="rId110"/>
    <sheet name="17a.1-Budget Revenues " sheetId="200" state="hidden" r:id="rId111"/>
    <sheet name="17a.2-Budget Revenues" sheetId="201" state="hidden" r:id="rId112"/>
    <sheet name="17a.3-Budget Revenues" sheetId="202" state="hidden" r:id="rId113"/>
    <sheet name="17a Totals-Budget Revenues" sheetId="203" r:id="rId114"/>
    <sheet name="18-Budget Appropriations" sheetId="27" r:id="rId115"/>
    <sheet name="19-Results of Op-Cur Fnd" sheetId="31" r:id="rId116"/>
    <sheet name="20-Misc Rev Not Ant" sheetId="32" state="hidden" r:id="rId117"/>
    <sheet name="20.1-Misc Rev Not Ant" sheetId="204" state="hidden" r:id="rId118"/>
    <sheet name="20 Total-Misc Rev Not Ant" sheetId="205" r:id="rId119"/>
    <sheet name="21-Current Fund Surplus" sheetId="26" r:id="rId120"/>
    <sheet name="22-CY Levy" sheetId="30" r:id="rId121"/>
    <sheet name="22a-Tax Levy Sale" sheetId="35" r:id="rId122"/>
    <sheet name="23-SCVet Deductions" sheetId="29" r:id="rId123"/>
    <sheet name="24-Reserves for Tax Appeals" sheetId="34" r:id="rId124"/>
    <sheet name="26-Delinquent Taxes and Liens" sheetId="36" r:id="rId125"/>
    <sheet name="27-Foreclosed Property" sheetId="39" r:id="rId126"/>
    <sheet name="28-Deferred Charges" sheetId="37" r:id="rId127"/>
    <sheet name="29-Special Emergency" sheetId="40" r:id="rId128"/>
    <sheet name="30-Special Emergency" sheetId="41" r:id="rId129"/>
    <sheet name="31-Capital Bond Schedule" sheetId="38" r:id="rId130"/>
    <sheet name="31A-Loan Schedule" sheetId="96" r:id="rId131"/>
    <sheet name="31A.1-Loan Schedule" sheetId="206" r:id="rId132"/>
    <sheet name="31A.2-Loan Schedule" sheetId="207" r:id="rId133"/>
    <sheet name="32-Bond Schedule" sheetId="42" r:id="rId134"/>
    <sheet name="33-Note Debt Service" sheetId="43" r:id="rId135"/>
    <sheet name="33.1-Note Debt Service" sheetId="208" r:id="rId136"/>
    <sheet name="33 Totals-Note Debt Service" sheetId="209" r:id="rId137"/>
    <sheet name="34-Assmt Note Debt Service" sheetId="44" r:id="rId138"/>
    <sheet name="34a-Cap Lease Program Oblg" sheetId="98" r:id="rId139"/>
    <sheet name="35- Cap Fund Imprv Auth" sheetId="45" r:id="rId140"/>
    <sheet name="35.1- Cap Fund Imprv Auth " sheetId="46" r:id="rId141"/>
    <sheet name="35.2- Cap Fund Imprv Auth" sheetId="210" r:id="rId142"/>
    <sheet name="35.3- Cap Fund Imprv Auth" sheetId="211" state="hidden" r:id="rId143"/>
    <sheet name="35.4- Cap Fund Imprv Auth" sheetId="212" state="hidden" r:id="rId144"/>
    <sheet name="35.5- Cap Fund Imprv Auth" sheetId="213" state="hidden" r:id="rId145"/>
    <sheet name="35.6- Cap Fund Imprv Auth" sheetId="214" state="hidden" r:id="rId146"/>
    <sheet name="35.7- Cap Fund Imprv Auth" sheetId="215" state="hidden" r:id="rId147"/>
    <sheet name="35.8- Cap Fund Imprv Auth" sheetId="216" state="hidden" r:id="rId148"/>
    <sheet name="35.9- Cap Fund Imprv Auth" sheetId="217" state="hidden" r:id="rId149"/>
    <sheet name="35 Totals- Cap Fund Imprv Auth" sheetId="218" r:id="rId150"/>
    <sheet name="36- Capital Improvement Fund" sheetId="50" r:id="rId151"/>
    <sheet name="37- Cap Fund Down Pymts" sheetId="51" r:id="rId152"/>
    <sheet name="37- Cap Fund Down Pymts (2)" sheetId="381" state="hidden" r:id="rId153"/>
    <sheet name="38- Capital Surplus" sheetId="58" r:id="rId154"/>
    <sheet name="39- Req. Information" sheetId="48" r:id="rId155"/>
    <sheet name="40" sheetId="47" r:id="rId156"/>
    <sheet name="41-Utility1" sheetId="103" r:id="rId157"/>
    <sheet name="41a-Utility1" sheetId="104" r:id="rId158"/>
    <sheet name="41a.1-Utility1" sheetId="344" r:id="rId159"/>
    <sheet name="42-Utility1" sheetId="105" r:id="rId160"/>
    <sheet name="43-Utility1" sheetId="106" r:id="rId161"/>
    <sheet name="44-Utility1" sheetId="107" r:id="rId162"/>
    <sheet name="45-Utility1" sheetId="108" r:id="rId163"/>
    <sheet name="46-Utility1" sheetId="109" r:id="rId164"/>
    <sheet name="47-Utility1" sheetId="110" r:id="rId165"/>
    <sheet name="48-Utility1" sheetId="111" r:id="rId166"/>
    <sheet name="48a-Utility1" sheetId="374" r:id="rId167"/>
    <sheet name="49-Utility1" sheetId="112" r:id="rId168"/>
    <sheet name="49a-Utility1" sheetId="113" r:id="rId169"/>
    <sheet name="49a.1-Utility1" sheetId="306" r:id="rId170"/>
    <sheet name="50-Utility1" sheetId="368" r:id="rId171"/>
    <sheet name="50.1-Utility1" sheetId="114" r:id="rId172"/>
    <sheet name="51-Utility1" sheetId="115" r:id="rId173"/>
    <sheet name="51a-Utility1" sheetId="116" r:id="rId174"/>
    <sheet name="52-Utility1" sheetId="117" r:id="rId175"/>
    <sheet name="52.1-Utility1" sheetId="319" r:id="rId176"/>
    <sheet name="52.2-Utility1" sheetId="320" r:id="rId177"/>
    <sheet name="52.3-Utility1" sheetId="321" r:id="rId178"/>
    <sheet name="52-Totals-Utility1" sheetId="322" r:id="rId179"/>
    <sheet name="53-Utility1" sheetId="118" r:id="rId180"/>
    <sheet name="54-Utility1" sheetId="119" r:id="rId181"/>
    <sheet name="41-Utility2" sheetId="220" state="hidden" r:id="rId182"/>
    <sheet name="41a-Utility2" sheetId="355" state="hidden" r:id="rId183"/>
    <sheet name="41a.1-Utility2" sheetId="356" state="hidden" r:id="rId184"/>
    <sheet name="42-Utility2" sheetId="222" state="hidden" r:id="rId185"/>
    <sheet name="43-Utility2" sheetId="223" state="hidden" r:id="rId186"/>
    <sheet name="44-Utility2" sheetId="224" state="hidden" r:id="rId187"/>
    <sheet name="45-Utility2" sheetId="225" state="hidden" r:id="rId188"/>
    <sheet name="46-Utility2" sheetId="226" state="hidden" r:id="rId189"/>
    <sheet name="47-Utility2" sheetId="227" state="hidden" r:id="rId190"/>
    <sheet name="48-Utility2" sheetId="228" state="hidden" r:id="rId191"/>
    <sheet name="48a-Utility2" sheetId="375" state="hidden" r:id="rId192"/>
    <sheet name="49-Utility2" sheetId="229" state="hidden" r:id="rId193"/>
    <sheet name="49a-Utility2" sheetId="230" state="hidden" r:id="rId194"/>
    <sheet name="49a.1-Utility2" sheetId="307" state="hidden" r:id="rId195"/>
    <sheet name="50-Utility2" sheetId="369" state="hidden" r:id="rId196"/>
    <sheet name="50.1-Utility2" sheetId="231" state="hidden" r:id="rId197"/>
    <sheet name="51-Utility2" sheetId="287" state="hidden" r:id="rId198"/>
    <sheet name="51a-Utility2" sheetId="292" state="hidden" r:id="rId199"/>
    <sheet name="52-Utility2" sheetId="293" state="hidden" r:id="rId200"/>
    <sheet name="52.1-Utility2" sheetId="323" state="hidden" r:id="rId201"/>
    <sheet name="52.2-Utility2" sheetId="324" state="hidden" r:id="rId202"/>
    <sheet name="52.3-Utility2" sheetId="325" state="hidden" r:id="rId203"/>
    <sheet name="52-Totals-Utility2" sheetId="326" state="hidden" r:id="rId204"/>
    <sheet name="53-Utility2" sheetId="300" state="hidden" r:id="rId205"/>
    <sheet name="54-Utility2" sheetId="301" state="hidden" r:id="rId206"/>
    <sheet name="41-Utility3" sheetId="232" state="hidden" r:id="rId207"/>
    <sheet name="41a-Utility3" sheetId="357" state="hidden" r:id="rId208"/>
    <sheet name="41a.1-Utility3" sheetId="358" state="hidden" r:id="rId209"/>
    <sheet name="42-Utility3" sheetId="234" state="hidden" r:id="rId210"/>
    <sheet name="43-Utility3" sheetId="235" state="hidden" r:id="rId211"/>
    <sheet name="44-Utility3" sheetId="236" state="hidden" r:id="rId212"/>
    <sheet name="45-Utility3" sheetId="237" state="hidden" r:id="rId213"/>
    <sheet name="46-Utility3" sheetId="238" state="hidden" r:id="rId214"/>
    <sheet name="47-Utility3" sheetId="239" state="hidden" r:id="rId215"/>
    <sheet name="48-Utility3" sheetId="240" state="hidden" r:id="rId216"/>
    <sheet name="48a-Utility3" sheetId="376" state="hidden" r:id="rId217"/>
    <sheet name="49-Utility3" sheetId="241" state="hidden" r:id="rId218"/>
    <sheet name="49a-Utility3" sheetId="242" state="hidden" r:id="rId219"/>
    <sheet name="49a.1-Utility3" sheetId="311" state="hidden" r:id="rId220"/>
    <sheet name="50-Utility3" sheetId="370" state="hidden" r:id="rId221"/>
    <sheet name="50.1-Utility3" sheetId="243" state="hidden" r:id="rId222"/>
    <sheet name="51-Utility3" sheetId="286" state="hidden" r:id="rId223"/>
    <sheet name="51a-Utility3" sheetId="291" state="hidden" r:id="rId224"/>
    <sheet name="52-Utility3" sheetId="294" state="hidden" r:id="rId225"/>
    <sheet name="52.1-Utility3" sheetId="327" state="hidden" r:id="rId226"/>
    <sheet name="52.2-Utility3" sheetId="328" state="hidden" r:id="rId227"/>
    <sheet name="52.3-Utility3" sheetId="329" state="hidden" r:id="rId228"/>
    <sheet name="52-Totals-Utility3" sheetId="330" state="hidden" r:id="rId229"/>
    <sheet name="53-Utility3" sheetId="299" state="hidden" r:id="rId230"/>
    <sheet name="54-Utility3" sheetId="302" state="hidden" r:id="rId231"/>
    <sheet name="41-Utility4" sheetId="244" state="hidden" r:id="rId232"/>
    <sheet name="41a-Utility4" sheetId="359" state="hidden" r:id="rId233"/>
    <sheet name="41a.1-Utility4" sheetId="360" state="hidden" r:id="rId234"/>
    <sheet name="42-Utility4" sheetId="246" state="hidden" r:id="rId235"/>
    <sheet name="43-Utility4" sheetId="247" state="hidden" r:id="rId236"/>
    <sheet name="44-Utility4" sheetId="248" state="hidden" r:id="rId237"/>
    <sheet name="45-Utility4" sheetId="249" state="hidden" r:id="rId238"/>
    <sheet name="46-Utility4" sheetId="250" state="hidden" r:id="rId239"/>
    <sheet name="47-Utility4" sheetId="251" state="hidden" r:id="rId240"/>
    <sheet name="48-Utility4" sheetId="252" state="hidden" r:id="rId241"/>
    <sheet name="48a-Utility4" sheetId="377" state="hidden" r:id="rId242"/>
    <sheet name="49-Utility4" sheetId="253" state="hidden" r:id="rId243"/>
    <sheet name="49a-Utility4" sheetId="254" state="hidden" r:id="rId244"/>
    <sheet name="49a.1-Utility4" sheetId="313" state="hidden" r:id="rId245"/>
    <sheet name="50-Utility4" sheetId="371" state="hidden" r:id="rId246"/>
    <sheet name="50.1-Utility4" sheetId="255" state="hidden" r:id="rId247"/>
    <sheet name="51-Utility4" sheetId="285" state="hidden" r:id="rId248"/>
    <sheet name="51a-Utility4" sheetId="290" state="hidden" r:id="rId249"/>
    <sheet name="52-Utility4" sheetId="295" state="hidden" r:id="rId250"/>
    <sheet name="52.1-Utility4" sheetId="331" state="hidden" r:id="rId251"/>
    <sheet name="52.2-Utility4" sheetId="332" state="hidden" r:id="rId252"/>
    <sheet name="52.3-Utility4" sheetId="333" state="hidden" r:id="rId253"/>
    <sheet name="52-Totals-Utility4" sheetId="335" state="hidden" r:id="rId254"/>
    <sheet name="53-Utility4" sheetId="298" state="hidden" r:id="rId255"/>
    <sheet name="54-Utility4" sheetId="303" state="hidden" r:id="rId256"/>
    <sheet name="41-Utility5" sheetId="256" state="hidden" r:id="rId257"/>
    <sheet name="41a-Utility5" sheetId="361" state="hidden" r:id="rId258"/>
    <sheet name="41a.1-Utility5" sheetId="362" state="hidden" r:id="rId259"/>
    <sheet name="42-Utility5" sheetId="258" state="hidden" r:id="rId260"/>
    <sheet name="43-Utility5" sheetId="259" state="hidden" r:id="rId261"/>
    <sheet name="44-Utility5" sheetId="260" state="hidden" r:id="rId262"/>
    <sheet name="45-Utility5" sheetId="261" state="hidden" r:id="rId263"/>
    <sheet name="46-Utility5" sheetId="262" state="hidden" r:id="rId264"/>
    <sheet name="47-Utility5" sheetId="263" state="hidden" r:id="rId265"/>
    <sheet name="48-Utility5" sheetId="264" state="hidden" r:id="rId266"/>
    <sheet name="48a-Utility5" sheetId="378" state="hidden" r:id="rId267"/>
    <sheet name="49-Utility5" sheetId="265" state="hidden" r:id="rId268"/>
    <sheet name="49a-Utility5" sheetId="266" state="hidden" r:id="rId269"/>
    <sheet name="49a.1-Utility5" sheetId="315" state="hidden" r:id="rId270"/>
    <sheet name="50-Utility5" sheetId="372" state="hidden" r:id="rId271"/>
    <sheet name="50.1-Utility5" sheetId="267" state="hidden" r:id="rId272"/>
    <sheet name="51-Utility5" sheetId="284" state="hidden" r:id="rId273"/>
    <sheet name="51a-Utility5" sheetId="289" state="hidden" r:id="rId274"/>
    <sheet name="52-Utility5" sheetId="296" state="hidden" r:id="rId275"/>
    <sheet name="52.1-Utility5" sheetId="336" state="hidden" r:id="rId276"/>
    <sheet name="52.2-Utility5" sheetId="337" state="hidden" r:id="rId277"/>
    <sheet name="52.3-Utility5" sheetId="338" state="hidden" r:id="rId278"/>
    <sheet name="52-Totals-Utility5" sheetId="339" state="hidden" r:id="rId279"/>
    <sheet name="53-Utility5" sheetId="297" state="hidden" r:id="rId280"/>
    <sheet name="54-Utility5" sheetId="304" state="hidden" r:id="rId281"/>
    <sheet name="41-Utility6" sheetId="268" state="hidden" r:id="rId282"/>
    <sheet name="41a-Utility6" sheetId="363" state="hidden" r:id="rId283"/>
    <sheet name="41a.1-Utility6" sheetId="364" state="hidden" r:id="rId284"/>
    <sheet name="42-Utility6" sheetId="365" state="hidden" r:id="rId285"/>
    <sheet name="43-Utility6" sheetId="270" state="hidden" r:id="rId286"/>
    <sheet name="44-Utility6" sheetId="271" state="hidden" r:id="rId287"/>
    <sheet name="45-Utility6" sheetId="272" state="hidden" r:id="rId288"/>
    <sheet name="46-Utility6" sheetId="273" state="hidden" r:id="rId289"/>
    <sheet name="47-Utility6" sheetId="274" state="hidden" r:id="rId290"/>
    <sheet name="48-Utility6" sheetId="275" state="hidden" r:id="rId291"/>
    <sheet name="48a-Utility6" sheetId="379" state="hidden" r:id="rId292"/>
    <sheet name="49-Utility6" sheetId="276" state="hidden" r:id="rId293"/>
    <sheet name="49a-Utility6" sheetId="277" state="hidden" r:id="rId294"/>
    <sheet name="49a.1-Utility6" sheetId="317" state="hidden" r:id="rId295"/>
    <sheet name="50-Utility6" sheetId="373" state="hidden" r:id="rId296"/>
    <sheet name="50.1-Utility6" sheetId="278" state="hidden" r:id="rId297"/>
    <sheet name="51-Utility6" sheetId="279" state="hidden" r:id="rId298"/>
    <sheet name="51a-Utility6" sheetId="280" state="hidden" r:id="rId299"/>
    <sheet name="52-Utility6" sheetId="281" state="hidden" r:id="rId300"/>
    <sheet name="52.1-Utility6" sheetId="340" state="hidden" r:id="rId301"/>
    <sheet name="52.2-Utility6" sheetId="341" state="hidden" r:id="rId302"/>
    <sheet name="52.3-Utility6" sheetId="342" state="hidden" r:id="rId303"/>
    <sheet name="52-Totals-Utility6" sheetId="343" state="hidden" r:id="rId304"/>
    <sheet name="53-Utility6" sheetId="282" state="hidden" r:id="rId305"/>
    <sheet name="54-Utility6" sheetId="283" state="hidden" r:id="rId306"/>
    <sheet name="Sheet1" sheetId="380" state="hidden" r:id="rId307"/>
  </sheets>
  <definedNames>
    <definedName name="_xlnm._FilterDatabase" localSheetId="2" hidden="1">'KEY INPUTS'!$Z$6:$Z$571</definedName>
    <definedName name="_xlnm.Print_Area" localSheetId="4">'1- Cover'!$A$1:$O$67</definedName>
    <definedName name="_xlnm.Print_Area" localSheetId="59">'10 Totals Grants Receivable'!$A$1:$K$27</definedName>
    <definedName name="_xlnm.Print_Area" localSheetId="44">'10.10-Grants Receivable'!$A$1:$K$27</definedName>
    <definedName name="_xlnm.Print_Area" localSheetId="45">'10.11-Grants Receivable'!$A$1:$K$27</definedName>
    <definedName name="_xlnm.Print_Area" localSheetId="46">'10.12-Grants Receivable'!$A$1:$K$27</definedName>
    <definedName name="_xlnm.Print_Area" localSheetId="47">'10.13-Grants Receivable'!$A$1:$K$27</definedName>
    <definedName name="_xlnm.Print_Area" localSheetId="48">'10.14-Grants Receivable'!$A$1:$K$27</definedName>
    <definedName name="_xlnm.Print_Area" localSheetId="49">'10.15-Grants Receivable'!$A$1:$K$27</definedName>
    <definedName name="_xlnm.Print_Area" localSheetId="50">'10.16-Grants Receivable'!$A$1:$K$27</definedName>
    <definedName name="_xlnm.Print_Area" localSheetId="51">'10.17-Grants Receivable'!$A$1:$K$27</definedName>
    <definedName name="_xlnm.Print_Area" localSheetId="52">'10.18-Grants Receivable'!$A$1:$K$27</definedName>
    <definedName name="_xlnm.Print_Area" localSheetId="53">'10.19-Grants Receivable'!$A$1:$K$27</definedName>
    <definedName name="_xlnm.Print_Area" localSheetId="35">'10.1-Grants Receivable'!$A$1:$K$27</definedName>
    <definedName name="_xlnm.Print_Area" localSheetId="54">'10.20-Grants Receivable'!$A$1:$K$27</definedName>
    <definedName name="_xlnm.Print_Area" localSheetId="55">'10.21-Grants Receivable'!$A$1:$K$27</definedName>
    <definedName name="_xlnm.Print_Area" localSheetId="56">'10.22-Grants Receivable'!$A$1:$K$27</definedName>
    <definedName name="_xlnm.Print_Area" localSheetId="57">'10.23-Grants Receivable'!$A$1:$K$27</definedName>
    <definedName name="_xlnm.Print_Area" localSheetId="58">'10.24-Grants Receivable'!$A$1:$K$27</definedName>
    <definedName name="_xlnm.Print_Area" localSheetId="36">'10.2-Grants Receivable'!$A$1:$K$27</definedName>
    <definedName name="_xlnm.Print_Area" localSheetId="37">'10.3-Grants Receivable'!$A$1:$K$27</definedName>
    <definedName name="_xlnm.Print_Area" localSheetId="38">'10.4-Grants Receivable'!$A$1:$K$27</definedName>
    <definedName name="_xlnm.Print_Area" localSheetId="39">'10.5-Grants Receivable'!$A$1:$K$27</definedName>
    <definedName name="_xlnm.Print_Area" localSheetId="40">'10.6-Grants Receivable'!$A$1:$K$27</definedName>
    <definedName name="_xlnm.Print_Area" localSheetId="41">'10.7-Grants Receivable'!$A$1:$K$27</definedName>
    <definedName name="_xlnm.Print_Area" localSheetId="42">'10.8-Grants Receivable'!$A$1:$K$27</definedName>
    <definedName name="_xlnm.Print_Area" localSheetId="43">'10.9-Grants Receivable'!$A$1:$K$27</definedName>
    <definedName name="_xlnm.Print_Area" localSheetId="34">'10-Grants Receivable'!$A$1:$K$27</definedName>
    <definedName name="_xlnm.Print_Area" localSheetId="60">'11 Grants Approp Rsrv'!$A$1:$L$27</definedName>
    <definedName name="_xlnm.Print_Area" localSheetId="100">'11- Totals Grants Approp Rsrv'!$A$1:$L$27</definedName>
    <definedName name="_xlnm.Print_Area" localSheetId="61">'11.1 Grants Approp Rsrv'!$A$1:$L$27</definedName>
    <definedName name="_xlnm.Print_Area" localSheetId="70">'11.10 Grants Approp Rsrv'!$A$1:$L$27</definedName>
    <definedName name="_xlnm.Print_Area" localSheetId="71">'11.11 Grants Approp Rsrv'!$A$1:$L$27</definedName>
    <definedName name="_xlnm.Print_Area" localSheetId="72">'11.12 Grants Approp Rsrv'!$A$1:$L$27</definedName>
    <definedName name="_xlnm.Print_Area" localSheetId="73">'11.13 Grants Approp Rsrv'!$A$1:$L$27</definedName>
    <definedName name="_xlnm.Print_Area" localSheetId="74">'11.14 Grants Approp Rsrv'!$A$1:$L$27</definedName>
    <definedName name="_xlnm.Print_Area" localSheetId="75">'11.15 Grants Approp Rsrv'!$A$1:$L$27</definedName>
    <definedName name="_xlnm.Print_Area" localSheetId="76">'11.16 Grants Approp Rsrv'!$A$1:$L$27</definedName>
    <definedName name="_xlnm.Print_Area" localSheetId="77">'11.17 Grants Approp Rsrv'!$A$1:$L$27</definedName>
    <definedName name="_xlnm.Print_Area" localSheetId="78">'11.18 Grants Approp Rsrv'!$A$1:$L$27</definedName>
    <definedName name="_xlnm.Print_Area" localSheetId="79">'11.19 Grants Approp Rsrv'!$A$1:$L$27</definedName>
    <definedName name="_xlnm.Print_Area" localSheetId="62">'11.2 Grants Approp Rsrv'!$A$1:$L$27</definedName>
    <definedName name="_xlnm.Print_Area" localSheetId="80">'11.20 Grants Approp Rsrv'!$A$1:$L$27</definedName>
    <definedName name="_xlnm.Print_Area" localSheetId="81">'11.21 Grants Approp Rsrv'!$A$1:$L$27</definedName>
    <definedName name="_xlnm.Print_Area" localSheetId="82">'11.22 Grants Approp Rsrv'!$A$1:$L$27</definedName>
    <definedName name="_xlnm.Print_Area" localSheetId="83">'11.23 Grants Approp Rsrv'!$A$1:$L$27</definedName>
    <definedName name="_xlnm.Print_Area" localSheetId="84">'11.24 Grants Approp Rsrv'!$A$1:$L$27</definedName>
    <definedName name="_xlnm.Print_Area" localSheetId="85">'11.25 Grants Approp Rsrv'!$A$1:$L$27</definedName>
    <definedName name="_xlnm.Print_Area" localSheetId="86">'11.26 Grants Approp Rsrv'!$A$1:$L$27</definedName>
    <definedName name="_xlnm.Print_Area" localSheetId="87">'11.27 Grants Approp Rsrv'!$A$1:$L$27</definedName>
    <definedName name="_xlnm.Print_Area" localSheetId="88">'11.28 Grants Approp Rsrv'!$A$1:$L$27</definedName>
    <definedName name="_xlnm.Print_Area" localSheetId="89">'11.29 Grants Approp Rsrv'!$A$1:$L$27</definedName>
    <definedName name="_xlnm.Print_Area" localSheetId="63">'11.3 Grants Approp Rsrv'!$A$1:$L$27</definedName>
    <definedName name="_xlnm.Print_Area" localSheetId="90">'11.30 Grants Approp Rsrv'!$A$1:$L$27</definedName>
    <definedName name="_xlnm.Print_Area" localSheetId="91">'11.31 Grants Approp Rsrv'!$A$1:$L$27</definedName>
    <definedName name="_xlnm.Print_Area" localSheetId="92">'11.32 Grants Approp Rsrv'!$A$1:$L$27</definedName>
    <definedName name="_xlnm.Print_Area" localSheetId="93">'11.33 Grants Approp Rsrv'!$A$1:$L$27</definedName>
    <definedName name="_xlnm.Print_Area" localSheetId="94">'11.34 Grants Approp Rsrv'!$A$1:$L$27</definedName>
    <definedName name="_xlnm.Print_Area" localSheetId="95">'11.35 Grants Approp Rsrv'!$A$1:$L$27</definedName>
    <definedName name="_xlnm.Print_Area" localSheetId="96">'11.36 Grants Approp Rsrv'!$A$1:$L$27</definedName>
    <definedName name="_xlnm.Print_Area" localSheetId="97">'11.37 Grants Approp Rsrv'!$A$1:$L$27</definedName>
    <definedName name="_xlnm.Print_Area" localSheetId="98">'11.38 Grants Approp Rsrv'!$A$1:$L$27</definedName>
    <definedName name="_xlnm.Print_Area" localSheetId="99">'11.39 Grants Approp Rsrv'!$A$1:$L$27</definedName>
    <definedName name="_xlnm.Print_Area" localSheetId="64">'11.4 Grants Approp Rsrv'!$A$1:$L$27</definedName>
    <definedName name="_xlnm.Print_Area" localSheetId="65">'11.5 Grants Approp Rsrv'!$A$1:$L$27</definedName>
    <definedName name="_xlnm.Print_Area" localSheetId="66">'11.6 Grants Approp Rsrv'!$A$1:$L$27</definedName>
    <definedName name="_xlnm.Print_Area" localSheetId="67">'11.7 Grants Approp Rsrv'!$A$1:$L$27</definedName>
    <definedName name="_xlnm.Print_Area" localSheetId="68">'11.8 Grants Approp Rsrv'!$A$1:$L$27</definedName>
    <definedName name="_xlnm.Print_Area" localSheetId="69">'11.9 Grants Approp Rsrv'!$A$1:$L$27</definedName>
    <definedName name="_xlnm.Print_Area" localSheetId="104">'12 Total-Grants Unappropriated'!$A$1:$K$27</definedName>
    <definedName name="_xlnm.Print_Area" localSheetId="102">'12.1-Grants Unappropriated'!$A$1:$K$27</definedName>
    <definedName name="_xlnm.Print_Area" localSheetId="103">'12.2-Grants Unappropriated'!$A$1:$K$27</definedName>
    <definedName name="_xlnm.Print_Area" localSheetId="101">'12-Grants Unappropriated'!$A$1:$K$27</definedName>
    <definedName name="_xlnm.Print_Area" localSheetId="105">'13-Other Taxes'!$A$1:$H$50</definedName>
    <definedName name="_xlnm.Print_Area" localSheetId="106">'14-Other Taxes'!$A$1:$H$52</definedName>
    <definedName name="_xlnm.Print_Area" localSheetId="107">'15-Other Taxes'!$A$1:$J$47</definedName>
    <definedName name="_xlnm.Print_Area" localSheetId="113">'17a Totals-Budget Revenues'!$A$1:$J$49</definedName>
    <definedName name="_xlnm.Print_Area" localSheetId="110">'17a.1-Budget Revenues '!$A$1:$J$49</definedName>
    <definedName name="_xlnm.Print_Area" localSheetId="111">'17a.2-Budget Revenues'!$A$1:$J$49</definedName>
    <definedName name="_xlnm.Print_Area" localSheetId="112">'17a.3-Budget Revenues'!$A$1:$J$49</definedName>
    <definedName name="_xlnm.Print_Area" localSheetId="109">'17a-Budget Revenues'!$A$1:$J$49</definedName>
    <definedName name="_xlnm.Print_Area" localSheetId="108">'17-Budget Revenues'!$A$1:$J$49</definedName>
    <definedName name="_xlnm.Print_Area" localSheetId="114">'18-Budget Appropriations'!$A$1:$J$54</definedName>
    <definedName name="_xlnm.Print_Area" localSheetId="115">'19-Results of Op-Cur Fnd'!$A$1:$I$48</definedName>
    <definedName name="_xlnm.Print_Area" localSheetId="5">'1a - RMA Certification'!$A$1:$N$70</definedName>
    <definedName name="_xlnm.Print_Area" localSheetId="6">'1b - Local Exam Qual Cert'!$A$1:$M$68</definedName>
    <definedName name="_xlnm.Print_Area" localSheetId="7">'1c - Fed &amp; State Finan Asst.'!$A$1:$M$71</definedName>
    <definedName name="_xlnm.Print_Area" localSheetId="8">'2 - No Utility Fund Cert'!$A$1:$M$59</definedName>
    <definedName name="_xlnm.Print_Area" localSheetId="118">'20 Total-Misc Rev Not Ant'!$A$1:$H$47</definedName>
    <definedName name="_xlnm.Print_Area" localSheetId="117">'20.1-Misc Rev Not Ant'!$A$1:$H$47</definedName>
    <definedName name="_xlnm.Print_Area" localSheetId="116">'20-Misc Rev Not Ant'!$A$1:$H$47</definedName>
    <definedName name="_xlnm.Print_Area" localSheetId="119">'21-Current Fund Surplus'!$A$1:$L$50</definedName>
    <definedName name="_xlnm.Print_Area" localSheetId="121">'22a-Tax Levy Sale'!$A$1:$K$61</definedName>
    <definedName name="_xlnm.Print_Area" localSheetId="120">'22-CY Levy'!$A$1:$N$63</definedName>
    <definedName name="_xlnm.Print_Area" localSheetId="122">'23-SCVet Deductions'!$A$1:$J$54</definedName>
    <definedName name="_xlnm.Print_Area" localSheetId="123">'24-Reserves for Tax Appeals'!$A$1:$J$60</definedName>
    <definedName name="_xlnm.Print_Area" localSheetId="124">'26-Delinquent Taxes and Liens'!$A$1:$M$49</definedName>
    <definedName name="_xlnm.Print_Area" localSheetId="125">'27-Foreclosed Property'!$A$1:$L$50</definedName>
    <definedName name="_xlnm.Print_Area" localSheetId="126">'28-Deferred Charges'!$A$1:$N$58</definedName>
    <definedName name="_xlnm.Print_Area" localSheetId="127">'29-Special Emergency'!$A$1:$L$31</definedName>
    <definedName name="_xlnm.Print_Area" localSheetId="128">'30-Special Emergency'!$A$1:$L$31</definedName>
    <definedName name="_xlnm.Print_Area" localSheetId="131">'31A.1-Loan Schedule'!$A$1:$L$47</definedName>
    <definedName name="_xlnm.Print_Area" localSheetId="132">'31A.2-Loan Schedule'!$A$1:$L$47</definedName>
    <definedName name="_xlnm.Print_Area" localSheetId="130">'31A-Loan Schedule'!$A$1:$L$47</definedName>
    <definedName name="_xlnm.Print_Area" localSheetId="129">'31-Capital Bond Schedule'!$A$1:$L$47</definedName>
    <definedName name="_xlnm.Print_Area" localSheetId="133">'32-Bond Schedule'!$A$1:$L$48</definedName>
    <definedName name="_xlnm.Print_Area" localSheetId="136">'33 Totals-Note Debt Service'!$A$1:$L$29</definedName>
    <definedName name="_xlnm.Print_Area" localSheetId="135">'33.1-Note Debt Service'!$A$1:$L$29</definedName>
    <definedName name="_xlnm.Print_Area" localSheetId="134">'33-Note Debt Service'!$A$1:$L$29</definedName>
    <definedName name="_xlnm.Print_Area" localSheetId="138">'34a-Cap Lease Program Oblg'!$A$1:$I$27</definedName>
    <definedName name="_xlnm.Print_Area" localSheetId="137">'34-Assmt Note Debt Service'!$A$1:$L$29</definedName>
    <definedName name="_xlnm.Print_Area" localSheetId="139">'35- Cap Fund Imprv Auth'!$A$1:$L$29</definedName>
    <definedName name="_xlnm.Print_Area" localSheetId="149">'35 Totals- Cap Fund Imprv Auth'!$A$1:$L$29</definedName>
    <definedName name="_xlnm.Print_Area" localSheetId="140">'35.1- Cap Fund Imprv Auth '!$A$1:$L$29</definedName>
    <definedName name="_xlnm.Print_Area" localSheetId="141">'35.2- Cap Fund Imprv Auth'!$A$1:$L$29</definedName>
    <definedName name="_xlnm.Print_Area" localSheetId="142">'35.3- Cap Fund Imprv Auth'!$A$1:$L$29</definedName>
    <definedName name="_xlnm.Print_Area" localSheetId="143">'35.4- Cap Fund Imprv Auth'!$A$1:$L$29</definedName>
    <definedName name="_xlnm.Print_Area" localSheetId="144">'35.5- Cap Fund Imprv Auth'!$A$1:$L$29</definedName>
    <definedName name="_xlnm.Print_Area" localSheetId="145">'35.6- Cap Fund Imprv Auth'!$A$1:$L$29</definedName>
    <definedName name="_xlnm.Print_Area" localSheetId="146">'35.7- Cap Fund Imprv Auth'!$A$1:$L$29</definedName>
    <definedName name="_xlnm.Print_Area" localSheetId="147">'35.8- Cap Fund Imprv Auth'!$A$1:$L$29</definedName>
    <definedName name="_xlnm.Print_Area" localSheetId="148">'35.9- Cap Fund Imprv Auth'!$A$1:$L$29</definedName>
    <definedName name="_xlnm.Print_Area" localSheetId="150">'36- Capital Improvement Fund'!$A$1:$J$54</definedName>
    <definedName name="_xlnm.Print_Area" localSheetId="151">'37- Cap Fund Down Pymts'!$A$1:$J$53</definedName>
    <definedName name="_xlnm.Print_Area" localSheetId="152">'37- Cap Fund Down Pymts (2)'!$A$1:$J$52</definedName>
    <definedName name="_xlnm.Print_Area" localSheetId="153">'38- Capital Surplus'!$A$1:$J$62</definedName>
    <definedName name="_xlnm.Print_Area" localSheetId="154">'39- Req. Information'!$A$1:$Q$66</definedName>
    <definedName name="_xlnm.Print_Area" localSheetId="11">'3a.1-Trial Bal-Current Fund'!$A$1:$I$48</definedName>
    <definedName name="_xlnm.Print_Area" localSheetId="10">'3a-Trial Bal-Current Fund'!$A$1:$H$48</definedName>
    <definedName name="_xlnm.Print_Area" localSheetId="9">'3-Trial Bal-Current Fund'!$A$1:$H$48</definedName>
    <definedName name="_xlnm.Print_Area" localSheetId="155">'40'!$A$1:$K$68</definedName>
    <definedName name="_xlnm.Print_Area" localSheetId="158">'41a.1-Utility1'!$A$1:$H$50</definedName>
    <definedName name="_xlnm.Print_Area" localSheetId="183">'41a.1-Utility2'!$A$1:$H$50</definedName>
    <definedName name="_xlnm.Print_Area" localSheetId="208">'41a.1-Utility3'!$A$1:$H$50</definedName>
    <definedName name="_xlnm.Print_Area" localSheetId="233">'41a.1-Utility4'!$A$1:$H$50</definedName>
    <definedName name="_xlnm.Print_Area" localSheetId="258">'41a.1-Utility5'!$A$1:$H$50</definedName>
    <definedName name="_xlnm.Print_Area" localSheetId="283">'41a.1-Utility6'!$A$1:$H$50</definedName>
    <definedName name="_xlnm.Print_Area" localSheetId="157">'41a-Utility1'!$A$1:$H$50</definedName>
    <definedName name="_xlnm.Print_Area" localSheetId="182">'41a-Utility2'!$A$1:$H$50</definedName>
    <definedName name="_xlnm.Print_Area" localSheetId="207">'41a-Utility3'!$A$1:$H$50</definedName>
    <definedName name="_xlnm.Print_Area" localSheetId="232">'41a-Utility4'!$A$1:$H$50</definedName>
    <definedName name="_xlnm.Print_Area" localSheetId="257">'41a-Utility5'!$A$1:$H$50</definedName>
    <definedName name="_xlnm.Print_Area" localSheetId="282">'41a-Utility6'!$A$1:$H$50</definedName>
    <definedName name="_xlnm.Print_Area" localSheetId="156">'41-Utility1'!$A$1:$I$50</definedName>
    <definedName name="_xlnm.Print_Area" localSheetId="181">'41-Utility2'!$A$1:$I$50</definedName>
    <definedName name="_xlnm.Print_Area" localSheetId="206">'41-Utility3'!$A$1:$I$50</definedName>
    <definedName name="_xlnm.Print_Area" localSheetId="231">'41-Utility4'!$A$1:$I$50</definedName>
    <definedName name="_xlnm.Print_Area" localSheetId="256">'41-Utility5'!$A$1:$I$50</definedName>
    <definedName name="_xlnm.Print_Area" localSheetId="281">'41-Utility6'!$A$1:$I$50</definedName>
    <definedName name="_xlnm.Print_Area" localSheetId="159">'42-Utility1'!$A$1:$H$49</definedName>
    <definedName name="_xlnm.Print_Area" localSheetId="184">'42-Utility2'!$A$1:$H$49</definedName>
    <definedName name="_xlnm.Print_Area" localSheetId="209">'42-Utility3'!$A$1:$H$49</definedName>
    <definedName name="_xlnm.Print_Area" localSheetId="234">'42-Utility4'!$A$1:$H$49</definedName>
    <definedName name="_xlnm.Print_Area" localSheetId="259">'42-Utility5'!$A$1:$H$49</definedName>
    <definedName name="_xlnm.Print_Area" localSheetId="284">'42-Utility6'!$A$1:$H$49</definedName>
    <definedName name="_xlnm.Print_Area" localSheetId="160">'43-Utility1'!$A$1:$L$27</definedName>
    <definedName name="_xlnm.Print_Area" localSheetId="185">'43-Utility2'!$A$1:$L$27</definedName>
    <definedName name="_xlnm.Print_Area" localSheetId="210">'43-Utility3'!$A$1:$L$27</definedName>
    <definedName name="_xlnm.Print_Area" localSheetId="235">'43-Utility4'!$A$1:$L$27</definedName>
    <definedName name="_xlnm.Print_Area" localSheetId="260">'43-Utility5'!$A$1:$L$27</definedName>
    <definedName name="_xlnm.Print_Area" localSheetId="285">'43-Utility6'!$A$1:$L$27</definedName>
    <definedName name="_xlnm.Print_Area" localSheetId="161">'44-Utility1'!$A$1:$J$55</definedName>
    <definedName name="_xlnm.Print_Area" localSheetId="186">'44-Utility2'!$A$1:$J$55</definedName>
    <definedName name="_xlnm.Print_Area" localSheetId="211">'44-Utility3'!$A$1:$J$55</definedName>
    <definedName name="_xlnm.Print_Area" localSheetId="236">'44-Utility4'!$A$1:$J$55</definedName>
    <definedName name="_xlnm.Print_Area" localSheetId="261">'44-Utility5'!$A$1:$J$55</definedName>
    <definedName name="_xlnm.Print_Area" localSheetId="286">'44-Utility6'!$A$1:$J$55</definedName>
    <definedName name="_xlnm.Print_Area" localSheetId="162">'45-Utility1'!$A$1:$K$57</definedName>
    <definedName name="_xlnm.Print_Area" localSheetId="187">'45-Utility2'!$A$1:$K$57</definedName>
    <definedName name="_xlnm.Print_Area" localSheetId="212">'45-Utility3'!$A$1:$K$57</definedName>
    <definedName name="_xlnm.Print_Area" localSheetId="237">'45-Utility4'!$A$1:$K$57</definedName>
    <definedName name="_xlnm.Print_Area" localSheetId="262">'45-Utility5'!$A$1:$K$57</definedName>
    <definedName name="_xlnm.Print_Area" localSheetId="287">'45-Utility6'!$A$1:$K$57</definedName>
    <definedName name="_xlnm.Print_Area" localSheetId="163">'46-Utility1'!$A$1:$L$52</definedName>
    <definedName name="_xlnm.Print_Area" localSheetId="188">'46-Utility2'!$A$1:$L$52</definedName>
    <definedName name="_xlnm.Print_Area" localSheetId="213">'46-Utility3'!$A$1:$L$52</definedName>
    <definedName name="_xlnm.Print_Area" localSheetId="238">'46-Utility4'!$A$1:$L$52</definedName>
    <definedName name="_xlnm.Print_Area" localSheetId="263">'46-Utility5'!$A$1:$L$52</definedName>
    <definedName name="_xlnm.Print_Area" localSheetId="288">'46-Utility6'!$A$1:$L$52</definedName>
    <definedName name="_xlnm.Print_Area" localSheetId="164">'47-Utility1'!$A$1:$L$69</definedName>
    <definedName name="_xlnm.Print_Area" localSheetId="189">'47-Utility2'!$A$1:$L$69</definedName>
    <definedName name="_xlnm.Print_Area" localSheetId="214">'47-Utility3'!$A$1:$L$69</definedName>
    <definedName name="_xlnm.Print_Area" localSheetId="239">'47-Utility4'!$A$1:$L$69</definedName>
    <definedName name="_xlnm.Print_Area" localSheetId="264">'47-Utility5'!$A$1:$L$69</definedName>
    <definedName name="_xlnm.Print_Area" localSheetId="289">'47-Utility6'!$A$1:$L$69</definedName>
    <definedName name="_xlnm.Print_Area" localSheetId="166">'48a-Utility1'!$A$1:$L$31</definedName>
    <definedName name="_xlnm.Print_Area" localSheetId="191">'48a-Utility2'!$A$1:$L$31</definedName>
    <definedName name="_xlnm.Print_Area" localSheetId="216">'48a-Utility3'!$A$1:$L$31</definedName>
    <definedName name="_xlnm.Print_Area" localSheetId="241">'48a-Utility4'!$A$1:$L$31</definedName>
    <definedName name="_xlnm.Print_Area" localSheetId="266">'48a-Utility5'!$A$1:$L$31</definedName>
    <definedName name="_xlnm.Print_Area" localSheetId="291">'48a-Utility6'!$A$1:$L$31</definedName>
    <definedName name="_xlnm.Print_Area" localSheetId="165">'48-Utility1'!$A$1:$N$61</definedName>
    <definedName name="_xlnm.Print_Area" localSheetId="190">'48-Utility2'!$A$1:$N$61</definedName>
    <definedName name="_xlnm.Print_Area" localSheetId="215">'48-Utility3'!$A$1:$N$61</definedName>
    <definedName name="_xlnm.Print_Area" localSheetId="240">'48-Utility4'!$A$1:$N$61</definedName>
    <definedName name="_xlnm.Print_Area" localSheetId="265">'48-Utility5'!$A$1:$N$61</definedName>
    <definedName name="_xlnm.Print_Area" localSheetId="290">'48-Utility6'!$A$1:$N$61</definedName>
    <definedName name="_xlnm.Print_Area" localSheetId="169">'49a.1-Utility1'!$A$1:$L$51</definedName>
    <definedName name="_xlnm.Print_Area" localSheetId="194">'49a.1-Utility2'!$A$1:$L$51</definedName>
    <definedName name="_xlnm.Print_Area" localSheetId="219">'49a.1-Utility3'!$A$1:$L$51</definedName>
    <definedName name="_xlnm.Print_Area" localSheetId="244">'49a.1-Utility4'!$A$1:$L$51</definedName>
    <definedName name="_xlnm.Print_Area" localSheetId="269">'49a.1-Utility5'!$A$1:$L$51</definedName>
    <definedName name="_xlnm.Print_Area" localSheetId="294">'49a.1-Utility6'!$A$1:$L$51</definedName>
    <definedName name="_xlnm.Print_Area" localSheetId="168">'49a-Utility1'!$A$1:$L$51</definedName>
    <definedName name="_xlnm.Print_Area" localSheetId="193">'49a-Utility2'!$A$1:$L$51</definedName>
    <definedName name="_xlnm.Print_Area" localSheetId="218">'49a-Utility3'!$A$1:$L$51</definedName>
    <definedName name="_xlnm.Print_Area" localSheetId="243">'49a-Utility4'!$A$1:$L$51</definedName>
    <definedName name="_xlnm.Print_Area" localSheetId="268">'49a-Utility5'!$A$1:$L$51</definedName>
    <definedName name="_xlnm.Print_Area" localSheetId="293">'49a-Utility6'!$A$1:$L$51</definedName>
    <definedName name="_xlnm.Print_Area" localSheetId="167">'49-Utility1'!$A$1:$L$50</definedName>
    <definedName name="_xlnm.Print_Area" localSheetId="192">'49-Utility2'!$A$1:$L$50</definedName>
    <definedName name="_xlnm.Print_Area" localSheetId="217">'49-Utility3'!$A$1:$L$50</definedName>
    <definedName name="_xlnm.Print_Area" localSheetId="242">'49-Utility4'!$A$1:$L$50</definedName>
    <definedName name="_xlnm.Print_Area" localSheetId="267">'49-Utility5'!$A$1:$L$50</definedName>
    <definedName name="_xlnm.Print_Area" localSheetId="292">'49-Utility6'!$A$1:$L$50</definedName>
    <definedName name="_xlnm.Print_Area" localSheetId="12">'4-Trial Bal-Pub Assist Fnd'!$A$1:$H$46</definedName>
    <definedName name="_xlnm.Print_Area" localSheetId="171">'50.1-Utility1'!$A$1:$M$30</definedName>
    <definedName name="_xlnm.Print_Area" localSheetId="196">'50.1-Utility2'!$A$1:$M$30</definedName>
    <definedName name="_xlnm.Print_Area" localSheetId="221">'50.1-Utility3'!$A$1:$M$30</definedName>
    <definedName name="_xlnm.Print_Area" localSheetId="246">'50.1-Utility4'!$A$1:$M$30</definedName>
    <definedName name="_xlnm.Print_Area" localSheetId="271">'50.1-Utility5'!$A$1:$M$30</definedName>
    <definedName name="_xlnm.Print_Area" localSheetId="296">'50.1-Utility6'!$A$1:$M$30</definedName>
    <definedName name="_xlnm.Print_Area" localSheetId="170">'50-Utility1'!$A$1:$M$30</definedName>
    <definedName name="_xlnm.Print_Area" localSheetId="195">'50-Utility2'!$A$1:$M$30</definedName>
    <definedName name="_xlnm.Print_Area" localSheetId="220">'50-Utility3'!$A$1:$M$30</definedName>
    <definedName name="_xlnm.Print_Area" localSheetId="245">'50-Utility4'!$A$1:$M$30</definedName>
    <definedName name="_xlnm.Print_Area" localSheetId="270">'50-Utility5'!$A$1:$M$30</definedName>
    <definedName name="_xlnm.Print_Area" localSheetId="295">'50-Utility6'!$A$1:$M$30</definedName>
    <definedName name="_xlnm.Print_Area" localSheetId="173">'51a-Utility1'!$A$1:$I$27</definedName>
    <definedName name="_xlnm.Print_Area" localSheetId="198">'51a-Utility2'!$A$1:$I$27</definedName>
    <definedName name="_xlnm.Print_Area" localSheetId="223">'51a-Utility3'!$A$1:$I$27</definedName>
    <definedName name="_xlnm.Print_Area" localSheetId="248">'51a-Utility4'!$A$1:$I$27</definedName>
    <definedName name="_xlnm.Print_Area" localSheetId="273">'51a-Utility5'!$A$1:$I$27</definedName>
    <definedName name="_xlnm.Print_Area" localSheetId="298">'51a-Utility6'!$A$1:$I$27</definedName>
    <definedName name="_xlnm.Print_Area" localSheetId="172">'51-Utility1'!$A$1:$L$29</definedName>
    <definedName name="_xlnm.Print_Area" localSheetId="197">'51-Utility2'!$A$1:$L$29</definedName>
    <definedName name="_xlnm.Print_Area" localSheetId="222">'51-Utility3'!$A$1:$L$29</definedName>
    <definedName name="_xlnm.Print_Area" localSheetId="247">'51-Utility4'!$A$1:$L$29</definedName>
    <definedName name="_xlnm.Print_Area" localSheetId="272">'51-Utility5'!$A$1:$L$29</definedName>
    <definedName name="_xlnm.Print_Area" localSheetId="297">'51-Utility6'!$A$1:$L$29</definedName>
    <definedName name="_xlnm.Print_Area" localSheetId="175">'52.1-Utility1'!$A$1:$L$28</definedName>
    <definedName name="_xlnm.Print_Area" localSheetId="200">'52.1-Utility2'!$A$1:$L$28</definedName>
    <definedName name="_xlnm.Print_Area" localSheetId="225">'52.1-Utility3'!$A$1:$L$28</definedName>
    <definedName name="_xlnm.Print_Area" localSheetId="250">'52.1-Utility4'!$A$1:$L$28</definedName>
    <definedName name="_xlnm.Print_Area" localSheetId="275">'52.1-Utility5'!$A$1:$L$28</definedName>
    <definedName name="_xlnm.Print_Area" localSheetId="300">'52.1-Utility6'!$A$1:$L$28</definedName>
    <definedName name="_xlnm.Print_Area" localSheetId="176">'52.2-Utility1'!$A$1:$L$28</definedName>
    <definedName name="_xlnm.Print_Area" localSheetId="201">'52.2-Utility2'!$A$1:$L$28</definedName>
    <definedName name="_xlnm.Print_Area" localSheetId="226">'52.2-Utility3'!$A$1:$L$28</definedName>
    <definedName name="_xlnm.Print_Area" localSheetId="251">'52.2-Utility4'!$A$1:$L$28</definedName>
    <definedName name="_xlnm.Print_Area" localSheetId="276">'52.2-Utility5'!$A$1:$L$28</definedName>
    <definedName name="_xlnm.Print_Area" localSheetId="301">'52.2-Utility6'!$A$1:$L$28</definedName>
    <definedName name="_xlnm.Print_Area" localSheetId="177">'52.3-Utility1'!$A$1:$L$28</definedName>
    <definedName name="_xlnm.Print_Area" localSheetId="202">'52.3-Utility2'!$A$1:$L$28</definedName>
    <definedName name="_xlnm.Print_Area" localSheetId="227">'52.3-Utility3'!$A$1:$L$28</definedName>
    <definedName name="_xlnm.Print_Area" localSheetId="252">'52.3-Utility4'!$A$1:$L$28</definedName>
    <definedName name="_xlnm.Print_Area" localSheetId="277">'52.3-Utility5'!$A$1:$L$28</definedName>
    <definedName name="_xlnm.Print_Area" localSheetId="302">'52.3-Utility6'!$A$1:$L$28</definedName>
    <definedName name="_xlnm.Print_Area" localSheetId="178">'52-Totals-Utility1'!$A$1:$L$28</definedName>
    <definedName name="_xlnm.Print_Area" localSheetId="203">'52-Totals-Utility2'!$A$1:$L$28</definedName>
    <definedName name="_xlnm.Print_Area" localSheetId="228">'52-Totals-Utility3'!$A$1:$L$28</definedName>
    <definedName name="_xlnm.Print_Area" localSheetId="253">'52-Totals-Utility4'!$A$1:$L$28</definedName>
    <definedName name="_xlnm.Print_Area" localSheetId="278">'52-Totals-Utility5'!$A$1:$L$28</definedName>
    <definedName name="_xlnm.Print_Area" localSheetId="303">'52-Totals-Utility6'!$A$1:$L$28</definedName>
    <definedName name="_xlnm.Print_Area" localSheetId="174">'52-Utility1'!$A$1:$L$28</definedName>
    <definedName name="_xlnm.Print_Area" localSheetId="199">'52-Utility2'!$A$1:$L$28</definedName>
    <definedName name="_xlnm.Print_Area" localSheetId="224">'52-Utility3'!$A$1:$L$28</definedName>
    <definedName name="_xlnm.Print_Area" localSheetId="249">'52-Utility4'!$A$1:$L$28</definedName>
    <definedName name="_xlnm.Print_Area" localSheetId="274">'52-Utility5'!$A$1:$L$28</definedName>
    <definedName name="_xlnm.Print_Area" localSheetId="299">'52-Utility6'!$A$1:$L$28</definedName>
    <definedName name="_xlnm.Print_Area" localSheetId="179">'53-Utility1'!$A$1:$J$54</definedName>
    <definedName name="_xlnm.Print_Area" localSheetId="204">'53-Utility2'!$A$1:$J$54</definedName>
    <definedName name="_xlnm.Print_Area" localSheetId="229">'53-Utility3'!$A$1:$J$54</definedName>
    <definedName name="_xlnm.Print_Area" localSheetId="254">'53-Utility4'!$A$1:$J$54</definedName>
    <definedName name="_xlnm.Print_Area" localSheetId="279">'53-Utility5'!$A$1:$J$54</definedName>
    <definedName name="_xlnm.Print_Area" localSheetId="304">'53-Utility6'!$A$1:$J$54</definedName>
    <definedName name="_xlnm.Print_Area" localSheetId="180">'54-Utility1'!$A$1:$J$52</definedName>
    <definedName name="_xlnm.Print_Area" localSheetId="205">'54-Utility2'!$A$1:$J$52</definedName>
    <definedName name="_xlnm.Print_Area" localSheetId="230">'54-Utility3'!$A$1:$J$52</definedName>
    <definedName name="_xlnm.Print_Area" localSheetId="255">'54-Utility4'!$A$1:$J$52</definedName>
    <definedName name="_xlnm.Print_Area" localSheetId="280">'54-Utility5'!$A$1:$J$52</definedName>
    <definedName name="_xlnm.Print_Area" localSheetId="305">'54-Utility6'!$A$1:$J$52</definedName>
    <definedName name="_xlnm.Print_Area" localSheetId="13">'5-Trial Bal-Grants'!$A$1:$H$48</definedName>
    <definedName name="_xlnm.Print_Area" localSheetId="15">'6.1-Trial Bal-Trust Fnds'!$A$1:$H$48</definedName>
    <definedName name="_xlnm.Print_Area" localSheetId="16">'6.2-Trial Bal-Trust Fnds'!$A$1:$H$48</definedName>
    <definedName name="_xlnm.Print_Area" localSheetId="17">'6.3-Trial Bal-Trust Fnds'!$A$1:$H$48</definedName>
    <definedName name="_xlnm.Print_Area" localSheetId="18">'6.4-Trial Bal-Trust Fnds'!$A$1:$H$48</definedName>
    <definedName name="_xlnm.Print_Area" localSheetId="19">'6.TOTAL-Trial Bal-Trust Fnds'!$A$1:$H$48</definedName>
    <definedName name="_xlnm.Print_Area" localSheetId="1">'69 - Instructions'!$A$1:$M$87</definedName>
    <definedName name="_xlnm.Print_Area" localSheetId="21">'6b.1-Trust Fund Reserves'!$A$1:$M$50</definedName>
    <definedName name="_xlnm.Print_Area" localSheetId="22">'6b.2-Trust Fund Reserves'!$A$1:$M$50</definedName>
    <definedName name="_xlnm.Print_Area" localSheetId="23">'6b.3-Trust Fund Reserves'!$A$1:$M$50</definedName>
    <definedName name="_xlnm.Print_Area" localSheetId="24">'6b-Total Trust Fund Reserves'!$A$1:$M$50</definedName>
    <definedName name="_xlnm.Print_Area" localSheetId="20">'6b-Trust Fund Reserves'!$A$1:$M$50</definedName>
    <definedName name="_xlnm.Print_Area" localSheetId="14">'6-Trial Bal-Trust Fnds'!$A$1:$H$47</definedName>
    <definedName name="_xlnm.Print_Area" localSheetId="25">'7-Trust Asm Cash &amp; Investments'!$A$1:$L$27</definedName>
    <definedName name="_xlnm.Print_Area" localSheetId="27">'8.1-Trial Bal-Gen Cap Fund'!$A$1:$H$48</definedName>
    <definedName name="_xlnm.Print_Area" localSheetId="26">'8-Trial Bal-Gen Cap Fund'!$A$1:$H$48</definedName>
    <definedName name="_xlnm.Print_Area" localSheetId="33">'9a TOTAL-Cash Reconciliation'!$A$1:$F$49</definedName>
    <definedName name="_xlnm.Print_Area" localSheetId="30">'9a.1-Cash Reconciliation'!$A$1:$F$49</definedName>
    <definedName name="_xlnm.Print_Area" localSheetId="31">'9a.2-Cash Reconciliation'!$A$1:$F$49</definedName>
    <definedName name="_xlnm.Print_Area" localSheetId="32">'9a.3-Cash Reconciliation'!$A$1:$F$49</definedName>
    <definedName name="_xlnm.Print_Area" localSheetId="29">'9a-Cash Reconciliation'!$A$1:$F$49</definedName>
    <definedName name="_xlnm.Print_Area" localSheetId="28">'9-Cash Reconciliation'!$A$1:$I$52</definedName>
    <definedName name="_xlnm.Print_Area" localSheetId="0">Instructions!$A$1:$D$27</definedName>
    <definedName name="_xlnm.Print_Area" localSheetId="2">'KEY INPUTS'!$C$1:$E$61</definedName>
    <definedName name="SheetNames">REPLACE(GET.WORKBOOK(1),1,FIND("]",GET.WORKBOOK(1)),"")</definedName>
    <definedName name="Utility_Count">'KEY INPUTS'!$E$52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9" i="17" l="1"/>
  <c r="F9" i="17"/>
  <c r="G13" i="12"/>
  <c r="H13" i="12"/>
  <c r="G18" i="12"/>
  <c r="G6" i="12"/>
  <c r="I10" i="24"/>
  <c r="I14" i="27"/>
  <c r="I16" i="22"/>
  <c r="K22" i="45"/>
  <c r="K21" i="45"/>
  <c r="K20" i="45"/>
  <c r="K19" i="45"/>
  <c r="K18" i="45"/>
  <c r="K17" i="45"/>
  <c r="K16" i="45"/>
  <c r="K15" i="45"/>
  <c r="K14" i="45"/>
  <c r="K13" i="45"/>
  <c r="K11" i="45"/>
  <c r="K10" i="45"/>
  <c r="K12" i="45"/>
  <c r="K9" i="45"/>
  <c r="I36" i="107"/>
  <c r="K19" i="117"/>
  <c r="K12" i="117"/>
  <c r="K18" i="117"/>
  <c r="K17" i="117"/>
  <c r="K16" i="117"/>
  <c r="K15" i="117"/>
  <c r="K14" i="117"/>
  <c r="K13" i="117"/>
  <c r="K11" i="117"/>
  <c r="K10" i="117"/>
  <c r="K9" i="117"/>
  <c r="H10" i="24" l="1"/>
  <c r="F37" i="54" l="1"/>
  <c r="V2" i="24"/>
  <c r="B45" i="282" l="1"/>
  <c r="B37" i="282"/>
  <c r="B36" i="282"/>
  <c r="B9" i="282"/>
  <c r="B45" i="297"/>
  <c r="B37" i="297"/>
  <c r="B36" i="297"/>
  <c r="B9" i="297"/>
  <c r="B45" i="298"/>
  <c r="B37" i="298"/>
  <c r="B36" i="298"/>
  <c r="B9" i="298"/>
  <c r="B45" i="299"/>
  <c r="B37" i="299"/>
  <c r="B36" i="299"/>
  <c r="B9" i="299"/>
  <c r="B16" i="317"/>
  <c r="B16" i="277"/>
  <c r="B16" i="315"/>
  <c r="B16" i="266"/>
  <c r="B16" i="313"/>
  <c r="B16" i="254"/>
  <c r="B16" i="311"/>
  <c r="B16" i="242"/>
  <c r="B16" i="230"/>
  <c r="B16" i="307"/>
  <c r="B4" i="317"/>
  <c r="B4" i="277"/>
  <c r="B4" i="315"/>
  <c r="B4" i="266"/>
  <c r="B4" i="313"/>
  <c r="B4" i="311"/>
  <c r="B4" i="254"/>
  <c r="B4" i="242"/>
  <c r="B4" i="307"/>
  <c r="B4" i="230"/>
  <c r="B16" i="113"/>
  <c r="B4" i="113"/>
  <c r="B2" i="117"/>
  <c r="B2" i="116"/>
  <c r="B16" i="306"/>
  <c r="B4" i="306"/>
  <c r="B16" i="112"/>
  <c r="G22" i="113"/>
  <c r="B4" i="96"/>
  <c r="B17" i="207"/>
  <c r="B17" i="206"/>
  <c r="B4" i="207"/>
  <c r="B4" i="206"/>
  <c r="B17" i="96"/>
  <c r="F30" i="2"/>
  <c r="F29" i="2"/>
  <c r="B4" i="112"/>
  <c r="C33" i="48"/>
  <c r="F28" i="2"/>
  <c r="F26" i="2"/>
  <c r="H61" i="56" l="1"/>
  <c r="A2" i="380" l="1"/>
  <c r="A3" i="380" s="1"/>
  <c r="B1" i="380"/>
  <c r="A4" i="380" l="1"/>
  <c r="F47" i="2"/>
  <c r="F45" i="2"/>
  <c r="F44" i="2"/>
  <c r="D44" i="2"/>
  <c r="B10" i="57" s="1"/>
  <c r="D43" i="2"/>
  <c r="B9" i="57" s="1"/>
  <c r="F42" i="2"/>
  <c r="B3" i="380"/>
  <c r="B2" i="380"/>
  <c r="A5" i="380" l="1"/>
  <c r="B2" i="373"/>
  <c r="B2" i="372"/>
  <c r="B2" i="371"/>
  <c r="B2" i="370"/>
  <c r="B2" i="368"/>
  <c r="B4" i="380"/>
  <c r="A6" i="380" l="1"/>
  <c r="H44" i="9"/>
  <c r="H30" i="9"/>
  <c r="H20" i="9"/>
  <c r="B5" i="380"/>
  <c r="A7" i="380" l="1"/>
  <c r="H21" i="24"/>
  <c r="B6" i="380"/>
  <c r="A8" i="380" l="1"/>
  <c r="B7" i="380"/>
  <c r="A9" i="380" l="1"/>
  <c r="K24" i="379"/>
  <c r="J24" i="379"/>
  <c r="I24" i="379"/>
  <c r="H24" i="379"/>
  <c r="G24" i="379"/>
  <c r="L23" i="379"/>
  <c r="L22" i="379"/>
  <c r="L21" i="379"/>
  <c r="L20" i="379"/>
  <c r="L19" i="379"/>
  <c r="L18" i="379"/>
  <c r="L17" i="379"/>
  <c r="L16" i="379"/>
  <c r="L15" i="379"/>
  <c r="L14" i="379"/>
  <c r="L13" i="379"/>
  <c r="L12" i="379"/>
  <c r="L11" i="379"/>
  <c r="L10" i="379"/>
  <c r="K24" i="378"/>
  <c r="J24" i="378"/>
  <c r="I24" i="378"/>
  <c r="H24" i="378"/>
  <c r="G24" i="378"/>
  <c r="L23" i="378"/>
  <c r="L22" i="378"/>
  <c r="L21" i="378"/>
  <c r="L20" i="378"/>
  <c r="L19" i="378"/>
  <c r="L18" i="378"/>
  <c r="L17" i="378"/>
  <c r="L16" i="378"/>
  <c r="L15" i="378"/>
  <c r="L14" i="378"/>
  <c r="L13" i="378"/>
  <c r="L12" i="378"/>
  <c r="L11" i="378"/>
  <c r="L10" i="378"/>
  <c r="K24" i="377"/>
  <c r="J24" i="377"/>
  <c r="I24" i="377"/>
  <c r="H24" i="377"/>
  <c r="G24" i="377"/>
  <c r="L23" i="377"/>
  <c r="L22" i="377"/>
  <c r="L21" i="377"/>
  <c r="L20" i="377"/>
  <c r="L19" i="377"/>
  <c r="L18" i="377"/>
  <c r="L17" i="377"/>
  <c r="L16" i="377"/>
  <c r="L15" i="377"/>
  <c r="L14" i="377"/>
  <c r="L13" i="377"/>
  <c r="L12" i="377"/>
  <c r="L11" i="377"/>
  <c r="L10" i="377"/>
  <c r="K24" i="376"/>
  <c r="J24" i="376"/>
  <c r="I24" i="376"/>
  <c r="H24" i="376"/>
  <c r="G24" i="376"/>
  <c r="L23" i="376"/>
  <c r="L22" i="376"/>
  <c r="L21" i="376"/>
  <c r="L20" i="376"/>
  <c r="L19" i="376"/>
  <c r="L18" i="376"/>
  <c r="L17" i="376"/>
  <c r="L16" i="376"/>
  <c r="L15" i="376"/>
  <c r="L14" i="376"/>
  <c r="L13" i="376"/>
  <c r="L12" i="376"/>
  <c r="L11" i="376"/>
  <c r="L10" i="376"/>
  <c r="K24" i="375"/>
  <c r="J24" i="375"/>
  <c r="I24" i="375"/>
  <c r="H24" i="375"/>
  <c r="G24" i="375"/>
  <c r="L23" i="375"/>
  <c r="L22" i="375"/>
  <c r="L21" i="375"/>
  <c r="L20" i="375"/>
  <c r="L19" i="375"/>
  <c r="L18" i="375"/>
  <c r="L17" i="375"/>
  <c r="L16" i="375"/>
  <c r="L15" i="375"/>
  <c r="L14" i="375"/>
  <c r="L13" i="375"/>
  <c r="L12" i="375"/>
  <c r="L11" i="375"/>
  <c r="L10" i="375"/>
  <c r="B8" i="380"/>
  <c r="A10" i="380" l="1"/>
  <c r="L24" i="379"/>
  <c r="L35" i="379" s="1"/>
  <c r="L24" i="377"/>
  <c r="L35" i="377" s="1"/>
  <c r="L24" i="378"/>
  <c r="L35" i="378" s="1"/>
  <c r="L24" i="376"/>
  <c r="L35" i="376" s="1"/>
  <c r="L24" i="375"/>
  <c r="L35" i="375" s="1"/>
  <c r="K24" i="374"/>
  <c r="J24" i="374"/>
  <c r="I24" i="374"/>
  <c r="H24" i="374"/>
  <c r="G24" i="374"/>
  <c r="L23" i="374"/>
  <c r="L22" i="374"/>
  <c r="L21" i="374"/>
  <c r="L20" i="374"/>
  <c r="L19" i="374"/>
  <c r="L18" i="374"/>
  <c r="L17" i="374"/>
  <c r="L16" i="374"/>
  <c r="L15" i="374"/>
  <c r="L14" i="374"/>
  <c r="L13" i="374"/>
  <c r="L12" i="374"/>
  <c r="L11" i="374"/>
  <c r="L10" i="374"/>
  <c r="H25" i="1"/>
  <c r="L18" i="41"/>
  <c r="L19" i="41"/>
  <c r="L20" i="41"/>
  <c r="J19" i="271"/>
  <c r="J18" i="271"/>
  <c r="J19" i="260"/>
  <c r="J18" i="260"/>
  <c r="J19" i="248"/>
  <c r="J18" i="248"/>
  <c r="J19" i="236"/>
  <c r="J18" i="236"/>
  <c r="J19" i="224"/>
  <c r="J18" i="224"/>
  <c r="L22" i="40"/>
  <c r="L19" i="40"/>
  <c r="L20" i="40"/>
  <c r="L21" i="40"/>
  <c r="L23" i="40"/>
  <c r="B9" i="380"/>
  <c r="A11" i="380" l="1"/>
  <c r="L24" i="374"/>
  <c r="L35" i="374" s="1"/>
  <c r="B10" i="380"/>
  <c r="A12" i="380" l="1"/>
  <c r="C28" i="121"/>
  <c r="C19" i="121"/>
  <c r="B11" i="380"/>
  <c r="A13" i="380" l="1"/>
  <c r="B12" i="380"/>
  <c r="A14" i="380" l="1"/>
  <c r="B13" i="380"/>
  <c r="A15" i="380" l="1"/>
  <c r="B2" i="369"/>
  <c r="J18" i="373"/>
  <c r="J18" i="278" s="1"/>
  <c r="G18" i="373"/>
  <c r="G18" i="278" s="1"/>
  <c r="E18" i="373"/>
  <c r="E18" i="278" s="1"/>
  <c r="K10" i="373"/>
  <c r="K9" i="373"/>
  <c r="J18" i="372"/>
  <c r="J18" i="267" s="1"/>
  <c r="G18" i="372"/>
  <c r="G18" i="267" s="1"/>
  <c r="E18" i="372"/>
  <c r="E18" i="267" s="1"/>
  <c r="K10" i="372"/>
  <c r="K9" i="372"/>
  <c r="J18" i="371"/>
  <c r="J18" i="255" s="1"/>
  <c r="G18" i="371"/>
  <c r="G18" i="255" s="1"/>
  <c r="E18" i="371"/>
  <c r="E18" i="255" s="1"/>
  <c r="K10" i="371"/>
  <c r="K9" i="371"/>
  <c r="J18" i="370"/>
  <c r="J18" i="243" s="1"/>
  <c r="G18" i="370"/>
  <c r="G18" i="243" s="1"/>
  <c r="E18" i="370"/>
  <c r="E18" i="243" s="1"/>
  <c r="K10" i="370"/>
  <c r="K9" i="370"/>
  <c r="J18" i="369"/>
  <c r="J18" i="231" s="1"/>
  <c r="G18" i="369"/>
  <c r="G18" i="231" s="1"/>
  <c r="E18" i="369"/>
  <c r="E18" i="231" s="1"/>
  <c r="K10" i="369"/>
  <c r="K9" i="369"/>
  <c r="J18" i="368"/>
  <c r="J18" i="114" s="1"/>
  <c r="G18" i="368"/>
  <c r="G18" i="114" s="1"/>
  <c r="E18" i="368"/>
  <c r="E18" i="114" s="1"/>
  <c r="B14" i="380"/>
  <c r="A16" i="380" l="1"/>
  <c r="K18" i="372"/>
  <c r="K18" i="267" s="1"/>
  <c r="K18" i="373"/>
  <c r="K18" i="278" s="1"/>
  <c r="K18" i="371"/>
  <c r="K18" i="255" s="1"/>
  <c r="K18" i="370"/>
  <c r="K18" i="243" s="1"/>
  <c r="K18" i="369"/>
  <c r="K18" i="231" s="1"/>
  <c r="K18" i="368"/>
  <c r="K18" i="114" s="1"/>
  <c r="B15" i="380"/>
  <c r="A17" i="380" l="1"/>
  <c r="D30" i="2"/>
  <c r="K50" i="272"/>
  <c r="K50" i="261"/>
  <c r="K50" i="249"/>
  <c r="K50" i="237"/>
  <c r="K50" i="225"/>
  <c r="K50" i="108"/>
  <c r="B16" i="380"/>
  <c r="I26" i="267" l="1"/>
  <c r="I26" i="231"/>
  <c r="I26" i="278"/>
  <c r="I26" i="243"/>
  <c r="B31" i="112"/>
  <c r="I26" i="255"/>
  <c r="I26" i="114"/>
  <c r="A18" i="380"/>
  <c r="B17" i="380"/>
  <c r="B31" i="253" l="1"/>
  <c r="B31" i="241"/>
  <c r="B31" i="229"/>
  <c r="B31" i="113"/>
  <c r="B31" i="276"/>
  <c r="B31" i="265"/>
  <c r="A19" i="380"/>
  <c r="G40" i="367"/>
  <c r="B18" i="380"/>
  <c r="B31" i="315" l="1"/>
  <c r="B31" i="242"/>
  <c r="B31" i="313"/>
  <c r="B31" i="311"/>
  <c r="B31" i="306"/>
  <c r="B31" i="277"/>
  <c r="B31" i="230"/>
  <c r="B31" i="307" s="1"/>
  <c r="B31" i="266"/>
  <c r="B31" i="317"/>
  <c r="B31" i="254"/>
  <c r="A20" i="380"/>
  <c r="H41" i="367"/>
  <c r="B19" i="380"/>
  <c r="A21" i="380" l="1"/>
  <c r="K9" i="39"/>
  <c r="K8" i="39"/>
  <c r="F55" i="57"/>
  <c r="H56" i="57"/>
  <c r="B20" i="380"/>
  <c r="A22" i="380" l="1"/>
  <c r="L23" i="111"/>
  <c r="J23" i="111"/>
  <c r="H23" i="111"/>
  <c r="L23" i="228"/>
  <c r="J23" i="228"/>
  <c r="H23" i="228"/>
  <c r="L23" i="240"/>
  <c r="J23" i="240"/>
  <c r="H23" i="240"/>
  <c r="L23" i="252"/>
  <c r="J23" i="252"/>
  <c r="H23" i="252"/>
  <c r="L23" i="264"/>
  <c r="J23" i="264"/>
  <c r="H23" i="264"/>
  <c r="L23" i="275"/>
  <c r="J23" i="275"/>
  <c r="H23" i="275"/>
  <c r="B21" i="380"/>
  <c r="A23" i="380" l="1"/>
  <c r="B6" i="344"/>
  <c r="B3" i="110"/>
  <c r="B5" i="111"/>
  <c r="B28" i="119"/>
  <c r="B2" i="114"/>
  <c r="J44" i="27"/>
  <c r="J40" i="27"/>
  <c r="B22" i="380"/>
  <c r="A24" i="380" l="1"/>
  <c r="G32" i="29"/>
  <c r="G16" i="20"/>
  <c r="I30" i="12"/>
  <c r="I29" i="12"/>
  <c r="I28" i="12"/>
  <c r="B23" i="380"/>
  <c r="A25" i="380" l="1"/>
  <c r="H22" i="1"/>
  <c r="I12" i="201"/>
  <c r="I11" i="201"/>
  <c r="I12" i="202"/>
  <c r="I11" i="202"/>
  <c r="I12" i="203"/>
  <c r="I11" i="203"/>
  <c r="I12" i="200"/>
  <c r="I11" i="200"/>
  <c r="H45" i="8"/>
  <c r="N18" i="37"/>
  <c r="B24" i="380"/>
  <c r="A26" i="380" l="1"/>
  <c r="I29" i="31"/>
  <c r="H28" i="31"/>
  <c r="G38" i="21"/>
  <c r="H24" i="1" s="1"/>
  <c r="G17" i="21"/>
  <c r="B25" i="380"/>
  <c r="A27" i="380" l="1"/>
  <c r="L59" i="48"/>
  <c r="H23" i="1"/>
  <c r="H33" i="268"/>
  <c r="H33" i="256"/>
  <c r="H33" i="244"/>
  <c r="H33" i="232"/>
  <c r="H33" i="220"/>
  <c r="H33" i="103"/>
  <c r="I24" i="118"/>
  <c r="I24" i="300"/>
  <c r="I24" i="299"/>
  <c r="I24" i="298"/>
  <c r="I24" i="297"/>
  <c r="I24" i="282"/>
  <c r="B26" i="380"/>
  <c r="A28" i="380" l="1"/>
  <c r="B6" i="268"/>
  <c r="B6" i="256"/>
  <c r="B6" i="244"/>
  <c r="I28" i="265"/>
  <c r="I42" i="283"/>
  <c r="I42" i="304"/>
  <c r="I42" i="303"/>
  <c r="I42" i="302"/>
  <c r="I42" i="301"/>
  <c r="I42" i="119"/>
  <c r="I43" i="119" s="1"/>
  <c r="I41" i="118"/>
  <c r="I41" i="282"/>
  <c r="I41" i="297"/>
  <c r="I41" i="298"/>
  <c r="I41" i="299"/>
  <c r="I41" i="300"/>
  <c r="I22" i="278"/>
  <c r="I22" i="267"/>
  <c r="I22" i="255"/>
  <c r="I22" i="243"/>
  <c r="B27" i="277"/>
  <c r="B27" i="317"/>
  <c r="B27" i="266"/>
  <c r="B27" i="315"/>
  <c r="B27" i="254"/>
  <c r="B27" i="313"/>
  <c r="B27" i="242"/>
  <c r="B27" i="311"/>
  <c r="B27" i="276"/>
  <c r="B27" i="265"/>
  <c r="B27" i="253"/>
  <c r="B27" i="241"/>
  <c r="B16" i="276"/>
  <c r="B16" i="265"/>
  <c r="B16" i="253"/>
  <c r="B16" i="241"/>
  <c r="B4" i="276"/>
  <c r="B4" i="265"/>
  <c r="B4" i="253"/>
  <c r="B4" i="241"/>
  <c r="B33" i="274"/>
  <c r="B33" i="263"/>
  <c r="B33" i="251"/>
  <c r="B33" i="239"/>
  <c r="B3" i="274"/>
  <c r="B3" i="263"/>
  <c r="B3" i="251"/>
  <c r="B3" i="239"/>
  <c r="B3" i="227"/>
  <c r="B33" i="273"/>
  <c r="B33" i="262"/>
  <c r="B33" i="250"/>
  <c r="B33" i="238"/>
  <c r="B17" i="273"/>
  <c r="B17" i="262"/>
  <c r="B17" i="250"/>
  <c r="B17" i="238"/>
  <c r="B5" i="272"/>
  <c r="B5" i="261"/>
  <c r="B5" i="249"/>
  <c r="B5" i="237"/>
  <c r="B27" i="380"/>
  <c r="A29" i="380" l="1"/>
  <c r="B28" i="283"/>
  <c r="B3" i="282"/>
  <c r="B30" i="282"/>
  <c r="B30" i="297"/>
  <c r="B3" i="297"/>
  <c r="B28" i="304"/>
  <c r="B3" i="283"/>
  <c r="B3" i="304"/>
  <c r="B3" i="303"/>
  <c r="B3" i="302"/>
  <c r="B28" i="302"/>
  <c r="B28" i="303"/>
  <c r="B30" i="298"/>
  <c r="B3" i="298"/>
  <c r="B3" i="299"/>
  <c r="B30" i="299"/>
  <c r="B2" i="343"/>
  <c r="B2" i="342"/>
  <c r="B2" i="341"/>
  <c r="B2" i="340"/>
  <c r="B2" i="281"/>
  <c r="B2" i="339"/>
  <c r="B2" i="338"/>
  <c r="B2" i="337"/>
  <c r="B2" i="336"/>
  <c r="B2" i="296"/>
  <c r="B2" i="335"/>
  <c r="B2" i="333"/>
  <c r="B2" i="332"/>
  <c r="B2" i="331"/>
  <c r="B2" i="295"/>
  <c r="B2" i="330"/>
  <c r="B2" i="329"/>
  <c r="B2" i="328"/>
  <c r="B2" i="327"/>
  <c r="B2" i="294"/>
  <c r="B2" i="280"/>
  <c r="B2" i="289"/>
  <c r="B2" i="290"/>
  <c r="B2" i="291"/>
  <c r="B2" i="292"/>
  <c r="B2" i="279"/>
  <c r="B2" i="286"/>
  <c r="B2" i="285"/>
  <c r="B2" i="284"/>
  <c r="B2" i="243"/>
  <c r="B2" i="255"/>
  <c r="B2" i="267"/>
  <c r="B2" i="278"/>
  <c r="B5" i="275"/>
  <c r="B5" i="264"/>
  <c r="B5" i="252"/>
  <c r="B5" i="240"/>
  <c r="B2" i="270"/>
  <c r="B2" i="259"/>
  <c r="B2" i="247"/>
  <c r="B2" i="235"/>
  <c r="B6" i="232"/>
  <c r="B28" i="301"/>
  <c r="B3" i="301"/>
  <c r="B30" i="300"/>
  <c r="B3" i="300"/>
  <c r="B2" i="326"/>
  <c r="B2" i="325"/>
  <c r="B2" i="324"/>
  <c r="B2" i="323"/>
  <c r="B28" i="380"/>
  <c r="A30" i="380" l="1"/>
  <c r="B2" i="293"/>
  <c r="B2" i="287"/>
  <c r="I22" i="231"/>
  <c r="B2" i="231"/>
  <c r="B27" i="229"/>
  <c r="B16" i="229"/>
  <c r="B4" i="229"/>
  <c r="H40" i="364"/>
  <c r="G43" i="365"/>
  <c r="B6" i="364"/>
  <c r="B6" i="363"/>
  <c r="H40" i="362"/>
  <c r="B6" i="362"/>
  <c r="B6" i="361"/>
  <c r="B6" i="358"/>
  <c r="B6" i="359"/>
  <c r="B6" i="360"/>
  <c r="H40" i="360"/>
  <c r="H40" i="358"/>
  <c r="B6" i="357"/>
  <c r="B6" i="356"/>
  <c r="B6" i="355"/>
  <c r="H40" i="356"/>
  <c r="C26" i="364"/>
  <c r="G44" i="363"/>
  <c r="G12" i="364" s="1"/>
  <c r="G44" i="364" s="1"/>
  <c r="H16" i="363"/>
  <c r="H44" i="363" s="1"/>
  <c r="H12" i="364" s="1"/>
  <c r="C26" i="362"/>
  <c r="G44" i="361"/>
  <c r="G12" i="362" s="1"/>
  <c r="G44" i="362" s="1"/>
  <c r="H16" i="361"/>
  <c r="H44" i="361" s="1"/>
  <c r="H12" i="362" s="1"/>
  <c r="C26" i="360"/>
  <c r="G44" i="359"/>
  <c r="G12" i="360" s="1"/>
  <c r="G44" i="360" s="1"/>
  <c r="H16" i="359"/>
  <c r="H44" i="359" s="1"/>
  <c r="H12" i="360" s="1"/>
  <c r="C26" i="358"/>
  <c r="G44" i="357"/>
  <c r="G12" i="358" s="1"/>
  <c r="G44" i="358" s="1"/>
  <c r="H16" i="357"/>
  <c r="H44" i="357" s="1"/>
  <c r="H12" i="358" s="1"/>
  <c r="C26" i="356"/>
  <c r="G44" i="355"/>
  <c r="G12" i="356" s="1"/>
  <c r="G44" i="356" s="1"/>
  <c r="H16" i="355"/>
  <c r="H44" i="355" s="1"/>
  <c r="H12" i="356" s="1"/>
  <c r="B29" i="380"/>
  <c r="A31" i="380" l="1"/>
  <c r="G11" i="113"/>
  <c r="C26" i="344"/>
  <c r="B30" i="380"/>
  <c r="A32" i="380" l="1"/>
  <c r="H40" i="344"/>
  <c r="H42" i="344"/>
  <c r="B27" i="230"/>
  <c r="B27" i="307"/>
  <c r="B27" i="112"/>
  <c r="B5" i="228"/>
  <c r="B33" i="227"/>
  <c r="B33" i="110"/>
  <c r="B33" i="226"/>
  <c r="B33" i="109"/>
  <c r="B17" i="226"/>
  <c r="B17" i="109"/>
  <c r="B5" i="225"/>
  <c r="B5" i="108"/>
  <c r="B2" i="223"/>
  <c r="B2" i="106"/>
  <c r="B6" i="103"/>
  <c r="B6" i="220"/>
  <c r="B6" i="104"/>
  <c r="B3" i="119"/>
  <c r="B30" i="118"/>
  <c r="B3" i="118"/>
  <c r="B2" i="322"/>
  <c r="B2" i="321"/>
  <c r="B2" i="320"/>
  <c r="B2" i="319"/>
  <c r="B2" i="115"/>
  <c r="I22" i="114"/>
  <c r="B27" i="306"/>
  <c r="B27" i="113"/>
  <c r="B31" i="380"/>
  <c r="A33" i="380" l="1"/>
  <c r="L35" i="273"/>
  <c r="L7" i="273"/>
  <c r="V10" i="273"/>
  <c r="J39" i="272"/>
  <c r="J25" i="272"/>
  <c r="J24" i="272"/>
  <c r="L35" i="262"/>
  <c r="L7" i="262"/>
  <c r="V10" i="262"/>
  <c r="J39" i="261"/>
  <c r="J25" i="261"/>
  <c r="J24" i="261"/>
  <c r="L35" i="250"/>
  <c r="L7" i="250"/>
  <c r="V10" i="250"/>
  <c r="J39" i="249"/>
  <c r="J25" i="249"/>
  <c r="J24" i="249"/>
  <c r="L7" i="238"/>
  <c r="L35" i="238"/>
  <c r="V10" i="238"/>
  <c r="J39" i="237"/>
  <c r="J25" i="237"/>
  <c r="J24" i="237"/>
  <c r="L35" i="226"/>
  <c r="L7" i="226"/>
  <c r="V10" i="226"/>
  <c r="J39" i="225"/>
  <c r="J25" i="225"/>
  <c r="J24" i="225"/>
  <c r="K26" i="199"/>
  <c r="K25" i="199"/>
  <c r="K24" i="199"/>
  <c r="K23" i="199"/>
  <c r="K22" i="199"/>
  <c r="K21" i="199"/>
  <c r="K20" i="199"/>
  <c r="K19" i="199"/>
  <c r="K18" i="199"/>
  <c r="K17" i="199"/>
  <c r="K16" i="199"/>
  <c r="K15" i="199"/>
  <c r="K14" i="199"/>
  <c r="K13" i="199"/>
  <c r="K12" i="199"/>
  <c r="K11" i="199"/>
  <c r="K10" i="199"/>
  <c r="K9" i="199"/>
  <c r="K26" i="198"/>
  <c r="K25" i="198"/>
  <c r="K24" i="198"/>
  <c r="K23" i="198"/>
  <c r="K22" i="198"/>
  <c r="K21" i="198"/>
  <c r="K20" i="198"/>
  <c r="K19" i="198"/>
  <c r="K18" i="198"/>
  <c r="K17" i="198"/>
  <c r="K16" i="198"/>
  <c r="K15" i="198"/>
  <c r="K14" i="198"/>
  <c r="K13" i="198"/>
  <c r="K12" i="198"/>
  <c r="K11" i="198"/>
  <c r="K10" i="198"/>
  <c r="K9" i="198"/>
  <c r="K26" i="197"/>
  <c r="K25" i="197"/>
  <c r="K24" i="197"/>
  <c r="K23" i="197"/>
  <c r="K22" i="197"/>
  <c r="K21" i="197"/>
  <c r="K20" i="197"/>
  <c r="K19" i="197"/>
  <c r="K18" i="197"/>
  <c r="K17" i="197"/>
  <c r="K16" i="197"/>
  <c r="K15" i="197"/>
  <c r="K14" i="197"/>
  <c r="K13" i="197"/>
  <c r="K12" i="197"/>
  <c r="K11" i="197"/>
  <c r="K10" i="197"/>
  <c r="K9" i="197"/>
  <c r="L26" i="196"/>
  <c r="L25" i="196"/>
  <c r="L24" i="196"/>
  <c r="L23" i="196"/>
  <c r="L22" i="196"/>
  <c r="L21" i="196"/>
  <c r="L20" i="196"/>
  <c r="L19" i="196"/>
  <c r="L18" i="196"/>
  <c r="L17" i="196"/>
  <c r="L16" i="196"/>
  <c r="L15" i="196"/>
  <c r="L14" i="196"/>
  <c r="L13" i="196"/>
  <c r="L12" i="196"/>
  <c r="L11" i="196"/>
  <c r="L10" i="196"/>
  <c r="L9" i="196"/>
  <c r="L26" i="195"/>
  <c r="L25" i="195"/>
  <c r="L24" i="195"/>
  <c r="L23" i="195"/>
  <c r="L22" i="195"/>
  <c r="L21" i="195"/>
  <c r="L20" i="195"/>
  <c r="L19" i="195"/>
  <c r="L18" i="195"/>
  <c r="L17" i="195"/>
  <c r="L16" i="195"/>
  <c r="L15" i="195"/>
  <c r="L14" i="195"/>
  <c r="L13" i="195"/>
  <c r="L12" i="195"/>
  <c r="L11" i="195"/>
  <c r="L10" i="195"/>
  <c r="L9" i="195"/>
  <c r="L26" i="194"/>
  <c r="L25" i="194"/>
  <c r="L24" i="194"/>
  <c r="L23" i="194"/>
  <c r="L22" i="194"/>
  <c r="L21" i="194"/>
  <c r="L20" i="194"/>
  <c r="L19" i="194"/>
  <c r="L18" i="194"/>
  <c r="L17" i="194"/>
  <c r="L16" i="194"/>
  <c r="L15" i="194"/>
  <c r="L14" i="194"/>
  <c r="L13" i="194"/>
  <c r="L12" i="194"/>
  <c r="L11" i="194"/>
  <c r="L10" i="194"/>
  <c r="L9" i="194"/>
  <c r="L26" i="193"/>
  <c r="L25" i="193"/>
  <c r="L24" i="193"/>
  <c r="L23" i="193"/>
  <c r="L22" i="193"/>
  <c r="L21" i="193"/>
  <c r="L20" i="193"/>
  <c r="L19" i="193"/>
  <c r="L18" i="193"/>
  <c r="L17" i="193"/>
  <c r="L16" i="193"/>
  <c r="L15" i="193"/>
  <c r="L14" i="193"/>
  <c r="L13" i="193"/>
  <c r="L12" i="193"/>
  <c r="L11" i="193"/>
  <c r="L10" i="193"/>
  <c r="L9" i="193"/>
  <c r="L26" i="192"/>
  <c r="L25" i="192"/>
  <c r="L24" i="192"/>
  <c r="L23" i="192"/>
  <c r="L22" i="192"/>
  <c r="L21" i="192"/>
  <c r="L20" i="192"/>
  <c r="L19" i="192"/>
  <c r="L18" i="192"/>
  <c r="L17" i="192"/>
  <c r="L16" i="192"/>
  <c r="L15" i="192"/>
  <c r="L14" i="192"/>
  <c r="L13" i="192"/>
  <c r="L12" i="192"/>
  <c r="L11" i="192"/>
  <c r="L10" i="192"/>
  <c r="L9" i="192"/>
  <c r="L26" i="191"/>
  <c r="L25" i="191"/>
  <c r="L24" i="191"/>
  <c r="L23" i="191"/>
  <c r="L22" i="191"/>
  <c r="L21" i="191"/>
  <c r="L20" i="191"/>
  <c r="L19" i="191"/>
  <c r="L18" i="191"/>
  <c r="L17" i="191"/>
  <c r="L16" i="191"/>
  <c r="L15" i="191"/>
  <c r="L14" i="191"/>
  <c r="L13" i="191"/>
  <c r="L12" i="191"/>
  <c r="L11" i="191"/>
  <c r="L10" i="191"/>
  <c r="L9" i="191"/>
  <c r="L26" i="190"/>
  <c r="L25" i="190"/>
  <c r="L24" i="190"/>
  <c r="L23" i="190"/>
  <c r="L22" i="190"/>
  <c r="L21" i="190"/>
  <c r="L20" i="190"/>
  <c r="L19" i="190"/>
  <c r="L18" i="190"/>
  <c r="L17" i="190"/>
  <c r="L16" i="190"/>
  <c r="L15" i="190"/>
  <c r="L14" i="190"/>
  <c r="L13" i="190"/>
  <c r="L12" i="190"/>
  <c r="L11" i="190"/>
  <c r="L10" i="190"/>
  <c r="L9" i="190"/>
  <c r="L26" i="189"/>
  <c r="L25" i="189"/>
  <c r="L24" i="189"/>
  <c r="L23" i="189"/>
  <c r="L22" i="189"/>
  <c r="L21" i="189"/>
  <c r="L20" i="189"/>
  <c r="L19" i="189"/>
  <c r="L18" i="189"/>
  <c r="L17" i="189"/>
  <c r="L16" i="189"/>
  <c r="L15" i="189"/>
  <c r="L14" i="189"/>
  <c r="L13" i="189"/>
  <c r="L12" i="189"/>
  <c r="L11" i="189"/>
  <c r="L10" i="189"/>
  <c r="L9" i="189"/>
  <c r="L26" i="188"/>
  <c r="L25" i="188"/>
  <c r="L24" i="188"/>
  <c r="L23" i="188"/>
  <c r="L22" i="188"/>
  <c r="L21" i="188"/>
  <c r="L20" i="188"/>
  <c r="L19" i="188"/>
  <c r="L18" i="188"/>
  <c r="L17" i="188"/>
  <c r="L16" i="188"/>
  <c r="L15" i="188"/>
  <c r="L14" i="188"/>
  <c r="L13" i="188"/>
  <c r="L12" i="188"/>
  <c r="L11" i="188"/>
  <c r="L10" i="188"/>
  <c r="L9" i="188"/>
  <c r="L26" i="187"/>
  <c r="L25" i="187"/>
  <c r="L24" i="187"/>
  <c r="L23" i="187"/>
  <c r="L22" i="187"/>
  <c r="L21" i="187"/>
  <c r="L20" i="187"/>
  <c r="L19" i="187"/>
  <c r="L18" i="187"/>
  <c r="L17" i="187"/>
  <c r="L16" i="187"/>
  <c r="L15" i="187"/>
  <c r="L14" i="187"/>
  <c r="L13" i="187"/>
  <c r="L12" i="187"/>
  <c r="L11" i="187"/>
  <c r="L10" i="187"/>
  <c r="L9" i="187"/>
  <c r="L26" i="186"/>
  <c r="L25" i="186"/>
  <c r="L24" i="186"/>
  <c r="L23" i="186"/>
  <c r="L22" i="186"/>
  <c r="L21" i="186"/>
  <c r="L20" i="186"/>
  <c r="L19" i="186"/>
  <c r="L18" i="186"/>
  <c r="L17" i="186"/>
  <c r="L16" i="186"/>
  <c r="L15" i="186"/>
  <c r="L14" i="186"/>
  <c r="L13" i="186"/>
  <c r="L12" i="186"/>
  <c r="L11" i="186"/>
  <c r="L10" i="186"/>
  <c r="L9" i="186"/>
  <c r="L26" i="185"/>
  <c r="L25" i="185"/>
  <c r="L24" i="185"/>
  <c r="L23" i="185"/>
  <c r="L22" i="185"/>
  <c r="L21" i="185"/>
  <c r="L20" i="185"/>
  <c r="L19" i="185"/>
  <c r="L18" i="185"/>
  <c r="L17" i="185"/>
  <c r="L16" i="185"/>
  <c r="L15" i="185"/>
  <c r="L14" i="185"/>
  <c r="L13" i="185"/>
  <c r="L12" i="185"/>
  <c r="L11" i="185"/>
  <c r="L10" i="185"/>
  <c r="L9" i="185"/>
  <c r="L26" i="184"/>
  <c r="L25" i="184"/>
  <c r="L24" i="184"/>
  <c r="L23" i="184"/>
  <c r="L22" i="184"/>
  <c r="L21" i="184"/>
  <c r="L20" i="184"/>
  <c r="L19" i="184"/>
  <c r="L18" i="184"/>
  <c r="L17" i="184"/>
  <c r="L16" i="184"/>
  <c r="L15" i="184"/>
  <c r="L14" i="184"/>
  <c r="L13" i="184"/>
  <c r="L12" i="184"/>
  <c r="L11" i="184"/>
  <c r="L10" i="184"/>
  <c r="L9" i="184"/>
  <c r="L26" i="183"/>
  <c r="L25" i="183"/>
  <c r="L24" i="183"/>
  <c r="L23" i="183"/>
  <c r="L22" i="183"/>
  <c r="L21" i="183"/>
  <c r="L20" i="183"/>
  <c r="L19" i="183"/>
  <c r="L18" i="183"/>
  <c r="L17" i="183"/>
  <c r="L16" i="183"/>
  <c r="L15" i="183"/>
  <c r="L14" i="183"/>
  <c r="L13" i="183"/>
  <c r="L12" i="183"/>
  <c r="L11" i="183"/>
  <c r="L10" i="183"/>
  <c r="L9" i="183"/>
  <c r="L26" i="182"/>
  <c r="L25" i="182"/>
  <c r="L24" i="182"/>
  <c r="L23" i="182"/>
  <c r="L22" i="182"/>
  <c r="L21" i="182"/>
  <c r="L20" i="182"/>
  <c r="L19" i="182"/>
  <c r="L18" i="182"/>
  <c r="L17" i="182"/>
  <c r="L16" i="182"/>
  <c r="L15" i="182"/>
  <c r="L14" i="182"/>
  <c r="L13" i="182"/>
  <c r="L12" i="182"/>
  <c r="L11" i="182"/>
  <c r="L10" i="182"/>
  <c r="L9" i="182"/>
  <c r="L26" i="181"/>
  <c r="L25" i="181"/>
  <c r="L24" i="181"/>
  <c r="L23" i="181"/>
  <c r="L22" i="181"/>
  <c r="L21" i="181"/>
  <c r="L20" i="181"/>
  <c r="L19" i="181"/>
  <c r="L18" i="181"/>
  <c r="L17" i="181"/>
  <c r="L16" i="181"/>
  <c r="L15" i="181"/>
  <c r="L14" i="181"/>
  <c r="L13" i="181"/>
  <c r="L12" i="181"/>
  <c r="L11" i="181"/>
  <c r="L10" i="181"/>
  <c r="L9" i="181"/>
  <c r="L26" i="180"/>
  <c r="L25" i="180"/>
  <c r="L24" i="180"/>
  <c r="L23" i="180"/>
  <c r="L22" i="180"/>
  <c r="L21" i="180"/>
  <c r="L20" i="180"/>
  <c r="L19" i="180"/>
  <c r="L18" i="180"/>
  <c r="L17" i="180"/>
  <c r="L16" i="180"/>
  <c r="L15" i="180"/>
  <c r="L14" i="180"/>
  <c r="L13" i="180"/>
  <c r="L12" i="180"/>
  <c r="L11" i="180"/>
  <c r="L10" i="180"/>
  <c r="L9" i="180"/>
  <c r="L26" i="179"/>
  <c r="L25" i="179"/>
  <c r="L24" i="179"/>
  <c r="L23" i="179"/>
  <c r="L22" i="179"/>
  <c r="L21" i="179"/>
  <c r="L20" i="179"/>
  <c r="L19" i="179"/>
  <c r="L18" i="179"/>
  <c r="L17" i="179"/>
  <c r="L16" i="179"/>
  <c r="L15" i="179"/>
  <c r="L14" i="179"/>
  <c r="L13" i="179"/>
  <c r="L12" i="179"/>
  <c r="L11" i="179"/>
  <c r="L10" i="179"/>
  <c r="L9" i="179"/>
  <c r="L26" i="178"/>
  <c r="L25" i="178"/>
  <c r="L24" i="178"/>
  <c r="L23" i="178"/>
  <c r="L22" i="178"/>
  <c r="L21" i="178"/>
  <c r="L20" i="178"/>
  <c r="L19" i="178"/>
  <c r="L18" i="178"/>
  <c r="L17" i="178"/>
  <c r="L16" i="178"/>
  <c r="L15" i="178"/>
  <c r="L14" i="178"/>
  <c r="L13" i="178"/>
  <c r="L12" i="178"/>
  <c r="L11" i="178"/>
  <c r="L10" i="178"/>
  <c r="L9" i="178"/>
  <c r="L26" i="177"/>
  <c r="L25" i="177"/>
  <c r="L24" i="177"/>
  <c r="L23" i="177"/>
  <c r="L22" i="177"/>
  <c r="L21" i="177"/>
  <c r="L20" i="177"/>
  <c r="L19" i="177"/>
  <c r="L18" i="177"/>
  <c r="L17" i="177"/>
  <c r="L16" i="177"/>
  <c r="L15" i="177"/>
  <c r="L14" i="177"/>
  <c r="L13" i="177"/>
  <c r="L12" i="177"/>
  <c r="L11" i="177"/>
  <c r="L10" i="177"/>
  <c r="L9" i="177"/>
  <c r="L26" i="176"/>
  <c r="L25" i="176"/>
  <c r="L24" i="176"/>
  <c r="L23" i="176"/>
  <c r="L22" i="176"/>
  <c r="L21" i="176"/>
  <c r="L20" i="176"/>
  <c r="L19" i="176"/>
  <c r="L18" i="176"/>
  <c r="L17" i="176"/>
  <c r="L16" i="176"/>
  <c r="L15" i="176"/>
  <c r="L14" i="176"/>
  <c r="L13" i="176"/>
  <c r="L12" i="176"/>
  <c r="L11" i="176"/>
  <c r="L10" i="176"/>
  <c r="L9" i="176"/>
  <c r="L26" i="175"/>
  <c r="L25" i="175"/>
  <c r="L24" i="175"/>
  <c r="L23" i="175"/>
  <c r="L22" i="175"/>
  <c r="L21" i="175"/>
  <c r="L20" i="175"/>
  <c r="L19" i="175"/>
  <c r="L18" i="175"/>
  <c r="L17" i="175"/>
  <c r="L16" i="175"/>
  <c r="L15" i="175"/>
  <c r="L14" i="175"/>
  <c r="L13" i="175"/>
  <c r="L12" i="175"/>
  <c r="L11" i="175"/>
  <c r="L10" i="175"/>
  <c r="L9" i="175"/>
  <c r="L26" i="174"/>
  <c r="L25" i="174"/>
  <c r="L24" i="174"/>
  <c r="L23" i="174"/>
  <c r="L22" i="174"/>
  <c r="L21" i="174"/>
  <c r="L20" i="174"/>
  <c r="L19" i="174"/>
  <c r="L18" i="174"/>
  <c r="L17" i="174"/>
  <c r="L16" i="174"/>
  <c r="L15" i="174"/>
  <c r="L14" i="174"/>
  <c r="L13" i="174"/>
  <c r="L12" i="174"/>
  <c r="L11" i="174"/>
  <c r="L10" i="174"/>
  <c r="L9" i="174"/>
  <c r="L26" i="173"/>
  <c r="L25" i="173"/>
  <c r="L24" i="173"/>
  <c r="L23" i="173"/>
  <c r="L22" i="173"/>
  <c r="L21" i="173"/>
  <c r="L20" i="173"/>
  <c r="L19" i="173"/>
  <c r="L18" i="173"/>
  <c r="L17" i="173"/>
  <c r="L16" i="173"/>
  <c r="L15" i="173"/>
  <c r="L14" i="173"/>
  <c r="L13" i="173"/>
  <c r="L12" i="173"/>
  <c r="L11" i="173"/>
  <c r="L10" i="173"/>
  <c r="L9" i="173"/>
  <c r="L26" i="172"/>
  <c r="L25" i="172"/>
  <c r="L24" i="172"/>
  <c r="L23" i="172"/>
  <c r="L22" i="172"/>
  <c r="L21" i="172"/>
  <c r="L20" i="172"/>
  <c r="L19" i="172"/>
  <c r="L18" i="172"/>
  <c r="L17" i="172"/>
  <c r="L16" i="172"/>
  <c r="L15" i="172"/>
  <c r="L14" i="172"/>
  <c r="L13" i="172"/>
  <c r="L12" i="172"/>
  <c r="L11" i="172"/>
  <c r="L10" i="172"/>
  <c r="L9" i="172"/>
  <c r="L26" i="171"/>
  <c r="L25" i="171"/>
  <c r="L24" i="171"/>
  <c r="L23" i="171"/>
  <c r="L22" i="171"/>
  <c r="L21" i="171"/>
  <c r="L20" i="171"/>
  <c r="L19" i="171"/>
  <c r="L18" i="171"/>
  <c r="L17" i="171"/>
  <c r="L16" i="171"/>
  <c r="L15" i="171"/>
  <c r="L14" i="171"/>
  <c r="L13" i="171"/>
  <c r="L12" i="171"/>
  <c r="L11" i="171"/>
  <c r="L10" i="171"/>
  <c r="L9" i="171"/>
  <c r="L26" i="170"/>
  <c r="L25" i="170"/>
  <c r="L24" i="170"/>
  <c r="L23" i="170"/>
  <c r="L22" i="170"/>
  <c r="L21" i="170"/>
  <c r="L20" i="170"/>
  <c r="L19" i="170"/>
  <c r="L18" i="170"/>
  <c r="L17" i="170"/>
  <c r="L16" i="170"/>
  <c r="L15" i="170"/>
  <c r="L14" i="170"/>
  <c r="L13" i="170"/>
  <c r="L12" i="170"/>
  <c r="L11" i="170"/>
  <c r="L10" i="170"/>
  <c r="L9" i="170"/>
  <c r="L26" i="169"/>
  <c r="L25" i="169"/>
  <c r="L24" i="169"/>
  <c r="L23" i="169"/>
  <c r="L22" i="169"/>
  <c r="L21" i="169"/>
  <c r="L20" i="169"/>
  <c r="L19" i="169"/>
  <c r="L18" i="169"/>
  <c r="L17" i="169"/>
  <c r="L16" i="169"/>
  <c r="L15" i="169"/>
  <c r="L14" i="169"/>
  <c r="L13" i="169"/>
  <c r="L12" i="169"/>
  <c r="L11" i="169"/>
  <c r="L10" i="169"/>
  <c r="L9" i="169"/>
  <c r="L26" i="168"/>
  <c r="L25" i="168"/>
  <c r="L24" i="168"/>
  <c r="L23" i="168"/>
  <c r="L22" i="168"/>
  <c r="L21" i="168"/>
  <c r="L20" i="168"/>
  <c r="L19" i="168"/>
  <c r="L18" i="168"/>
  <c r="L17" i="168"/>
  <c r="L16" i="168"/>
  <c r="L15" i="168"/>
  <c r="L14" i="168"/>
  <c r="L13" i="168"/>
  <c r="L12" i="168"/>
  <c r="L11" i="168"/>
  <c r="L10" i="168"/>
  <c r="L9" i="168"/>
  <c r="L26" i="167"/>
  <c r="L25" i="167"/>
  <c r="L24" i="167"/>
  <c r="L23" i="167"/>
  <c r="L22" i="167"/>
  <c r="L21" i="167"/>
  <c r="L20" i="167"/>
  <c r="L19" i="167"/>
  <c r="L18" i="167"/>
  <c r="L17" i="167"/>
  <c r="L16" i="167"/>
  <c r="L15" i="167"/>
  <c r="L14" i="167"/>
  <c r="L13" i="167"/>
  <c r="L12" i="167"/>
  <c r="L11" i="167"/>
  <c r="L10" i="167"/>
  <c r="L9" i="167"/>
  <c r="L26" i="166"/>
  <c r="L25" i="166"/>
  <c r="L24" i="166"/>
  <c r="L23" i="166"/>
  <c r="L22" i="166"/>
  <c r="L21" i="166"/>
  <c r="L20" i="166"/>
  <c r="L19" i="166"/>
  <c r="L18" i="166"/>
  <c r="L17" i="166"/>
  <c r="L16" i="166"/>
  <c r="L15" i="166"/>
  <c r="L14" i="166"/>
  <c r="L13" i="166"/>
  <c r="L12" i="166"/>
  <c r="L11" i="166"/>
  <c r="L10" i="166"/>
  <c r="L9" i="166"/>
  <c r="L26" i="165"/>
  <c r="L25" i="165"/>
  <c r="L24" i="165"/>
  <c r="L23" i="165"/>
  <c r="L22" i="165"/>
  <c r="L21" i="165"/>
  <c r="L20" i="165"/>
  <c r="L19" i="165"/>
  <c r="L18" i="165"/>
  <c r="L17" i="165"/>
  <c r="L16" i="165"/>
  <c r="L15" i="165"/>
  <c r="L14" i="165"/>
  <c r="L13" i="165"/>
  <c r="L12" i="165"/>
  <c r="L11" i="165"/>
  <c r="L10" i="165"/>
  <c r="L9" i="165"/>
  <c r="L26" i="164"/>
  <c r="L25" i="164"/>
  <c r="L24" i="164"/>
  <c r="L23" i="164"/>
  <c r="L22" i="164"/>
  <c r="L21" i="164"/>
  <c r="L20" i="164"/>
  <c r="L19" i="164"/>
  <c r="L18" i="164"/>
  <c r="L17" i="164"/>
  <c r="L16" i="164"/>
  <c r="L15" i="164"/>
  <c r="L14" i="164"/>
  <c r="L13" i="164"/>
  <c r="L12" i="164"/>
  <c r="L11" i="164"/>
  <c r="L10" i="164"/>
  <c r="L9" i="164"/>
  <c r="L26" i="163"/>
  <c r="L25" i="163"/>
  <c r="L24" i="163"/>
  <c r="L23" i="163"/>
  <c r="L22" i="163"/>
  <c r="L21" i="163"/>
  <c r="L20" i="163"/>
  <c r="L19" i="163"/>
  <c r="L18" i="163"/>
  <c r="L17" i="163"/>
  <c r="L16" i="163"/>
  <c r="L15" i="163"/>
  <c r="L14" i="163"/>
  <c r="L13" i="163"/>
  <c r="L12" i="163"/>
  <c r="L11" i="163"/>
  <c r="L10" i="163"/>
  <c r="L9" i="163"/>
  <c r="L26" i="162"/>
  <c r="L25" i="162"/>
  <c r="L24" i="162"/>
  <c r="L23" i="162"/>
  <c r="L22" i="162"/>
  <c r="L21" i="162"/>
  <c r="L20" i="162"/>
  <c r="L19" i="162"/>
  <c r="L18" i="162"/>
  <c r="L17" i="162"/>
  <c r="L16" i="162"/>
  <c r="L15" i="162"/>
  <c r="L14" i="162"/>
  <c r="L13" i="162"/>
  <c r="L12" i="162"/>
  <c r="L11" i="162"/>
  <c r="L10" i="162"/>
  <c r="L9" i="162"/>
  <c r="L26" i="161"/>
  <c r="L25" i="161"/>
  <c r="L24" i="161"/>
  <c r="L23" i="161"/>
  <c r="L22" i="161"/>
  <c r="L21" i="161"/>
  <c r="L20" i="161"/>
  <c r="L19" i="161"/>
  <c r="L18" i="161"/>
  <c r="L17" i="161"/>
  <c r="L16" i="161"/>
  <c r="L15" i="161"/>
  <c r="L14" i="161"/>
  <c r="L13" i="161"/>
  <c r="L12" i="161"/>
  <c r="L11" i="161"/>
  <c r="L10" i="161"/>
  <c r="L9" i="161"/>
  <c r="L26" i="160"/>
  <c r="L25" i="160"/>
  <c r="L24" i="160"/>
  <c r="L23" i="160"/>
  <c r="L22" i="160"/>
  <c r="L21" i="160"/>
  <c r="L20" i="160"/>
  <c r="L19" i="160"/>
  <c r="L18" i="160"/>
  <c r="L17" i="160"/>
  <c r="L16" i="160"/>
  <c r="L15" i="160"/>
  <c r="L14" i="160"/>
  <c r="L13" i="160"/>
  <c r="L12" i="160"/>
  <c r="L11" i="160"/>
  <c r="L10" i="160"/>
  <c r="L9" i="160"/>
  <c r="L26" i="159"/>
  <c r="L25" i="159"/>
  <c r="L24" i="159"/>
  <c r="L23" i="159"/>
  <c r="L22" i="159"/>
  <c r="L21" i="159"/>
  <c r="L20" i="159"/>
  <c r="L19" i="159"/>
  <c r="L18" i="159"/>
  <c r="L17" i="159"/>
  <c r="L16" i="159"/>
  <c r="L15" i="159"/>
  <c r="L14" i="159"/>
  <c r="L13" i="159"/>
  <c r="L12" i="159"/>
  <c r="L11" i="159"/>
  <c r="L10" i="159"/>
  <c r="L9" i="159"/>
  <c r="L26" i="158"/>
  <c r="L25" i="158"/>
  <c r="L24" i="158"/>
  <c r="L23" i="158"/>
  <c r="L22" i="158"/>
  <c r="L21" i="158"/>
  <c r="L20" i="158"/>
  <c r="L19" i="158"/>
  <c r="L18" i="158"/>
  <c r="L17" i="158"/>
  <c r="L16" i="158"/>
  <c r="L15" i="158"/>
  <c r="L14" i="158"/>
  <c r="L13" i="158"/>
  <c r="L12" i="158"/>
  <c r="L11" i="158"/>
  <c r="L10" i="158"/>
  <c r="L9" i="158"/>
  <c r="L26" i="157"/>
  <c r="L25" i="157"/>
  <c r="L24" i="157"/>
  <c r="L23" i="157"/>
  <c r="L22" i="157"/>
  <c r="L21" i="157"/>
  <c r="L20" i="157"/>
  <c r="L19" i="157"/>
  <c r="L18" i="157"/>
  <c r="L17" i="157"/>
  <c r="L16" i="157"/>
  <c r="L15" i="157"/>
  <c r="L14" i="157"/>
  <c r="L13" i="157"/>
  <c r="L12" i="157"/>
  <c r="L11" i="157"/>
  <c r="L10" i="157"/>
  <c r="L9" i="157"/>
  <c r="K26" i="156"/>
  <c r="K25" i="156"/>
  <c r="K24" i="156"/>
  <c r="K23" i="156"/>
  <c r="K22" i="156"/>
  <c r="K21" i="156"/>
  <c r="K20" i="156"/>
  <c r="K19" i="156"/>
  <c r="K18" i="156"/>
  <c r="K17" i="156"/>
  <c r="K16" i="156"/>
  <c r="K15" i="156"/>
  <c r="K14" i="156"/>
  <c r="K13" i="156"/>
  <c r="K12" i="156"/>
  <c r="K11" i="156"/>
  <c r="K10" i="156"/>
  <c r="K9" i="156"/>
  <c r="K26" i="155"/>
  <c r="K25" i="155"/>
  <c r="K24" i="155"/>
  <c r="K23" i="155"/>
  <c r="K22" i="155"/>
  <c r="K21" i="155"/>
  <c r="K20" i="155"/>
  <c r="K19" i="155"/>
  <c r="K18" i="155"/>
  <c r="K17" i="155"/>
  <c r="K16" i="155"/>
  <c r="K15" i="155"/>
  <c r="K14" i="155"/>
  <c r="K13" i="155"/>
  <c r="K12" i="155"/>
  <c r="K11" i="155"/>
  <c r="K10" i="155"/>
  <c r="K9" i="155"/>
  <c r="K26" i="154"/>
  <c r="K25" i="154"/>
  <c r="K24" i="154"/>
  <c r="K23" i="154"/>
  <c r="K22" i="154"/>
  <c r="K21" i="154"/>
  <c r="K20" i="154"/>
  <c r="K19" i="154"/>
  <c r="K18" i="154"/>
  <c r="K17" i="154"/>
  <c r="K16" i="154"/>
  <c r="K15" i="154"/>
  <c r="K14" i="154"/>
  <c r="K13" i="154"/>
  <c r="K12" i="154"/>
  <c r="K11" i="154"/>
  <c r="K10" i="154"/>
  <c r="K9" i="154"/>
  <c r="K26" i="153"/>
  <c r="K25" i="153"/>
  <c r="K24" i="153"/>
  <c r="K23" i="153"/>
  <c r="K22" i="153"/>
  <c r="K21" i="153"/>
  <c r="K20" i="153"/>
  <c r="K19" i="153"/>
  <c r="K18" i="153"/>
  <c r="K17" i="153"/>
  <c r="K16" i="153"/>
  <c r="K15" i="153"/>
  <c r="K14" i="153"/>
  <c r="K13" i="153"/>
  <c r="K12" i="153"/>
  <c r="K11" i="153"/>
  <c r="K10" i="153"/>
  <c r="K9" i="153"/>
  <c r="K26" i="152"/>
  <c r="K25" i="152"/>
  <c r="K24" i="152"/>
  <c r="K23" i="152"/>
  <c r="K22" i="152"/>
  <c r="K21" i="152"/>
  <c r="K20" i="152"/>
  <c r="K19" i="152"/>
  <c r="K18" i="152"/>
  <c r="K17" i="152"/>
  <c r="K16" i="152"/>
  <c r="K15" i="152"/>
  <c r="K14" i="152"/>
  <c r="K13" i="152"/>
  <c r="K12" i="152"/>
  <c r="K11" i="152"/>
  <c r="K10" i="152"/>
  <c r="K9" i="152"/>
  <c r="K26" i="151"/>
  <c r="K25" i="151"/>
  <c r="K24" i="151"/>
  <c r="K23" i="151"/>
  <c r="K22" i="151"/>
  <c r="K21" i="151"/>
  <c r="K20" i="151"/>
  <c r="K19" i="151"/>
  <c r="K18" i="151"/>
  <c r="K17" i="151"/>
  <c r="K16" i="151"/>
  <c r="K15" i="151"/>
  <c r="K14" i="151"/>
  <c r="K13" i="151"/>
  <c r="K12" i="151"/>
  <c r="K11" i="151"/>
  <c r="K10" i="151"/>
  <c r="K9" i="151"/>
  <c r="K26" i="150"/>
  <c r="K25" i="150"/>
  <c r="K24" i="150"/>
  <c r="K23" i="150"/>
  <c r="K22" i="150"/>
  <c r="K21" i="150"/>
  <c r="K20" i="150"/>
  <c r="K19" i="150"/>
  <c r="K18" i="150"/>
  <c r="K17" i="150"/>
  <c r="K16" i="150"/>
  <c r="K15" i="150"/>
  <c r="K14" i="150"/>
  <c r="K13" i="150"/>
  <c r="K12" i="150"/>
  <c r="K11" i="150"/>
  <c r="K10" i="150"/>
  <c r="K9" i="150"/>
  <c r="K26" i="149"/>
  <c r="K25" i="149"/>
  <c r="K24" i="149"/>
  <c r="K23" i="149"/>
  <c r="K22" i="149"/>
  <c r="K21" i="149"/>
  <c r="K20" i="149"/>
  <c r="K19" i="149"/>
  <c r="K18" i="149"/>
  <c r="K17" i="149"/>
  <c r="K16" i="149"/>
  <c r="K15" i="149"/>
  <c r="K14" i="149"/>
  <c r="K13" i="149"/>
  <c r="K12" i="149"/>
  <c r="K11" i="149"/>
  <c r="K10" i="149"/>
  <c r="K9" i="149"/>
  <c r="K26" i="147"/>
  <c r="K25" i="147"/>
  <c r="K24" i="147"/>
  <c r="K23" i="147"/>
  <c r="K22" i="147"/>
  <c r="K21" i="147"/>
  <c r="K20" i="147"/>
  <c r="K19" i="147"/>
  <c r="K18" i="147"/>
  <c r="K17" i="147"/>
  <c r="K16" i="147"/>
  <c r="K15" i="147"/>
  <c r="K14" i="147"/>
  <c r="K13" i="147"/>
  <c r="K12" i="147"/>
  <c r="K11" i="147"/>
  <c r="K10" i="147"/>
  <c r="K9" i="147"/>
  <c r="K26" i="148"/>
  <c r="K25" i="148"/>
  <c r="K24" i="148"/>
  <c r="K23" i="148"/>
  <c r="K22" i="148"/>
  <c r="K21" i="148"/>
  <c r="K20" i="148"/>
  <c r="K19" i="148"/>
  <c r="K18" i="148"/>
  <c r="K17" i="148"/>
  <c r="K16" i="148"/>
  <c r="K15" i="148"/>
  <c r="K14" i="148"/>
  <c r="K13" i="148"/>
  <c r="K12" i="148"/>
  <c r="K11" i="148"/>
  <c r="K10" i="148"/>
  <c r="K9" i="148"/>
  <c r="K26" i="146"/>
  <c r="K25" i="146"/>
  <c r="K24" i="146"/>
  <c r="K23" i="146"/>
  <c r="K22" i="146"/>
  <c r="K21" i="146"/>
  <c r="K20" i="146"/>
  <c r="K19" i="146"/>
  <c r="K18" i="146"/>
  <c r="K17" i="146"/>
  <c r="K16" i="146"/>
  <c r="K15" i="146"/>
  <c r="K14" i="146"/>
  <c r="K13" i="146"/>
  <c r="K12" i="146"/>
  <c r="K11" i="146"/>
  <c r="K10" i="146"/>
  <c r="K9" i="146"/>
  <c r="K26" i="145"/>
  <c r="K25" i="145"/>
  <c r="K24" i="145"/>
  <c r="K23" i="145"/>
  <c r="K22" i="145"/>
  <c r="K21" i="145"/>
  <c r="K20" i="145"/>
  <c r="K19" i="145"/>
  <c r="K18" i="145"/>
  <c r="K17" i="145"/>
  <c r="K16" i="145"/>
  <c r="K15" i="145"/>
  <c r="K14" i="145"/>
  <c r="K13" i="145"/>
  <c r="K12" i="145"/>
  <c r="K11" i="145"/>
  <c r="K10" i="145"/>
  <c r="K9" i="145"/>
  <c r="K26" i="144"/>
  <c r="K25" i="144"/>
  <c r="K24" i="144"/>
  <c r="K23" i="144"/>
  <c r="K22" i="144"/>
  <c r="K21" i="144"/>
  <c r="K20" i="144"/>
  <c r="K19" i="144"/>
  <c r="K18" i="144"/>
  <c r="K17" i="144"/>
  <c r="K16" i="144"/>
  <c r="K15" i="144"/>
  <c r="K14" i="144"/>
  <c r="K13" i="144"/>
  <c r="K12" i="144"/>
  <c r="K11" i="144"/>
  <c r="K10" i="144"/>
  <c r="K9" i="144"/>
  <c r="K26" i="143"/>
  <c r="K25" i="143"/>
  <c r="K24" i="143"/>
  <c r="K23" i="143"/>
  <c r="K22" i="143"/>
  <c r="K21" i="143"/>
  <c r="K20" i="143"/>
  <c r="K19" i="143"/>
  <c r="K18" i="143"/>
  <c r="K17" i="143"/>
  <c r="K16" i="143"/>
  <c r="K15" i="143"/>
  <c r="K14" i="143"/>
  <c r="K13" i="143"/>
  <c r="K12" i="143"/>
  <c r="K11" i="143"/>
  <c r="K10" i="143"/>
  <c r="K9" i="143"/>
  <c r="K26" i="142"/>
  <c r="K25" i="142"/>
  <c r="K24" i="142"/>
  <c r="K23" i="142"/>
  <c r="K22" i="142"/>
  <c r="K21" i="142"/>
  <c r="K20" i="142"/>
  <c r="K19" i="142"/>
  <c r="K18" i="142"/>
  <c r="K17" i="142"/>
  <c r="K16" i="142"/>
  <c r="K15" i="142"/>
  <c r="K14" i="142"/>
  <c r="K13" i="142"/>
  <c r="K12" i="142"/>
  <c r="K11" i="142"/>
  <c r="K10" i="142"/>
  <c r="K9" i="142"/>
  <c r="K26" i="141"/>
  <c r="K25" i="141"/>
  <c r="K24" i="141"/>
  <c r="K23" i="141"/>
  <c r="K22" i="141"/>
  <c r="K21" i="141"/>
  <c r="K20" i="141"/>
  <c r="K19" i="141"/>
  <c r="K18" i="141"/>
  <c r="K17" i="141"/>
  <c r="K16" i="141"/>
  <c r="K15" i="141"/>
  <c r="K14" i="141"/>
  <c r="K13" i="141"/>
  <c r="K12" i="141"/>
  <c r="K11" i="141"/>
  <c r="K10" i="141"/>
  <c r="K9" i="141"/>
  <c r="K26" i="140"/>
  <c r="K25" i="140"/>
  <c r="K24" i="140"/>
  <c r="K23" i="140"/>
  <c r="K22" i="140"/>
  <c r="K21" i="140"/>
  <c r="K20" i="140"/>
  <c r="K19" i="140"/>
  <c r="K18" i="140"/>
  <c r="K17" i="140"/>
  <c r="K16" i="140"/>
  <c r="K15" i="140"/>
  <c r="K14" i="140"/>
  <c r="K13" i="140"/>
  <c r="K12" i="140"/>
  <c r="K11" i="140"/>
  <c r="K10" i="140"/>
  <c r="K9" i="140"/>
  <c r="K26" i="139"/>
  <c r="K25" i="139"/>
  <c r="K24" i="139"/>
  <c r="K23" i="139"/>
  <c r="K22" i="139"/>
  <c r="K21" i="139"/>
  <c r="K20" i="139"/>
  <c r="K19" i="139"/>
  <c r="K18" i="139"/>
  <c r="K17" i="139"/>
  <c r="K16" i="139"/>
  <c r="K15" i="139"/>
  <c r="K14" i="139"/>
  <c r="K13" i="139"/>
  <c r="K12" i="139"/>
  <c r="K11" i="139"/>
  <c r="K10" i="139"/>
  <c r="K9" i="139"/>
  <c r="K26" i="138"/>
  <c r="K25" i="138"/>
  <c r="K24" i="138"/>
  <c r="K23" i="138"/>
  <c r="K22" i="138"/>
  <c r="K21" i="138"/>
  <c r="K20" i="138"/>
  <c r="K19" i="138"/>
  <c r="K18" i="138"/>
  <c r="K17" i="138"/>
  <c r="K16" i="138"/>
  <c r="K15" i="138"/>
  <c r="K14" i="138"/>
  <c r="K13" i="138"/>
  <c r="K12" i="138"/>
  <c r="K11" i="138"/>
  <c r="K10" i="138"/>
  <c r="K9" i="138"/>
  <c r="K26" i="137"/>
  <c r="K25" i="137"/>
  <c r="K24" i="137"/>
  <c r="K23" i="137"/>
  <c r="K22" i="137"/>
  <c r="K21" i="137"/>
  <c r="K20" i="137"/>
  <c r="K19" i="137"/>
  <c r="K18" i="137"/>
  <c r="K17" i="137"/>
  <c r="K16" i="137"/>
  <c r="K15" i="137"/>
  <c r="K14" i="137"/>
  <c r="K13" i="137"/>
  <c r="K12" i="137"/>
  <c r="K11" i="137"/>
  <c r="K10" i="137"/>
  <c r="K9" i="137"/>
  <c r="K26" i="136"/>
  <c r="K25" i="136"/>
  <c r="K24" i="136"/>
  <c r="K23" i="136"/>
  <c r="K22" i="136"/>
  <c r="K21" i="136"/>
  <c r="K20" i="136"/>
  <c r="K19" i="136"/>
  <c r="K18" i="136"/>
  <c r="K17" i="136"/>
  <c r="K16" i="136"/>
  <c r="K15" i="136"/>
  <c r="K14" i="136"/>
  <c r="K13" i="136"/>
  <c r="K12" i="136"/>
  <c r="K11" i="136"/>
  <c r="K10" i="136"/>
  <c r="K9" i="136"/>
  <c r="K26" i="135"/>
  <c r="K25" i="135"/>
  <c r="K24" i="135"/>
  <c r="K23" i="135"/>
  <c r="K22" i="135"/>
  <c r="K21" i="135"/>
  <c r="K20" i="135"/>
  <c r="K19" i="135"/>
  <c r="K18" i="135"/>
  <c r="K17" i="135"/>
  <c r="K16" i="135"/>
  <c r="K15" i="135"/>
  <c r="K14" i="135"/>
  <c r="K13" i="135"/>
  <c r="K12" i="135"/>
  <c r="K11" i="135"/>
  <c r="K10" i="135"/>
  <c r="K9" i="135"/>
  <c r="K26" i="134"/>
  <c r="K25" i="134"/>
  <c r="K24" i="134"/>
  <c r="K23" i="134"/>
  <c r="K22" i="134"/>
  <c r="K21" i="134"/>
  <c r="K20" i="134"/>
  <c r="K19" i="134"/>
  <c r="K18" i="134"/>
  <c r="K17" i="134"/>
  <c r="K16" i="134"/>
  <c r="K15" i="134"/>
  <c r="K14" i="134"/>
  <c r="K13" i="134"/>
  <c r="K12" i="134"/>
  <c r="K11" i="134"/>
  <c r="K10" i="134"/>
  <c r="K9" i="134"/>
  <c r="K26" i="133"/>
  <c r="K25" i="133"/>
  <c r="K24" i="133"/>
  <c r="K23" i="133"/>
  <c r="K22" i="133"/>
  <c r="K21" i="133"/>
  <c r="K20" i="133"/>
  <c r="K19" i="133"/>
  <c r="K18" i="133"/>
  <c r="K17" i="133"/>
  <c r="K16" i="133"/>
  <c r="K15" i="133"/>
  <c r="K14" i="133"/>
  <c r="K13" i="133"/>
  <c r="K12" i="133"/>
  <c r="K11" i="133"/>
  <c r="K10" i="133"/>
  <c r="K9" i="133"/>
  <c r="K26" i="16"/>
  <c r="K25" i="16"/>
  <c r="K24" i="16"/>
  <c r="K23" i="16"/>
  <c r="K22" i="16"/>
  <c r="K21" i="16"/>
  <c r="K20" i="16"/>
  <c r="K19" i="16"/>
  <c r="K18" i="16"/>
  <c r="K17" i="16"/>
  <c r="K16" i="16"/>
  <c r="K15" i="16"/>
  <c r="K14" i="16"/>
  <c r="K13" i="16"/>
  <c r="K12" i="16"/>
  <c r="K11" i="16"/>
  <c r="K10" i="16"/>
  <c r="K9" i="16"/>
  <c r="B32" i="380"/>
  <c r="A34" i="380" l="1"/>
  <c r="I17" i="58"/>
  <c r="H24" i="41"/>
  <c r="G24" i="41"/>
  <c r="H24" i="40"/>
  <c r="G24" i="40"/>
  <c r="I42" i="39"/>
  <c r="I47" i="39" s="1"/>
  <c r="I17" i="31" s="1"/>
  <c r="L40" i="39"/>
  <c r="L30" i="39"/>
  <c r="L20" i="39"/>
  <c r="C21" i="121" s="1"/>
  <c r="I11" i="28"/>
  <c r="J20" i="22"/>
  <c r="H41" i="21"/>
  <c r="H20" i="21"/>
  <c r="K26" i="19"/>
  <c r="K25" i="19"/>
  <c r="K24" i="19"/>
  <c r="K23" i="19"/>
  <c r="K22" i="19"/>
  <c r="K21" i="19"/>
  <c r="K20" i="19"/>
  <c r="K19" i="19"/>
  <c r="K18" i="19"/>
  <c r="K17" i="19"/>
  <c r="K16" i="19"/>
  <c r="K15" i="19"/>
  <c r="K14" i="19"/>
  <c r="K13" i="19"/>
  <c r="K12" i="19"/>
  <c r="K11" i="19"/>
  <c r="K10" i="19"/>
  <c r="K9" i="19"/>
  <c r="K8" i="19"/>
  <c r="L26" i="17"/>
  <c r="L25" i="17"/>
  <c r="L24" i="17"/>
  <c r="L23" i="17"/>
  <c r="L22" i="17"/>
  <c r="L21" i="17"/>
  <c r="L20" i="17"/>
  <c r="L19" i="17"/>
  <c r="L18" i="17"/>
  <c r="L17" i="17"/>
  <c r="L16" i="17"/>
  <c r="L15" i="17"/>
  <c r="L14" i="17"/>
  <c r="L13" i="17"/>
  <c r="L12" i="17"/>
  <c r="L11" i="17"/>
  <c r="L10" i="17"/>
  <c r="L9" i="17"/>
  <c r="L8" i="17"/>
  <c r="K26" i="15"/>
  <c r="K25" i="15"/>
  <c r="K24" i="15"/>
  <c r="K23" i="15"/>
  <c r="K22" i="15"/>
  <c r="K21" i="15"/>
  <c r="K20" i="15"/>
  <c r="K19" i="15"/>
  <c r="K18" i="15"/>
  <c r="K17" i="15"/>
  <c r="K16" i="15"/>
  <c r="K15" i="15"/>
  <c r="K14" i="15"/>
  <c r="K13" i="15"/>
  <c r="K12" i="15"/>
  <c r="K11" i="15"/>
  <c r="K10" i="15"/>
  <c r="K9" i="15"/>
  <c r="K8" i="15"/>
  <c r="B33" i="380"/>
  <c r="A35" i="380" l="1"/>
  <c r="G40" i="6"/>
  <c r="H40" i="6"/>
  <c r="H11" i="1"/>
  <c r="F39" i="57"/>
  <c r="B39" i="57"/>
  <c r="H39" i="57"/>
  <c r="L38" i="57"/>
  <c r="B38" i="57"/>
  <c r="B34" i="380"/>
  <c r="A36" i="380" l="1"/>
  <c r="J36" i="22"/>
  <c r="J39" i="22" s="1"/>
  <c r="B35" i="380"/>
  <c r="A37" i="380" l="1"/>
  <c r="H41" i="317"/>
  <c r="G41" i="317"/>
  <c r="I28" i="317"/>
  <c r="I30" i="317" s="1"/>
  <c r="K32" i="317" s="1"/>
  <c r="H23" i="317"/>
  <c r="G22" i="317"/>
  <c r="G23" i="317" s="1"/>
  <c r="H12" i="317"/>
  <c r="G11" i="317"/>
  <c r="G12" i="317" s="1"/>
  <c r="H41" i="315"/>
  <c r="G41" i="315"/>
  <c r="I28" i="315"/>
  <c r="I30" i="315" s="1"/>
  <c r="K32" i="315" s="1"/>
  <c r="H23" i="315"/>
  <c r="G22" i="315"/>
  <c r="G23" i="315" s="1"/>
  <c r="H12" i="315"/>
  <c r="G11" i="315"/>
  <c r="G12" i="315" s="1"/>
  <c r="H41" i="313"/>
  <c r="G41" i="313"/>
  <c r="I28" i="313"/>
  <c r="I30" i="313" s="1"/>
  <c r="K32" i="313" s="1"/>
  <c r="H23" i="313"/>
  <c r="G22" i="313"/>
  <c r="G23" i="313" s="1"/>
  <c r="H12" i="313"/>
  <c r="G11" i="313"/>
  <c r="G12" i="313" s="1"/>
  <c r="H41" i="311"/>
  <c r="G41" i="311"/>
  <c r="I28" i="311"/>
  <c r="I30" i="311" s="1"/>
  <c r="K32" i="311" s="1"/>
  <c r="H23" i="311"/>
  <c r="G22" i="311"/>
  <c r="G23" i="311" s="1"/>
  <c r="H12" i="311"/>
  <c r="G11" i="311"/>
  <c r="G12" i="311" s="1"/>
  <c r="H41" i="307"/>
  <c r="G41" i="307"/>
  <c r="I28" i="307"/>
  <c r="I30" i="307" s="1"/>
  <c r="K32" i="307" s="1"/>
  <c r="H23" i="307"/>
  <c r="G22" i="307"/>
  <c r="G23" i="307" s="1"/>
  <c r="H12" i="307"/>
  <c r="G11" i="307"/>
  <c r="G12" i="307" s="1"/>
  <c r="H41" i="306"/>
  <c r="G41" i="306"/>
  <c r="I28" i="306"/>
  <c r="I30" i="306" s="1"/>
  <c r="K32" i="306" s="1"/>
  <c r="H23" i="306"/>
  <c r="G22" i="306"/>
  <c r="G23" i="306" s="1"/>
  <c r="H12" i="306"/>
  <c r="G11" i="306"/>
  <c r="G12" i="306" s="1"/>
  <c r="B36" i="380"/>
  <c r="A38" i="380" l="1"/>
  <c r="J19" i="107"/>
  <c r="J18" i="107"/>
  <c r="L12" i="41"/>
  <c r="L13" i="41"/>
  <c r="L14" i="41"/>
  <c r="L15" i="41"/>
  <c r="L16" i="41"/>
  <c r="L17" i="41"/>
  <c r="L21" i="41"/>
  <c r="L22" i="41"/>
  <c r="L23" i="41"/>
  <c r="L11" i="41"/>
  <c r="L10" i="41"/>
  <c r="L12" i="40"/>
  <c r="L13" i="40"/>
  <c r="L14" i="40"/>
  <c r="L15" i="40"/>
  <c r="L16" i="40"/>
  <c r="L17" i="40"/>
  <c r="L18" i="40"/>
  <c r="L11" i="40"/>
  <c r="I17" i="34"/>
  <c r="J12" i="24"/>
  <c r="J13" i="24"/>
  <c r="G9" i="11"/>
  <c r="L23" i="10"/>
  <c r="L24" i="10"/>
  <c r="L25" i="10"/>
  <c r="L22" i="10"/>
  <c r="L16" i="10"/>
  <c r="L17" i="10"/>
  <c r="L18" i="10"/>
  <c r="L19" i="10"/>
  <c r="L20" i="10"/>
  <c r="L15" i="10"/>
  <c r="L10" i="10"/>
  <c r="L11" i="10"/>
  <c r="L12" i="10"/>
  <c r="L13" i="10"/>
  <c r="L9" i="10"/>
  <c r="B37" i="380"/>
  <c r="A39" i="380" l="1"/>
  <c r="I20" i="34"/>
  <c r="H28" i="1"/>
  <c r="L24" i="41"/>
  <c r="H31" i="220"/>
  <c r="H39" i="220" s="1"/>
  <c r="L39" i="226" s="1"/>
  <c r="H31" i="232"/>
  <c r="H31" i="244"/>
  <c r="H31" i="256"/>
  <c r="H31" i="268"/>
  <c r="J43" i="304"/>
  <c r="H42" i="362"/>
  <c r="J22" i="304"/>
  <c r="I22" i="304"/>
  <c r="H22" i="304"/>
  <c r="G22" i="304"/>
  <c r="J43" i="303"/>
  <c r="J22" i="303"/>
  <c r="I22" i="303"/>
  <c r="H22" i="303"/>
  <c r="G22" i="303"/>
  <c r="J43" i="302"/>
  <c r="J22" i="302"/>
  <c r="I22" i="302"/>
  <c r="H22" i="302"/>
  <c r="G22" i="302"/>
  <c r="J43" i="301"/>
  <c r="J22" i="301"/>
  <c r="I22" i="301"/>
  <c r="H22" i="301"/>
  <c r="G22" i="301"/>
  <c r="J42" i="300"/>
  <c r="I42" i="300"/>
  <c r="J25" i="300"/>
  <c r="J42" i="299"/>
  <c r="I42" i="299"/>
  <c r="J25" i="299"/>
  <c r="J42" i="298"/>
  <c r="I42" i="298"/>
  <c r="J25" i="298"/>
  <c r="J42" i="297"/>
  <c r="I42" i="297"/>
  <c r="J25" i="297"/>
  <c r="L27" i="296"/>
  <c r="H23" i="362" s="1"/>
  <c r="K27" i="296"/>
  <c r="H22" i="362" s="1"/>
  <c r="J27" i="296"/>
  <c r="J9" i="336" s="1"/>
  <c r="J27" i="336" s="1"/>
  <c r="J9" i="337" s="1"/>
  <c r="J27" i="337" s="1"/>
  <c r="J9" i="338" s="1"/>
  <c r="J27" i="338" s="1"/>
  <c r="J9" i="339" s="1"/>
  <c r="J27" i="339" s="1"/>
  <c r="I27" i="296"/>
  <c r="I9" i="336" s="1"/>
  <c r="I27" i="336" s="1"/>
  <c r="I9" i="337" s="1"/>
  <c r="I27" i="337" s="1"/>
  <c r="I9" i="338" s="1"/>
  <c r="I27" i="338" s="1"/>
  <c r="I9" i="339" s="1"/>
  <c r="I27" i="339" s="1"/>
  <c r="H27" i="296"/>
  <c r="H9" i="336" s="1"/>
  <c r="H27" i="336" s="1"/>
  <c r="H9" i="337" s="1"/>
  <c r="H27" i="337" s="1"/>
  <c r="H9" i="338" s="1"/>
  <c r="H27" i="338" s="1"/>
  <c r="H9" i="339" s="1"/>
  <c r="H27" i="339" s="1"/>
  <c r="G27" i="296"/>
  <c r="G9" i="336" s="1"/>
  <c r="G27" i="336" s="1"/>
  <c r="G9" i="337" s="1"/>
  <c r="G27" i="337" s="1"/>
  <c r="G9" i="338" s="1"/>
  <c r="G27" i="338" s="1"/>
  <c r="G9" i="339" s="1"/>
  <c r="G27" i="339" s="1"/>
  <c r="F27" i="296"/>
  <c r="F9" i="336" s="1"/>
  <c r="F27" i="336" s="1"/>
  <c r="F9" i="337" s="1"/>
  <c r="F27" i="337" s="1"/>
  <c r="F9" i="338" s="1"/>
  <c r="F27" i="338" s="1"/>
  <c r="F9" i="339" s="1"/>
  <c r="F27" i="339" s="1"/>
  <c r="E27" i="296"/>
  <c r="E9" i="336" s="1"/>
  <c r="E27" i="336" s="1"/>
  <c r="E9" i="337" s="1"/>
  <c r="E27" i="337" s="1"/>
  <c r="E9" i="338" s="1"/>
  <c r="E27" i="338" s="1"/>
  <c r="E9" i="339" s="1"/>
  <c r="E27" i="339" s="1"/>
  <c r="L27" i="295"/>
  <c r="K27" i="295"/>
  <c r="J27" i="295"/>
  <c r="J9" i="331" s="1"/>
  <c r="J27" i="331" s="1"/>
  <c r="J9" i="332" s="1"/>
  <c r="J27" i="332" s="1"/>
  <c r="J9" i="333" s="1"/>
  <c r="J27" i="333" s="1"/>
  <c r="J9" i="335" s="1"/>
  <c r="J27" i="335" s="1"/>
  <c r="I27" i="295"/>
  <c r="I9" i="331" s="1"/>
  <c r="I27" i="331" s="1"/>
  <c r="I9" i="332" s="1"/>
  <c r="I27" i="332" s="1"/>
  <c r="I9" i="333" s="1"/>
  <c r="I27" i="333" s="1"/>
  <c r="I9" i="335" s="1"/>
  <c r="I27" i="335" s="1"/>
  <c r="H27" i="295"/>
  <c r="H9" i="331" s="1"/>
  <c r="H27" i="331" s="1"/>
  <c r="H9" i="332" s="1"/>
  <c r="H27" i="332" s="1"/>
  <c r="H9" i="333" s="1"/>
  <c r="H27" i="333" s="1"/>
  <c r="H9" i="335" s="1"/>
  <c r="H27" i="335" s="1"/>
  <c r="G27" i="295"/>
  <c r="G9" i="331" s="1"/>
  <c r="G27" i="331" s="1"/>
  <c r="G9" i="332" s="1"/>
  <c r="G27" i="332" s="1"/>
  <c r="G9" i="333" s="1"/>
  <c r="G27" i="333" s="1"/>
  <c r="G9" i="335" s="1"/>
  <c r="G27" i="335" s="1"/>
  <c r="F27" i="295"/>
  <c r="F9" i="331" s="1"/>
  <c r="F27" i="331" s="1"/>
  <c r="F9" i="332" s="1"/>
  <c r="F27" i="332" s="1"/>
  <c r="F9" i="333" s="1"/>
  <c r="F27" i="333" s="1"/>
  <c r="F9" i="335" s="1"/>
  <c r="F27" i="335" s="1"/>
  <c r="E27" i="295"/>
  <c r="E9" i="331" s="1"/>
  <c r="E27" i="331" s="1"/>
  <c r="E9" i="332" s="1"/>
  <c r="L27" i="294"/>
  <c r="H23" i="358" s="1"/>
  <c r="K27" i="294"/>
  <c r="H22" i="358" s="1"/>
  <c r="J27" i="294"/>
  <c r="J9" i="327" s="1"/>
  <c r="J27" i="327" s="1"/>
  <c r="J9" i="328" s="1"/>
  <c r="J27" i="328" s="1"/>
  <c r="J9" i="329" s="1"/>
  <c r="J27" i="329" s="1"/>
  <c r="J9" i="330" s="1"/>
  <c r="J27" i="330" s="1"/>
  <c r="I27" i="294"/>
  <c r="I9" i="327" s="1"/>
  <c r="I27" i="327" s="1"/>
  <c r="I9" i="328" s="1"/>
  <c r="I27" i="328" s="1"/>
  <c r="I9" i="329" s="1"/>
  <c r="I27" i="329" s="1"/>
  <c r="I9" i="330" s="1"/>
  <c r="I27" i="330" s="1"/>
  <c r="H27" i="294"/>
  <c r="H9" i="327" s="1"/>
  <c r="H27" i="327" s="1"/>
  <c r="H9" i="328" s="1"/>
  <c r="H27" i="328" s="1"/>
  <c r="H9" i="329" s="1"/>
  <c r="H27" i="329" s="1"/>
  <c r="H9" i="330" s="1"/>
  <c r="H27" i="330" s="1"/>
  <c r="G27" i="294"/>
  <c r="G9" i="327" s="1"/>
  <c r="G27" i="327" s="1"/>
  <c r="G9" i="328" s="1"/>
  <c r="G27" i="328" s="1"/>
  <c r="G9" i="329" s="1"/>
  <c r="G27" i="329" s="1"/>
  <c r="G9" i="330" s="1"/>
  <c r="G27" i="330" s="1"/>
  <c r="F27" i="294"/>
  <c r="F9" i="327" s="1"/>
  <c r="F27" i="327" s="1"/>
  <c r="F9" i="328" s="1"/>
  <c r="F27" i="328" s="1"/>
  <c r="F9" i="329" s="1"/>
  <c r="F27" i="329" s="1"/>
  <c r="F9" i="330" s="1"/>
  <c r="F27" i="330" s="1"/>
  <c r="E27" i="294"/>
  <c r="E9" i="327" s="1"/>
  <c r="E27" i="327" s="1"/>
  <c r="E9" i="328" s="1"/>
  <c r="E27" i="328" s="1"/>
  <c r="E9" i="329" s="1"/>
  <c r="E27" i="329" s="1"/>
  <c r="E9" i="330" s="1"/>
  <c r="E27" i="330" s="1"/>
  <c r="L27" i="293"/>
  <c r="K27" i="293"/>
  <c r="J27" i="293"/>
  <c r="J9" i="323" s="1"/>
  <c r="J27" i="323" s="1"/>
  <c r="J9" i="324" s="1"/>
  <c r="J27" i="324" s="1"/>
  <c r="I27" i="293"/>
  <c r="I9" i="323" s="1"/>
  <c r="I27" i="323" s="1"/>
  <c r="I9" i="324" s="1"/>
  <c r="I27" i="324" s="1"/>
  <c r="H27" i="293"/>
  <c r="H9" i="323" s="1"/>
  <c r="H27" i="323" s="1"/>
  <c r="H9" i="324" s="1"/>
  <c r="H27" i="324" s="1"/>
  <c r="G27" i="293"/>
  <c r="G9" i="323" s="1"/>
  <c r="G27" i="323" s="1"/>
  <c r="G9" i="324" s="1"/>
  <c r="G27" i="324" s="1"/>
  <c r="F27" i="293"/>
  <c r="F9" i="323" s="1"/>
  <c r="F27" i="323" s="1"/>
  <c r="F9" i="324" s="1"/>
  <c r="F27" i="324" s="1"/>
  <c r="E27" i="293"/>
  <c r="E9" i="323" s="1"/>
  <c r="E27" i="323" s="1"/>
  <c r="E9" i="324" s="1"/>
  <c r="E27" i="324" s="1"/>
  <c r="I23" i="292"/>
  <c r="H23" i="292"/>
  <c r="G23" i="292"/>
  <c r="H19" i="356" s="1"/>
  <c r="I23" i="291"/>
  <c r="H23" i="291"/>
  <c r="G23" i="291"/>
  <c r="H19" i="358" s="1"/>
  <c r="I23" i="290"/>
  <c r="H23" i="290"/>
  <c r="G23" i="290"/>
  <c r="H19" i="360" s="1"/>
  <c r="I23" i="289"/>
  <c r="H23" i="289"/>
  <c r="G23" i="289"/>
  <c r="H19" i="362" s="1"/>
  <c r="K23" i="287"/>
  <c r="J23" i="287"/>
  <c r="G23" i="287"/>
  <c r="H38" i="222" s="1"/>
  <c r="E23" i="287"/>
  <c r="K23" i="286"/>
  <c r="J23" i="286"/>
  <c r="G23" i="286"/>
  <c r="H38" i="234" s="1"/>
  <c r="E23" i="286"/>
  <c r="K23" i="285"/>
  <c r="J23" i="285"/>
  <c r="G23" i="285"/>
  <c r="H38" i="246" s="1"/>
  <c r="E23" i="285"/>
  <c r="K23" i="284"/>
  <c r="J23" i="284"/>
  <c r="G23" i="284"/>
  <c r="H38" i="258" s="1"/>
  <c r="E23" i="284"/>
  <c r="J43" i="283"/>
  <c r="J22" i="283"/>
  <c r="I22" i="283"/>
  <c r="H22" i="283"/>
  <c r="G22" i="283"/>
  <c r="J42" i="282"/>
  <c r="I42" i="282"/>
  <c r="J25" i="282"/>
  <c r="L27" i="281"/>
  <c r="H23" i="364" s="1"/>
  <c r="K27" i="281"/>
  <c r="H22" i="364" s="1"/>
  <c r="J27" i="281"/>
  <c r="J9" i="340" s="1"/>
  <c r="J27" i="340" s="1"/>
  <c r="J9" i="341" s="1"/>
  <c r="J27" i="341" s="1"/>
  <c r="J9" i="342" s="1"/>
  <c r="J27" i="342" s="1"/>
  <c r="J9" i="343" s="1"/>
  <c r="J27" i="343" s="1"/>
  <c r="I27" i="281"/>
  <c r="I9" i="340" s="1"/>
  <c r="I27" i="340" s="1"/>
  <c r="I9" i="341" s="1"/>
  <c r="I27" i="341" s="1"/>
  <c r="I9" i="342" s="1"/>
  <c r="I27" i="342" s="1"/>
  <c r="I9" i="343" s="1"/>
  <c r="I27" i="343" s="1"/>
  <c r="H27" i="281"/>
  <c r="H9" i="340" s="1"/>
  <c r="H27" i="340" s="1"/>
  <c r="H9" i="341" s="1"/>
  <c r="H27" i="341" s="1"/>
  <c r="H9" i="342" s="1"/>
  <c r="H27" i="342" s="1"/>
  <c r="H9" i="343" s="1"/>
  <c r="H27" i="343" s="1"/>
  <c r="G27" i="281"/>
  <c r="G9" i="340" s="1"/>
  <c r="G27" i="340" s="1"/>
  <c r="G9" i="341" s="1"/>
  <c r="G27" i="341" s="1"/>
  <c r="G9" i="342" s="1"/>
  <c r="G27" i="342" s="1"/>
  <c r="G9" i="343" s="1"/>
  <c r="G27" i="343" s="1"/>
  <c r="F27" i="281"/>
  <c r="F9" i="340" s="1"/>
  <c r="F27" i="340" s="1"/>
  <c r="F9" i="341" s="1"/>
  <c r="F27" i="341" s="1"/>
  <c r="F9" i="342" s="1"/>
  <c r="F27" i="342" s="1"/>
  <c r="F9" i="343" s="1"/>
  <c r="F27" i="343" s="1"/>
  <c r="E27" i="281"/>
  <c r="E9" i="340" s="1"/>
  <c r="E27" i="340" s="1"/>
  <c r="E9" i="341" s="1"/>
  <c r="E27" i="341" s="1"/>
  <c r="E9" i="342" s="1"/>
  <c r="E27" i="342" s="1"/>
  <c r="E9" i="343" s="1"/>
  <c r="E27" i="343" s="1"/>
  <c r="I23" i="280"/>
  <c r="H23" i="280"/>
  <c r="G23" i="280"/>
  <c r="H19" i="364" s="1"/>
  <c r="K23" i="279"/>
  <c r="J23" i="279"/>
  <c r="G23" i="279"/>
  <c r="H38" i="365" s="1"/>
  <c r="E23" i="279"/>
  <c r="B38" i="380"/>
  <c r="A40" i="380" l="1"/>
  <c r="I25" i="282"/>
  <c r="H41" i="364"/>
  <c r="I43" i="283"/>
  <c r="H42" i="364"/>
  <c r="I25" i="297"/>
  <c r="H41" i="362"/>
  <c r="I43" i="303"/>
  <c r="H42" i="360"/>
  <c r="K9" i="331"/>
  <c r="K27" i="331" s="1"/>
  <c r="K9" i="332" s="1"/>
  <c r="K27" i="332" s="1"/>
  <c r="K9" i="333" s="1"/>
  <c r="K27" i="333" s="1"/>
  <c r="H22" i="360"/>
  <c r="I25" i="298"/>
  <c r="H41" i="360"/>
  <c r="L9" i="331"/>
  <c r="L27" i="331" s="1"/>
  <c r="L9" i="332" s="1"/>
  <c r="L27" i="332" s="1"/>
  <c r="L9" i="333" s="1"/>
  <c r="L27" i="333" s="1"/>
  <c r="L9" i="335" s="1"/>
  <c r="L27" i="335" s="1"/>
  <c r="H23" i="360"/>
  <c r="I43" i="302"/>
  <c r="H42" i="358"/>
  <c r="I25" i="299"/>
  <c r="H41" i="358"/>
  <c r="I43" i="301"/>
  <c r="H42" i="356"/>
  <c r="I25" i="300"/>
  <c r="H41" i="356"/>
  <c r="K9" i="340"/>
  <c r="K27" i="340" s="1"/>
  <c r="L9" i="340"/>
  <c r="L27" i="340" s="1"/>
  <c r="L9" i="341" s="1"/>
  <c r="L27" i="341" s="1"/>
  <c r="L9" i="342" s="1"/>
  <c r="L27" i="342" s="1"/>
  <c r="L9" i="343" s="1"/>
  <c r="L27" i="343" s="1"/>
  <c r="K9" i="336"/>
  <c r="K27" i="336" s="1"/>
  <c r="K9" i="337" s="1"/>
  <c r="K27" i="337" s="1"/>
  <c r="K9" i="338" s="1"/>
  <c r="K27" i="338" s="1"/>
  <c r="K9" i="339" s="1"/>
  <c r="K27" i="339" s="1"/>
  <c r="L9" i="336"/>
  <c r="L27" i="336" s="1"/>
  <c r="L9" i="337" s="1"/>
  <c r="L27" i="337" s="1"/>
  <c r="L9" i="338" s="1"/>
  <c r="L27" i="338" s="1"/>
  <c r="L9" i="339" s="1"/>
  <c r="L27" i="339" s="1"/>
  <c r="K9" i="327"/>
  <c r="K27" i="327" s="1"/>
  <c r="K9" i="328" s="1"/>
  <c r="K27" i="328" s="1"/>
  <c r="L9" i="327"/>
  <c r="L27" i="327" s="1"/>
  <c r="L9" i="328" s="1"/>
  <c r="L27" i="328" s="1"/>
  <c r="L9" i="329" s="1"/>
  <c r="L27" i="329" s="1"/>
  <c r="L9" i="330" s="1"/>
  <c r="L27" i="330" s="1"/>
  <c r="E9" i="325"/>
  <c r="E27" i="325" s="1"/>
  <c r="E9" i="326"/>
  <c r="E27" i="326" s="1"/>
  <c r="F9" i="325"/>
  <c r="F27" i="325" s="1"/>
  <c r="F9" i="326"/>
  <c r="F27" i="326" s="1"/>
  <c r="J9" i="325"/>
  <c r="J27" i="325" s="1"/>
  <c r="J9" i="326"/>
  <c r="J27" i="326" s="1"/>
  <c r="I9" i="325"/>
  <c r="I27" i="325" s="1"/>
  <c r="I9" i="326"/>
  <c r="I27" i="326" s="1"/>
  <c r="G9" i="325"/>
  <c r="G27" i="325" s="1"/>
  <c r="G9" i="326"/>
  <c r="G27" i="326" s="1"/>
  <c r="H9" i="325"/>
  <c r="H27" i="325" s="1"/>
  <c r="H9" i="326"/>
  <c r="H27" i="326" s="1"/>
  <c r="K9" i="323"/>
  <c r="K27" i="323" s="1"/>
  <c r="K9" i="324" s="1"/>
  <c r="K27" i="324" s="1"/>
  <c r="L9" i="323"/>
  <c r="L27" i="323" s="1"/>
  <c r="L9" i="324" s="1"/>
  <c r="L27" i="324" s="1"/>
  <c r="I43" i="304"/>
  <c r="L42" i="296"/>
  <c r="L42" i="294"/>
  <c r="L42" i="293"/>
  <c r="L42" i="295"/>
  <c r="L42" i="281"/>
  <c r="B39" i="380"/>
  <c r="A41" i="380" l="1"/>
  <c r="L42" i="332"/>
  <c r="L42" i="331"/>
  <c r="L42" i="340"/>
  <c r="K9" i="341"/>
  <c r="K27" i="341" s="1"/>
  <c r="L42" i="339"/>
  <c r="L42" i="338"/>
  <c r="L42" i="337"/>
  <c r="L42" i="336"/>
  <c r="L42" i="333"/>
  <c r="K9" i="335"/>
  <c r="K27" i="335" s="1"/>
  <c r="L42" i="328"/>
  <c r="K9" i="329"/>
  <c r="K27" i="329" s="1"/>
  <c r="L42" i="327"/>
  <c r="L9" i="325"/>
  <c r="L27" i="325" s="1"/>
  <c r="L9" i="326"/>
  <c r="L27" i="326" s="1"/>
  <c r="H23" i="356" s="1"/>
  <c r="K9" i="325"/>
  <c r="K27" i="325" s="1"/>
  <c r="K9" i="326"/>
  <c r="K27" i="326" s="1"/>
  <c r="H22" i="356" s="1"/>
  <c r="L42" i="324"/>
  <c r="L42" i="323"/>
  <c r="B40" i="380"/>
  <c r="A42" i="380" l="1"/>
  <c r="L42" i="341"/>
  <c r="K9" i="342"/>
  <c r="K27" i="342" s="1"/>
  <c r="L42" i="335"/>
  <c r="L42" i="329"/>
  <c r="K9" i="330"/>
  <c r="K27" i="330" s="1"/>
  <c r="L42" i="325"/>
  <c r="L42" i="326"/>
  <c r="B41" i="380"/>
  <c r="A43" i="380" l="1"/>
  <c r="L42" i="342"/>
  <c r="K9" i="343"/>
  <c r="K27" i="343" s="1"/>
  <c r="L42" i="343" s="1"/>
  <c r="L42" i="330"/>
  <c r="M23" i="278"/>
  <c r="M25" i="278" s="1"/>
  <c r="M27" i="278" s="1"/>
  <c r="H20" i="364"/>
  <c r="H41" i="277"/>
  <c r="G41" i="277"/>
  <c r="I28" i="277"/>
  <c r="I30" i="277" s="1"/>
  <c r="K32" i="277" s="1"/>
  <c r="H23" i="277"/>
  <c r="G22" i="277"/>
  <c r="G23" i="277" s="1"/>
  <c r="H12" i="277"/>
  <c r="G11" i="277"/>
  <c r="H41" i="276"/>
  <c r="G41" i="276"/>
  <c r="I28" i="276"/>
  <c r="I30" i="276" s="1"/>
  <c r="K32" i="276" s="1"/>
  <c r="H23" i="276"/>
  <c r="G22" i="276"/>
  <c r="H17" i="364" s="1"/>
  <c r="H12" i="276"/>
  <c r="G11" i="276"/>
  <c r="N23" i="275"/>
  <c r="N22" i="275"/>
  <c r="N21" i="275"/>
  <c r="L20" i="275"/>
  <c r="J20" i="275"/>
  <c r="H20" i="275"/>
  <c r="N19" i="275"/>
  <c r="N18" i="275"/>
  <c r="N17" i="275"/>
  <c r="N16" i="275"/>
  <c r="N15" i="275"/>
  <c r="N13" i="275"/>
  <c r="L51" i="274"/>
  <c r="L45" i="274"/>
  <c r="L21" i="274"/>
  <c r="L24" i="274" s="1"/>
  <c r="G20" i="268" s="1"/>
  <c r="L44" i="273"/>
  <c r="V13" i="273"/>
  <c r="J39" i="271"/>
  <c r="J32" i="271"/>
  <c r="J34" i="271" s="1"/>
  <c r="J21" i="271"/>
  <c r="H20" i="271"/>
  <c r="H22" i="271" s="1"/>
  <c r="J15" i="271"/>
  <c r="J14" i="271"/>
  <c r="J13" i="271"/>
  <c r="J12" i="271"/>
  <c r="J11" i="271"/>
  <c r="J10" i="271"/>
  <c r="J9" i="271"/>
  <c r="I7" i="271"/>
  <c r="K26" i="270"/>
  <c r="J26" i="270"/>
  <c r="I26" i="270"/>
  <c r="H26" i="270"/>
  <c r="G26" i="270"/>
  <c r="F26" i="270"/>
  <c r="E26" i="270"/>
  <c r="L25" i="270"/>
  <c r="L24" i="270"/>
  <c r="L23" i="270"/>
  <c r="L22" i="270"/>
  <c r="L20" i="270"/>
  <c r="H40" i="365" s="1"/>
  <c r="L19" i="270"/>
  <c r="L18" i="270"/>
  <c r="L17" i="270"/>
  <c r="L16" i="270"/>
  <c r="L15" i="270"/>
  <c r="L13" i="270"/>
  <c r="L12" i="270"/>
  <c r="L11" i="270"/>
  <c r="L10" i="270"/>
  <c r="L9" i="270"/>
  <c r="M23" i="267"/>
  <c r="M25" i="267" s="1"/>
  <c r="M27" i="267" s="1"/>
  <c r="H20" i="362"/>
  <c r="H41" i="266"/>
  <c r="G41" i="266"/>
  <c r="I28" i="266"/>
  <c r="I30" i="266" s="1"/>
  <c r="K32" i="266" s="1"/>
  <c r="H23" i="266"/>
  <c r="G22" i="266"/>
  <c r="G23" i="266" s="1"/>
  <c r="H12" i="266"/>
  <c r="G11" i="266"/>
  <c r="H41" i="265"/>
  <c r="G41" i="265"/>
  <c r="I30" i="265"/>
  <c r="K32" i="265" s="1"/>
  <c r="H23" i="265"/>
  <c r="G22" i="265"/>
  <c r="H17" i="362" s="1"/>
  <c r="H12" i="265"/>
  <c r="G11" i="265"/>
  <c r="N23" i="264"/>
  <c r="N22" i="264"/>
  <c r="N21" i="264"/>
  <c r="L20" i="264"/>
  <c r="J20" i="264"/>
  <c r="H20" i="264"/>
  <c r="N19" i="264"/>
  <c r="N18" i="264"/>
  <c r="N17" i="264"/>
  <c r="N16" i="264"/>
  <c r="N15" i="264"/>
  <c r="N13" i="264"/>
  <c r="L51" i="263"/>
  <c r="L45" i="263"/>
  <c r="L21" i="263"/>
  <c r="L24" i="263" s="1"/>
  <c r="G20" i="256" s="1"/>
  <c r="L44" i="262"/>
  <c r="V13" i="262"/>
  <c r="J39" i="260"/>
  <c r="J32" i="260"/>
  <c r="J34" i="260" s="1"/>
  <c r="J21" i="260"/>
  <c r="H20" i="260"/>
  <c r="H22" i="260" s="1"/>
  <c r="J15" i="260"/>
  <c r="J14" i="260"/>
  <c r="J13" i="260"/>
  <c r="J12" i="260"/>
  <c r="J11" i="260"/>
  <c r="J10" i="260"/>
  <c r="J9" i="260"/>
  <c r="I7" i="260"/>
  <c r="K26" i="259"/>
  <c r="J26" i="259"/>
  <c r="I26" i="259"/>
  <c r="H26" i="259"/>
  <c r="G26" i="259"/>
  <c r="F26" i="259"/>
  <c r="E26" i="259"/>
  <c r="L25" i="259"/>
  <c r="L24" i="259"/>
  <c r="L23" i="259"/>
  <c r="L22" i="259"/>
  <c r="L20" i="259"/>
  <c r="H40" i="258" s="1"/>
  <c r="L19" i="259"/>
  <c r="L18" i="259"/>
  <c r="L17" i="259"/>
  <c r="L16" i="259"/>
  <c r="L15" i="259"/>
  <c r="L13" i="259"/>
  <c r="L12" i="259"/>
  <c r="L11" i="259"/>
  <c r="L10" i="259"/>
  <c r="L9" i="259"/>
  <c r="G43" i="258"/>
  <c r="M23" i="255"/>
  <c r="M25" i="255" s="1"/>
  <c r="M27" i="255" s="1"/>
  <c r="H20" i="360"/>
  <c r="H41" i="254"/>
  <c r="G41" i="254"/>
  <c r="I28" i="254"/>
  <c r="I30" i="254" s="1"/>
  <c r="K32" i="254" s="1"/>
  <c r="H23" i="254"/>
  <c r="G22" i="254"/>
  <c r="G23" i="254" s="1"/>
  <c r="H12" i="254"/>
  <c r="G11" i="254"/>
  <c r="H41" i="253"/>
  <c r="G41" i="253"/>
  <c r="I28" i="253"/>
  <c r="I30" i="253" s="1"/>
  <c r="K32" i="253" s="1"/>
  <c r="H23" i="253"/>
  <c r="G22" i="253"/>
  <c r="H12" i="253"/>
  <c r="G11" i="253"/>
  <c r="N23" i="252"/>
  <c r="N22" i="252"/>
  <c r="N21" i="252"/>
  <c r="L20" i="252"/>
  <c r="J20" i="252"/>
  <c r="H20" i="252"/>
  <c r="N19" i="252"/>
  <c r="N18" i="252"/>
  <c r="N17" i="252"/>
  <c r="N16" i="252"/>
  <c r="N15" i="252"/>
  <c r="N13" i="252"/>
  <c r="L51" i="251"/>
  <c r="L45" i="251"/>
  <c r="L21" i="251"/>
  <c r="L24" i="251" s="1"/>
  <c r="G20" i="244" s="1"/>
  <c r="L44" i="250"/>
  <c r="V13" i="250"/>
  <c r="J39" i="248"/>
  <c r="J32" i="248"/>
  <c r="J34" i="248" s="1"/>
  <c r="J21" i="248"/>
  <c r="H20" i="248"/>
  <c r="H22" i="248" s="1"/>
  <c r="J15" i="248"/>
  <c r="J14" i="248"/>
  <c r="J13" i="248"/>
  <c r="J12" i="248"/>
  <c r="J11" i="248"/>
  <c r="J10" i="248"/>
  <c r="J9" i="248"/>
  <c r="I7" i="248"/>
  <c r="K26" i="247"/>
  <c r="J26" i="247"/>
  <c r="I26" i="247"/>
  <c r="H26" i="247"/>
  <c r="G26" i="247"/>
  <c r="F26" i="247"/>
  <c r="E26" i="247"/>
  <c r="L25" i="247"/>
  <c r="L24" i="247"/>
  <c r="L23" i="247"/>
  <c r="L22" i="247"/>
  <c r="L20" i="247"/>
  <c r="H40" i="246" s="1"/>
  <c r="L19" i="247"/>
  <c r="L18" i="247"/>
  <c r="L17" i="247"/>
  <c r="L16" i="247"/>
  <c r="L15" i="247"/>
  <c r="L13" i="247"/>
  <c r="L12" i="247"/>
  <c r="L11" i="247"/>
  <c r="L10" i="247"/>
  <c r="L9" i="247"/>
  <c r="G43" i="246"/>
  <c r="M23" i="243"/>
  <c r="M25" i="243" s="1"/>
  <c r="M27" i="243" s="1"/>
  <c r="H20" i="358"/>
  <c r="H41" i="242"/>
  <c r="G41" i="242"/>
  <c r="I28" i="242"/>
  <c r="I30" i="242" s="1"/>
  <c r="K32" i="242" s="1"/>
  <c r="H23" i="242"/>
  <c r="G22" i="242"/>
  <c r="G23" i="242" s="1"/>
  <c r="H12" i="242"/>
  <c r="G11" i="242"/>
  <c r="H41" i="241"/>
  <c r="G41" i="241"/>
  <c r="I28" i="241"/>
  <c r="I30" i="241" s="1"/>
  <c r="K32" i="241" s="1"/>
  <c r="H23" i="241"/>
  <c r="G22" i="241"/>
  <c r="H17" i="358" s="1"/>
  <c r="H12" i="241"/>
  <c r="G11" i="241"/>
  <c r="N23" i="240"/>
  <c r="N22" i="240"/>
  <c r="N21" i="240"/>
  <c r="L20" i="240"/>
  <c r="J20" i="240"/>
  <c r="H20" i="240"/>
  <c r="N19" i="240"/>
  <c r="N18" i="240"/>
  <c r="N17" i="240"/>
  <c r="N16" i="240"/>
  <c r="N15" i="240"/>
  <c r="N13" i="240"/>
  <c r="L51" i="239"/>
  <c r="L45" i="239"/>
  <c r="L21" i="239"/>
  <c r="L24" i="239" s="1"/>
  <c r="G20" i="232" s="1"/>
  <c r="L44" i="238"/>
  <c r="V13" i="238"/>
  <c r="J39" i="236"/>
  <c r="J32" i="236"/>
  <c r="J34" i="236" s="1"/>
  <c r="J21" i="236"/>
  <c r="H20" i="236"/>
  <c r="H22" i="236" s="1"/>
  <c r="J15" i="236"/>
  <c r="J14" i="236"/>
  <c r="J13" i="236"/>
  <c r="J12" i="236"/>
  <c r="J11" i="236"/>
  <c r="J10" i="236"/>
  <c r="J9" i="236"/>
  <c r="I7" i="236"/>
  <c r="K26" i="235"/>
  <c r="J26" i="235"/>
  <c r="I26" i="235"/>
  <c r="H26" i="235"/>
  <c r="G26" i="235"/>
  <c r="F26" i="235"/>
  <c r="E26" i="235"/>
  <c r="L25" i="235"/>
  <c r="L24" i="235"/>
  <c r="L23" i="235"/>
  <c r="L22" i="235"/>
  <c r="L20" i="235"/>
  <c r="H40" i="234" s="1"/>
  <c r="L19" i="235"/>
  <c r="L18" i="235"/>
  <c r="L17" i="235"/>
  <c r="L16" i="235"/>
  <c r="L15" i="235"/>
  <c r="L13" i="235"/>
  <c r="L12" i="235"/>
  <c r="L11" i="235"/>
  <c r="L10" i="235"/>
  <c r="L9" i="235"/>
  <c r="G43" i="234"/>
  <c r="M23" i="231"/>
  <c r="M25" i="231" s="1"/>
  <c r="M27" i="231" s="1"/>
  <c r="H20" i="356"/>
  <c r="H41" i="230"/>
  <c r="G41" i="230"/>
  <c r="I28" i="230"/>
  <c r="I30" i="230" s="1"/>
  <c r="K32" i="230" s="1"/>
  <c r="H23" i="230"/>
  <c r="G22" i="230"/>
  <c r="G23" i="230" s="1"/>
  <c r="H12" i="230"/>
  <c r="G11" i="230"/>
  <c r="H41" i="229"/>
  <c r="G41" i="229"/>
  <c r="I28" i="229"/>
  <c r="I30" i="229" s="1"/>
  <c r="K32" i="229" s="1"/>
  <c r="H23" i="229"/>
  <c r="G22" i="229"/>
  <c r="H17" i="356" s="1"/>
  <c r="H12" i="229"/>
  <c r="G11" i="229"/>
  <c r="N23" i="228"/>
  <c r="N22" i="228"/>
  <c r="N21" i="228"/>
  <c r="L20" i="228"/>
  <c r="J20" i="228"/>
  <c r="H20" i="228"/>
  <c r="N19" i="228"/>
  <c r="N18" i="228"/>
  <c r="N17" i="228"/>
  <c r="N16" i="228"/>
  <c r="N15" i="228"/>
  <c r="N13" i="228"/>
  <c r="L51" i="227"/>
  <c r="L45" i="227"/>
  <c r="L21" i="227"/>
  <c r="L24" i="227" s="1"/>
  <c r="G20" i="220" s="1"/>
  <c r="L44" i="226"/>
  <c r="V13" i="226"/>
  <c r="J39" i="224"/>
  <c r="J32" i="224"/>
  <c r="J34" i="224" s="1"/>
  <c r="J21" i="224"/>
  <c r="H20" i="224"/>
  <c r="H22" i="224" s="1"/>
  <c r="J15" i="224"/>
  <c r="J14" i="224"/>
  <c r="J13" i="224"/>
  <c r="J12" i="224"/>
  <c r="J11" i="224"/>
  <c r="J10" i="224"/>
  <c r="J9" i="224"/>
  <c r="I7" i="224"/>
  <c r="K26" i="223"/>
  <c r="J26" i="223"/>
  <c r="I26" i="223"/>
  <c r="H26" i="223"/>
  <c r="G26" i="223"/>
  <c r="F26" i="223"/>
  <c r="E26" i="223"/>
  <c r="L25" i="223"/>
  <c r="L24" i="223"/>
  <c r="L23" i="223"/>
  <c r="L22" i="223"/>
  <c r="L20" i="223"/>
  <c r="H40" i="222" s="1"/>
  <c r="L19" i="223"/>
  <c r="L18" i="223"/>
  <c r="L17" i="223"/>
  <c r="L16" i="223"/>
  <c r="L15" i="223"/>
  <c r="L13" i="223"/>
  <c r="L12" i="223"/>
  <c r="L11" i="223"/>
  <c r="L10" i="223"/>
  <c r="L9" i="223"/>
  <c r="G43" i="222"/>
  <c r="B42" i="380"/>
  <c r="G44" i="268" l="1"/>
  <c r="A44" i="380"/>
  <c r="H18" i="362"/>
  <c r="H18" i="364"/>
  <c r="H18" i="356"/>
  <c r="H18" i="358"/>
  <c r="H18" i="360"/>
  <c r="G12" i="229"/>
  <c r="H39" i="222"/>
  <c r="G12" i="253"/>
  <c r="H39" i="246"/>
  <c r="G12" i="241"/>
  <c r="H39" i="234"/>
  <c r="G12" i="265"/>
  <c r="H39" i="258"/>
  <c r="G12" i="276"/>
  <c r="H39" i="365"/>
  <c r="H43" i="365" s="1"/>
  <c r="G12" i="277"/>
  <c r="G12" i="266"/>
  <c r="G23" i="253"/>
  <c r="H17" i="360"/>
  <c r="G12" i="242"/>
  <c r="G12" i="254"/>
  <c r="G12" i="230"/>
  <c r="J7" i="224"/>
  <c r="J20" i="224" s="1"/>
  <c r="K23" i="226"/>
  <c r="J7" i="248"/>
  <c r="J20" i="248" s="1"/>
  <c r="K23" i="250"/>
  <c r="J7" i="236"/>
  <c r="J20" i="236" s="1"/>
  <c r="K23" i="238"/>
  <c r="I20" i="260"/>
  <c r="K23" i="262"/>
  <c r="J7" i="271"/>
  <c r="J20" i="271" s="1"/>
  <c r="K23" i="273"/>
  <c r="G23" i="229"/>
  <c r="G23" i="265"/>
  <c r="G23" i="276"/>
  <c r="G23" i="241"/>
  <c r="L54" i="274"/>
  <c r="G21" i="268" s="1"/>
  <c r="N20" i="275"/>
  <c r="L38" i="273"/>
  <c r="J29" i="272"/>
  <c r="K32" i="272" s="1"/>
  <c r="J40" i="271"/>
  <c r="L6" i="273" s="1"/>
  <c r="I20" i="271"/>
  <c r="L26" i="270"/>
  <c r="H39" i="268"/>
  <c r="L54" i="263"/>
  <c r="G21" i="256" s="1"/>
  <c r="N20" i="264"/>
  <c r="L38" i="262"/>
  <c r="J29" i="261"/>
  <c r="K32" i="261" s="1"/>
  <c r="H39" i="256"/>
  <c r="L39" i="262" s="1"/>
  <c r="J40" i="260"/>
  <c r="L6" i="262" s="1"/>
  <c r="J7" i="260"/>
  <c r="J20" i="260" s="1"/>
  <c r="L26" i="259"/>
  <c r="L54" i="227"/>
  <c r="G21" i="220" s="1"/>
  <c r="N20" i="252"/>
  <c r="J29" i="237"/>
  <c r="K32" i="237" s="1"/>
  <c r="I20" i="224"/>
  <c r="N20" i="228"/>
  <c r="H39" i="232"/>
  <c r="L39" i="238" s="1"/>
  <c r="H39" i="244"/>
  <c r="L39" i="250" s="1"/>
  <c r="I20" i="248"/>
  <c r="J40" i="224"/>
  <c r="L6" i="226" s="1"/>
  <c r="N20" i="240"/>
  <c r="L54" i="251"/>
  <c r="G21" i="244" s="1"/>
  <c r="L26" i="223"/>
  <c r="L38" i="226"/>
  <c r="L40" i="226" s="1"/>
  <c r="L45" i="226" s="1"/>
  <c r="J40" i="236"/>
  <c r="L6" i="238" s="1"/>
  <c r="L54" i="239"/>
  <c r="G21" i="232" s="1"/>
  <c r="L38" i="250"/>
  <c r="L26" i="235"/>
  <c r="L38" i="238"/>
  <c r="J40" i="248"/>
  <c r="L6" i="250" s="1"/>
  <c r="I20" i="236"/>
  <c r="J29" i="225"/>
  <c r="K32" i="225" s="1"/>
  <c r="L26" i="247"/>
  <c r="J29" i="249"/>
  <c r="K32" i="249" s="1"/>
  <c r="H39" i="207"/>
  <c r="G39" i="207"/>
  <c r="K27" i="207"/>
  <c r="H24" i="207"/>
  <c r="G23" i="207"/>
  <c r="G24" i="207" s="1"/>
  <c r="K16" i="207"/>
  <c r="H13" i="207"/>
  <c r="G12" i="207"/>
  <c r="H39" i="206"/>
  <c r="G39" i="206"/>
  <c r="K27" i="206"/>
  <c r="H24" i="206"/>
  <c r="G23" i="206"/>
  <c r="G24" i="206" s="1"/>
  <c r="K16" i="206"/>
  <c r="H13" i="206"/>
  <c r="G12" i="206"/>
  <c r="G13" i="206" s="1"/>
  <c r="I42" i="203"/>
  <c r="J42" i="203" s="1"/>
  <c r="I41" i="203"/>
  <c r="J41" i="203" s="1"/>
  <c r="I40" i="203"/>
  <c r="J40" i="203" s="1"/>
  <c r="I39" i="203"/>
  <c r="J39" i="203" s="1"/>
  <c r="I38" i="203"/>
  <c r="J38" i="203" s="1"/>
  <c r="I37" i="203"/>
  <c r="J37" i="203" s="1"/>
  <c r="I36" i="203"/>
  <c r="J36" i="203" s="1"/>
  <c r="I35" i="203"/>
  <c r="J35" i="203" s="1"/>
  <c r="I34" i="203"/>
  <c r="J34" i="203" s="1"/>
  <c r="I33" i="203"/>
  <c r="J33" i="203" s="1"/>
  <c r="I32" i="203"/>
  <c r="J32" i="203" s="1"/>
  <c r="I31" i="203"/>
  <c r="J31" i="203" s="1"/>
  <c r="I30" i="203"/>
  <c r="J30" i="203" s="1"/>
  <c r="I29" i="203"/>
  <c r="J29" i="203" s="1"/>
  <c r="I28" i="203"/>
  <c r="J28" i="203" s="1"/>
  <c r="I27" i="203"/>
  <c r="J27" i="203" s="1"/>
  <c r="I26" i="203"/>
  <c r="J26" i="203" s="1"/>
  <c r="I25" i="203"/>
  <c r="J25" i="203" s="1"/>
  <c r="I24" i="203"/>
  <c r="J24" i="203" s="1"/>
  <c r="I23" i="203"/>
  <c r="J23" i="203" s="1"/>
  <c r="I22" i="203"/>
  <c r="J22" i="203" s="1"/>
  <c r="I21" i="203"/>
  <c r="J21" i="203" s="1"/>
  <c r="I20" i="203"/>
  <c r="J20" i="203" s="1"/>
  <c r="I19" i="203"/>
  <c r="J19" i="203" s="1"/>
  <c r="I18" i="203"/>
  <c r="J18" i="203" s="1"/>
  <c r="I17" i="203"/>
  <c r="J17" i="203" s="1"/>
  <c r="I16" i="203"/>
  <c r="J16" i="203" s="1"/>
  <c r="I15" i="203"/>
  <c r="J15" i="203" s="1"/>
  <c r="I14" i="203"/>
  <c r="J14" i="203" s="1"/>
  <c r="I13" i="203"/>
  <c r="J13" i="203" s="1"/>
  <c r="J12" i="203"/>
  <c r="J11" i="203"/>
  <c r="I42" i="202"/>
  <c r="J42" i="202" s="1"/>
  <c r="I41" i="202"/>
  <c r="J41" i="202" s="1"/>
  <c r="I40" i="202"/>
  <c r="J40" i="202" s="1"/>
  <c r="I39" i="202"/>
  <c r="J39" i="202" s="1"/>
  <c r="I38" i="202"/>
  <c r="J38" i="202" s="1"/>
  <c r="I37" i="202"/>
  <c r="J37" i="202" s="1"/>
  <c r="I36" i="202"/>
  <c r="J36" i="202" s="1"/>
  <c r="I35" i="202"/>
  <c r="J35" i="202" s="1"/>
  <c r="I34" i="202"/>
  <c r="J34" i="202" s="1"/>
  <c r="I33" i="202"/>
  <c r="J33" i="202" s="1"/>
  <c r="I32" i="202"/>
  <c r="J32" i="202" s="1"/>
  <c r="I31" i="202"/>
  <c r="J31" i="202" s="1"/>
  <c r="I30" i="202"/>
  <c r="J30" i="202" s="1"/>
  <c r="I29" i="202"/>
  <c r="J29" i="202" s="1"/>
  <c r="I28" i="202"/>
  <c r="J28" i="202" s="1"/>
  <c r="I27" i="202"/>
  <c r="J27" i="202" s="1"/>
  <c r="I26" i="202"/>
  <c r="J26" i="202" s="1"/>
  <c r="I25" i="202"/>
  <c r="J25" i="202" s="1"/>
  <c r="I24" i="202"/>
  <c r="J24" i="202" s="1"/>
  <c r="I23" i="202"/>
  <c r="J23" i="202" s="1"/>
  <c r="I22" i="202"/>
  <c r="J22" i="202" s="1"/>
  <c r="I21" i="202"/>
  <c r="J21" i="202" s="1"/>
  <c r="I20" i="202"/>
  <c r="J20" i="202" s="1"/>
  <c r="I19" i="202"/>
  <c r="J19" i="202" s="1"/>
  <c r="I18" i="202"/>
  <c r="J18" i="202" s="1"/>
  <c r="I17" i="202"/>
  <c r="J17" i="202" s="1"/>
  <c r="I16" i="202"/>
  <c r="J16" i="202" s="1"/>
  <c r="I15" i="202"/>
  <c r="J15" i="202" s="1"/>
  <c r="I14" i="202"/>
  <c r="J14" i="202" s="1"/>
  <c r="I13" i="202"/>
  <c r="J13" i="202" s="1"/>
  <c r="J12" i="202"/>
  <c r="J11" i="202"/>
  <c r="I42" i="201"/>
  <c r="J42" i="201" s="1"/>
  <c r="I41" i="201"/>
  <c r="J41" i="201" s="1"/>
  <c r="I40" i="201"/>
  <c r="J40" i="201" s="1"/>
  <c r="I39" i="201"/>
  <c r="J39" i="201" s="1"/>
  <c r="I38" i="201"/>
  <c r="J38" i="201" s="1"/>
  <c r="I37" i="201"/>
  <c r="J37" i="201" s="1"/>
  <c r="I36" i="201"/>
  <c r="J36" i="201" s="1"/>
  <c r="I35" i="201"/>
  <c r="J35" i="201" s="1"/>
  <c r="I34" i="201"/>
  <c r="J34" i="201" s="1"/>
  <c r="I33" i="201"/>
  <c r="J33" i="201" s="1"/>
  <c r="I32" i="201"/>
  <c r="J32" i="201" s="1"/>
  <c r="I31" i="201"/>
  <c r="J31" i="201" s="1"/>
  <c r="I30" i="201"/>
  <c r="J30" i="201" s="1"/>
  <c r="I29" i="201"/>
  <c r="J29" i="201" s="1"/>
  <c r="I28" i="201"/>
  <c r="J28" i="201" s="1"/>
  <c r="I27" i="201"/>
  <c r="J27" i="201" s="1"/>
  <c r="I26" i="201"/>
  <c r="J26" i="201" s="1"/>
  <c r="I25" i="201"/>
  <c r="J25" i="201" s="1"/>
  <c r="I24" i="201"/>
  <c r="J24" i="201" s="1"/>
  <c r="I23" i="201"/>
  <c r="J23" i="201" s="1"/>
  <c r="I22" i="201"/>
  <c r="J22" i="201" s="1"/>
  <c r="I21" i="201"/>
  <c r="J21" i="201" s="1"/>
  <c r="I20" i="201"/>
  <c r="J20" i="201" s="1"/>
  <c r="I19" i="201"/>
  <c r="J19" i="201" s="1"/>
  <c r="I18" i="201"/>
  <c r="J18" i="201" s="1"/>
  <c r="I17" i="201"/>
  <c r="J17" i="201" s="1"/>
  <c r="I16" i="201"/>
  <c r="J16" i="201" s="1"/>
  <c r="I15" i="201"/>
  <c r="J15" i="201" s="1"/>
  <c r="I14" i="201"/>
  <c r="J14" i="201" s="1"/>
  <c r="I13" i="201"/>
  <c r="J13" i="201" s="1"/>
  <c r="J12" i="201"/>
  <c r="J11" i="201"/>
  <c r="I42" i="200"/>
  <c r="J42" i="200" s="1"/>
  <c r="I41" i="200"/>
  <c r="J41" i="200" s="1"/>
  <c r="I40" i="200"/>
  <c r="J40" i="200" s="1"/>
  <c r="I39" i="200"/>
  <c r="J39" i="200" s="1"/>
  <c r="I38" i="200"/>
  <c r="J38" i="200" s="1"/>
  <c r="I37" i="200"/>
  <c r="J37" i="200" s="1"/>
  <c r="I36" i="200"/>
  <c r="J36" i="200" s="1"/>
  <c r="I35" i="200"/>
  <c r="J35" i="200" s="1"/>
  <c r="I34" i="200"/>
  <c r="J34" i="200" s="1"/>
  <c r="I33" i="200"/>
  <c r="J33" i="200" s="1"/>
  <c r="I32" i="200"/>
  <c r="J32" i="200" s="1"/>
  <c r="I31" i="200"/>
  <c r="J31" i="200" s="1"/>
  <c r="I30" i="200"/>
  <c r="J30" i="200" s="1"/>
  <c r="I29" i="200"/>
  <c r="J29" i="200" s="1"/>
  <c r="I28" i="200"/>
  <c r="J28" i="200" s="1"/>
  <c r="I27" i="200"/>
  <c r="J27" i="200" s="1"/>
  <c r="I26" i="200"/>
  <c r="J26" i="200" s="1"/>
  <c r="I25" i="200"/>
  <c r="J25" i="200" s="1"/>
  <c r="I24" i="200"/>
  <c r="J24" i="200" s="1"/>
  <c r="I23" i="200"/>
  <c r="J23" i="200" s="1"/>
  <c r="I22" i="200"/>
  <c r="J22" i="200" s="1"/>
  <c r="I21" i="200"/>
  <c r="J21" i="200" s="1"/>
  <c r="I20" i="200"/>
  <c r="J20" i="200" s="1"/>
  <c r="I19" i="200"/>
  <c r="J19" i="200" s="1"/>
  <c r="I18" i="200"/>
  <c r="J18" i="200" s="1"/>
  <c r="I17" i="200"/>
  <c r="J17" i="200" s="1"/>
  <c r="I16" i="200"/>
  <c r="J16" i="200" s="1"/>
  <c r="I15" i="200"/>
  <c r="J15" i="200" s="1"/>
  <c r="I14" i="200"/>
  <c r="J14" i="200" s="1"/>
  <c r="I13" i="200"/>
  <c r="J13" i="200" s="1"/>
  <c r="J12" i="200"/>
  <c r="J11" i="200"/>
  <c r="B43" i="380"/>
  <c r="L39" i="273" l="1"/>
  <c r="L40" i="273" s="1"/>
  <c r="L45" i="273" s="1"/>
  <c r="A45" i="380"/>
  <c r="L40" i="262"/>
  <c r="L45" i="262" s="1"/>
  <c r="L40" i="250"/>
  <c r="L45" i="250" s="1"/>
  <c r="L40" i="238"/>
  <c r="L45" i="238" s="1"/>
  <c r="J22" i="224"/>
  <c r="I22" i="271"/>
  <c r="J16" i="272"/>
  <c r="I22" i="248"/>
  <c r="J16" i="249"/>
  <c r="I22" i="224"/>
  <c r="J16" i="225"/>
  <c r="I22" i="260"/>
  <c r="J16" i="261"/>
  <c r="J22" i="248"/>
  <c r="J22" i="260"/>
  <c r="I22" i="236"/>
  <c r="J16" i="237"/>
  <c r="J22" i="236"/>
  <c r="J22" i="271"/>
  <c r="G13" i="207"/>
  <c r="I33" i="28"/>
  <c r="I32" i="28"/>
  <c r="J32" i="28" s="1"/>
  <c r="I31" i="28"/>
  <c r="J31" i="28" s="1"/>
  <c r="I30" i="28"/>
  <c r="J30" i="28" s="1"/>
  <c r="I29" i="28"/>
  <c r="J29" i="28" s="1"/>
  <c r="I27" i="12"/>
  <c r="M47" i="131"/>
  <c r="M46" i="131"/>
  <c r="M45" i="131"/>
  <c r="M44" i="131"/>
  <c r="M43" i="131"/>
  <c r="M42" i="131"/>
  <c r="M41" i="131"/>
  <c r="M40" i="131"/>
  <c r="M39" i="131"/>
  <c r="M38" i="131"/>
  <c r="M37" i="131"/>
  <c r="M36" i="131"/>
  <c r="M35" i="131"/>
  <c r="M34" i="131"/>
  <c r="M33" i="131"/>
  <c r="M32" i="131"/>
  <c r="M31" i="131"/>
  <c r="M30" i="131"/>
  <c r="M29" i="131"/>
  <c r="M28" i="131"/>
  <c r="M27" i="131"/>
  <c r="M26" i="131"/>
  <c r="M25" i="131"/>
  <c r="M24" i="131"/>
  <c r="M23" i="131"/>
  <c r="M22" i="131"/>
  <c r="M21" i="131"/>
  <c r="M20" i="131"/>
  <c r="M19" i="131"/>
  <c r="M18" i="131"/>
  <c r="M17" i="131"/>
  <c r="M16" i="131"/>
  <c r="M15" i="131"/>
  <c r="M14" i="131"/>
  <c r="M13" i="131"/>
  <c r="M12" i="131"/>
  <c r="M11" i="131"/>
  <c r="M47" i="130"/>
  <c r="M46" i="130"/>
  <c r="M45" i="130"/>
  <c r="M44" i="130"/>
  <c r="M43" i="130"/>
  <c r="M42" i="130"/>
  <c r="M41" i="130"/>
  <c r="M40" i="130"/>
  <c r="M39" i="130"/>
  <c r="M38" i="130"/>
  <c r="M37" i="130"/>
  <c r="M36" i="130"/>
  <c r="M35" i="130"/>
  <c r="M34" i="130"/>
  <c r="M33" i="130"/>
  <c r="M32" i="130"/>
  <c r="M31" i="130"/>
  <c r="M30" i="130"/>
  <c r="M29" i="130"/>
  <c r="M28" i="130"/>
  <c r="M27" i="130"/>
  <c r="M26" i="130"/>
  <c r="M25" i="130"/>
  <c r="M24" i="130"/>
  <c r="M23" i="130"/>
  <c r="M22" i="130"/>
  <c r="M21" i="130"/>
  <c r="M20" i="130"/>
  <c r="M19" i="130"/>
  <c r="M18" i="130"/>
  <c r="M17" i="130"/>
  <c r="M16" i="130"/>
  <c r="M15" i="130"/>
  <c r="M14" i="130"/>
  <c r="M13" i="130"/>
  <c r="M12" i="130"/>
  <c r="M11" i="130"/>
  <c r="M47" i="129"/>
  <c r="M46" i="129"/>
  <c r="M45" i="129"/>
  <c r="M44" i="129"/>
  <c r="M43" i="129"/>
  <c r="M42" i="129"/>
  <c r="M41" i="129"/>
  <c r="M40" i="129"/>
  <c r="M39" i="129"/>
  <c r="M38" i="129"/>
  <c r="M37" i="129"/>
  <c r="M36" i="129"/>
  <c r="M35" i="129"/>
  <c r="M34" i="129"/>
  <c r="M33" i="129"/>
  <c r="M32" i="129"/>
  <c r="M31" i="129"/>
  <c r="M30" i="129"/>
  <c r="M29" i="129"/>
  <c r="M28" i="129"/>
  <c r="M27" i="129"/>
  <c r="M26" i="129"/>
  <c r="M25" i="129"/>
  <c r="M24" i="129"/>
  <c r="M23" i="129"/>
  <c r="M22" i="129"/>
  <c r="M21" i="129"/>
  <c r="M20" i="129"/>
  <c r="M19" i="129"/>
  <c r="M18" i="129"/>
  <c r="M17" i="129"/>
  <c r="M16" i="129"/>
  <c r="M15" i="129"/>
  <c r="M14" i="129"/>
  <c r="M13" i="129"/>
  <c r="M12" i="129"/>
  <c r="M11" i="129"/>
  <c r="H9" i="125"/>
  <c r="H44" i="125" s="1"/>
  <c r="H9" i="126" s="1"/>
  <c r="H44" i="126" s="1"/>
  <c r="H9" i="127" s="1"/>
  <c r="H44" i="127" s="1"/>
  <c r="H9" i="128" s="1"/>
  <c r="H44" i="128" s="1"/>
  <c r="I28" i="112"/>
  <c r="I28" i="113"/>
  <c r="K27" i="96"/>
  <c r="K16" i="96"/>
  <c r="L25" i="37"/>
  <c r="J25" i="37"/>
  <c r="H25" i="37"/>
  <c r="N24" i="37"/>
  <c r="N23" i="37"/>
  <c r="N22" i="37"/>
  <c r="N21" i="37"/>
  <c r="N20" i="37"/>
  <c r="N19" i="37"/>
  <c r="N17" i="37"/>
  <c r="N14" i="37"/>
  <c r="I6" i="24"/>
  <c r="C26" i="121" s="1"/>
  <c r="G41" i="21"/>
  <c r="G20" i="21"/>
  <c r="B44" i="380"/>
  <c r="A46" i="380" l="1"/>
  <c r="L5" i="273"/>
  <c r="K10" i="273"/>
  <c r="L5" i="262"/>
  <c r="K10" i="262"/>
  <c r="L5" i="250"/>
  <c r="K10" i="250"/>
  <c r="L5" i="238"/>
  <c r="K10" i="238"/>
  <c r="L5" i="226"/>
  <c r="K10" i="226"/>
  <c r="N25" i="37"/>
  <c r="C45" i="121" s="1"/>
  <c r="I7" i="12"/>
  <c r="G10" i="7" s="1"/>
  <c r="H38" i="8"/>
  <c r="H28" i="8"/>
  <c r="B45" i="380"/>
  <c r="A47" i="380" l="1"/>
  <c r="M47" i="122"/>
  <c r="M46" i="122"/>
  <c r="M45" i="122"/>
  <c r="M44" i="122"/>
  <c r="M43" i="122"/>
  <c r="M42" i="122"/>
  <c r="M41" i="122"/>
  <c r="M40" i="122"/>
  <c r="M39" i="122"/>
  <c r="M38" i="122"/>
  <c r="M37" i="122"/>
  <c r="M36" i="122"/>
  <c r="M35" i="122"/>
  <c r="M34" i="122"/>
  <c r="M33" i="122"/>
  <c r="M32" i="122"/>
  <c r="M31" i="122"/>
  <c r="M30" i="122"/>
  <c r="M29" i="122"/>
  <c r="M28" i="122"/>
  <c r="M27" i="122"/>
  <c r="M26" i="122"/>
  <c r="M25" i="122"/>
  <c r="M24" i="122"/>
  <c r="M23" i="122"/>
  <c r="M22" i="122"/>
  <c r="M21" i="122"/>
  <c r="M20" i="122"/>
  <c r="M19" i="122"/>
  <c r="M18" i="122"/>
  <c r="M17" i="122"/>
  <c r="M16" i="122"/>
  <c r="M15" i="122"/>
  <c r="M14" i="122"/>
  <c r="M13" i="122"/>
  <c r="M12" i="122"/>
  <c r="M11" i="122"/>
  <c r="M47" i="97"/>
  <c r="M46" i="97"/>
  <c r="M45" i="97"/>
  <c r="M44" i="97"/>
  <c r="M43" i="97"/>
  <c r="M42" i="97"/>
  <c r="M41" i="97"/>
  <c r="M40" i="97"/>
  <c r="M39" i="97"/>
  <c r="M38" i="97"/>
  <c r="M37" i="97"/>
  <c r="M36" i="97"/>
  <c r="M35" i="97"/>
  <c r="M34" i="97"/>
  <c r="M33" i="97"/>
  <c r="M32" i="97"/>
  <c r="M31" i="97"/>
  <c r="M30" i="97"/>
  <c r="M29" i="97"/>
  <c r="M28" i="97"/>
  <c r="M27" i="97"/>
  <c r="M26" i="97"/>
  <c r="B46" i="380"/>
  <c r="A48" i="380" l="1"/>
  <c r="H17" i="8"/>
  <c r="J7" i="34"/>
  <c r="J20" i="34" s="1"/>
  <c r="G24" i="4"/>
  <c r="G23" i="4"/>
  <c r="J24" i="108"/>
  <c r="J39" i="108"/>
  <c r="J20" i="111"/>
  <c r="H20" i="111"/>
  <c r="K23" i="115"/>
  <c r="J23" i="115"/>
  <c r="G23" i="115"/>
  <c r="E23" i="115"/>
  <c r="F26" i="106"/>
  <c r="G26" i="106"/>
  <c r="H26" i="106"/>
  <c r="I26" i="106"/>
  <c r="J26" i="106"/>
  <c r="L23" i="106"/>
  <c r="L24" i="106"/>
  <c r="L25" i="106"/>
  <c r="L22" i="106"/>
  <c r="L16" i="106"/>
  <c r="L17" i="106"/>
  <c r="L18" i="106"/>
  <c r="L19" i="106"/>
  <c r="L20" i="106"/>
  <c r="H40" i="105" s="1"/>
  <c r="L15" i="106"/>
  <c r="L10" i="106"/>
  <c r="L11" i="106"/>
  <c r="L12" i="106"/>
  <c r="L13" i="106"/>
  <c r="L9" i="106"/>
  <c r="B47" i="380"/>
  <c r="A49" i="380" l="1"/>
  <c r="H38" i="105"/>
  <c r="L26" i="106"/>
  <c r="K5" i="36"/>
  <c r="K20" i="29"/>
  <c r="B48" i="380"/>
  <c r="A50" i="380" l="1"/>
  <c r="J21" i="29"/>
  <c r="G13" i="4" s="1"/>
  <c r="I22" i="29"/>
  <c r="H13" i="4" s="1"/>
  <c r="B49" i="380"/>
  <c r="A51" i="380" l="1"/>
  <c r="I50" i="56"/>
  <c r="B4" i="102"/>
  <c r="C15" i="121"/>
  <c r="C5" i="121"/>
  <c r="E46" i="57"/>
  <c r="G45" i="57"/>
  <c r="H57" i="57"/>
  <c r="I23" i="116"/>
  <c r="G22" i="112"/>
  <c r="B50" i="380"/>
  <c r="A52" i="380" l="1"/>
  <c r="H17" i="344"/>
  <c r="N23" i="111"/>
  <c r="N22" i="111"/>
  <c r="N21" i="111"/>
  <c r="N18" i="111"/>
  <c r="N17" i="111"/>
  <c r="N16" i="111"/>
  <c r="F28" i="45"/>
  <c r="B51" i="380"/>
  <c r="A53" i="380" l="1"/>
  <c r="K28" i="45"/>
  <c r="K9" i="46" s="1"/>
  <c r="J17" i="27"/>
  <c r="C41" i="121" s="1"/>
  <c r="H43" i="28"/>
  <c r="H10" i="200" s="1"/>
  <c r="H43" i="200" s="1"/>
  <c r="H10" i="201" s="1"/>
  <c r="H43" i="201" s="1"/>
  <c r="H10" i="202" s="1"/>
  <c r="H43" i="202" s="1"/>
  <c r="H10" i="203" s="1"/>
  <c r="H43" i="203" s="1"/>
  <c r="I42" i="28"/>
  <c r="J42" i="28" s="1"/>
  <c r="I41" i="28"/>
  <c r="J41" i="28" s="1"/>
  <c r="I40" i="28"/>
  <c r="J40" i="28" s="1"/>
  <c r="I39" i="28"/>
  <c r="J39" i="28" s="1"/>
  <c r="I38" i="28"/>
  <c r="J38" i="28" s="1"/>
  <c r="I37" i="28"/>
  <c r="J37" i="28" s="1"/>
  <c r="I36" i="28"/>
  <c r="J36" i="28" s="1"/>
  <c r="I35" i="28"/>
  <c r="J35" i="28" s="1"/>
  <c r="I34" i="28"/>
  <c r="J34" i="28" s="1"/>
  <c r="J33" i="28"/>
  <c r="I28" i="28"/>
  <c r="J28" i="28" s="1"/>
  <c r="I27" i="28"/>
  <c r="J27" i="28" s="1"/>
  <c r="I26" i="28"/>
  <c r="J26" i="28" s="1"/>
  <c r="I25" i="28"/>
  <c r="J25" i="28" s="1"/>
  <c r="I24" i="28"/>
  <c r="J24" i="28" s="1"/>
  <c r="I23" i="28"/>
  <c r="J23" i="28" s="1"/>
  <c r="I22" i="28"/>
  <c r="J22" i="28" s="1"/>
  <c r="I21" i="28"/>
  <c r="J21" i="28" s="1"/>
  <c r="I20" i="28"/>
  <c r="J20" i="28" s="1"/>
  <c r="I19" i="28"/>
  <c r="J19" i="28" s="1"/>
  <c r="I18" i="28"/>
  <c r="J18" i="28" s="1"/>
  <c r="I17" i="28"/>
  <c r="J17" i="28" s="1"/>
  <c r="I16" i="28"/>
  <c r="J16" i="28" s="1"/>
  <c r="I15" i="28"/>
  <c r="J15" i="28" s="1"/>
  <c r="I14" i="28"/>
  <c r="J14" i="28" s="1"/>
  <c r="I13" i="28"/>
  <c r="J13" i="28" s="1"/>
  <c r="B52" i="380"/>
  <c r="A54" i="380" l="1"/>
  <c r="J7" i="27"/>
  <c r="H11" i="24"/>
  <c r="I19" i="22"/>
  <c r="I27" i="19"/>
  <c r="I8" i="197" s="1"/>
  <c r="I27" i="197" s="1"/>
  <c r="I8" i="198" s="1"/>
  <c r="I27" i="198" s="1"/>
  <c r="I8" i="199" s="1"/>
  <c r="I27" i="199" s="1"/>
  <c r="F43" i="13"/>
  <c r="F5" i="14" s="1"/>
  <c r="F43" i="14" s="1"/>
  <c r="F5" i="123" s="1"/>
  <c r="F43" i="123" s="1"/>
  <c r="K27" i="15"/>
  <c r="K8" i="16" s="1"/>
  <c r="K27" i="16" s="1"/>
  <c r="H22" i="119"/>
  <c r="G22" i="119"/>
  <c r="I22" i="119"/>
  <c r="J22" i="119"/>
  <c r="J43" i="119"/>
  <c r="J25" i="118"/>
  <c r="I42" i="118"/>
  <c r="J42" i="118"/>
  <c r="K27" i="117"/>
  <c r="K9" i="319" s="1"/>
  <c r="K27" i="319" s="1"/>
  <c r="E27" i="117"/>
  <c r="E9" i="319" s="1"/>
  <c r="E27" i="319" s="1"/>
  <c r="E9" i="320" s="1"/>
  <c r="E27" i="320" s="1"/>
  <c r="E9" i="321" s="1"/>
  <c r="E27" i="321" s="1"/>
  <c r="E9" i="322" s="1"/>
  <c r="E27" i="322" s="1"/>
  <c r="F27" i="117"/>
  <c r="F9" i="319" s="1"/>
  <c r="F27" i="319" s="1"/>
  <c r="F9" i="320" s="1"/>
  <c r="F27" i="320" s="1"/>
  <c r="F9" i="321" s="1"/>
  <c r="F27" i="321" s="1"/>
  <c r="F9" i="322" s="1"/>
  <c r="F27" i="322" s="1"/>
  <c r="G27" i="117"/>
  <c r="G9" i="319" s="1"/>
  <c r="G27" i="319" s="1"/>
  <c r="G9" i="320" s="1"/>
  <c r="G27" i="320" s="1"/>
  <c r="G9" i="321" s="1"/>
  <c r="G27" i="321" s="1"/>
  <c r="G9" i="322" s="1"/>
  <c r="G27" i="322" s="1"/>
  <c r="H27" i="117"/>
  <c r="H9" i="319" s="1"/>
  <c r="H27" i="319" s="1"/>
  <c r="H9" i="320" s="1"/>
  <c r="H27" i="320" s="1"/>
  <c r="H9" i="321" s="1"/>
  <c r="H27" i="321" s="1"/>
  <c r="H9" i="322" s="1"/>
  <c r="H27" i="322" s="1"/>
  <c r="I27" i="117"/>
  <c r="I9" i="319" s="1"/>
  <c r="I27" i="319" s="1"/>
  <c r="I9" i="320" s="1"/>
  <c r="I27" i="320" s="1"/>
  <c r="I9" i="321" s="1"/>
  <c r="I27" i="321" s="1"/>
  <c r="I9" i="322" s="1"/>
  <c r="I27" i="322" s="1"/>
  <c r="J27" i="117"/>
  <c r="J9" i="319" s="1"/>
  <c r="J27" i="319" s="1"/>
  <c r="J9" i="320" s="1"/>
  <c r="J27" i="320" s="1"/>
  <c r="J9" i="321" s="1"/>
  <c r="J27" i="321" s="1"/>
  <c r="J9" i="322" s="1"/>
  <c r="J27" i="322" s="1"/>
  <c r="L27" i="117"/>
  <c r="G23" i="116"/>
  <c r="H23" i="116"/>
  <c r="M23" i="114"/>
  <c r="M25" i="114" s="1"/>
  <c r="M27" i="114" s="1"/>
  <c r="G12" i="113"/>
  <c r="H12" i="113"/>
  <c r="H23" i="113"/>
  <c r="I30" i="113"/>
  <c r="K32" i="113" s="1"/>
  <c r="G41" i="113"/>
  <c r="H41" i="113"/>
  <c r="G11" i="112"/>
  <c r="H12" i="112"/>
  <c r="G23" i="112"/>
  <c r="H23" i="112"/>
  <c r="I30" i="112"/>
  <c r="K32" i="112" s="1"/>
  <c r="G41" i="112"/>
  <c r="H41" i="112"/>
  <c r="N13" i="111"/>
  <c r="N15" i="111"/>
  <c r="L21" i="110"/>
  <c r="L24" i="110" s="1"/>
  <c r="L45" i="110"/>
  <c r="L51" i="110"/>
  <c r="L7" i="109"/>
  <c r="L44" i="109"/>
  <c r="J25" i="108"/>
  <c r="J29" i="108" s="1"/>
  <c r="I7" i="107"/>
  <c r="J9" i="107"/>
  <c r="J10" i="107"/>
  <c r="J11" i="107"/>
  <c r="J12" i="107"/>
  <c r="J13" i="107"/>
  <c r="J14" i="107"/>
  <c r="J15" i="107"/>
  <c r="H20" i="107"/>
  <c r="H22" i="107" s="1"/>
  <c r="J21" i="107"/>
  <c r="J32" i="107"/>
  <c r="J34" i="107" s="1"/>
  <c r="J39" i="107"/>
  <c r="E26" i="106"/>
  <c r="K26" i="106"/>
  <c r="G43" i="105"/>
  <c r="H16" i="104"/>
  <c r="G44" i="104"/>
  <c r="G12" i="344" s="1"/>
  <c r="G44" i="344" s="1"/>
  <c r="L35" i="109"/>
  <c r="H31" i="103"/>
  <c r="H39" i="103" s="1"/>
  <c r="L39" i="109" s="1"/>
  <c r="B53" i="380"/>
  <c r="A55" i="380" l="1"/>
  <c r="I20" i="22"/>
  <c r="H26" i="1"/>
  <c r="L9" i="319"/>
  <c r="L27" i="319" s="1"/>
  <c r="L9" i="320" s="1"/>
  <c r="L27" i="320" s="1"/>
  <c r="L9" i="321" s="1"/>
  <c r="L27" i="321" s="1"/>
  <c r="L9" i="322" s="1"/>
  <c r="L27" i="322" s="1"/>
  <c r="G23" i="113"/>
  <c r="H18" i="344"/>
  <c r="H20" i="344"/>
  <c r="H19" i="344"/>
  <c r="I25" i="118"/>
  <c r="H41" i="344"/>
  <c r="K9" i="320"/>
  <c r="K27" i="320" s="1"/>
  <c r="G12" i="112"/>
  <c r="H43" i="258"/>
  <c r="L38" i="109"/>
  <c r="K23" i="109"/>
  <c r="C43" i="121" s="1"/>
  <c r="H43" i="234"/>
  <c r="H43" i="246"/>
  <c r="H43" i="222"/>
  <c r="H39" i="105"/>
  <c r="H43" i="105" s="1"/>
  <c r="L55" i="48"/>
  <c r="G20" i="103"/>
  <c r="I20" i="107"/>
  <c r="F5" i="124"/>
  <c r="F43" i="124" s="1"/>
  <c r="F5" i="132" s="1"/>
  <c r="F43" i="132" s="1"/>
  <c r="L54" i="110"/>
  <c r="K32" i="108"/>
  <c r="J40" i="107"/>
  <c r="J7" i="107"/>
  <c r="J20" i="107" s="1"/>
  <c r="L42" i="117"/>
  <c r="B54" i="380"/>
  <c r="A56" i="380" l="1"/>
  <c r="L42" i="319"/>
  <c r="H23" i="344"/>
  <c r="L42" i="320"/>
  <c r="K9" i="321"/>
  <c r="K27" i="321" s="1"/>
  <c r="G44" i="256"/>
  <c r="J16" i="108"/>
  <c r="L40" i="109"/>
  <c r="L45" i="109" s="1"/>
  <c r="J22" i="107"/>
  <c r="I22" i="107"/>
  <c r="L6" i="109"/>
  <c r="G21" i="103"/>
  <c r="G44" i="103" s="1"/>
  <c r="G44" i="232"/>
  <c r="G44" i="244"/>
  <c r="G44" i="220"/>
  <c r="L20" i="111"/>
  <c r="N19" i="111"/>
  <c r="N20" i="111" s="1"/>
  <c r="B55" i="380"/>
  <c r="A57" i="380" l="1"/>
  <c r="L5" i="109"/>
  <c r="K10" i="109"/>
  <c r="L42" i="321"/>
  <c r="K9" i="322"/>
  <c r="K27" i="322" s="1"/>
  <c r="H44" i="364" s="1"/>
  <c r="Q9" i="2"/>
  <c r="U11" i="2"/>
  <c r="U10" i="2"/>
  <c r="D34" i="2"/>
  <c r="L26" i="10"/>
  <c r="B56" i="380"/>
  <c r="C35" i="30" l="1"/>
  <c r="N46" i="37"/>
  <c r="B43" i="39"/>
  <c r="F26" i="30"/>
  <c r="B28" i="22"/>
  <c r="B5" i="381"/>
  <c r="B8" i="273"/>
  <c r="B8" i="262"/>
  <c r="C38" i="2"/>
  <c r="J6" i="57" s="1"/>
  <c r="B8" i="109"/>
  <c r="B8" i="250"/>
  <c r="B8" i="238"/>
  <c r="B8" i="226"/>
  <c r="B2" i="109"/>
  <c r="B31" i="119"/>
  <c r="B31" i="283"/>
  <c r="B41" i="283"/>
  <c r="B31" i="304"/>
  <c r="J10" i="303"/>
  <c r="G6" i="343"/>
  <c r="G6" i="338"/>
  <c r="G6" i="332"/>
  <c r="G6" i="327"/>
  <c r="B36" i="300"/>
  <c r="G6" i="117"/>
  <c r="G6" i="319" s="1"/>
  <c r="G6" i="320" s="1"/>
  <c r="G6" i="321" s="1"/>
  <c r="G6" i="322" s="1"/>
  <c r="C26" i="284"/>
  <c r="D26" i="278"/>
  <c r="D26" i="372"/>
  <c r="D26" i="243"/>
  <c r="D26" i="369"/>
  <c r="I23" i="255"/>
  <c r="J5" i="373"/>
  <c r="J5" i="285"/>
  <c r="J5" i="370"/>
  <c r="J6" i="254"/>
  <c r="B3" i="277"/>
  <c r="B3" i="242"/>
  <c r="B41" i="119"/>
  <c r="B36" i="118"/>
  <c r="B32" i="112"/>
  <c r="B28" i="113"/>
  <c r="B27" i="206"/>
  <c r="B16" i="96"/>
  <c r="J6" i="113"/>
  <c r="B14" i="113"/>
  <c r="B24" i="112"/>
  <c r="J6" i="241"/>
  <c r="B3" i="42"/>
  <c r="J8" i="375"/>
  <c r="J7" i="375"/>
  <c r="N44" i="264"/>
  <c r="N44" i="240"/>
  <c r="N44" i="111"/>
  <c r="B24" i="263"/>
  <c r="B24" i="227"/>
  <c r="B36" i="263"/>
  <c r="B36" i="227"/>
  <c r="B32" i="250"/>
  <c r="B24" i="238"/>
  <c r="B23" i="238"/>
  <c r="B22" i="238"/>
  <c r="B2" i="250"/>
  <c r="E49" i="249"/>
  <c r="B48" i="249"/>
  <c r="B46" i="249"/>
  <c r="B45" i="249"/>
  <c r="B44" i="249"/>
  <c r="E40" i="249"/>
  <c r="E35" i="249"/>
  <c r="C18" i="249"/>
  <c r="C8" i="249"/>
  <c r="B2" i="236"/>
  <c r="B41" i="304"/>
  <c r="B31" i="303"/>
  <c r="J10" i="302"/>
  <c r="G6" i="342"/>
  <c r="G6" i="337"/>
  <c r="G6" i="331"/>
  <c r="G6" i="294"/>
  <c r="G6" i="326"/>
  <c r="B41" i="303"/>
  <c r="B31" i="302"/>
  <c r="B5" i="283"/>
  <c r="G6" i="341"/>
  <c r="G6" i="336"/>
  <c r="G6" i="295"/>
  <c r="B5" i="301"/>
  <c r="G6" i="325"/>
  <c r="C26" i="286"/>
  <c r="D26" i="373"/>
  <c r="D26" i="255"/>
  <c r="D26" i="370"/>
  <c r="I23" i="267"/>
  <c r="I23" i="231"/>
  <c r="J5" i="284"/>
  <c r="J5" i="371"/>
  <c r="J5" i="287"/>
  <c r="J6" i="277"/>
  <c r="J6" i="242"/>
  <c r="B3" i="266"/>
  <c r="B3" i="230"/>
  <c r="J10" i="119"/>
  <c r="J5" i="115"/>
  <c r="J6" i="306"/>
  <c r="B16" i="206"/>
  <c r="B10" i="22"/>
  <c r="B3" i="113"/>
  <c r="B3" i="112"/>
  <c r="B13" i="112"/>
  <c r="B3" i="241"/>
  <c r="J8" i="379"/>
  <c r="J7" i="379"/>
  <c r="J10" i="111"/>
  <c r="J10" i="264"/>
  <c r="J10" i="240"/>
  <c r="J11" i="37"/>
  <c r="B24" i="251"/>
  <c r="B24" i="110"/>
  <c r="B36" i="251"/>
  <c r="B36" i="110"/>
  <c r="B32" i="226"/>
  <c r="B24" i="109"/>
  <c r="B23" i="109"/>
  <c r="B22" i="109"/>
  <c r="B2" i="226"/>
  <c r="E49" i="225"/>
  <c r="B48" i="225"/>
  <c r="B46" i="225"/>
  <c r="B45" i="225"/>
  <c r="B44" i="225"/>
  <c r="E40" i="225"/>
  <c r="E35" i="225"/>
  <c r="C18" i="225"/>
  <c r="C8" i="225"/>
  <c r="B41" i="302"/>
  <c r="B31" i="301"/>
  <c r="B5" i="304"/>
  <c r="G6" i="340"/>
  <c r="G6" i="296"/>
  <c r="G6" i="330"/>
  <c r="J10" i="301"/>
  <c r="G6" i="324"/>
  <c r="C26" i="287"/>
  <c r="D27" i="267"/>
  <c r="D27" i="371"/>
  <c r="D27" i="231"/>
  <c r="I27" i="255"/>
  <c r="H5" i="280"/>
  <c r="J5" i="267"/>
  <c r="H5" i="291"/>
  <c r="J5" i="231"/>
  <c r="J6" i="315"/>
  <c r="J6" i="307"/>
  <c r="B3" i="313"/>
  <c r="B5" i="119"/>
  <c r="B9" i="50"/>
  <c r="D26" i="368"/>
  <c r="D26" i="114" s="1"/>
  <c r="B27" i="207"/>
  <c r="B2" i="24"/>
  <c r="B35" i="112"/>
  <c r="B41" i="301"/>
  <c r="J10" i="283"/>
  <c r="B5" i="303"/>
  <c r="B9" i="300"/>
  <c r="G6" i="281"/>
  <c r="G6" i="335"/>
  <c r="G6" i="329"/>
  <c r="B45" i="300"/>
  <c r="G6" i="323"/>
  <c r="C26" i="115"/>
  <c r="D26" i="267"/>
  <c r="D26" i="371"/>
  <c r="D26" i="231"/>
  <c r="I23" i="278"/>
  <c r="I23" i="243"/>
  <c r="J5" i="279"/>
  <c r="J5" i="372"/>
  <c r="J5" i="286"/>
  <c r="J5" i="369"/>
  <c r="J6" i="266"/>
  <c r="J6" i="230"/>
  <c r="B3" i="254"/>
  <c r="J6" i="229"/>
  <c r="B45" i="118"/>
  <c r="J5" i="114"/>
  <c r="B16" i="207"/>
  <c r="B35" i="306"/>
  <c r="B28" i="112"/>
  <c r="J10" i="304"/>
  <c r="B9" i="118"/>
  <c r="D27" i="372"/>
  <c r="I27" i="267"/>
  <c r="J5" i="278"/>
  <c r="J5" i="368"/>
  <c r="J6" i="317"/>
  <c r="B3" i="307"/>
  <c r="I27" i="114"/>
  <c r="B13" i="113"/>
  <c r="J6" i="265"/>
  <c r="J7" i="377"/>
  <c r="L11" i="275"/>
  <c r="L11" i="240"/>
  <c r="B24" i="239"/>
  <c r="B6" i="263"/>
  <c r="B32" i="273"/>
  <c r="B23" i="262"/>
  <c r="B22" i="226"/>
  <c r="B2" i="238"/>
  <c r="B48" i="272"/>
  <c r="B46" i="237"/>
  <c r="B44" i="272"/>
  <c r="E40" i="237"/>
  <c r="C18" i="272"/>
  <c r="C8" i="237"/>
  <c r="C8" i="108"/>
  <c r="B14" i="38"/>
  <c r="C42" i="47"/>
  <c r="D47" i="48"/>
  <c r="D13" i="48"/>
  <c r="B9" i="51"/>
  <c r="G6" i="216"/>
  <c r="G6" i="210"/>
  <c r="D27" i="209"/>
  <c r="J5" i="208"/>
  <c r="B36" i="42"/>
  <c r="B29" i="207"/>
  <c r="B15" i="96"/>
  <c r="B15" i="206" s="1"/>
  <c r="L12" i="37"/>
  <c r="C38" i="36"/>
  <c r="B4" i="26"/>
  <c r="B35" i="31"/>
  <c r="B7" i="27"/>
  <c r="F25" i="2"/>
  <c r="G4" i="159"/>
  <c r="G4" i="165"/>
  <c r="G4" i="171"/>
  <c r="G4" i="177"/>
  <c r="G4" i="183"/>
  <c r="G4" i="189"/>
  <c r="G4" i="195"/>
  <c r="G4" i="192"/>
  <c r="B5" i="302"/>
  <c r="G6" i="339"/>
  <c r="D27" i="255"/>
  <c r="H5" i="289"/>
  <c r="J6" i="313"/>
  <c r="B3" i="229"/>
  <c r="B27" i="96"/>
  <c r="J6" i="253"/>
  <c r="J8" i="378"/>
  <c r="J7" i="376"/>
  <c r="J10" i="275"/>
  <c r="N44" i="228"/>
  <c r="B54" i="274"/>
  <c r="B54" i="227"/>
  <c r="B6" i="251"/>
  <c r="B32" i="262"/>
  <c r="B24" i="273"/>
  <c r="B23" i="250"/>
  <c r="B3" i="108"/>
  <c r="B48" i="261"/>
  <c r="B46" i="108"/>
  <c r="B44" i="261"/>
  <c r="E40" i="108"/>
  <c r="C18" i="261"/>
  <c r="B2" i="271"/>
  <c r="B3" i="272"/>
  <c r="D12" i="48"/>
  <c r="D45" i="48"/>
  <c r="B16" i="58"/>
  <c r="B37" i="50"/>
  <c r="G6" i="215"/>
  <c r="G6" i="46"/>
  <c r="D27" i="208"/>
  <c r="G29" i="42"/>
  <c r="G30" i="38"/>
  <c r="B29" i="206"/>
  <c r="B14" i="96"/>
  <c r="B14" i="206" s="1"/>
  <c r="J7" i="40"/>
  <c r="C27" i="39"/>
  <c r="C27" i="36"/>
  <c r="B15" i="31"/>
  <c r="B51" i="57"/>
  <c r="B4" i="27"/>
  <c r="G4" i="198"/>
  <c r="G4" i="160"/>
  <c r="G4" i="166"/>
  <c r="G4" i="172"/>
  <c r="G4" i="178"/>
  <c r="G4" i="184"/>
  <c r="G4" i="190"/>
  <c r="G4" i="196"/>
  <c r="G6" i="333"/>
  <c r="C26" i="279"/>
  <c r="D27" i="243"/>
  <c r="H5" i="290"/>
  <c r="J6" i="311"/>
  <c r="I23" i="114"/>
  <c r="J6" i="38"/>
  <c r="J8" i="377"/>
  <c r="J7" i="374"/>
  <c r="L11" i="264"/>
  <c r="L11" i="228"/>
  <c r="B24" i="274"/>
  <c r="B54" i="110"/>
  <c r="B36" i="239"/>
  <c r="B32" i="238"/>
  <c r="B24" i="262"/>
  <c r="B23" i="226"/>
  <c r="E49" i="272"/>
  <c r="B48" i="237"/>
  <c r="B45" i="272"/>
  <c r="B44" i="237"/>
  <c r="E35" i="272"/>
  <c r="C18" i="237"/>
  <c r="B2" i="260"/>
  <c r="B3" i="261"/>
  <c r="L52" i="48"/>
  <c r="B6" i="58"/>
  <c r="G6" i="218"/>
  <c r="G6" i="214"/>
  <c r="G6" i="45"/>
  <c r="D27" i="43"/>
  <c r="B29" i="38"/>
  <c r="B3" i="207"/>
  <c r="B25" i="38"/>
  <c r="C26" i="36"/>
  <c r="C11" i="26"/>
  <c r="B3" i="31"/>
  <c r="B22" i="56"/>
  <c r="G4" i="199"/>
  <c r="G4" i="161"/>
  <c r="G4" i="167"/>
  <c r="G4" i="173"/>
  <c r="G4" i="179"/>
  <c r="G4" i="185"/>
  <c r="G4" i="191"/>
  <c r="G4" i="157"/>
  <c r="G6" i="328"/>
  <c r="C26" i="285"/>
  <c r="D27" i="370"/>
  <c r="I27" i="243"/>
  <c r="J5" i="255"/>
  <c r="B3" i="317"/>
  <c r="B37" i="118"/>
  <c r="D27" i="368"/>
  <c r="D27" i="114" s="1"/>
  <c r="B35" i="113"/>
  <c r="G36" i="112"/>
  <c r="B3" i="253"/>
  <c r="J8" i="376"/>
  <c r="N44" i="252"/>
  <c r="J10" i="228"/>
  <c r="B54" i="263"/>
  <c r="B6" i="110"/>
  <c r="B6" i="239"/>
  <c r="B24" i="250"/>
  <c r="B22" i="273"/>
  <c r="E49" i="261"/>
  <c r="B48" i="108"/>
  <c r="B45" i="261"/>
  <c r="B44" i="108"/>
  <c r="E35" i="261"/>
  <c r="C18" i="108"/>
  <c r="B2" i="248"/>
  <c r="B3" i="249"/>
  <c r="E25" i="48"/>
  <c r="B21" i="51"/>
  <c r="G6" i="213"/>
  <c r="B6" i="27"/>
  <c r="J5" i="43"/>
  <c r="B14" i="42"/>
  <c r="B24" i="42" s="1"/>
  <c r="B3" i="206"/>
  <c r="B15" i="38"/>
  <c r="J8" i="40"/>
  <c r="B45" i="39"/>
  <c r="C25" i="36"/>
  <c r="C10" i="26"/>
  <c r="B2" i="13"/>
  <c r="B11" i="56"/>
  <c r="G4" i="197"/>
  <c r="G4" i="162"/>
  <c r="G4" i="168"/>
  <c r="G4" i="174"/>
  <c r="G4" i="180"/>
  <c r="G4" i="186"/>
  <c r="B37" i="300"/>
  <c r="D27" i="278"/>
  <c r="D27" i="369"/>
  <c r="I27" i="231"/>
  <c r="J5" i="243"/>
  <c r="B3" i="315"/>
  <c r="H5" i="116"/>
  <c r="B3" i="306"/>
  <c r="B14" i="112"/>
  <c r="B3" i="265"/>
  <c r="J8" i="374"/>
  <c r="L11" i="252"/>
  <c r="L11" i="111"/>
  <c r="B54" i="251"/>
  <c r="B36" i="274"/>
  <c r="B6" i="227"/>
  <c r="B24" i="226"/>
  <c r="B22" i="262"/>
  <c r="B2" i="273"/>
  <c r="E49" i="237"/>
  <c r="B46" i="272"/>
  <c r="B45" i="237"/>
  <c r="E40" i="272"/>
  <c r="E35" i="237"/>
  <c r="C8" i="272"/>
  <c r="B2" i="224"/>
  <c r="B3" i="237"/>
  <c r="D20" i="48"/>
  <c r="C18" i="51"/>
  <c r="G6" i="212"/>
  <c r="B28" i="42"/>
  <c r="K37" i="42"/>
  <c r="B13" i="42"/>
  <c r="B25" i="42" s="1"/>
  <c r="B3" i="96"/>
  <c r="B30" i="29"/>
  <c r="C9" i="26"/>
  <c r="B21" i="31"/>
  <c r="B3" i="12"/>
  <c r="B49" i="57"/>
  <c r="F27" i="2"/>
  <c r="G4" i="19"/>
  <c r="G4" i="163"/>
  <c r="G4" i="169"/>
  <c r="G4" i="175"/>
  <c r="G4" i="181"/>
  <c r="G4" i="187"/>
  <c r="G4" i="193"/>
  <c r="G4" i="17"/>
  <c r="G6" i="293"/>
  <c r="D27" i="373"/>
  <c r="I27" i="278"/>
  <c r="H5" i="292"/>
  <c r="B3" i="311"/>
  <c r="J6" i="112"/>
  <c r="J6" i="276"/>
  <c r="B3" i="276"/>
  <c r="J7" i="378"/>
  <c r="N44" i="275"/>
  <c r="J10" i="252"/>
  <c r="B54" i="239"/>
  <c r="B6" i="274"/>
  <c r="B32" i="109"/>
  <c r="B23" i="273"/>
  <c r="B22" i="250"/>
  <c r="B2" i="262"/>
  <c r="E49" i="108"/>
  <c r="B46" i="261"/>
  <c r="B45" i="108"/>
  <c r="E40" i="261"/>
  <c r="E35" i="108"/>
  <c r="C8" i="261"/>
  <c r="B2" i="107"/>
  <c r="B3" i="225"/>
  <c r="B10" i="51"/>
  <c r="G6" i="217"/>
  <c r="G6" i="211"/>
  <c r="C25" i="44"/>
  <c r="J5" i="209"/>
  <c r="B3" i="38"/>
  <c r="B29" i="96"/>
  <c r="C7" i="39"/>
  <c r="B9" i="27"/>
  <c r="B8" i="27"/>
  <c r="B22" i="31"/>
  <c r="F21" i="52"/>
  <c r="B37" i="27"/>
  <c r="G4" i="158"/>
  <c r="G4" i="164"/>
  <c r="G4" i="170"/>
  <c r="G4" i="176"/>
  <c r="G4" i="182"/>
  <c r="G4" i="188"/>
  <c r="G4" i="194"/>
  <c r="G4" i="137"/>
  <c r="G4" i="143"/>
  <c r="G4" i="149"/>
  <c r="G4" i="156"/>
  <c r="G4" i="151"/>
  <c r="G4" i="16"/>
  <c r="G4" i="144"/>
  <c r="G4" i="145"/>
  <c r="G4" i="15"/>
  <c r="G4" i="133"/>
  <c r="G4" i="139"/>
  <c r="G4" i="152"/>
  <c r="B43" i="12"/>
  <c r="G4" i="134"/>
  <c r="G4" i="140"/>
  <c r="G4" i="146"/>
  <c r="G4" i="153"/>
  <c r="B2" i="57"/>
  <c r="G4" i="135"/>
  <c r="G4" i="141"/>
  <c r="G4" i="148"/>
  <c r="G4" i="154"/>
  <c r="B41" i="12"/>
  <c r="G4" i="136"/>
  <c r="G4" i="142"/>
  <c r="G4" i="147"/>
  <c r="G4" i="155"/>
  <c r="G4" i="138"/>
  <c r="G4" i="150"/>
  <c r="A58" i="380"/>
  <c r="D42" i="2"/>
  <c r="F50" i="2"/>
  <c r="D50" i="2"/>
  <c r="F48" i="2"/>
  <c r="F46" i="2"/>
  <c r="D29" i="2"/>
  <c r="D25" i="2"/>
  <c r="D28" i="2"/>
  <c r="B12" i="38" s="1"/>
  <c r="B11" i="42" s="1"/>
  <c r="D27" i="2"/>
  <c r="B7" i="38" s="1"/>
  <c r="B7" i="42" s="1"/>
  <c r="D26" i="2"/>
  <c r="H44" i="360"/>
  <c r="H44" i="362"/>
  <c r="H44" i="356"/>
  <c r="H44" i="358"/>
  <c r="H22" i="344"/>
  <c r="H44" i="104"/>
  <c r="H12" i="344" s="1"/>
  <c r="L42" i="322"/>
  <c r="B45" i="273"/>
  <c r="B45" i="262"/>
  <c r="B45" i="250"/>
  <c r="B45" i="226"/>
  <c r="B45" i="238"/>
  <c r="B45" i="109"/>
  <c r="Q10" i="2"/>
  <c r="D45" i="2"/>
  <c r="D48" i="2"/>
  <c r="D47" i="2"/>
  <c r="D35" i="2"/>
  <c r="I34" i="12"/>
  <c r="I33" i="12"/>
  <c r="I32" i="12"/>
  <c r="I31" i="12"/>
  <c r="I26" i="12"/>
  <c r="I25" i="12"/>
  <c r="I24" i="12"/>
  <c r="I23" i="12"/>
  <c r="I22" i="12"/>
  <c r="I21" i="12"/>
  <c r="I20" i="12"/>
  <c r="I19" i="12"/>
  <c r="I18" i="12"/>
  <c r="I16" i="12"/>
  <c r="I15" i="12"/>
  <c r="G12" i="11" s="1"/>
  <c r="I14" i="12"/>
  <c r="G23" i="9" s="1"/>
  <c r="G30" i="9" s="1"/>
  <c r="I13" i="12"/>
  <c r="I12" i="12"/>
  <c r="G11" i="9" s="1"/>
  <c r="G20" i="9" s="1"/>
  <c r="I11" i="12"/>
  <c r="G41" i="8" s="1"/>
  <c r="G45" i="8" s="1"/>
  <c r="I10" i="12"/>
  <c r="G31" i="8" s="1"/>
  <c r="G38" i="8" s="1"/>
  <c r="I9" i="12"/>
  <c r="G20" i="8" s="1"/>
  <c r="G28" i="8" s="1"/>
  <c r="I8" i="12"/>
  <c r="G11" i="8" s="1"/>
  <c r="G17" i="8" s="1"/>
  <c r="G27" i="17"/>
  <c r="G8" i="157" s="1"/>
  <c r="G27" i="157" s="1"/>
  <c r="G8" i="158" s="1"/>
  <c r="G27" i="158" s="1"/>
  <c r="G8" i="159" s="1"/>
  <c r="G27" i="159" s="1"/>
  <c r="G8" i="160" s="1"/>
  <c r="G27" i="160" s="1"/>
  <c r="G8" i="161" s="1"/>
  <c r="G27" i="161" s="1"/>
  <c r="G8" i="162" s="1"/>
  <c r="G27" i="162" s="1"/>
  <c r="G8" i="163" s="1"/>
  <c r="G27" i="163" s="1"/>
  <c r="G8" i="164" s="1"/>
  <c r="G27" i="164" s="1"/>
  <c r="G8" i="165" s="1"/>
  <c r="G27" i="165" s="1"/>
  <c r="G8" i="166" s="1"/>
  <c r="G27" i="166" s="1"/>
  <c r="G8" i="167" s="1"/>
  <c r="G27" i="167" s="1"/>
  <c r="G8" i="168" s="1"/>
  <c r="G27" i="168" s="1"/>
  <c r="G8" i="169" s="1"/>
  <c r="G27" i="169" s="1"/>
  <c r="G8" i="170" s="1"/>
  <c r="G27" i="170" s="1"/>
  <c r="G8" i="171" s="1"/>
  <c r="G27" i="171" s="1"/>
  <c r="G8" i="172" s="1"/>
  <c r="G27" i="172" s="1"/>
  <c r="G8" i="173" s="1"/>
  <c r="G27" i="173" s="1"/>
  <c r="G8" i="174" s="1"/>
  <c r="G27" i="174" s="1"/>
  <c r="G8" i="175" s="1"/>
  <c r="G27" i="175" s="1"/>
  <c r="G8" i="176" s="1"/>
  <c r="G27" i="176" s="1"/>
  <c r="G8" i="177" s="1"/>
  <c r="G27" i="177" s="1"/>
  <c r="G8" i="178" s="1"/>
  <c r="G27" i="178" s="1"/>
  <c r="G8" i="179" s="1"/>
  <c r="G27" i="179" s="1"/>
  <c r="G8" i="180" s="1"/>
  <c r="G27" i="180" s="1"/>
  <c r="G8" i="181" s="1"/>
  <c r="G27" i="181" s="1"/>
  <c r="G8" i="182" s="1"/>
  <c r="G27" i="182" s="1"/>
  <c r="G8" i="183" s="1"/>
  <c r="G27" i="183" s="1"/>
  <c r="G8" i="184" s="1"/>
  <c r="G27" i="184" s="1"/>
  <c r="G8" i="185" s="1"/>
  <c r="G27" i="185" s="1"/>
  <c r="G8" i="186" s="1"/>
  <c r="G27" i="186" s="1"/>
  <c r="G8" i="187" s="1"/>
  <c r="G27" i="187" s="1"/>
  <c r="G8" i="188" s="1"/>
  <c r="G27" i="188" s="1"/>
  <c r="G8" i="189" s="1"/>
  <c r="G27" i="189" s="1"/>
  <c r="G8" i="190" s="1"/>
  <c r="G27" i="190" s="1"/>
  <c r="G8" i="191" s="1"/>
  <c r="G27" i="191" s="1"/>
  <c r="G8" i="192" s="1"/>
  <c r="G27" i="192" s="1"/>
  <c r="G8" i="193" s="1"/>
  <c r="G27" i="193" s="1"/>
  <c r="G8" i="194" s="1"/>
  <c r="G27" i="194" s="1"/>
  <c r="G8" i="195" s="1"/>
  <c r="G27" i="195" s="1"/>
  <c r="G8" i="196" s="1"/>
  <c r="G27" i="196" s="1"/>
  <c r="B57" i="380"/>
  <c r="C16" i="29" l="1"/>
  <c r="C13" i="29"/>
  <c r="B7" i="361"/>
  <c r="B9" i="234"/>
  <c r="B7" i="355"/>
  <c r="B7" i="103"/>
  <c r="B19" i="26"/>
  <c r="B7" i="256"/>
  <c r="B7" i="358"/>
  <c r="B7" i="220"/>
  <c r="B9" i="365"/>
  <c r="B6" i="305"/>
  <c r="B9" i="246"/>
  <c r="B7" i="357"/>
  <c r="B9" i="105"/>
  <c r="B7" i="364"/>
  <c r="B7" i="360"/>
  <c r="B7" i="232"/>
  <c r="B7" i="363"/>
  <c r="B9" i="258"/>
  <c r="B7" i="359"/>
  <c r="B9" i="222"/>
  <c r="B7" i="344"/>
  <c r="B7" i="268"/>
  <c r="B7" i="362"/>
  <c r="B7" i="244"/>
  <c r="B7" i="356"/>
  <c r="B7" i="104"/>
  <c r="B6" i="4"/>
  <c r="B6" i="128"/>
  <c r="B6" i="8"/>
  <c r="B6" i="9"/>
  <c r="B6" i="125"/>
  <c r="B6" i="367"/>
  <c r="B6" i="127"/>
  <c r="B6" i="126"/>
  <c r="B6" i="6"/>
  <c r="B6" i="11"/>
  <c r="B6" i="7"/>
  <c r="B6" i="1"/>
  <c r="B34" i="283"/>
  <c r="B34" i="303"/>
  <c r="B34" i="301"/>
  <c r="E4" i="340"/>
  <c r="E4" i="296"/>
  <c r="E4" i="330"/>
  <c r="E4" i="325"/>
  <c r="B8" i="50"/>
  <c r="B8" i="51" s="1"/>
  <c r="B9" i="58" s="1"/>
  <c r="E4" i="321"/>
  <c r="E4" i="45"/>
  <c r="B20" i="238"/>
  <c r="B8" i="282"/>
  <c r="B8" i="298"/>
  <c r="B8" i="300"/>
  <c r="E4" i="339"/>
  <c r="E4" i="333"/>
  <c r="E4" i="328"/>
  <c r="E4" i="323"/>
  <c r="E4" i="319"/>
  <c r="B20" i="109"/>
  <c r="B34" i="304"/>
  <c r="B34" i="302"/>
  <c r="E4" i="343"/>
  <c r="E4" i="338"/>
  <c r="E4" i="332"/>
  <c r="E4" i="327"/>
  <c r="E4" i="293"/>
  <c r="B35" i="297"/>
  <c r="B35" i="299"/>
  <c r="E4" i="342"/>
  <c r="E4" i="337"/>
  <c r="E4" i="331"/>
  <c r="E4" i="294"/>
  <c r="E4" i="117"/>
  <c r="E4" i="341"/>
  <c r="E4" i="326"/>
  <c r="B35" i="282"/>
  <c r="E4" i="281"/>
  <c r="E4" i="324"/>
  <c r="E4" i="322"/>
  <c r="B20" i="273"/>
  <c r="B8" i="297"/>
  <c r="E4" i="336"/>
  <c r="E4" i="320"/>
  <c r="B20" i="262"/>
  <c r="B35" i="298"/>
  <c r="E4" i="335"/>
  <c r="B20" i="250"/>
  <c r="C28" i="31"/>
  <c r="B8" i="299"/>
  <c r="E4" i="295"/>
  <c r="B20" i="226"/>
  <c r="C7" i="26"/>
  <c r="C7" i="29" s="1"/>
  <c r="B35" i="300"/>
  <c r="E4" i="329"/>
  <c r="B8" i="118"/>
  <c r="I24" i="278"/>
  <c r="I24" i="243"/>
  <c r="I24" i="114"/>
  <c r="B29" i="112"/>
  <c r="I24" i="267"/>
  <c r="I24" i="255"/>
  <c r="I24" i="231"/>
  <c r="I20" i="102"/>
  <c r="B8" i="20"/>
  <c r="B15" i="207"/>
  <c r="B26" i="207" s="1"/>
  <c r="B26" i="206"/>
  <c r="B13" i="306"/>
  <c r="B24" i="306" s="1"/>
  <c r="B24" i="113"/>
  <c r="B13" i="265"/>
  <c r="B13" i="241"/>
  <c r="B13" i="229"/>
  <c r="B13" i="253"/>
  <c r="B13" i="276"/>
  <c r="B14" i="207"/>
  <c r="B25" i="207" s="1"/>
  <c r="B25" i="206"/>
  <c r="B35" i="253"/>
  <c r="B35" i="242"/>
  <c r="B35" i="311"/>
  <c r="B35" i="254"/>
  <c r="B35" i="315"/>
  <c r="B35" i="317"/>
  <c r="B35" i="277"/>
  <c r="B35" i="241"/>
  <c r="B35" i="307"/>
  <c r="B35" i="276"/>
  <c r="B35" i="265"/>
  <c r="B35" i="229"/>
  <c r="B35" i="313"/>
  <c r="B35" i="266"/>
  <c r="B35" i="230"/>
  <c r="H52" i="48"/>
  <c r="D40" i="48"/>
  <c r="D42" i="48"/>
  <c r="K4" i="341"/>
  <c r="K4" i="339"/>
  <c r="B41" i="298"/>
  <c r="K4" i="295"/>
  <c r="K4" i="328"/>
  <c r="K4" i="326"/>
  <c r="B27" i="238"/>
  <c r="B42" i="283"/>
  <c r="B41" i="282"/>
  <c r="K4" i="281"/>
  <c r="K4" i="337"/>
  <c r="K4" i="335"/>
  <c r="B41" i="299"/>
  <c r="K4" i="294"/>
  <c r="K4" i="324"/>
  <c r="K4" i="321"/>
  <c r="B27" i="109"/>
  <c r="B24" i="282"/>
  <c r="B42" i="304"/>
  <c r="K4" i="336"/>
  <c r="K4" i="333"/>
  <c r="B24" i="299"/>
  <c r="B42" i="301"/>
  <c r="K4" i="323"/>
  <c r="K4" i="320"/>
  <c r="K4" i="343"/>
  <c r="B41" i="297"/>
  <c r="K4" i="296"/>
  <c r="K4" i="332"/>
  <c r="K4" i="330"/>
  <c r="B41" i="300"/>
  <c r="K4" i="293"/>
  <c r="B24" i="118"/>
  <c r="K4" i="319"/>
  <c r="K4" i="342"/>
  <c r="K4" i="331"/>
  <c r="K4" i="117"/>
  <c r="K4" i="322"/>
  <c r="B27" i="226"/>
  <c r="K4" i="340"/>
  <c r="B42" i="302"/>
  <c r="C14" i="26"/>
  <c r="B24" i="297"/>
  <c r="K4" i="329"/>
  <c r="C29" i="31"/>
  <c r="B15" i="20"/>
  <c r="K4" i="338"/>
  <c r="K4" i="327"/>
  <c r="B27" i="273"/>
  <c r="B31" i="50"/>
  <c r="B15" i="51" s="1"/>
  <c r="B17" i="58" s="1"/>
  <c r="B42" i="303"/>
  <c r="B24" i="300"/>
  <c r="B27" i="262"/>
  <c r="K4" i="45"/>
  <c r="B24" i="298"/>
  <c r="K4" i="325"/>
  <c r="B27" i="250"/>
  <c r="G7" i="280"/>
  <c r="G8" i="267"/>
  <c r="G7" i="291"/>
  <c r="G8" i="231"/>
  <c r="L8" i="376"/>
  <c r="N11" i="240"/>
  <c r="G8" i="278"/>
  <c r="G7" i="290"/>
  <c r="G8" i="243"/>
  <c r="G8" i="368"/>
  <c r="L8" i="374"/>
  <c r="N11" i="111"/>
  <c r="G8" i="373"/>
  <c r="G8" i="285"/>
  <c r="G8" i="370"/>
  <c r="G7" i="289"/>
  <c r="G8" i="255"/>
  <c r="G7" i="292"/>
  <c r="G8" i="287"/>
  <c r="L8" i="375"/>
  <c r="N11" i="264"/>
  <c r="L6" i="106"/>
  <c r="B30" i="40"/>
  <c r="G8" i="279"/>
  <c r="G8" i="369"/>
  <c r="N11" i="252"/>
  <c r="L6" i="270"/>
  <c r="G8" i="284"/>
  <c r="N11" i="228"/>
  <c r="L6" i="259"/>
  <c r="G8" i="43"/>
  <c r="G8" i="208" s="1"/>
  <c r="G8" i="209" s="1"/>
  <c r="G8" i="44" s="1"/>
  <c r="G7" i="98" s="1"/>
  <c r="L8" i="40"/>
  <c r="N12" i="37"/>
  <c r="G8" i="372"/>
  <c r="L8" i="379"/>
  <c r="L6" i="247"/>
  <c r="I38" i="42"/>
  <c r="G8" i="371"/>
  <c r="L8" i="378"/>
  <c r="L6" i="235"/>
  <c r="B30" i="41"/>
  <c r="G8" i="286"/>
  <c r="L8" i="377"/>
  <c r="N11" i="275"/>
  <c r="L6" i="223"/>
  <c r="K6" i="15"/>
  <c r="M8" i="97"/>
  <c r="K6" i="19"/>
  <c r="L6" i="17"/>
  <c r="B17" i="253"/>
  <c r="B7" i="276"/>
  <c r="B17" i="265"/>
  <c r="B17" i="241"/>
  <c r="B17" i="276"/>
  <c r="B7" i="241"/>
  <c r="B7" i="253"/>
  <c r="B7" i="112"/>
  <c r="B17" i="229"/>
  <c r="B7" i="265"/>
  <c r="G36" i="229"/>
  <c r="G36" i="230" s="1"/>
  <c r="G36" i="265"/>
  <c r="G36" i="241"/>
  <c r="G36" i="113"/>
  <c r="G36" i="306" s="1"/>
  <c r="G36" i="276"/>
  <c r="G36" i="253"/>
  <c r="B28" i="277"/>
  <c r="B28" i="306"/>
  <c r="B28" i="311"/>
  <c r="B28" i="230"/>
  <c r="B28" i="307" s="1"/>
  <c r="B28" i="313"/>
  <c r="B28" i="242"/>
  <c r="B28" i="315"/>
  <c r="B28" i="254"/>
  <c r="B28" i="317"/>
  <c r="B28" i="266"/>
  <c r="F6" i="17"/>
  <c r="F6" i="19"/>
  <c r="F6" i="15"/>
  <c r="B11" i="276"/>
  <c r="B11" i="253"/>
  <c r="B11" i="112"/>
  <c r="B22" i="241"/>
  <c r="B22" i="265"/>
  <c r="B22" i="229"/>
  <c r="B22" i="276"/>
  <c r="B11" i="241"/>
  <c r="B11" i="265"/>
  <c r="B14" i="253"/>
  <c r="B25" i="112"/>
  <c r="B14" i="229"/>
  <c r="B14" i="241"/>
  <c r="B14" i="265"/>
  <c r="B14" i="276"/>
  <c r="B28" i="265"/>
  <c r="B28" i="276"/>
  <c r="B28" i="241"/>
  <c r="B28" i="229"/>
  <c r="B28" i="253"/>
  <c r="B24" i="276"/>
  <c r="B24" i="265"/>
  <c r="B24" i="241"/>
  <c r="B24" i="229"/>
  <c r="B24" i="253"/>
  <c r="B32" i="276"/>
  <c r="B32" i="241"/>
  <c r="B32" i="265"/>
  <c r="B32" i="229"/>
  <c r="B32" i="253"/>
  <c r="B32" i="113"/>
  <c r="B25" i="113"/>
  <c r="B14" i="306"/>
  <c r="B25" i="306" s="1"/>
  <c r="A59" i="380"/>
  <c r="G33" i="9"/>
  <c r="G44" i="9" s="1"/>
  <c r="G9" i="125" s="1"/>
  <c r="G44" i="125" s="1"/>
  <c r="G9" i="126" s="1"/>
  <c r="G44" i="126" s="1"/>
  <c r="G9" i="127" s="1"/>
  <c r="G44" i="127" s="1"/>
  <c r="G9" i="128" s="1"/>
  <c r="G44" i="128" s="1"/>
  <c r="I55" i="128" s="1"/>
  <c r="F49" i="2"/>
  <c r="D49" i="2"/>
  <c r="H44" i="344"/>
  <c r="Q11" i="2"/>
  <c r="D46" i="2"/>
  <c r="B58" i="380"/>
  <c r="B11" i="229" l="1"/>
  <c r="B11" i="230" s="1"/>
  <c r="B11" i="113"/>
  <c r="B22" i="112"/>
  <c r="G8" i="115"/>
  <c r="G7" i="116" s="1"/>
  <c r="G8" i="114"/>
  <c r="B34" i="119"/>
  <c r="B35" i="118"/>
  <c r="B32" i="277"/>
  <c r="B32" i="230"/>
  <c r="B32" i="307" s="1"/>
  <c r="B32" i="266"/>
  <c r="B32" i="317"/>
  <c r="B32" i="254"/>
  <c r="B32" i="315"/>
  <c r="B32" i="242"/>
  <c r="B32" i="313"/>
  <c r="B32" i="311"/>
  <c r="B32" i="306"/>
  <c r="B29" i="253"/>
  <c r="B29" i="229"/>
  <c r="B29" i="241"/>
  <c r="B29" i="276"/>
  <c r="B29" i="113"/>
  <c r="B29" i="265"/>
  <c r="B7" i="113"/>
  <c r="B17" i="112"/>
  <c r="B7" i="229"/>
  <c r="B7" i="230" s="1"/>
  <c r="G36" i="254"/>
  <c r="G36" i="277"/>
  <c r="G36" i="307"/>
  <c r="G36" i="315"/>
  <c r="G36" i="311"/>
  <c r="G36" i="266"/>
  <c r="G36" i="242"/>
  <c r="G36" i="313"/>
  <c r="G36" i="317"/>
  <c r="B14" i="242"/>
  <c r="B14" i="230"/>
  <c r="I8" i="376"/>
  <c r="H9" i="240"/>
  <c r="H9" i="111"/>
  <c r="H10" i="37"/>
  <c r="I8" i="374"/>
  <c r="H9" i="228"/>
  <c r="E6" i="106"/>
  <c r="I8" i="379"/>
  <c r="E6" i="270"/>
  <c r="G6" i="97"/>
  <c r="G6" i="122" s="1"/>
  <c r="G6" i="129" s="1"/>
  <c r="G6" i="130" s="1"/>
  <c r="G6" i="131" s="1"/>
  <c r="E6" i="10" s="1"/>
  <c r="I8" i="378"/>
  <c r="E6" i="259"/>
  <c r="I8" i="377"/>
  <c r="H9" i="275"/>
  <c r="E6" i="247"/>
  <c r="I8" i="375"/>
  <c r="H9" i="264"/>
  <c r="E6" i="235"/>
  <c r="I8" i="40"/>
  <c r="H9" i="252"/>
  <c r="E6" i="223"/>
  <c r="B25" i="253"/>
  <c r="B25" i="229"/>
  <c r="B25" i="276"/>
  <c r="B25" i="265"/>
  <c r="B25" i="241"/>
  <c r="B42" i="119"/>
  <c r="B41" i="118"/>
  <c r="B13" i="242"/>
  <c r="B13" i="230"/>
  <c r="A60" i="380"/>
  <c r="B30" i="21"/>
  <c r="B9" i="21"/>
  <c r="B6" i="22"/>
  <c r="B27" i="22" s="1"/>
  <c r="Q12" i="2"/>
  <c r="M10" i="97"/>
  <c r="B59" i="380"/>
  <c r="B13" i="317" l="1"/>
  <c r="B24" i="317" s="1"/>
  <c r="B13" i="311"/>
  <c r="B24" i="311" s="1"/>
  <c r="B13" i="277"/>
  <c r="B24" i="277" s="1"/>
  <c r="B13" i="313"/>
  <c r="B24" i="313" s="1"/>
  <c r="B13" i="266"/>
  <c r="B24" i="266" s="1"/>
  <c r="B13" i="315"/>
  <c r="B24" i="315" s="1"/>
  <c r="B13" i="254"/>
  <c r="B24" i="254" s="1"/>
  <c r="B24" i="242"/>
  <c r="B14" i="307"/>
  <c r="B25" i="307" s="1"/>
  <c r="B25" i="230"/>
  <c r="B29" i="313"/>
  <c r="B29" i="306"/>
  <c r="B29" i="311"/>
  <c r="B29" i="230"/>
  <c r="B29" i="307" s="1"/>
  <c r="B29" i="254"/>
  <c r="B29" i="242"/>
  <c r="B29" i="277"/>
  <c r="B29" i="317"/>
  <c r="B29" i="266"/>
  <c r="B29" i="315"/>
  <c r="B14" i="317"/>
  <c r="B25" i="317" s="1"/>
  <c r="B14" i="254"/>
  <c r="B25" i="254" s="1"/>
  <c r="B14" i="311"/>
  <c r="B25" i="311" s="1"/>
  <c r="B14" i="313"/>
  <c r="B25" i="313" s="1"/>
  <c r="B14" i="266"/>
  <c r="B25" i="266" s="1"/>
  <c r="B25" i="242"/>
  <c r="B14" i="277"/>
  <c r="B25" i="277" s="1"/>
  <c r="B14" i="315"/>
  <c r="B25" i="315" s="1"/>
  <c r="B17" i="317"/>
  <c r="B17" i="277"/>
  <c r="B17" i="311"/>
  <c r="B17" i="313"/>
  <c r="B17" i="254"/>
  <c r="B7" i="311"/>
  <c r="B17" i="266"/>
  <c r="B7" i="307"/>
  <c r="B17" i="307" s="1"/>
  <c r="B7" i="277"/>
  <c r="B17" i="242"/>
  <c r="B17" i="230"/>
  <c r="B7" i="254"/>
  <c r="B7" i="266"/>
  <c r="B7" i="317"/>
  <c r="B7" i="315"/>
  <c r="B7" i="242"/>
  <c r="B7" i="313"/>
  <c r="B17" i="315"/>
  <c r="B11" i="306"/>
  <c r="B22" i="306" s="1"/>
  <c r="B22" i="113"/>
  <c r="B11" i="307"/>
  <c r="B22" i="307" s="1"/>
  <c r="B22" i="230"/>
  <c r="B11" i="277"/>
  <c r="B22" i="266"/>
  <c r="B11" i="266"/>
  <c r="B11" i="317"/>
  <c r="B11" i="254"/>
  <c r="B11" i="242"/>
  <c r="B11" i="313"/>
  <c r="B22" i="315"/>
  <c r="B22" i="317"/>
  <c r="B22" i="277"/>
  <c r="B22" i="311"/>
  <c r="B22" i="313"/>
  <c r="B22" i="254"/>
  <c r="B11" i="315"/>
  <c r="B22" i="242"/>
  <c r="B11" i="311"/>
  <c r="B13" i="307"/>
  <c r="B24" i="307" s="1"/>
  <c r="B24" i="230"/>
  <c r="B7" i="306"/>
  <c r="B17" i="306" s="1"/>
  <c r="B17" i="113"/>
  <c r="A61" i="380"/>
  <c r="Q13" i="2"/>
  <c r="M22" i="36"/>
  <c r="B60" i="380"/>
  <c r="A62" i="380" l="1"/>
  <c r="I15" i="24"/>
  <c r="C34" i="121" s="1"/>
  <c r="Q14" i="2"/>
  <c r="M20" i="97"/>
  <c r="M21" i="97"/>
  <c r="M22" i="97"/>
  <c r="M23" i="97"/>
  <c r="M24" i="97"/>
  <c r="M25" i="97"/>
  <c r="M15" i="97"/>
  <c r="B61" i="380"/>
  <c r="A63" i="380" l="1"/>
  <c r="Q15" i="2"/>
  <c r="M19" i="97"/>
  <c r="B62" i="380"/>
  <c r="A64" i="380" l="1"/>
  <c r="Q16" i="2"/>
  <c r="M17" i="97"/>
  <c r="M18" i="97"/>
  <c r="M16" i="97"/>
  <c r="B63" i="380"/>
  <c r="A65" i="380" l="1"/>
  <c r="Q17" i="2"/>
  <c r="Q18" i="2" s="1"/>
  <c r="Q19" i="2" s="1"/>
  <c r="Q20" i="2" s="1"/>
  <c r="Q21" i="2" s="1"/>
  <c r="Q22" i="2" s="1"/>
  <c r="Q23" i="2" s="1"/>
  <c r="Q24" i="2" s="1"/>
  <c r="Q25" i="2" s="1"/>
  <c r="Q26" i="2" s="1"/>
  <c r="Q27" i="2" s="1"/>
  <c r="Q28" i="2" s="1"/>
  <c r="Q29" i="2" s="1"/>
  <c r="Q30" i="2" s="1"/>
  <c r="Q31" i="2" s="1"/>
  <c r="Q32" i="2" s="1"/>
  <c r="Q33" i="2" s="1"/>
  <c r="Q34" i="2" s="1"/>
  <c r="Q35" i="2" s="1"/>
  <c r="Q36" i="2" s="1"/>
  <c r="Q37" i="2" s="1"/>
  <c r="Q38" i="2" s="1"/>
  <c r="Q39" i="2" s="1"/>
  <c r="Q40" i="2" s="1"/>
  <c r="Q41" i="2" s="1"/>
  <c r="Q42" i="2" s="1"/>
  <c r="Q43" i="2" s="1"/>
  <c r="Q44" i="2" s="1"/>
  <c r="Q45" i="2" s="1"/>
  <c r="Q46" i="2" s="1"/>
  <c r="Q47" i="2" s="1"/>
  <c r="Q48" i="2" s="1"/>
  <c r="Q49" i="2" s="1"/>
  <c r="Q50" i="2" s="1"/>
  <c r="Q51" i="2" s="1"/>
  <c r="Q52" i="2" s="1"/>
  <c r="Q53" i="2" s="1"/>
  <c r="Q54" i="2" s="1"/>
  <c r="Q55" i="2" s="1"/>
  <c r="Q56" i="2" s="1"/>
  <c r="Q57" i="2" s="1"/>
  <c r="Q58" i="2" s="1"/>
  <c r="Q59" i="2" s="1"/>
  <c r="I12" i="28"/>
  <c r="J12" i="28" s="1"/>
  <c r="J11" i="28"/>
  <c r="B64" i="380"/>
  <c r="Q60" i="2" l="1"/>
  <c r="Q61" i="2" s="1"/>
  <c r="Q62" i="2" s="1"/>
  <c r="Q63" i="2" s="1"/>
  <c r="Q64" i="2" s="1"/>
  <c r="Q65" i="2" s="1"/>
  <c r="Q66" i="2" s="1"/>
  <c r="Q67" i="2" s="1"/>
  <c r="Q68" i="2" s="1"/>
  <c r="Q69" i="2" s="1"/>
  <c r="Q70" i="2" s="1"/>
  <c r="Q71" i="2" s="1"/>
  <c r="Q72" i="2" s="1"/>
  <c r="Q73" i="2" s="1"/>
  <c r="Q74" i="2" s="1"/>
  <c r="Q75" i="2" s="1"/>
  <c r="Q76" i="2" s="1"/>
  <c r="Q77" i="2" s="1"/>
  <c r="Q78" i="2" s="1"/>
  <c r="Q79" i="2" s="1"/>
  <c r="Q80" i="2" s="1"/>
  <c r="Q81" i="2" s="1"/>
  <c r="Q82" i="2" s="1"/>
  <c r="Q83" i="2" s="1"/>
  <c r="Q84" i="2" s="1"/>
  <c r="Q85" i="2" s="1"/>
  <c r="Q86" i="2" s="1"/>
  <c r="Q87" i="2" s="1"/>
  <c r="Q88" i="2" s="1"/>
  <c r="Q89" i="2" s="1"/>
  <c r="Q90" i="2" s="1"/>
  <c r="Q91" i="2" s="1"/>
  <c r="Q92" i="2" s="1"/>
  <c r="Q93" i="2" s="1"/>
  <c r="Q94" i="2" s="1"/>
  <c r="Q95" i="2" s="1"/>
  <c r="Q96" i="2" s="1"/>
  <c r="Q97" i="2" s="1"/>
  <c r="Q98" i="2" s="1"/>
  <c r="Q99" i="2" s="1"/>
  <c r="Q100" i="2" s="1"/>
  <c r="Q101" i="2" s="1"/>
  <c r="Q102" i="2" s="1"/>
  <c r="Q103" i="2" s="1"/>
  <c r="Q104" i="2" s="1"/>
  <c r="Q105" i="2" s="1"/>
  <c r="Q106" i="2" s="1"/>
  <c r="Q107" i="2" s="1"/>
  <c r="Q108" i="2" s="1"/>
  <c r="Q109" i="2" s="1"/>
  <c r="Q110" i="2" s="1"/>
  <c r="Q111" i="2" s="1"/>
  <c r="Q112" i="2" s="1"/>
  <c r="Q113" i="2" s="1"/>
  <c r="Q114" i="2" s="1"/>
  <c r="Q115" i="2" s="1"/>
  <c r="Q116" i="2" s="1"/>
  <c r="Q117" i="2" s="1"/>
  <c r="Q118" i="2" s="1"/>
  <c r="Q119" i="2" s="1"/>
  <c r="Q120" i="2" s="1"/>
  <c r="Q121" i="2" s="1"/>
  <c r="Q122" i="2" s="1"/>
  <c r="Q123" i="2" s="1"/>
  <c r="Q124" i="2" s="1"/>
  <c r="Q125" i="2" s="1"/>
  <c r="Q126" i="2" s="1"/>
  <c r="Q127" i="2" s="1"/>
  <c r="Q128" i="2" s="1"/>
  <c r="Q129" i="2" s="1"/>
  <c r="Q130" i="2" s="1"/>
  <c r="Q131" i="2" s="1"/>
  <c r="Q132" i="2" s="1"/>
  <c r="Q133" i="2" s="1"/>
  <c r="Q134" i="2" s="1"/>
  <c r="Q135" i="2" s="1"/>
  <c r="Q136" i="2" s="1"/>
  <c r="Q137" i="2" s="1"/>
  <c r="Q138" i="2" s="1"/>
  <c r="Q139" i="2" s="1"/>
  <c r="Q140" i="2" s="1"/>
  <c r="Q141" i="2" s="1"/>
  <c r="Q142" i="2" s="1"/>
  <c r="Q143" i="2" s="1"/>
  <c r="Q144" i="2" s="1"/>
  <c r="Q145" i="2" s="1"/>
  <c r="Q146" i="2" s="1"/>
  <c r="Q147" i="2" s="1"/>
  <c r="Q148" i="2" s="1"/>
  <c r="Q149" i="2" s="1"/>
  <c r="Q150" i="2" s="1"/>
  <c r="Q151" i="2" s="1"/>
  <c r="Q152" i="2" s="1"/>
  <c r="Q153" i="2" s="1"/>
  <c r="Q154" i="2" s="1"/>
  <c r="Q155" i="2" s="1"/>
  <c r="Q156" i="2" s="1"/>
  <c r="Q157" i="2" s="1"/>
  <c r="Q158" i="2" s="1"/>
  <c r="Q159" i="2" s="1"/>
  <c r="Q160" i="2" s="1"/>
  <c r="Q161" i="2" s="1"/>
  <c r="Q162" i="2" s="1"/>
  <c r="Q163" i="2" s="1"/>
  <c r="Q164" i="2" s="1"/>
  <c r="Q165" i="2" s="1"/>
  <c r="Q166" i="2" s="1"/>
  <c r="Q167" i="2" s="1"/>
  <c r="Q168" i="2" s="1"/>
  <c r="Q169" i="2" s="1"/>
  <c r="Q170" i="2" s="1"/>
  <c r="Q171" i="2" s="1"/>
  <c r="Q172" i="2" s="1"/>
  <c r="Q173" i="2" s="1"/>
  <c r="Q174" i="2" s="1"/>
  <c r="Q175" i="2" s="1"/>
  <c r="Q176" i="2" s="1"/>
  <c r="Q177" i="2" s="1"/>
  <c r="Q178" i="2" s="1"/>
  <c r="Q179" i="2" s="1"/>
  <c r="Q180" i="2" s="1"/>
  <c r="Q181" i="2" s="1"/>
  <c r="Q182" i="2" s="1"/>
  <c r="Q183" i="2" s="1"/>
  <c r="Q184" i="2" s="1"/>
  <c r="Q185" i="2" s="1"/>
  <c r="Q186" i="2" s="1"/>
  <c r="Q187" i="2" s="1"/>
  <c r="Q188" i="2" s="1"/>
  <c r="Q189" i="2" s="1"/>
  <c r="Q190" i="2" s="1"/>
  <c r="Q191" i="2" s="1"/>
  <c r="Q192" i="2" s="1"/>
  <c r="Q193" i="2" s="1"/>
  <c r="Q194" i="2" s="1"/>
  <c r="Q195" i="2" s="1"/>
  <c r="Q196" i="2" s="1"/>
  <c r="Q197" i="2" s="1"/>
  <c r="Q198" i="2" s="1"/>
  <c r="Q199" i="2" s="1"/>
  <c r="Q200" i="2" s="1"/>
  <c r="Q201" i="2" s="1"/>
  <c r="Q202" i="2" s="1"/>
  <c r="Q203" i="2" s="1"/>
  <c r="Q204" i="2" s="1"/>
  <c r="Q205" i="2" s="1"/>
  <c r="Q206" i="2" s="1"/>
  <c r="Q207" i="2" s="1"/>
  <c r="Q208" i="2" s="1"/>
  <c r="Q209" i="2" s="1"/>
  <c r="Q210" i="2" s="1"/>
  <c r="Q211" i="2" s="1"/>
  <c r="Q212" i="2" s="1"/>
  <c r="Q213" i="2" s="1"/>
  <c r="Q214" i="2" s="1"/>
  <c r="Q215" i="2" s="1"/>
  <c r="Q216" i="2" s="1"/>
  <c r="Q217" i="2" s="1"/>
  <c r="Q218" i="2" s="1"/>
  <c r="Q219" i="2" s="1"/>
  <c r="Q220" i="2" s="1"/>
  <c r="Q221" i="2" s="1"/>
  <c r="Q222" i="2" s="1"/>
  <c r="Q223" i="2" s="1"/>
  <c r="Q224" i="2" s="1"/>
  <c r="Q225" i="2" s="1"/>
  <c r="Q226" i="2" s="1"/>
  <c r="Q227" i="2" s="1"/>
  <c r="Q228" i="2" s="1"/>
  <c r="Q229" i="2" s="1"/>
  <c r="Q230" i="2" s="1"/>
  <c r="Q231" i="2" s="1"/>
  <c r="Q232" i="2" s="1"/>
  <c r="Q233" i="2" s="1"/>
  <c r="Q234" i="2" s="1"/>
  <c r="Q235" i="2" s="1"/>
  <c r="Q236" i="2" s="1"/>
  <c r="Q237" i="2" s="1"/>
  <c r="Q238" i="2" s="1"/>
  <c r="Q239" i="2" s="1"/>
  <c r="Q240" i="2" s="1"/>
  <c r="Q241" i="2" s="1"/>
  <c r="Q242" i="2" s="1"/>
  <c r="Q243" i="2" s="1"/>
  <c r="Q244" i="2" s="1"/>
  <c r="Q245" i="2" s="1"/>
  <c r="Q246" i="2" s="1"/>
  <c r="Q247" i="2" s="1"/>
  <c r="Q248" i="2" s="1"/>
  <c r="Q249" i="2" s="1"/>
  <c r="Q250" i="2" s="1"/>
  <c r="Q251" i="2" s="1"/>
  <c r="Q252" i="2" s="1"/>
  <c r="Q253" i="2" s="1"/>
  <c r="Q254" i="2" s="1"/>
  <c r="Q255" i="2" s="1"/>
  <c r="Q256" i="2" s="1"/>
  <c r="Q257" i="2" s="1"/>
  <c r="Q258" i="2" s="1"/>
  <c r="Q259" i="2" s="1"/>
  <c r="Q260" i="2" s="1"/>
  <c r="Q261" i="2" s="1"/>
  <c r="Q262" i="2" s="1"/>
  <c r="Q263" i="2" s="1"/>
  <c r="Q264" i="2" s="1"/>
  <c r="Q265" i="2" s="1"/>
  <c r="Q266" i="2" s="1"/>
  <c r="Q267" i="2" s="1"/>
  <c r="Q268" i="2" s="1"/>
  <c r="Q269" i="2" s="1"/>
  <c r="Q270" i="2" s="1"/>
  <c r="Q271" i="2" s="1"/>
  <c r="Q272" i="2" s="1"/>
  <c r="Q273" i="2" s="1"/>
  <c r="Q274" i="2" s="1"/>
  <c r="Q275" i="2" s="1"/>
  <c r="Q276" i="2" s="1"/>
  <c r="Q277" i="2" s="1"/>
  <c r="Q278" i="2" s="1"/>
  <c r="Q279" i="2" s="1"/>
  <c r="Q280" i="2" s="1"/>
  <c r="Q281" i="2" s="1"/>
  <c r="Q282" i="2" s="1"/>
  <c r="Q283" i="2" s="1"/>
  <c r="Q284" i="2" s="1"/>
  <c r="Q285" i="2" s="1"/>
  <c r="Q286" i="2" s="1"/>
  <c r="Q287" i="2" s="1"/>
  <c r="Q288" i="2" s="1"/>
  <c r="Q289" i="2" s="1"/>
  <c r="Q290" i="2" s="1"/>
  <c r="Q291" i="2" s="1"/>
  <c r="Q292" i="2" s="1"/>
  <c r="Q293" i="2" s="1"/>
  <c r="Q294" i="2" s="1"/>
  <c r="Q295" i="2" s="1"/>
  <c r="Q296" i="2" s="1"/>
  <c r="Q297" i="2" s="1"/>
  <c r="Q298" i="2" s="1"/>
  <c r="Q299" i="2" s="1"/>
  <c r="Q300" i="2" s="1"/>
  <c r="Q301" i="2" s="1"/>
  <c r="Q302" i="2" s="1"/>
  <c r="Q303" i="2" s="1"/>
  <c r="Q304" i="2" s="1"/>
  <c r="Q305" i="2" s="1"/>
  <c r="Q306" i="2" s="1"/>
  <c r="Q307" i="2" s="1"/>
  <c r="Q308" i="2" s="1"/>
  <c r="Q309" i="2" s="1"/>
  <c r="Q310" i="2" s="1"/>
  <c r="Q311" i="2" s="1"/>
  <c r="Q312" i="2" s="1"/>
  <c r="Q313" i="2" s="1"/>
  <c r="Q314" i="2" s="1"/>
  <c r="Q315" i="2" s="1"/>
  <c r="Q316" i="2" s="1"/>
  <c r="Q317" i="2" s="1"/>
  <c r="Q318" i="2" s="1"/>
  <c r="Q319" i="2" s="1"/>
  <c r="Q320" i="2" s="1"/>
  <c r="Q321" i="2" s="1"/>
  <c r="Q322" i="2" s="1"/>
  <c r="Q323" i="2" s="1"/>
  <c r="Q324" i="2" s="1"/>
  <c r="Q325" i="2" s="1"/>
  <c r="Q326" i="2" s="1"/>
  <c r="Q327" i="2" s="1"/>
  <c r="Q328" i="2" s="1"/>
  <c r="Q329" i="2" s="1"/>
  <c r="Q330" i="2" s="1"/>
  <c r="Q331" i="2" s="1"/>
  <c r="Q332" i="2" s="1"/>
  <c r="Q333" i="2" s="1"/>
  <c r="Q334" i="2" s="1"/>
  <c r="Q335" i="2" s="1"/>
  <c r="Q336" i="2" s="1"/>
  <c r="Q337" i="2" s="1"/>
  <c r="Q338" i="2" s="1"/>
  <c r="Q339" i="2" s="1"/>
  <c r="Q340" i="2" s="1"/>
  <c r="Q341" i="2" s="1"/>
  <c r="Q342" i="2" s="1"/>
  <c r="Q343" i="2" s="1"/>
  <c r="Q344" i="2" s="1"/>
  <c r="Q345" i="2" s="1"/>
  <c r="Q346" i="2" s="1"/>
  <c r="Q347" i="2" s="1"/>
  <c r="Q348" i="2" s="1"/>
  <c r="Q349" i="2" s="1"/>
  <c r="Q350" i="2" s="1"/>
  <c r="Q351" i="2" s="1"/>
  <c r="Q352" i="2" s="1"/>
  <c r="Q353" i="2" s="1"/>
  <c r="Q354" i="2" s="1"/>
  <c r="Q355" i="2" s="1"/>
  <c r="Q356" i="2" s="1"/>
  <c r="Q357" i="2" s="1"/>
  <c r="Q358" i="2" s="1"/>
  <c r="Q359" i="2" s="1"/>
  <c r="Q360" i="2" s="1"/>
  <c r="Q361" i="2" s="1"/>
  <c r="Q362" i="2" s="1"/>
  <c r="Q363" i="2" s="1"/>
  <c r="Q364" i="2" s="1"/>
  <c r="Q365" i="2" s="1"/>
  <c r="Q366" i="2" s="1"/>
  <c r="Q367" i="2" s="1"/>
  <c r="Q368" i="2" s="1"/>
  <c r="Q369" i="2" s="1"/>
  <c r="Q370" i="2" s="1"/>
  <c r="Q371" i="2" s="1"/>
  <c r="Q372" i="2" s="1"/>
  <c r="Q373" i="2" s="1"/>
  <c r="Q374" i="2" s="1"/>
  <c r="Q375" i="2" s="1"/>
  <c r="Q376" i="2" s="1"/>
  <c r="Q377" i="2" s="1"/>
  <c r="Q378" i="2" s="1"/>
  <c r="Q379" i="2" s="1"/>
  <c r="Q380" i="2" s="1"/>
  <c r="Q381" i="2" s="1"/>
  <c r="Q382" i="2" s="1"/>
  <c r="Q383" i="2" s="1"/>
  <c r="Q384" i="2" s="1"/>
  <c r="Q385" i="2" s="1"/>
  <c r="Q386" i="2" s="1"/>
  <c r="Q387" i="2" s="1"/>
  <c r="Q388" i="2" s="1"/>
  <c r="Q389" i="2" s="1"/>
  <c r="Q390" i="2" s="1"/>
  <c r="Q391" i="2" s="1"/>
  <c r="Q392" i="2" s="1"/>
  <c r="Q393" i="2" s="1"/>
  <c r="Q394" i="2" s="1"/>
  <c r="Q395" i="2" s="1"/>
  <c r="Q396" i="2" s="1"/>
  <c r="Q397" i="2" s="1"/>
  <c r="Q398" i="2" s="1"/>
  <c r="Q399" i="2" s="1"/>
  <c r="Q400" i="2" s="1"/>
  <c r="Q401" i="2" s="1"/>
  <c r="Q402" i="2" s="1"/>
  <c r="Q403" i="2" s="1"/>
  <c r="Q404" i="2" s="1"/>
  <c r="Q405" i="2" s="1"/>
  <c r="Q406" i="2" s="1"/>
  <c r="Q407" i="2" s="1"/>
  <c r="Q408" i="2" s="1"/>
  <c r="Q409" i="2" s="1"/>
  <c r="Q410" i="2" s="1"/>
  <c r="Q411" i="2" s="1"/>
  <c r="Q412" i="2" s="1"/>
  <c r="Q413" i="2" s="1"/>
  <c r="Q414" i="2" s="1"/>
  <c r="Q415" i="2" s="1"/>
  <c r="Q416" i="2" s="1"/>
  <c r="Q417" i="2" s="1"/>
  <c r="Q418" i="2" s="1"/>
  <c r="Q419" i="2" s="1"/>
  <c r="Q420" i="2" s="1"/>
  <c r="Q421" i="2" s="1"/>
  <c r="Q422" i="2" s="1"/>
  <c r="Q423" i="2" s="1"/>
  <c r="Q424" i="2" s="1"/>
  <c r="Q425" i="2" s="1"/>
  <c r="Q426" i="2" s="1"/>
  <c r="Q427" i="2" s="1"/>
  <c r="Q428" i="2" s="1"/>
  <c r="Q429" i="2" s="1"/>
  <c r="Q430" i="2" s="1"/>
  <c r="Q431" i="2" s="1"/>
  <c r="Q432" i="2" s="1"/>
  <c r="Q433" i="2" s="1"/>
  <c r="Q434" i="2" s="1"/>
  <c r="Q435" i="2" s="1"/>
  <c r="Q436" i="2" s="1"/>
  <c r="Q437" i="2" s="1"/>
  <c r="Q438" i="2" s="1"/>
  <c r="Q439" i="2" s="1"/>
  <c r="Q440" i="2" s="1"/>
  <c r="Q441" i="2" s="1"/>
  <c r="Q442" i="2" s="1"/>
  <c r="Q443" i="2" s="1"/>
  <c r="Q444" i="2" s="1"/>
  <c r="Q445" i="2" s="1"/>
  <c r="Q446" i="2" s="1"/>
  <c r="Q447" i="2" s="1"/>
  <c r="Q448" i="2" s="1"/>
  <c r="Q449" i="2" s="1"/>
  <c r="Q450" i="2" s="1"/>
  <c r="Q451" i="2" s="1"/>
  <c r="Q452" i="2" s="1"/>
  <c r="Q453" i="2" s="1"/>
  <c r="Q454" i="2" s="1"/>
  <c r="Q455" i="2" s="1"/>
  <c r="Q456" i="2" s="1"/>
  <c r="Q457" i="2" s="1"/>
  <c r="Q458" i="2" s="1"/>
  <c r="Q459" i="2" s="1"/>
  <c r="Q460" i="2" s="1"/>
  <c r="Q461" i="2" s="1"/>
  <c r="Q462" i="2" s="1"/>
  <c r="Q463" i="2" s="1"/>
  <c r="Q464" i="2" s="1"/>
  <c r="Q465" i="2" s="1"/>
  <c r="Q466" i="2" s="1"/>
  <c r="Q467" i="2" s="1"/>
  <c r="Q468" i="2" s="1"/>
  <c r="Q469" i="2" s="1"/>
  <c r="Q470" i="2" s="1"/>
  <c r="Q471" i="2" s="1"/>
  <c r="Q472" i="2" s="1"/>
  <c r="Q473" i="2" s="1"/>
  <c r="Q474" i="2" s="1"/>
  <c r="Q475" i="2" s="1"/>
  <c r="Q476" i="2" s="1"/>
  <c r="Q477" i="2" s="1"/>
  <c r="Q478" i="2" s="1"/>
  <c r="Q479" i="2" s="1"/>
  <c r="Q480" i="2" s="1"/>
  <c r="Q481" i="2" s="1"/>
  <c r="Q482" i="2" s="1"/>
  <c r="Q483" i="2" s="1"/>
  <c r="Q484" i="2" s="1"/>
  <c r="Q485" i="2" s="1"/>
  <c r="Q486" i="2" s="1"/>
  <c r="Q487" i="2" s="1"/>
  <c r="Q488" i="2" s="1"/>
  <c r="Q489" i="2" s="1"/>
  <c r="Q490" i="2" s="1"/>
  <c r="Q491" i="2" s="1"/>
  <c r="Q492" i="2" s="1"/>
  <c r="Q493" i="2" s="1"/>
  <c r="Q494" i="2" s="1"/>
  <c r="Q495" i="2" s="1"/>
  <c r="Q496" i="2" s="1"/>
  <c r="Q497" i="2" s="1"/>
  <c r="Q498" i="2" s="1"/>
  <c r="Q499" i="2" s="1"/>
  <c r="Q500" i="2" s="1"/>
  <c r="Q501" i="2" s="1"/>
  <c r="Q502" i="2" s="1"/>
  <c r="Q503" i="2" s="1"/>
  <c r="Q504" i="2" s="1"/>
  <c r="Q505" i="2" s="1"/>
  <c r="Q506" i="2" s="1"/>
  <c r="Q507" i="2" s="1"/>
  <c r="Q508" i="2" s="1"/>
  <c r="Q509" i="2" s="1"/>
  <c r="Q510" i="2" s="1"/>
  <c r="Q511" i="2" s="1"/>
  <c r="Q512" i="2" s="1"/>
  <c r="Q513" i="2" s="1"/>
  <c r="Q514" i="2" s="1"/>
  <c r="Q515" i="2" s="1"/>
  <c r="Q516" i="2" s="1"/>
  <c r="Q517" i="2" s="1"/>
  <c r="Q518" i="2" s="1"/>
  <c r="Q519" i="2" s="1"/>
  <c r="Q520" i="2" s="1"/>
  <c r="Q521" i="2" s="1"/>
  <c r="Q522" i="2" s="1"/>
  <c r="Q523" i="2" s="1"/>
  <c r="Q524" i="2" s="1"/>
  <c r="Q525" i="2" s="1"/>
  <c r="Q526" i="2" s="1"/>
  <c r="Q527" i="2" s="1"/>
  <c r="Q528" i="2" s="1"/>
  <c r="Q529" i="2" s="1"/>
  <c r="Q530" i="2" s="1"/>
  <c r="Q531" i="2" s="1"/>
  <c r="Q532" i="2" s="1"/>
  <c r="Q533" i="2" s="1"/>
  <c r="Q534" i="2" s="1"/>
  <c r="Q535" i="2" s="1"/>
  <c r="Q536" i="2" s="1"/>
  <c r="Q537" i="2" s="1"/>
  <c r="Q538" i="2" s="1"/>
  <c r="Q539" i="2" s="1"/>
  <c r="Q540" i="2" s="1"/>
  <c r="Q541" i="2" s="1"/>
  <c r="Q542" i="2" s="1"/>
  <c r="Q543" i="2" s="1"/>
  <c r="Q544" i="2" s="1"/>
  <c r="Q545" i="2" s="1"/>
  <c r="Q546" i="2" s="1"/>
  <c r="Q547" i="2" s="1"/>
  <c r="Q548" i="2" s="1"/>
  <c r="Q549" i="2" s="1"/>
  <c r="Q550" i="2" s="1"/>
  <c r="Q551" i="2" s="1"/>
  <c r="Q552" i="2" s="1"/>
  <c r="Q553" i="2" s="1"/>
  <c r="Q554" i="2" s="1"/>
  <c r="Q555" i="2" s="1"/>
  <c r="Q556" i="2" s="1"/>
  <c r="Q557" i="2" s="1"/>
  <c r="Q558" i="2" s="1"/>
  <c r="Q559" i="2" s="1"/>
  <c r="Q560" i="2" s="1"/>
  <c r="Q561" i="2" s="1"/>
  <c r="Q562" i="2" s="1"/>
  <c r="Q563" i="2" s="1"/>
  <c r="Q564" i="2" s="1"/>
  <c r="Q565" i="2" s="1"/>
  <c r="Q566" i="2" s="1"/>
  <c r="Q567" i="2" s="1"/>
  <c r="Q568" i="2" s="1"/>
  <c r="Q569" i="2" s="1"/>
  <c r="Q570" i="2" s="1"/>
  <c r="Q571" i="2" s="1"/>
  <c r="Q572" i="2" s="1"/>
  <c r="Q573" i="2" s="1"/>
  <c r="Q574" i="2" s="1"/>
  <c r="Q575" i="2" s="1"/>
  <c r="Q576" i="2" s="1"/>
  <c r="Q577" i="2" s="1"/>
  <c r="Q578" i="2" s="1"/>
  <c r="Q579" i="2" s="1"/>
  <c r="Q580" i="2" s="1"/>
  <c r="Q581" i="2" s="1"/>
  <c r="Q582" i="2" s="1"/>
  <c r="Q583" i="2" s="1"/>
  <c r="Q584" i="2" s="1"/>
  <c r="Q585" i="2" s="1"/>
  <c r="Q586" i="2" s="1"/>
  <c r="Q587" i="2" s="1"/>
  <c r="Q588" i="2" s="1"/>
  <c r="Q589" i="2" s="1"/>
  <c r="Q590" i="2" s="1"/>
  <c r="Q591" i="2" s="1"/>
  <c r="Q592" i="2" s="1"/>
  <c r="D10" i="2"/>
  <c r="C2" i="121" s="1"/>
  <c r="D39" i="2"/>
  <c r="D2" i="121" s="1"/>
  <c r="D12" i="2"/>
  <c r="D11" i="2"/>
  <c r="D37" i="2"/>
  <c r="D9" i="2"/>
  <c r="B2" i="121" s="1"/>
  <c r="D14" i="2"/>
  <c r="A66" i="380"/>
  <c r="L27" i="17"/>
  <c r="L8" i="157" s="1"/>
  <c r="L27" i="157" s="1"/>
  <c r="L8" i="158" s="1"/>
  <c r="L27" i="158" s="1"/>
  <c r="L8" i="159" s="1"/>
  <c r="L27" i="159" s="1"/>
  <c r="L8" i="160" s="1"/>
  <c r="L27" i="160" s="1"/>
  <c r="L8" i="161" s="1"/>
  <c r="L27" i="161" s="1"/>
  <c r="L8" i="162" s="1"/>
  <c r="L27" i="162" s="1"/>
  <c r="L8" i="163" s="1"/>
  <c r="L27" i="163" s="1"/>
  <c r="L8" i="164" s="1"/>
  <c r="L27" i="164" s="1"/>
  <c r="L8" i="165" s="1"/>
  <c r="L27" i="165" s="1"/>
  <c r="L8" i="166" s="1"/>
  <c r="L27" i="166" s="1"/>
  <c r="L8" i="167" s="1"/>
  <c r="L27" i="167" s="1"/>
  <c r="L8" i="168" s="1"/>
  <c r="L27" i="168" s="1"/>
  <c r="L8" i="169" s="1"/>
  <c r="L27" i="169" s="1"/>
  <c r="L8" i="170" s="1"/>
  <c r="L27" i="170" s="1"/>
  <c r="L8" i="171" s="1"/>
  <c r="L27" i="171" s="1"/>
  <c r="L8" i="172" s="1"/>
  <c r="L27" i="172" s="1"/>
  <c r="L8" i="173" s="1"/>
  <c r="L27" i="173" s="1"/>
  <c r="L8" i="174" s="1"/>
  <c r="L27" i="174" s="1"/>
  <c r="L8" i="175" s="1"/>
  <c r="L27" i="175" s="1"/>
  <c r="L8" i="176" s="1"/>
  <c r="L27" i="176" s="1"/>
  <c r="L8" i="177" s="1"/>
  <c r="L27" i="177" s="1"/>
  <c r="L8" i="178" s="1"/>
  <c r="L27" i="178" s="1"/>
  <c r="L8" i="179" s="1"/>
  <c r="L27" i="179" s="1"/>
  <c r="L8" i="180" s="1"/>
  <c r="L27" i="180" s="1"/>
  <c r="L8" i="181" s="1"/>
  <c r="L27" i="181" s="1"/>
  <c r="L8" i="182" s="1"/>
  <c r="L27" i="182" s="1"/>
  <c r="L8" i="183" s="1"/>
  <c r="L27" i="183" s="1"/>
  <c r="L8" i="184" s="1"/>
  <c r="L27" i="184" s="1"/>
  <c r="L8" i="185" s="1"/>
  <c r="L27" i="185" s="1"/>
  <c r="L8" i="186" s="1"/>
  <c r="L27" i="186" s="1"/>
  <c r="L8" i="187" s="1"/>
  <c r="L27" i="187" s="1"/>
  <c r="L8" i="188" s="1"/>
  <c r="L27" i="188" s="1"/>
  <c r="L8" i="189" s="1"/>
  <c r="L27" i="189" s="1"/>
  <c r="L8" i="190" s="1"/>
  <c r="L27" i="190" s="1"/>
  <c r="L8" i="191" s="1"/>
  <c r="L27" i="191" s="1"/>
  <c r="L8" i="192" s="1"/>
  <c r="F27" i="15"/>
  <c r="F8" i="16" s="1"/>
  <c r="B65" i="380"/>
  <c r="A67" i="380" l="1"/>
  <c r="H46" i="54"/>
  <c r="L27" i="192"/>
  <c r="L8" i="193" s="1"/>
  <c r="L27" i="193" s="1"/>
  <c r="L8" i="194" s="1"/>
  <c r="L27" i="194" s="1"/>
  <c r="L8" i="195" s="1"/>
  <c r="L27" i="195" s="1"/>
  <c r="L8" i="196" s="1"/>
  <c r="L27" i="196" s="1"/>
  <c r="H33" i="7" s="1"/>
  <c r="D45" i="91"/>
  <c r="I31" i="24"/>
  <c r="B66" i="380"/>
  <c r="A68" i="380" l="1"/>
  <c r="H61" i="54"/>
  <c r="B67" i="380"/>
  <c r="A69" i="380" l="1"/>
  <c r="D86" i="91"/>
  <c r="D75" i="91"/>
  <c r="D65" i="91"/>
  <c r="D41" i="91"/>
  <c r="B3" i="91"/>
  <c r="J5" i="44"/>
  <c r="B22" i="42"/>
  <c r="B22" i="253" s="1"/>
  <c r="B17" i="42"/>
  <c r="B26" i="96"/>
  <c r="B25" i="96"/>
  <c r="B68" i="380"/>
  <c r="A70" i="380" l="1"/>
  <c r="B12" i="96"/>
  <c r="B23" i="96" s="1"/>
  <c r="B12" i="207"/>
  <c r="B23" i="207" s="1"/>
  <c r="B12" i="206"/>
  <c r="B23" i="206" s="1"/>
  <c r="B7" i="96"/>
  <c r="B18" i="96" s="1"/>
  <c r="B7" i="206"/>
  <c r="B18" i="206" s="1"/>
  <c r="B7" i="207"/>
  <c r="B18" i="207" s="1"/>
  <c r="G30" i="96"/>
  <c r="G30" i="207"/>
  <c r="G30" i="206"/>
  <c r="K4" i="46"/>
  <c r="K4" i="214"/>
  <c r="K4" i="215"/>
  <c r="K4" i="211"/>
  <c r="K4" i="210"/>
  <c r="K4" i="216"/>
  <c r="K4" i="217"/>
  <c r="K4" i="212"/>
  <c r="K4" i="218"/>
  <c r="K4" i="213"/>
  <c r="J6" i="96"/>
  <c r="J6" i="42" s="1"/>
  <c r="J6" i="206"/>
  <c r="J6" i="207"/>
  <c r="E4" i="46"/>
  <c r="E4" i="213"/>
  <c r="E4" i="214"/>
  <c r="E4" i="215"/>
  <c r="E4" i="211"/>
  <c r="E4" i="210"/>
  <c r="E4" i="216"/>
  <c r="E4" i="217"/>
  <c r="E4" i="212"/>
  <c r="E4" i="218"/>
  <c r="B26" i="38"/>
  <c r="B18" i="38"/>
  <c r="B23" i="38"/>
  <c r="H5" i="98"/>
  <c r="B69" i="380"/>
  <c r="A71" i="380" l="1"/>
  <c r="J8" i="41"/>
  <c r="J7" i="41"/>
  <c r="L8" i="41"/>
  <c r="I8" i="41"/>
  <c r="C37" i="39"/>
  <c r="B70" i="380"/>
  <c r="A72" i="380" l="1"/>
  <c r="B21" i="34"/>
  <c r="B10" i="34"/>
  <c r="B6" i="35"/>
  <c r="B19" i="35"/>
  <c r="B40" i="35" s="1"/>
  <c r="B60" i="30"/>
  <c r="C37" i="30"/>
  <c r="C29" i="30"/>
  <c r="C25" i="30"/>
  <c r="C19" i="30"/>
  <c r="C17" i="30"/>
  <c r="B3" i="30"/>
  <c r="B41" i="26"/>
  <c r="C20" i="29"/>
  <c r="B17" i="34" s="1"/>
  <c r="C28" i="36" s="1"/>
  <c r="C20" i="39" s="1"/>
  <c r="C30" i="39" s="1"/>
  <c r="C40" i="39" s="1"/>
  <c r="B7" i="34"/>
  <c r="C5" i="36" s="1"/>
  <c r="C6" i="39" s="1"/>
  <c r="C26" i="39" s="1"/>
  <c r="C36" i="39" s="1"/>
  <c r="B36" i="22"/>
  <c r="C18" i="20"/>
  <c r="C19" i="21" s="1"/>
  <c r="C40" i="21" s="1"/>
  <c r="B13" i="20"/>
  <c r="B14" i="21" s="1"/>
  <c r="B35" i="21" s="1"/>
  <c r="B12" i="20"/>
  <c r="B13" i="21" s="1"/>
  <c r="B34" i="21" s="1"/>
  <c r="C11" i="20"/>
  <c r="C12" i="21" s="1"/>
  <c r="C33" i="21" s="1"/>
  <c r="M8" i="122"/>
  <c r="M8" i="129" s="1"/>
  <c r="M8" i="130" s="1"/>
  <c r="M8" i="131" s="1"/>
  <c r="L6" i="10" s="1"/>
  <c r="C46" i="52"/>
  <c r="B43" i="52"/>
  <c r="K7" i="57"/>
  <c r="K5" i="57"/>
  <c r="K6" i="57"/>
  <c r="B71" i="380"/>
  <c r="A73" i="380" l="1"/>
  <c r="L6" i="194"/>
  <c r="L6" i="189"/>
  <c r="L6" i="183"/>
  <c r="L6" i="177"/>
  <c r="L6" i="171"/>
  <c r="L6" i="165"/>
  <c r="L6" i="159"/>
  <c r="L6" i="170"/>
  <c r="L6" i="164"/>
  <c r="L6" i="158"/>
  <c r="L6" i="187"/>
  <c r="L6" i="169"/>
  <c r="L6" i="188"/>
  <c r="L6" i="182"/>
  <c r="L6" i="176"/>
  <c r="L6" i="193"/>
  <c r="L6" i="175"/>
  <c r="L6" i="157"/>
  <c r="L6" i="192"/>
  <c r="L6" i="186"/>
  <c r="L6" i="180"/>
  <c r="L6" i="174"/>
  <c r="L6" i="168"/>
  <c r="L6" i="162"/>
  <c r="L6" i="196"/>
  <c r="L6" i="191"/>
  <c r="L6" i="185"/>
  <c r="L6" i="179"/>
  <c r="L6" i="173"/>
  <c r="L6" i="167"/>
  <c r="L6" i="161"/>
  <c r="L6" i="195"/>
  <c r="L6" i="190"/>
  <c r="L6" i="184"/>
  <c r="L6" i="178"/>
  <c r="L6" i="172"/>
  <c r="L6" i="166"/>
  <c r="L6" i="160"/>
  <c r="L6" i="181"/>
  <c r="L6" i="163"/>
  <c r="F6" i="192"/>
  <c r="F6" i="186"/>
  <c r="F6" i="180"/>
  <c r="F6" i="174"/>
  <c r="F6" i="168"/>
  <c r="F6" i="162"/>
  <c r="F6" i="191"/>
  <c r="F6" i="185"/>
  <c r="F6" i="179"/>
  <c r="F6" i="167"/>
  <c r="F6" i="190"/>
  <c r="F6" i="178"/>
  <c r="F6" i="160"/>
  <c r="F6" i="194"/>
  <c r="F6" i="166"/>
  <c r="F6" i="196"/>
  <c r="F6" i="189"/>
  <c r="F6" i="183"/>
  <c r="F6" i="177"/>
  <c r="F6" i="171"/>
  <c r="F6" i="165"/>
  <c r="F6" i="159"/>
  <c r="F6" i="195"/>
  <c r="F6" i="188"/>
  <c r="F6" i="182"/>
  <c r="F6" i="176"/>
  <c r="F6" i="170"/>
  <c r="F6" i="164"/>
  <c r="F6" i="158"/>
  <c r="F6" i="193"/>
  <c r="F6" i="187"/>
  <c r="F6" i="181"/>
  <c r="F6" i="175"/>
  <c r="F6" i="169"/>
  <c r="F6" i="163"/>
  <c r="F6" i="157"/>
  <c r="F6" i="173"/>
  <c r="F6" i="161"/>
  <c r="F6" i="184"/>
  <c r="F6" i="172"/>
  <c r="F6" i="199"/>
  <c r="F6" i="198"/>
  <c r="F6" i="197"/>
  <c r="K6" i="197"/>
  <c r="K6" i="199"/>
  <c r="K6" i="198"/>
  <c r="B37" i="21"/>
  <c r="B16" i="21"/>
  <c r="B17" i="22"/>
  <c r="B38" i="22" s="1"/>
  <c r="K6" i="16"/>
  <c r="K6" i="156"/>
  <c r="K6" i="154"/>
  <c r="K6" i="152"/>
  <c r="K6" i="150"/>
  <c r="K6" i="148"/>
  <c r="K6" i="146"/>
  <c r="K6" i="155"/>
  <c r="K6" i="153"/>
  <c r="K6" i="151"/>
  <c r="K6" i="149"/>
  <c r="K6" i="147"/>
  <c r="K6" i="145"/>
  <c r="K6" i="143"/>
  <c r="K6" i="141"/>
  <c r="K6" i="139"/>
  <c r="K6" i="137"/>
  <c r="K6" i="135"/>
  <c r="K6" i="133"/>
  <c r="K6" i="144"/>
  <c r="K6" i="142"/>
  <c r="K6" i="140"/>
  <c r="K6" i="138"/>
  <c r="K6" i="136"/>
  <c r="K6" i="134"/>
  <c r="B4" i="28"/>
  <c r="B4" i="203"/>
  <c r="B4" i="202"/>
  <c r="B4" i="201"/>
  <c r="B4" i="200"/>
  <c r="B2" i="14"/>
  <c r="B2" i="132"/>
  <c r="B2" i="124"/>
  <c r="B2" i="123"/>
  <c r="F6" i="16"/>
  <c r="F6" i="156"/>
  <c r="F6" i="154"/>
  <c r="F6" i="152"/>
  <c r="F6" i="150"/>
  <c r="F6" i="148"/>
  <c r="F6" i="146"/>
  <c r="F6" i="155"/>
  <c r="F6" i="153"/>
  <c r="F6" i="151"/>
  <c r="F6" i="149"/>
  <c r="F6" i="147"/>
  <c r="F6" i="144"/>
  <c r="F6" i="142"/>
  <c r="F6" i="140"/>
  <c r="F6" i="138"/>
  <c r="F6" i="136"/>
  <c r="F6" i="134"/>
  <c r="F6" i="145"/>
  <c r="F6" i="143"/>
  <c r="F6" i="141"/>
  <c r="F6" i="139"/>
  <c r="F6" i="137"/>
  <c r="F6" i="135"/>
  <c r="F6" i="133"/>
  <c r="G22" i="4"/>
  <c r="I6" i="12"/>
  <c r="I35" i="24"/>
  <c r="H41" i="32"/>
  <c r="H8" i="204" s="1"/>
  <c r="H41" i="204" s="1"/>
  <c r="H8" i="205" s="1"/>
  <c r="H41" i="205" s="1"/>
  <c r="I16" i="31" s="1"/>
  <c r="G48" i="97"/>
  <c r="G10" i="122" s="1"/>
  <c r="G48" i="122" s="1"/>
  <c r="G10" i="129" s="1"/>
  <c r="G48" i="129" s="1"/>
  <c r="G10" i="130" s="1"/>
  <c r="G48" i="130" s="1"/>
  <c r="G10" i="131" s="1"/>
  <c r="G48" i="131" s="1"/>
  <c r="G33" i="29"/>
  <c r="F35" i="12"/>
  <c r="M11" i="97"/>
  <c r="M12" i="97"/>
  <c r="M14" i="97"/>
  <c r="K18" i="36"/>
  <c r="M19" i="36" s="1"/>
  <c r="G34" i="29"/>
  <c r="G36" i="29"/>
  <c r="J17" i="30"/>
  <c r="N19" i="30" s="1"/>
  <c r="I27" i="17"/>
  <c r="I8" i="157" s="1"/>
  <c r="I27" i="157" s="1"/>
  <c r="I8" i="158" s="1"/>
  <c r="I27" i="158" s="1"/>
  <c r="I8" i="159" s="1"/>
  <c r="I27" i="159" s="1"/>
  <c r="I8" i="160" s="1"/>
  <c r="I27" i="160" s="1"/>
  <c r="I8" i="161" s="1"/>
  <c r="I27" i="161" s="1"/>
  <c r="I8" i="162" s="1"/>
  <c r="I27" i="162" s="1"/>
  <c r="I8" i="163" s="1"/>
  <c r="I27" i="163" s="1"/>
  <c r="I8" i="164" s="1"/>
  <c r="I27" i="164" s="1"/>
  <c r="I8" i="165" s="1"/>
  <c r="I27" i="165" s="1"/>
  <c r="I8" i="166" s="1"/>
  <c r="I27" i="166" s="1"/>
  <c r="I8" i="167" s="1"/>
  <c r="I27" i="167" s="1"/>
  <c r="I8" i="168" s="1"/>
  <c r="I27" i="168" s="1"/>
  <c r="I8" i="169" s="1"/>
  <c r="I27" i="169" s="1"/>
  <c r="I8" i="170" s="1"/>
  <c r="I27" i="170" s="1"/>
  <c r="I8" i="171" s="1"/>
  <c r="I27" i="171" s="1"/>
  <c r="I8" i="172" s="1"/>
  <c r="I27" i="172" s="1"/>
  <c r="I8" i="173" s="1"/>
  <c r="I27" i="173" s="1"/>
  <c r="I8" i="174" s="1"/>
  <c r="I27" i="174" s="1"/>
  <c r="I8" i="175" s="1"/>
  <c r="I27" i="175" s="1"/>
  <c r="I8" i="176" s="1"/>
  <c r="I27" i="176" s="1"/>
  <c r="I8" i="177" s="1"/>
  <c r="I27" i="177" s="1"/>
  <c r="I8" i="178" s="1"/>
  <c r="I27" i="178" s="1"/>
  <c r="I8" i="179" s="1"/>
  <c r="I27" i="179" s="1"/>
  <c r="I8" i="180" s="1"/>
  <c r="I27" i="180" s="1"/>
  <c r="I8" i="181" s="1"/>
  <c r="I27" i="181" s="1"/>
  <c r="I8" i="182" s="1"/>
  <c r="I27" i="182" s="1"/>
  <c r="I8" i="183" s="1"/>
  <c r="I27" i="183" s="1"/>
  <c r="I8" i="184" s="1"/>
  <c r="I27" i="184" s="1"/>
  <c r="I8" i="185" s="1"/>
  <c r="I27" i="185" s="1"/>
  <c r="I8" i="186" s="1"/>
  <c r="I27" i="186" s="1"/>
  <c r="I8" i="187" s="1"/>
  <c r="I27" i="187" s="1"/>
  <c r="I8" i="188" s="1"/>
  <c r="I27" i="188" s="1"/>
  <c r="I8" i="189" s="1"/>
  <c r="I27" i="189" s="1"/>
  <c r="I8" i="190" s="1"/>
  <c r="I27" i="190" s="1"/>
  <c r="I8" i="191" s="1"/>
  <c r="I27" i="191" s="1"/>
  <c r="I8" i="192" s="1"/>
  <c r="I27" i="192" s="1"/>
  <c r="I8" i="193" s="1"/>
  <c r="I27" i="193" s="1"/>
  <c r="I8" i="194" s="1"/>
  <c r="I27" i="194" s="1"/>
  <c r="I8" i="195" s="1"/>
  <c r="I27" i="195" s="1"/>
  <c r="I8" i="196" s="1"/>
  <c r="I27" i="196" s="1"/>
  <c r="J27" i="17"/>
  <c r="J8" i="157" s="1"/>
  <c r="J27" i="157" s="1"/>
  <c r="J8" i="158" s="1"/>
  <c r="J27" i="158" s="1"/>
  <c r="J8" i="159" s="1"/>
  <c r="J27" i="159" s="1"/>
  <c r="J8" i="160" s="1"/>
  <c r="J27" i="160" s="1"/>
  <c r="J8" i="161" s="1"/>
  <c r="J27" i="161" s="1"/>
  <c r="J8" i="162" s="1"/>
  <c r="J27" i="162" s="1"/>
  <c r="J8" i="163" s="1"/>
  <c r="J27" i="163" s="1"/>
  <c r="J8" i="164" s="1"/>
  <c r="J27" i="164" s="1"/>
  <c r="J8" i="165" s="1"/>
  <c r="J27" i="165" s="1"/>
  <c r="J8" i="166" s="1"/>
  <c r="J27" i="166" s="1"/>
  <c r="J8" i="167" s="1"/>
  <c r="J27" i="167" s="1"/>
  <c r="J8" i="168" s="1"/>
  <c r="J27" i="168" s="1"/>
  <c r="J8" i="169" s="1"/>
  <c r="J27" i="169" s="1"/>
  <c r="J8" i="170" s="1"/>
  <c r="J27" i="170" s="1"/>
  <c r="J8" i="171" s="1"/>
  <c r="J27" i="171" s="1"/>
  <c r="J8" i="172" s="1"/>
  <c r="J27" i="172" s="1"/>
  <c r="J8" i="173" s="1"/>
  <c r="J27" i="173" s="1"/>
  <c r="J8" i="174" s="1"/>
  <c r="J27" i="174" s="1"/>
  <c r="J8" i="175" s="1"/>
  <c r="J27" i="175" s="1"/>
  <c r="J8" i="176" s="1"/>
  <c r="J27" i="176" s="1"/>
  <c r="J8" i="177" s="1"/>
  <c r="J27" i="177" s="1"/>
  <c r="J8" i="178" s="1"/>
  <c r="J27" i="178" s="1"/>
  <c r="J8" i="179" s="1"/>
  <c r="J27" i="179" s="1"/>
  <c r="J8" i="180" s="1"/>
  <c r="J27" i="180" s="1"/>
  <c r="J8" i="181" s="1"/>
  <c r="J27" i="181" s="1"/>
  <c r="J8" i="182" s="1"/>
  <c r="J27" i="182" s="1"/>
  <c r="J8" i="183" s="1"/>
  <c r="J27" i="183" s="1"/>
  <c r="J8" i="184" s="1"/>
  <c r="J27" i="184" s="1"/>
  <c r="J8" i="185" s="1"/>
  <c r="J27" i="185" s="1"/>
  <c r="J8" i="186" s="1"/>
  <c r="J27" i="186" s="1"/>
  <c r="J8" i="187" s="1"/>
  <c r="J27" i="187" s="1"/>
  <c r="J8" i="188" s="1"/>
  <c r="J27" i="188" s="1"/>
  <c r="J8" i="189" s="1"/>
  <c r="J27" i="189" s="1"/>
  <c r="J8" i="190" s="1"/>
  <c r="J27" i="190" s="1"/>
  <c r="J8" i="191" s="1"/>
  <c r="J27" i="191" s="1"/>
  <c r="J8" i="192" s="1"/>
  <c r="J27" i="192" s="1"/>
  <c r="J8" i="193" s="1"/>
  <c r="J27" i="193" s="1"/>
  <c r="J8" i="194" s="1"/>
  <c r="J27" i="194" s="1"/>
  <c r="J8" i="195" s="1"/>
  <c r="J27" i="195" s="1"/>
  <c r="J8" i="196" s="1"/>
  <c r="J27" i="196" s="1"/>
  <c r="K27" i="17"/>
  <c r="K8" i="157" s="1"/>
  <c r="K27" i="157" s="1"/>
  <c r="K8" i="158" s="1"/>
  <c r="K27" i="158" s="1"/>
  <c r="K8" i="159" s="1"/>
  <c r="K27" i="159" s="1"/>
  <c r="K8" i="160" s="1"/>
  <c r="K27" i="160" s="1"/>
  <c r="K8" i="161" s="1"/>
  <c r="K27" i="161" s="1"/>
  <c r="K8" i="162" s="1"/>
  <c r="K27" i="162" s="1"/>
  <c r="K8" i="163" s="1"/>
  <c r="K27" i="163" s="1"/>
  <c r="K8" i="164" s="1"/>
  <c r="K27" i="164" s="1"/>
  <c r="K8" i="165" s="1"/>
  <c r="K27" i="165" s="1"/>
  <c r="K8" i="166" s="1"/>
  <c r="K27" i="166" s="1"/>
  <c r="K8" i="167" s="1"/>
  <c r="K27" i="167" s="1"/>
  <c r="K8" i="168" s="1"/>
  <c r="K27" i="168" s="1"/>
  <c r="K8" i="169" s="1"/>
  <c r="K27" i="169" s="1"/>
  <c r="K8" i="170" s="1"/>
  <c r="K27" i="170" s="1"/>
  <c r="K8" i="171" s="1"/>
  <c r="K27" i="171" s="1"/>
  <c r="K8" i="172" s="1"/>
  <c r="K27" i="172" s="1"/>
  <c r="K8" i="173" s="1"/>
  <c r="K27" i="173" s="1"/>
  <c r="K8" i="174" s="1"/>
  <c r="K27" i="174" s="1"/>
  <c r="K8" i="175" s="1"/>
  <c r="K27" i="175" s="1"/>
  <c r="K8" i="176" s="1"/>
  <c r="K27" i="176" s="1"/>
  <c r="K8" i="177" s="1"/>
  <c r="K27" i="177" s="1"/>
  <c r="K8" i="178" s="1"/>
  <c r="K27" i="178" s="1"/>
  <c r="K8" i="179" s="1"/>
  <c r="K27" i="179" s="1"/>
  <c r="K8" i="180" s="1"/>
  <c r="K27" i="180" s="1"/>
  <c r="K8" i="181" s="1"/>
  <c r="K27" i="181" s="1"/>
  <c r="K8" i="182" s="1"/>
  <c r="K27" i="182" s="1"/>
  <c r="K8" i="183" s="1"/>
  <c r="K27" i="183" s="1"/>
  <c r="K8" i="184" s="1"/>
  <c r="K27" i="184" s="1"/>
  <c r="K8" i="185" s="1"/>
  <c r="K27" i="185" s="1"/>
  <c r="K8" i="186" s="1"/>
  <c r="K27" i="186" s="1"/>
  <c r="K8" i="187" s="1"/>
  <c r="K27" i="187" s="1"/>
  <c r="K8" i="188" s="1"/>
  <c r="K27" i="188" s="1"/>
  <c r="K8" i="189" s="1"/>
  <c r="K27" i="189" s="1"/>
  <c r="K8" i="190" s="1"/>
  <c r="K27" i="190" s="1"/>
  <c r="K8" i="191" s="1"/>
  <c r="K27" i="191" s="1"/>
  <c r="K8" i="192" s="1"/>
  <c r="K27" i="192" s="1"/>
  <c r="K8" i="193" s="1"/>
  <c r="K27" i="193" s="1"/>
  <c r="K8" i="194" s="1"/>
  <c r="K27" i="194" s="1"/>
  <c r="K8" i="195" s="1"/>
  <c r="K27" i="195" s="1"/>
  <c r="K8" i="196" s="1"/>
  <c r="K27" i="196" s="1"/>
  <c r="G23" i="43"/>
  <c r="F27" i="19"/>
  <c r="F8" i="197" s="1"/>
  <c r="F27" i="197" s="1"/>
  <c r="F8" i="198" s="1"/>
  <c r="F27" i="198" s="1"/>
  <c r="F8" i="199" s="1"/>
  <c r="F27" i="199" s="1"/>
  <c r="E28" i="45"/>
  <c r="E9" i="46" s="1"/>
  <c r="E28" i="46" s="1"/>
  <c r="E9" i="210" s="1"/>
  <c r="E28" i="210" s="1"/>
  <c r="E9" i="211" s="1"/>
  <c r="E28" i="211" s="1"/>
  <c r="E9" i="212" s="1"/>
  <c r="E28" i="212" s="1"/>
  <c r="E9" i="213" s="1"/>
  <c r="E28" i="213" s="1"/>
  <c r="E9" i="214" s="1"/>
  <c r="E28" i="214" s="1"/>
  <c r="E9" i="215" s="1"/>
  <c r="E28" i="215" s="1"/>
  <c r="E9" i="216" s="1"/>
  <c r="E28" i="216" s="1"/>
  <c r="E9" i="217" s="1"/>
  <c r="E28" i="217" s="1"/>
  <c r="E9" i="218" s="1"/>
  <c r="E28" i="218" s="1"/>
  <c r="J32" i="50"/>
  <c r="H48" i="51"/>
  <c r="H47" i="381" s="1"/>
  <c r="J23" i="43"/>
  <c r="J9" i="208" s="1"/>
  <c r="J23" i="208" s="1"/>
  <c r="J9" i="209" s="1"/>
  <c r="J23" i="209" s="1"/>
  <c r="I33" i="24"/>
  <c r="I34" i="24"/>
  <c r="I36" i="24"/>
  <c r="J39" i="24"/>
  <c r="K10" i="26"/>
  <c r="K12" i="26"/>
  <c r="K21" i="39"/>
  <c r="L21" i="39"/>
  <c r="F27" i="17"/>
  <c r="F8" i="157" s="1"/>
  <c r="F27" i="157" s="1"/>
  <c r="F8" i="158" s="1"/>
  <c r="F27" i="158" s="1"/>
  <c r="F8" i="159" s="1"/>
  <c r="F27" i="159" s="1"/>
  <c r="F8" i="160" s="1"/>
  <c r="F27" i="160" s="1"/>
  <c r="F8" i="161" s="1"/>
  <c r="F27" i="161" s="1"/>
  <c r="F8" i="162" s="1"/>
  <c r="F27" i="162" s="1"/>
  <c r="F8" i="163" s="1"/>
  <c r="F27" i="163" s="1"/>
  <c r="F8" i="164" s="1"/>
  <c r="F27" i="164" s="1"/>
  <c r="F8" i="165" s="1"/>
  <c r="F27" i="165" s="1"/>
  <c r="F8" i="166" s="1"/>
  <c r="F27" i="166" s="1"/>
  <c r="F8" i="167" s="1"/>
  <c r="F27" i="167" s="1"/>
  <c r="F8" i="168" s="1"/>
  <c r="F27" i="168" s="1"/>
  <c r="F8" i="169" s="1"/>
  <c r="F27" i="169" s="1"/>
  <c r="F8" i="170" s="1"/>
  <c r="F27" i="170" s="1"/>
  <c r="F8" i="171" s="1"/>
  <c r="F27" i="171" s="1"/>
  <c r="F8" i="172" s="1"/>
  <c r="F27" i="172" s="1"/>
  <c r="F8" i="173" s="1"/>
  <c r="F27" i="173" s="1"/>
  <c r="F8" i="174" s="1"/>
  <c r="F27" i="174" s="1"/>
  <c r="F8" i="175" s="1"/>
  <c r="F27" i="175" s="1"/>
  <c r="F8" i="176" s="1"/>
  <c r="F27" i="176" s="1"/>
  <c r="F8" i="177" s="1"/>
  <c r="F27" i="177" s="1"/>
  <c r="F8" i="178" s="1"/>
  <c r="F27" i="178" s="1"/>
  <c r="F8" i="179" s="1"/>
  <c r="F27" i="179" s="1"/>
  <c r="F8" i="180" s="1"/>
  <c r="F27" i="180" s="1"/>
  <c r="F8" i="181" s="1"/>
  <c r="F27" i="181" s="1"/>
  <c r="F8" i="182" s="1"/>
  <c r="F27" i="182" s="1"/>
  <c r="F8" i="183" s="1"/>
  <c r="F27" i="183" s="1"/>
  <c r="F8" i="184" s="1"/>
  <c r="F27" i="184" s="1"/>
  <c r="F8" i="185" s="1"/>
  <c r="F27" i="185" s="1"/>
  <c r="F8" i="186" s="1"/>
  <c r="F27" i="186" s="1"/>
  <c r="F8" i="187" s="1"/>
  <c r="F27" i="187" s="1"/>
  <c r="F8" i="188" s="1"/>
  <c r="F27" i="188" s="1"/>
  <c r="F8" i="189" s="1"/>
  <c r="F27" i="189" s="1"/>
  <c r="F8" i="190" s="1"/>
  <c r="F27" i="190" s="1"/>
  <c r="F8" i="191" s="1"/>
  <c r="F27" i="191" s="1"/>
  <c r="F8" i="192" s="1"/>
  <c r="F27" i="192" s="1"/>
  <c r="F8" i="193" s="1"/>
  <c r="F27" i="193" s="1"/>
  <c r="F8" i="194" s="1"/>
  <c r="F27" i="194" s="1"/>
  <c r="F8" i="195" s="1"/>
  <c r="F27" i="195" s="1"/>
  <c r="F8" i="196" s="1"/>
  <c r="F27" i="196" s="1"/>
  <c r="H43" i="305"/>
  <c r="J8" i="24"/>
  <c r="H19" i="20"/>
  <c r="G12" i="38"/>
  <c r="G28" i="45"/>
  <c r="G9" i="46" s="1"/>
  <c r="I28" i="45"/>
  <c r="J43" i="28"/>
  <c r="J10" i="200" s="1"/>
  <c r="G27" i="19"/>
  <c r="G8" i="197" s="1"/>
  <c r="G27" i="197" s="1"/>
  <c r="G8" i="198" s="1"/>
  <c r="G27" i="198" s="1"/>
  <c r="G8" i="199" s="1"/>
  <c r="G27" i="199" s="1"/>
  <c r="H27" i="19"/>
  <c r="H8" i="197" s="1"/>
  <c r="H27" i="197" s="1"/>
  <c r="H8" i="198" s="1"/>
  <c r="H27" i="198" s="1"/>
  <c r="H8" i="199" s="1"/>
  <c r="H27" i="199" s="1"/>
  <c r="I24" i="40"/>
  <c r="J24" i="40"/>
  <c r="E23" i="43"/>
  <c r="E9" i="208" s="1"/>
  <c r="E23" i="208" s="1"/>
  <c r="E9" i="209" s="1"/>
  <c r="E23" i="209" s="1"/>
  <c r="H27" i="15"/>
  <c r="I27" i="15"/>
  <c r="J27" i="15"/>
  <c r="I47" i="57"/>
  <c r="B47" i="57"/>
  <c r="H46" i="57"/>
  <c r="M17" i="57"/>
  <c r="H17" i="57"/>
  <c r="B17" i="57"/>
  <c r="J27" i="19"/>
  <c r="J8" i="197" s="1"/>
  <c r="J27" i="197" s="1"/>
  <c r="J8" i="198" s="1"/>
  <c r="J27" i="198" s="1"/>
  <c r="J8" i="199" s="1"/>
  <c r="J27" i="199" s="1"/>
  <c r="I32" i="24"/>
  <c r="I10" i="56"/>
  <c r="F10" i="56"/>
  <c r="B12" i="102"/>
  <c r="B8" i="102"/>
  <c r="I56" i="52"/>
  <c r="I53" i="52"/>
  <c r="D21" i="52"/>
  <c r="J20" i="52"/>
  <c r="F20" i="52"/>
  <c r="L41" i="39"/>
  <c r="K41" i="39"/>
  <c r="L31" i="39"/>
  <c r="K31" i="39"/>
  <c r="K24" i="40"/>
  <c r="H46" i="4"/>
  <c r="H10" i="1" s="1"/>
  <c r="K24" i="41"/>
  <c r="J24" i="41"/>
  <c r="I24" i="41"/>
  <c r="H39" i="38"/>
  <c r="G39" i="38"/>
  <c r="K27" i="38"/>
  <c r="H24" i="38"/>
  <c r="G23" i="38"/>
  <c r="G24" i="38" s="1"/>
  <c r="H13" i="38"/>
  <c r="G12" i="96"/>
  <c r="H39" i="96"/>
  <c r="G39" i="96"/>
  <c r="H24" i="96"/>
  <c r="G23" i="96"/>
  <c r="H13" i="96"/>
  <c r="K26" i="42"/>
  <c r="G11" i="42"/>
  <c r="H33" i="42"/>
  <c r="G33" i="42"/>
  <c r="H23" i="42"/>
  <c r="G22" i="42"/>
  <c r="G23" i="42" s="1"/>
  <c r="H12" i="42"/>
  <c r="K23" i="44"/>
  <c r="J23" i="44"/>
  <c r="H23" i="44"/>
  <c r="G23" i="44"/>
  <c r="G23" i="98"/>
  <c r="H23" i="98"/>
  <c r="I23" i="98"/>
  <c r="H28" i="45"/>
  <c r="J28" i="45"/>
  <c r="J9" i="46" s="1"/>
  <c r="J28" i="46" s="1"/>
  <c r="J9" i="210" s="1"/>
  <c r="J28" i="210" s="1"/>
  <c r="J9" i="211" s="1"/>
  <c r="J28" i="211" s="1"/>
  <c r="J9" i="212" s="1"/>
  <c r="J28" i="212" s="1"/>
  <c r="J9" i="213" s="1"/>
  <c r="J28" i="213" s="1"/>
  <c r="J9" i="214" s="1"/>
  <c r="J28" i="214" s="1"/>
  <c r="J9" i="215" s="1"/>
  <c r="J28" i="215" s="1"/>
  <c r="J9" i="216" s="1"/>
  <c r="J28" i="216" s="1"/>
  <c r="J9" i="217" s="1"/>
  <c r="J28" i="217" s="1"/>
  <c r="J9" i="218" s="1"/>
  <c r="J28" i="218" s="1"/>
  <c r="G48" i="51"/>
  <c r="G47" i="381" s="1"/>
  <c r="J16" i="51"/>
  <c r="J18" i="58"/>
  <c r="P54" i="48"/>
  <c r="K26" i="10"/>
  <c r="J26" i="10"/>
  <c r="I26" i="10"/>
  <c r="H26" i="10"/>
  <c r="G26" i="10"/>
  <c r="F26" i="10"/>
  <c r="E26" i="10"/>
  <c r="H35" i="12"/>
  <c r="G27" i="15"/>
  <c r="G8" i="16" s="1"/>
  <c r="K48" i="97"/>
  <c r="K10" i="122" s="1"/>
  <c r="K48" i="122" s="1"/>
  <c r="K10" i="129" s="1"/>
  <c r="K48" i="129" s="1"/>
  <c r="K10" i="130" s="1"/>
  <c r="K48" i="130" s="1"/>
  <c r="K10" i="131" s="1"/>
  <c r="K48" i="131" s="1"/>
  <c r="I48" i="97"/>
  <c r="I10" i="122" s="1"/>
  <c r="I48" i="122" s="1"/>
  <c r="I10" i="129" s="1"/>
  <c r="I48" i="129" s="1"/>
  <c r="I10" i="130" s="1"/>
  <c r="I48" i="130" s="1"/>
  <c r="I10" i="131" s="1"/>
  <c r="I48" i="131" s="1"/>
  <c r="M13" i="97"/>
  <c r="B72" i="380"/>
  <c r="A74" i="380" l="1"/>
  <c r="C56" i="121"/>
  <c r="C50" i="121"/>
  <c r="H22" i="305"/>
  <c r="C48" i="121"/>
  <c r="I15" i="51"/>
  <c r="H40" i="305" s="1"/>
  <c r="C54" i="121"/>
  <c r="H25" i="305"/>
  <c r="G24" i="96"/>
  <c r="H24" i="305"/>
  <c r="H23" i="305"/>
  <c r="G9" i="208"/>
  <c r="G23" i="208" s="1"/>
  <c r="G9" i="209" s="1"/>
  <c r="G23" i="209" s="1"/>
  <c r="G12" i="42"/>
  <c r="I8" i="16"/>
  <c r="I27" i="16" s="1"/>
  <c r="I8" i="133" s="1"/>
  <c r="I27" i="133" s="1"/>
  <c r="I8" i="134" s="1"/>
  <c r="I27" i="134" s="1"/>
  <c r="I8" i="135" s="1"/>
  <c r="I27" i="135" s="1"/>
  <c r="I8" i="136" s="1"/>
  <c r="I27" i="136" s="1"/>
  <c r="I8" i="137" s="1"/>
  <c r="I27" i="137" s="1"/>
  <c r="I8" i="138" s="1"/>
  <c r="I27" i="138" s="1"/>
  <c r="I8" i="139" s="1"/>
  <c r="I27" i="139" s="1"/>
  <c r="I8" i="140" s="1"/>
  <c r="I27" i="140" s="1"/>
  <c r="I8" i="141" s="1"/>
  <c r="I27" i="141" s="1"/>
  <c r="I8" i="142" s="1"/>
  <c r="I27" i="142" s="1"/>
  <c r="I8" i="143" s="1"/>
  <c r="I27" i="143" s="1"/>
  <c r="I8" i="144" s="1"/>
  <c r="I27" i="144" s="1"/>
  <c r="I8" i="145" s="1"/>
  <c r="H9" i="46"/>
  <c r="H28" i="46" s="1"/>
  <c r="H9" i="210" s="1"/>
  <c r="H28" i="210" s="1"/>
  <c r="H9" i="211" s="1"/>
  <c r="H28" i="211" s="1"/>
  <c r="H9" i="212" s="1"/>
  <c r="H28" i="212" s="1"/>
  <c r="G13" i="96"/>
  <c r="K40" i="35"/>
  <c r="K19" i="35"/>
  <c r="J8" i="16"/>
  <c r="J27" i="16" s="1"/>
  <c r="J8" i="133" s="1"/>
  <c r="J27" i="133" s="1"/>
  <c r="J8" i="134" s="1"/>
  <c r="J27" i="134" s="1"/>
  <c r="J8" i="135" s="1"/>
  <c r="J27" i="135" s="1"/>
  <c r="J8" i="136" s="1"/>
  <c r="J27" i="136" s="1"/>
  <c r="J8" i="137" s="1"/>
  <c r="J27" i="137" s="1"/>
  <c r="J8" i="138" s="1"/>
  <c r="J27" i="138" s="1"/>
  <c r="J8" i="139" s="1"/>
  <c r="J27" i="139" s="1"/>
  <c r="J8" i="140" s="1"/>
  <c r="J27" i="140" s="1"/>
  <c r="J8" i="141" s="1"/>
  <c r="J27" i="141" s="1"/>
  <c r="J8" i="142" s="1"/>
  <c r="J27" i="142" s="1"/>
  <c r="J8" i="143" s="1"/>
  <c r="J27" i="143" s="1"/>
  <c r="J8" i="144" s="1"/>
  <c r="J27" i="144" s="1"/>
  <c r="J8" i="145" s="1"/>
  <c r="J27" i="145" s="1"/>
  <c r="J8" i="146" s="1"/>
  <c r="J27" i="146" s="1"/>
  <c r="J8" i="148" s="1"/>
  <c r="J27" i="148" s="1"/>
  <c r="J8" i="147" s="1"/>
  <c r="J27" i="147" s="1"/>
  <c r="J8" i="149" s="1"/>
  <c r="J27" i="149" s="1"/>
  <c r="J8" i="150" s="1"/>
  <c r="J27" i="150" s="1"/>
  <c r="J8" i="151" s="1"/>
  <c r="J27" i="151" s="1"/>
  <c r="J8" i="152" s="1"/>
  <c r="J27" i="152" s="1"/>
  <c r="J8" i="153" s="1"/>
  <c r="J27" i="153" s="1"/>
  <c r="J8" i="154" s="1"/>
  <c r="J27" i="154" s="1"/>
  <c r="J8" i="155" s="1"/>
  <c r="J27" i="155" s="1"/>
  <c r="J8" i="156" s="1"/>
  <c r="J27" i="156" s="1"/>
  <c r="H8" i="16"/>
  <c r="H27" i="16" s="1"/>
  <c r="H8" i="133" s="1"/>
  <c r="H27" i="133" s="1"/>
  <c r="H8" i="134" s="1"/>
  <c r="H27" i="134" s="1"/>
  <c r="H8" i="135" s="1"/>
  <c r="H27" i="135" s="1"/>
  <c r="H8" i="136" s="1"/>
  <c r="H27" i="136" s="1"/>
  <c r="H8" i="137" s="1"/>
  <c r="H27" i="137" s="1"/>
  <c r="H8" i="138" s="1"/>
  <c r="H27" i="138" s="1"/>
  <c r="H8" i="139" s="1"/>
  <c r="H27" i="139" s="1"/>
  <c r="H8" i="140" s="1"/>
  <c r="H27" i="140" s="1"/>
  <c r="H8" i="141" s="1"/>
  <c r="H27" i="141" s="1"/>
  <c r="H8" i="142" s="1"/>
  <c r="H27" i="142" s="1"/>
  <c r="H8" i="143" s="1"/>
  <c r="H27" i="143" s="1"/>
  <c r="H8" i="144" s="1"/>
  <c r="H27" i="144" s="1"/>
  <c r="H8" i="145" s="1"/>
  <c r="H27" i="145" s="1"/>
  <c r="H8" i="146" s="1"/>
  <c r="H27" i="146" s="1"/>
  <c r="H8" i="148" s="1"/>
  <c r="H27" i="148" s="1"/>
  <c r="H8" i="147" s="1"/>
  <c r="H27" i="147" s="1"/>
  <c r="H8" i="149" s="1"/>
  <c r="H27" i="149" s="1"/>
  <c r="H8" i="150" s="1"/>
  <c r="H27" i="150" s="1"/>
  <c r="H8" i="151" s="1"/>
  <c r="H27" i="151" s="1"/>
  <c r="H8" i="152" s="1"/>
  <c r="H27" i="152" s="1"/>
  <c r="H8" i="153" s="1"/>
  <c r="H27" i="153" s="1"/>
  <c r="H8" i="154" s="1"/>
  <c r="H27" i="154" s="1"/>
  <c r="H8" i="155" s="1"/>
  <c r="H27" i="155" s="1"/>
  <c r="H8" i="156" s="1"/>
  <c r="H27" i="156" s="1"/>
  <c r="I9" i="46"/>
  <c r="I28" i="46" s="1"/>
  <c r="I9" i="210" s="1"/>
  <c r="I28" i="210" s="1"/>
  <c r="I9" i="211" s="1"/>
  <c r="I28" i="211" s="1"/>
  <c r="I9" i="212" s="1"/>
  <c r="I28" i="212" s="1"/>
  <c r="I9" i="213" s="1"/>
  <c r="I28" i="213" s="1"/>
  <c r="I9" i="214" s="1"/>
  <c r="I28" i="214" s="1"/>
  <c r="I9" i="215" s="1"/>
  <c r="I28" i="215" s="1"/>
  <c r="I9" i="216" s="1"/>
  <c r="I28" i="216" s="1"/>
  <c r="I9" i="217" s="1"/>
  <c r="I28" i="217" s="1"/>
  <c r="I9" i="218" s="1"/>
  <c r="I28" i="218" s="1"/>
  <c r="G13" i="38"/>
  <c r="J6" i="24"/>
  <c r="F9" i="46"/>
  <c r="F28" i="46" s="1"/>
  <c r="F9" i="210" s="1"/>
  <c r="F28" i="210" s="1"/>
  <c r="F9" i="211" s="1"/>
  <c r="F28" i="211" s="1"/>
  <c r="F9" i="212" s="1"/>
  <c r="F28" i="212" s="1"/>
  <c r="F9" i="213" s="1"/>
  <c r="F28" i="213" s="1"/>
  <c r="F9" i="214" s="1"/>
  <c r="F28" i="214" s="1"/>
  <c r="F9" i="215" s="1"/>
  <c r="F28" i="215" s="1"/>
  <c r="F9" i="216" s="1"/>
  <c r="F28" i="216" s="1"/>
  <c r="F9" i="217" s="1"/>
  <c r="F28" i="217" s="1"/>
  <c r="F9" i="218" s="1"/>
  <c r="F28" i="218" s="1"/>
  <c r="I30" i="36"/>
  <c r="F27" i="16"/>
  <c r="F8" i="133" s="1"/>
  <c r="F27" i="133" s="1"/>
  <c r="I18" i="58"/>
  <c r="G27" i="16"/>
  <c r="G8" i="133" s="1"/>
  <c r="G27" i="133" s="1"/>
  <c r="G8" i="134" s="1"/>
  <c r="G27" i="134" s="1"/>
  <c r="G8" i="135" s="1"/>
  <c r="G27" i="135" s="1"/>
  <c r="G8" i="136" s="1"/>
  <c r="G27" i="136" s="1"/>
  <c r="G8" i="137" s="1"/>
  <c r="G27" i="137" s="1"/>
  <c r="G8" i="138" s="1"/>
  <c r="G27" i="138" s="1"/>
  <c r="G8" i="139" s="1"/>
  <c r="G27" i="139" s="1"/>
  <c r="G8" i="140" s="1"/>
  <c r="G27" i="140" s="1"/>
  <c r="G8" i="141" s="1"/>
  <c r="G27" i="141" s="1"/>
  <c r="G8" i="142" s="1"/>
  <c r="G27" i="142" s="1"/>
  <c r="G8" i="143" s="1"/>
  <c r="G27" i="143" s="1"/>
  <c r="G8" i="144" s="1"/>
  <c r="G27" i="144" s="1"/>
  <c r="G8" i="145" s="1"/>
  <c r="G27" i="145" s="1"/>
  <c r="G8" i="146" s="1"/>
  <c r="G27" i="146" s="1"/>
  <c r="G8" i="148" s="1"/>
  <c r="G27" i="148" s="1"/>
  <c r="G8" i="147" s="1"/>
  <c r="G27" i="147" s="1"/>
  <c r="G8" i="149" s="1"/>
  <c r="G27" i="149" s="1"/>
  <c r="G8" i="150" s="1"/>
  <c r="G27" i="150" s="1"/>
  <c r="G8" i="151" s="1"/>
  <c r="G27" i="151" s="1"/>
  <c r="G8" i="152" s="1"/>
  <c r="G27" i="152" s="1"/>
  <c r="G8" i="153" s="1"/>
  <c r="G27" i="153" s="1"/>
  <c r="G8" i="154" s="1"/>
  <c r="G27" i="154" s="1"/>
  <c r="G8" i="155" s="1"/>
  <c r="G27" i="155" s="1"/>
  <c r="G8" i="156" s="1"/>
  <c r="G27" i="156" s="1"/>
  <c r="G35" i="29"/>
  <c r="G37" i="29" s="1"/>
  <c r="H27" i="17"/>
  <c r="H8" i="157" s="1"/>
  <c r="H27" i="157" s="1"/>
  <c r="H8" i="158" s="1"/>
  <c r="H27" i="158" s="1"/>
  <c r="H8" i="159" s="1"/>
  <c r="H27" i="159" s="1"/>
  <c r="H8" i="160" s="1"/>
  <c r="H27" i="160" s="1"/>
  <c r="H8" i="161" s="1"/>
  <c r="H27" i="161" s="1"/>
  <c r="H8" i="162" s="1"/>
  <c r="H27" i="162" s="1"/>
  <c r="H8" i="163" s="1"/>
  <c r="H27" i="163" s="1"/>
  <c r="H8" i="164" s="1"/>
  <c r="H27" i="164" s="1"/>
  <c r="H8" i="165" s="1"/>
  <c r="H27" i="165" s="1"/>
  <c r="H8" i="166" s="1"/>
  <c r="H27" i="166" s="1"/>
  <c r="H8" i="167" s="1"/>
  <c r="H27" i="167" s="1"/>
  <c r="H8" i="168" s="1"/>
  <c r="H27" i="168" s="1"/>
  <c r="H8" i="169" s="1"/>
  <c r="H27" i="169" s="1"/>
  <c r="H8" i="170" s="1"/>
  <c r="H27" i="170" s="1"/>
  <c r="H8" i="171" s="1"/>
  <c r="H27" i="171" s="1"/>
  <c r="H8" i="172" s="1"/>
  <c r="H27" i="172" s="1"/>
  <c r="H8" i="173" s="1"/>
  <c r="H27" i="173" s="1"/>
  <c r="H8" i="174" s="1"/>
  <c r="H27" i="174" s="1"/>
  <c r="H8" i="175" s="1"/>
  <c r="H27" i="175" s="1"/>
  <c r="H8" i="176" s="1"/>
  <c r="H27" i="176" s="1"/>
  <c r="H8" i="177" s="1"/>
  <c r="H27" i="177" s="1"/>
  <c r="H8" i="178" s="1"/>
  <c r="H27" i="178" s="1"/>
  <c r="H8" i="179" s="1"/>
  <c r="H27" i="179" s="1"/>
  <c r="H8" i="180" s="1"/>
  <c r="H27" i="180" s="1"/>
  <c r="H8" i="181" s="1"/>
  <c r="H27" i="181" s="1"/>
  <c r="H8" i="182" s="1"/>
  <c r="H27" i="182" s="1"/>
  <c r="H8" i="183" s="1"/>
  <c r="H27" i="183" s="1"/>
  <c r="H8" i="184" s="1"/>
  <c r="H27" i="184" s="1"/>
  <c r="H8" i="185" s="1"/>
  <c r="H27" i="185" s="1"/>
  <c r="H8" i="186" s="1"/>
  <c r="H27" i="186" s="1"/>
  <c r="H8" i="187" s="1"/>
  <c r="H27" i="187" s="1"/>
  <c r="H8" i="188" s="1"/>
  <c r="H27" i="188" s="1"/>
  <c r="H8" i="189" s="1"/>
  <c r="H27" i="189" s="1"/>
  <c r="H8" i="190" s="1"/>
  <c r="H27" i="190" s="1"/>
  <c r="H8" i="191" s="1"/>
  <c r="H27" i="191" s="1"/>
  <c r="H8" i="192" s="1"/>
  <c r="H27" i="192" s="1"/>
  <c r="H8" i="193" s="1"/>
  <c r="H27" i="193" s="1"/>
  <c r="H8" i="194" s="1"/>
  <c r="H27" i="194" s="1"/>
  <c r="H8" i="195" s="1"/>
  <c r="H27" i="195" s="1"/>
  <c r="H8" i="196" s="1"/>
  <c r="H27" i="196" s="1"/>
  <c r="G35" i="12"/>
  <c r="N12" i="48"/>
  <c r="N14" i="48" s="1"/>
  <c r="P59" i="48"/>
  <c r="M20" i="36"/>
  <c r="G11" i="4"/>
  <c r="I35" i="12"/>
  <c r="K23" i="43"/>
  <c r="K9" i="208" s="1"/>
  <c r="K23" i="208" s="1"/>
  <c r="K9" i="209" s="1"/>
  <c r="K23" i="209" s="1"/>
  <c r="L24" i="40"/>
  <c r="G39" i="4" s="1"/>
  <c r="J15" i="24"/>
  <c r="K20" i="36"/>
  <c r="G19" i="20"/>
  <c r="L28" i="45"/>
  <c r="L9" i="46" s="1"/>
  <c r="L28" i="46" s="1"/>
  <c r="L9" i="210" s="1"/>
  <c r="L28" i="210" s="1"/>
  <c r="L9" i="211" s="1"/>
  <c r="L28" i="211" s="1"/>
  <c r="L9" i="212" s="1"/>
  <c r="L28" i="212" s="1"/>
  <c r="L9" i="213" s="1"/>
  <c r="L28" i="213" s="1"/>
  <c r="L9" i="214" s="1"/>
  <c r="L28" i="214" s="1"/>
  <c r="L9" i="215" s="1"/>
  <c r="L28" i="215" s="1"/>
  <c r="L9" i="216" s="1"/>
  <c r="L28" i="216" s="1"/>
  <c r="L9" i="217" s="1"/>
  <c r="L28" i="217" s="1"/>
  <c r="L9" i="218" s="1"/>
  <c r="L28" i="218" s="1"/>
  <c r="H34" i="305" s="1"/>
  <c r="I38" i="22"/>
  <c r="I43" i="28"/>
  <c r="I10" i="200" s="1"/>
  <c r="I43" i="200" s="1"/>
  <c r="I10" i="201" s="1"/>
  <c r="I43" i="201" s="1"/>
  <c r="I10" i="202" s="1"/>
  <c r="I43" i="202" s="1"/>
  <c r="I10" i="203" s="1"/>
  <c r="I43" i="203" s="1"/>
  <c r="K27" i="19"/>
  <c r="K8" i="197" s="1"/>
  <c r="K27" i="197" s="1"/>
  <c r="K8" i="198" s="1"/>
  <c r="K27" i="198" s="1"/>
  <c r="K8" i="199" s="1"/>
  <c r="K27" i="199" s="1"/>
  <c r="H34" i="7" s="1"/>
  <c r="I11" i="24"/>
  <c r="H14" i="24"/>
  <c r="M48" i="97"/>
  <c r="M10" i="122" s="1"/>
  <c r="M48" i="122" s="1"/>
  <c r="M10" i="129" s="1"/>
  <c r="M48" i="129" s="1"/>
  <c r="M10" i="130" s="1"/>
  <c r="M48" i="130" s="1"/>
  <c r="M10" i="131" s="1"/>
  <c r="M48" i="131" s="1"/>
  <c r="I23" i="29"/>
  <c r="G28" i="46"/>
  <c r="G9" i="210" s="1"/>
  <c r="G28" i="210" s="1"/>
  <c r="G9" i="211" s="1"/>
  <c r="G28" i="211" s="1"/>
  <c r="G9" i="212" s="1"/>
  <c r="G28" i="212" s="1"/>
  <c r="G9" i="213" s="1"/>
  <c r="G28" i="213" s="1"/>
  <c r="G9" i="214" s="1"/>
  <c r="G28" i="214" s="1"/>
  <c r="G9" i="215" s="1"/>
  <c r="G28" i="215" s="1"/>
  <c r="G9" i="216" s="1"/>
  <c r="G28" i="216" s="1"/>
  <c r="G9" i="217" s="1"/>
  <c r="G28" i="217" s="1"/>
  <c r="G9" i="218" s="1"/>
  <c r="G28" i="218" s="1"/>
  <c r="I48" i="51"/>
  <c r="B73" i="380"/>
  <c r="I31" i="50" l="1"/>
  <c r="I47" i="381"/>
  <c r="A75" i="380"/>
  <c r="I39" i="22"/>
  <c r="H27" i="1"/>
  <c r="H44" i="1" s="1"/>
  <c r="H21" i="305"/>
  <c r="C52" i="121"/>
  <c r="I16" i="51"/>
  <c r="H9" i="213"/>
  <c r="H28" i="213" s="1"/>
  <c r="H9" i="214" s="1"/>
  <c r="H28" i="214" s="1"/>
  <c r="H9" i="215" s="1"/>
  <c r="H28" i="215" s="1"/>
  <c r="H9" i="216" s="1"/>
  <c r="H28" i="216" s="1"/>
  <c r="H9" i="217" s="1"/>
  <c r="H28" i="217" s="1"/>
  <c r="H9" i="218" s="1"/>
  <c r="H28" i="218" s="1"/>
  <c r="H32" i="31"/>
  <c r="I12" i="31"/>
  <c r="L30" i="30"/>
  <c r="L32" i="30" s="1"/>
  <c r="F8" i="134"/>
  <c r="F27" i="134" s="1"/>
  <c r="L57" i="48"/>
  <c r="P57" i="48" s="1"/>
  <c r="H22" i="24"/>
  <c r="J6" i="27" s="1"/>
  <c r="J8" i="27" s="1"/>
  <c r="J10" i="27" s="1"/>
  <c r="J12" i="27" s="1"/>
  <c r="J18" i="27" s="1"/>
  <c r="P29" i="102"/>
  <c r="L35" i="40"/>
  <c r="G21" i="4"/>
  <c r="L23" i="26"/>
  <c r="C11" i="121" s="1"/>
  <c r="K21" i="36"/>
  <c r="H35" i="36" s="1"/>
  <c r="P55" i="48"/>
  <c r="G44" i="11"/>
  <c r="G9" i="305" s="1"/>
  <c r="J48" i="51"/>
  <c r="J47" i="381" s="1"/>
  <c r="J23" i="29"/>
  <c r="J11" i="24"/>
  <c r="K28" i="46"/>
  <c r="K9" i="210" s="1"/>
  <c r="K28" i="210" s="1"/>
  <c r="K9" i="211" s="1"/>
  <c r="K28" i="211" s="1"/>
  <c r="K9" i="212" s="1"/>
  <c r="K28" i="212" s="1"/>
  <c r="K9" i="213" s="1"/>
  <c r="K28" i="213" s="1"/>
  <c r="K9" i="214" s="1"/>
  <c r="K28" i="214" s="1"/>
  <c r="K9" i="215" s="1"/>
  <c r="K28" i="215" s="1"/>
  <c r="K9" i="216" s="1"/>
  <c r="K28" i="216" s="1"/>
  <c r="K9" i="217" s="1"/>
  <c r="K28" i="217" s="1"/>
  <c r="K9" i="218" s="1"/>
  <c r="K28" i="218" s="1"/>
  <c r="H33" i="305" s="1"/>
  <c r="B74" i="380"/>
  <c r="A76" i="380" l="1"/>
  <c r="H38" i="30"/>
  <c r="C36" i="121" s="1"/>
  <c r="K16" i="35"/>
  <c r="K18" i="35" s="1"/>
  <c r="K22" i="35" s="1"/>
  <c r="K37" i="35"/>
  <c r="N34" i="30"/>
  <c r="N35" i="30" s="1"/>
  <c r="K27" i="36" s="1"/>
  <c r="I29" i="36" s="1"/>
  <c r="L45" i="30"/>
  <c r="L48" i="30" s="1"/>
  <c r="J29" i="24" s="1"/>
  <c r="I41" i="24" s="1"/>
  <c r="I21" i="24" s="1"/>
  <c r="L13" i="48"/>
  <c r="K8" i="133"/>
  <c r="K27" i="133" s="1"/>
  <c r="F8" i="135"/>
  <c r="F27" i="135" s="1"/>
  <c r="L26" i="26"/>
  <c r="I15" i="31"/>
  <c r="J10" i="24"/>
  <c r="J14" i="24" s="1"/>
  <c r="I14" i="24"/>
  <c r="C32" i="121" s="1"/>
  <c r="K31" i="26"/>
  <c r="L38" i="26" s="1"/>
  <c r="B75" i="380"/>
  <c r="H31" i="31" l="1"/>
  <c r="I11" i="31"/>
  <c r="A77" i="380"/>
  <c r="K39" i="35"/>
  <c r="K43" i="35" s="1"/>
  <c r="I52" i="24"/>
  <c r="F19" i="4"/>
  <c r="F8" i="136"/>
  <c r="F27" i="136" s="1"/>
  <c r="K8" i="134"/>
  <c r="K27" i="134" s="1"/>
  <c r="K31" i="133"/>
  <c r="K29" i="133"/>
  <c r="I44" i="24"/>
  <c r="K31" i="36"/>
  <c r="H39" i="305"/>
  <c r="B76" i="380"/>
  <c r="A78" i="380" l="1"/>
  <c r="J21" i="24"/>
  <c r="I14" i="31" s="1"/>
  <c r="C30" i="121"/>
  <c r="J40" i="24"/>
  <c r="J44" i="24" s="1"/>
  <c r="K8" i="135"/>
  <c r="K27" i="135" s="1"/>
  <c r="K31" i="134"/>
  <c r="K29" i="134"/>
  <c r="F8" i="137"/>
  <c r="F27" i="137" s="1"/>
  <c r="I22" i="24"/>
  <c r="C24" i="121" s="1"/>
  <c r="H36" i="7"/>
  <c r="F18" i="4"/>
  <c r="M28" i="36"/>
  <c r="C38" i="121" s="1"/>
  <c r="I32" i="50"/>
  <c r="B77" i="380"/>
  <c r="A79" i="380" l="1"/>
  <c r="J22" i="24"/>
  <c r="H34" i="31"/>
  <c r="J44" i="31" s="1"/>
  <c r="I43" i="31" s="1"/>
  <c r="I45" i="31" s="1"/>
  <c r="F8" i="138"/>
  <c r="F27" i="138" s="1"/>
  <c r="K8" i="136"/>
  <c r="K27" i="136" s="1"/>
  <c r="K29" i="135"/>
  <c r="K31" i="135"/>
  <c r="M31" i="36"/>
  <c r="I37" i="36"/>
  <c r="G20" i="4"/>
  <c r="H39" i="367" s="1"/>
  <c r="H44" i="11"/>
  <c r="H9" i="305" s="1"/>
  <c r="H44" i="305" s="1"/>
  <c r="B78" i="380"/>
  <c r="A80" i="380" l="1"/>
  <c r="H44" i="31"/>
  <c r="G40" i="4"/>
  <c r="G46" i="4" s="1"/>
  <c r="K8" i="137"/>
  <c r="K27" i="137" s="1"/>
  <c r="K29" i="136"/>
  <c r="K31" i="136"/>
  <c r="F8" i="139"/>
  <c r="F27" i="139" s="1"/>
  <c r="B79" i="380"/>
  <c r="L9" i="26" l="1"/>
  <c r="L15" i="26" s="1"/>
  <c r="H45" i="31"/>
  <c r="C9" i="121" s="1"/>
  <c r="A81" i="380"/>
  <c r="G10" i="1"/>
  <c r="G44" i="1" s="1"/>
  <c r="F8" i="140"/>
  <c r="F27" i="140" s="1"/>
  <c r="K8" i="138"/>
  <c r="K27" i="138" s="1"/>
  <c r="K29" i="137"/>
  <c r="K31" i="137"/>
  <c r="B80" i="380"/>
  <c r="K14" i="26" l="1"/>
  <c r="C7" i="121" s="1"/>
  <c r="A82" i="380"/>
  <c r="K8" i="139"/>
  <c r="K27" i="139" s="1"/>
  <c r="K31" i="138"/>
  <c r="K29" i="138"/>
  <c r="F8" i="141"/>
  <c r="F27" i="141" s="1"/>
  <c r="B81" i="380"/>
  <c r="K15" i="26" l="1"/>
  <c r="H42" i="367"/>
  <c r="A83" i="380"/>
  <c r="F8" i="142"/>
  <c r="F27" i="142" s="1"/>
  <c r="K8" i="140"/>
  <c r="K27" i="140" s="1"/>
  <c r="K29" i="139"/>
  <c r="K31" i="139"/>
  <c r="B82" i="380"/>
  <c r="A84" i="380" l="1"/>
  <c r="K8" i="141"/>
  <c r="K27" i="141" s="1"/>
  <c r="K31" i="140"/>
  <c r="K29" i="140"/>
  <c r="F8" i="143"/>
  <c r="F27" i="143" s="1"/>
  <c r="B83" i="380"/>
  <c r="A85" i="380" l="1"/>
  <c r="F8" i="144"/>
  <c r="F27" i="144" s="1"/>
  <c r="K8" i="142"/>
  <c r="K27" i="142" s="1"/>
  <c r="K31" i="141"/>
  <c r="K29" i="141"/>
  <c r="H10" i="367"/>
  <c r="H25" i="367" s="1"/>
  <c r="G10" i="367"/>
  <c r="G25" i="367" s="1"/>
  <c r="G44" i="367" s="1"/>
  <c r="B84" i="380"/>
  <c r="A86" i="380" l="1"/>
  <c r="H44" i="367"/>
  <c r="L27" i="26"/>
  <c r="C17" i="121" s="1"/>
  <c r="K8" i="143"/>
  <c r="K27" i="143" s="1"/>
  <c r="K31" i="142"/>
  <c r="K29" i="142"/>
  <c r="F8" i="145"/>
  <c r="F27" i="145" s="1"/>
  <c r="F8" i="146" s="1"/>
  <c r="F27" i="146" s="1"/>
  <c r="B85" i="380"/>
  <c r="A87" i="380" l="1"/>
  <c r="L28" i="26"/>
  <c r="L8" i="109"/>
  <c r="M10" i="109" s="1"/>
  <c r="K13" i="109" s="1"/>
  <c r="K21" i="108"/>
  <c r="M33" i="108" s="1"/>
  <c r="F8" i="148"/>
  <c r="F27" i="148" s="1"/>
  <c r="K8" i="144"/>
  <c r="K27" i="144" s="1"/>
  <c r="K29" i="143"/>
  <c r="K31" i="143"/>
  <c r="B86" i="380"/>
  <c r="A88" i="380" l="1"/>
  <c r="L39" i="26"/>
  <c r="C13" i="121"/>
  <c r="K38" i="108"/>
  <c r="J41" i="108" s="1"/>
  <c r="K33" i="108"/>
  <c r="J36" i="108" s="1"/>
  <c r="F8" i="147"/>
  <c r="F27" i="147" s="1"/>
  <c r="K8" i="145"/>
  <c r="K27" i="145" s="1"/>
  <c r="K8" i="146" s="1"/>
  <c r="K27" i="146" s="1"/>
  <c r="K8" i="148" s="1"/>
  <c r="K27" i="148" s="1"/>
  <c r="K8" i="147" s="1"/>
  <c r="K27" i="147" s="1"/>
  <c r="K8" i="149" s="1"/>
  <c r="K27" i="149" s="1"/>
  <c r="K8" i="150" s="1"/>
  <c r="K27" i="150" s="1"/>
  <c r="K8" i="151" s="1"/>
  <c r="K27" i="151" s="1"/>
  <c r="K8" i="152" s="1"/>
  <c r="K27" i="152" s="1"/>
  <c r="K8" i="153" s="1"/>
  <c r="K27" i="153" s="1"/>
  <c r="K8" i="154" s="1"/>
  <c r="K27" i="154" s="1"/>
  <c r="K8" i="155" s="1"/>
  <c r="K27" i="155" s="1"/>
  <c r="K8" i="156" s="1"/>
  <c r="K27" i="156" s="1"/>
  <c r="G11" i="7" s="1"/>
  <c r="G36" i="7" s="1"/>
  <c r="K31" i="144"/>
  <c r="K29" i="144"/>
  <c r="L12" i="109"/>
  <c r="L14" i="109" s="1"/>
  <c r="B87" i="380"/>
  <c r="A89" i="380" l="1"/>
  <c r="F8" i="149"/>
  <c r="F27" i="149" s="1"/>
  <c r="K14" i="109"/>
  <c r="M14" i="109" s="1"/>
  <c r="L22" i="109"/>
  <c r="K27" i="109" s="1"/>
  <c r="B88" i="380"/>
  <c r="A90" i="380" l="1"/>
  <c r="F8" i="150"/>
  <c r="F27" i="150" s="1"/>
  <c r="K28" i="109"/>
  <c r="L28" i="109"/>
  <c r="B89" i="380"/>
  <c r="A91" i="380" l="1"/>
  <c r="F8" i="151"/>
  <c r="F27" i="151" s="1"/>
  <c r="H42" i="103"/>
  <c r="H44" i="103" s="1"/>
  <c r="B90" i="380"/>
  <c r="A92" i="380" l="1"/>
  <c r="F8" i="152"/>
  <c r="F27" i="152" s="1"/>
  <c r="F8" i="153" s="1"/>
  <c r="F27" i="153" s="1"/>
  <c r="F8" i="154" s="1"/>
  <c r="F27" i="154" s="1"/>
  <c r="F8" i="155" s="1"/>
  <c r="F27" i="155" s="1"/>
  <c r="F8" i="156" s="1"/>
  <c r="F27" i="156" s="1"/>
  <c r="H57" i="103"/>
  <c r="J44" i="103"/>
  <c r="I27" i="145"/>
  <c r="B91" i="380"/>
  <c r="A93" i="380" l="1"/>
  <c r="K31" i="145"/>
  <c r="I8" i="146"/>
  <c r="I27" i="146" s="1"/>
  <c r="K29" i="145"/>
  <c r="J43" i="200"/>
  <c r="J10" i="201" s="1"/>
  <c r="J43" i="201" s="1"/>
  <c r="J10" i="202" s="1"/>
  <c r="J43" i="202" s="1"/>
  <c r="J10" i="203" s="1"/>
  <c r="J43" i="203" s="1"/>
  <c r="B92" i="380"/>
  <c r="A94" i="380" l="1"/>
  <c r="I8" i="148"/>
  <c r="I27" i="148" s="1"/>
  <c r="K31" i="146"/>
  <c r="K29" i="146"/>
  <c r="B93" i="380"/>
  <c r="A95" i="380" l="1"/>
  <c r="I8" i="147"/>
  <c r="I27" i="147" s="1"/>
  <c r="K29" i="148"/>
  <c r="K31" i="148"/>
  <c r="B94" i="380"/>
  <c r="A96" i="380" l="1"/>
  <c r="I8" i="149"/>
  <c r="I27" i="149" s="1"/>
  <c r="K31" i="147"/>
  <c r="K29" i="147"/>
  <c r="B95" i="380"/>
  <c r="A97" i="380" l="1"/>
  <c r="I8" i="150"/>
  <c r="I27" i="150" s="1"/>
  <c r="K31" i="149"/>
  <c r="K29" i="149"/>
  <c r="B96" i="380"/>
  <c r="A98" i="380" l="1"/>
  <c r="I8" i="151"/>
  <c r="I27" i="151" s="1"/>
  <c r="K31" i="150"/>
  <c r="K29" i="150"/>
  <c r="B97" i="380"/>
  <c r="A99" i="380" l="1"/>
  <c r="I8" i="152"/>
  <c r="I27" i="152" s="1"/>
  <c r="I8" i="153" s="1"/>
  <c r="I27" i="153" s="1"/>
  <c r="I8" i="154" s="1"/>
  <c r="I27" i="154" s="1"/>
  <c r="I8" i="155" s="1"/>
  <c r="I27" i="155" s="1"/>
  <c r="I8" i="156" s="1"/>
  <c r="I27" i="156" s="1"/>
  <c r="K31" i="151"/>
  <c r="K29" i="151"/>
  <c r="E27" i="332"/>
  <c r="E9" i="333" s="1"/>
  <c r="E27" i="333" s="1"/>
  <c r="E9" i="335" s="1"/>
  <c r="E27" i="335" s="1"/>
  <c r="G44" i="305"/>
  <c r="B98" i="380"/>
  <c r="A100" i="380" l="1"/>
  <c r="L8" i="226"/>
  <c r="K21" i="225"/>
  <c r="M33" i="225" s="1"/>
  <c r="K38" i="225" s="1"/>
  <c r="J41" i="225" s="1"/>
  <c r="B99" i="380"/>
  <c r="A101" i="380" l="1"/>
  <c r="M10" i="226"/>
  <c r="K33" i="225"/>
  <c r="J36" i="225" s="1"/>
  <c r="B100" i="380"/>
  <c r="A102" i="380" l="1"/>
  <c r="K13" i="226"/>
  <c r="L12" i="226"/>
  <c r="L14" i="226" s="1"/>
  <c r="B101" i="380"/>
  <c r="A103" i="380" l="1"/>
  <c r="L22" i="226"/>
  <c r="K14" i="226"/>
  <c r="M14" i="226" s="1"/>
  <c r="B102" i="380"/>
  <c r="A104" i="380" l="1"/>
  <c r="L28" i="226"/>
  <c r="K27" i="226"/>
  <c r="B103" i="380"/>
  <c r="A105" i="380" l="1"/>
  <c r="H42" i="220"/>
  <c r="H44" i="220" s="1"/>
  <c r="K28" i="226"/>
  <c r="B104" i="380"/>
  <c r="A106" i="380" l="1"/>
  <c r="J44" i="220"/>
  <c r="H57" i="220"/>
  <c r="L8" i="238"/>
  <c r="K21" i="237"/>
  <c r="M33" i="237" s="1"/>
  <c r="B105" i="380"/>
  <c r="A107" i="380" l="1"/>
  <c r="K38" i="237"/>
  <c r="J41" i="237" s="1"/>
  <c r="K33" i="237"/>
  <c r="J36" i="237" s="1"/>
  <c r="M10" i="238"/>
  <c r="B106" i="380"/>
  <c r="A108" i="380" l="1"/>
  <c r="K13" i="238"/>
  <c r="L12" i="238"/>
  <c r="L14" i="238" s="1"/>
  <c r="B107" i="380"/>
  <c r="A109" i="380" l="1"/>
  <c r="L22" i="238"/>
  <c r="K14" i="238"/>
  <c r="M14" i="238" s="1"/>
  <c r="B108" i="380"/>
  <c r="A110" i="380" l="1"/>
  <c r="L28" i="238"/>
  <c r="K27" i="238"/>
  <c r="B109" i="380"/>
  <c r="A111" i="380" l="1"/>
  <c r="H42" i="232"/>
  <c r="H44" i="232" s="1"/>
  <c r="K28" i="238"/>
  <c r="B110" i="380"/>
  <c r="A112" i="380" l="1"/>
  <c r="H57" i="232"/>
  <c r="J44" i="232"/>
  <c r="L8" i="250"/>
  <c r="K21" i="249"/>
  <c r="M33" i="249" s="1"/>
  <c r="B111" i="380"/>
  <c r="A113" i="380" l="1"/>
  <c r="K33" i="249"/>
  <c r="J36" i="249" s="1"/>
  <c r="K38" i="249"/>
  <c r="J41" i="249" s="1"/>
  <c r="M10" i="250"/>
  <c r="B112" i="380"/>
  <c r="A114" i="380" l="1"/>
  <c r="K13" i="250"/>
  <c r="L12" i="250"/>
  <c r="L14" i="250" s="1"/>
  <c r="B113" i="380"/>
  <c r="A115" i="380" l="1"/>
  <c r="K14" i="250"/>
  <c r="M14" i="250" s="1"/>
  <c r="L22" i="250"/>
  <c r="B114" i="380"/>
  <c r="A116" i="380" l="1"/>
  <c r="K27" i="250"/>
  <c r="L28" i="250"/>
  <c r="B115" i="380"/>
  <c r="A117" i="380" l="1"/>
  <c r="K28" i="250"/>
  <c r="H42" i="244"/>
  <c r="H44" i="244" s="1"/>
  <c r="B116" i="380"/>
  <c r="A118" i="380" l="1"/>
  <c r="H57" i="244"/>
  <c r="J44" i="244"/>
  <c r="L8" i="262"/>
  <c r="K21" i="261"/>
  <c r="M33" i="261" s="1"/>
  <c r="B117" i="380"/>
  <c r="A119" i="380" l="1"/>
  <c r="M10" i="262"/>
  <c r="K33" i="261"/>
  <c r="J36" i="261" s="1"/>
  <c r="K38" i="261"/>
  <c r="J41" i="261" s="1"/>
  <c r="B118" i="380"/>
  <c r="A120" i="380" l="1"/>
  <c r="K13" i="262"/>
  <c r="L12" i="262"/>
  <c r="L14" i="262" s="1"/>
  <c r="B119" i="380"/>
  <c r="A121" i="380" l="1"/>
  <c r="L22" i="262"/>
  <c r="K14" i="262"/>
  <c r="M14" i="262" s="1"/>
  <c r="B120" i="380"/>
  <c r="A122" i="380" l="1"/>
  <c r="L28" i="262"/>
  <c r="K27" i="262"/>
  <c r="B121" i="380"/>
  <c r="A123" i="380" l="1"/>
  <c r="H42" i="256"/>
  <c r="H44" i="256" s="1"/>
  <c r="K28" i="262"/>
  <c r="B122" i="380"/>
  <c r="A124" i="380" l="1"/>
  <c r="H57" i="256"/>
  <c r="J44" i="256"/>
  <c r="L8" i="273"/>
  <c r="K21" i="272"/>
  <c r="M33" i="272" s="1"/>
  <c r="B123" i="380"/>
  <c r="A125" i="380" l="1"/>
  <c r="M10" i="273"/>
  <c r="K38" i="272"/>
  <c r="J41" i="272" s="1"/>
  <c r="K33" i="272"/>
  <c r="J36" i="272" s="1"/>
  <c r="B124" i="380"/>
  <c r="A126" i="380" l="1"/>
  <c r="K13" i="273"/>
  <c r="L12" i="273"/>
  <c r="L14" i="273" s="1"/>
  <c r="B125" i="380"/>
  <c r="A127" i="380" l="1"/>
  <c r="L22" i="273"/>
  <c r="K14" i="273"/>
  <c r="M14" i="273" s="1"/>
  <c r="B126" i="380"/>
  <c r="A128" i="380" l="1"/>
  <c r="K27" i="273"/>
  <c r="L28" i="273"/>
  <c r="B127" i="380"/>
  <c r="A129" i="380" l="1"/>
  <c r="H42" i="268"/>
  <c r="H44" i="268" s="1"/>
  <c r="K28" i="273"/>
  <c r="B128" i="380"/>
  <c r="A130" i="380" l="1"/>
  <c r="J44" i="268"/>
  <c r="H57" i="268"/>
  <c r="B129" i="380"/>
  <c r="A131" i="380" l="1"/>
  <c r="B130" i="380"/>
  <c r="A132" i="380" l="1"/>
  <c r="B131" i="380"/>
  <c r="A133" i="380" l="1"/>
  <c r="B132" i="380"/>
  <c r="A134" i="380" l="1"/>
  <c r="B133" i="380"/>
  <c r="A135" i="380" l="1"/>
  <c r="B134" i="380"/>
  <c r="A136" i="380" l="1"/>
  <c r="B135" i="380"/>
  <c r="A137" i="380" l="1"/>
  <c r="B136" i="380"/>
  <c r="A138" i="380" l="1"/>
  <c r="B137" i="380"/>
  <c r="A139" i="380" l="1"/>
  <c r="B138" i="380"/>
  <c r="A140" i="380" l="1"/>
  <c r="B139" i="380"/>
  <c r="A141" i="380" l="1"/>
  <c r="B140" i="380"/>
  <c r="A142" i="380" l="1"/>
  <c r="B141" i="380"/>
  <c r="A143" i="380" l="1"/>
  <c r="B142" i="380"/>
  <c r="A144" i="380" l="1"/>
  <c r="B143" i="380"/>
  <c r="A145" i="380" l="1"/>
  <c r="B144" i="380"/>
  <c r="A146" i="380" l="1"/>
  <c r="B145" i="380"/>
  <c r="A147" i="380" l="1"/>
  <c r="B146" i="380"/>
  <c r="A148" i="380" l="1"/>
  <c r="B147" i="380"/>
  <c r="A149" i="380" l="1"/>
  <c r="B148" i="380"/>
  <c r="A150" i="380" l="1"/>
  <c r="B149" i="380"/>
  <c r="A151" i="380" l="1"/>
  <c r="B150" i="380"/>
  <c r="A152" i="380" l="1"/>
  <c r="B151" i="380"/>
  <c r="A153" i="380" l="1"/>
  <c r="B152" i="380"/>
  <c r="A154" i="380" l="1"/>
  <c r="B153" i="380"/>
  <c r="A155" i="380" l="1"/>
  <c r="B154" i="380"/>
  <c r="A156" i="380" l="1"/>
  <c r="B155" i="380"/>
  <c r="A157" i="380" l="1"/>
  <c r="B156" i="380"/>
  <c r="A158" i="380" l="1"/>
  <c r="B157" i="380"/>
  <c r="A159" i="380" l="1"/>
  <c r="B158" i="380"/>
  <c r="A160" i="380" l="1"/>
  <c r="B159" i="380"/>
  <c r="A161" i="380" l="1"/>
  <c r="B160" i="380"/>
  <c r="A162" i="380" l="1"/>
  <c r="B161" i="380"/>
  <c r="A163" i="380" l="1"/>
  <c r="B162" i="380"/>
  <c r="A164" i="380" l="1"/>
  <c r="B163" i="380"/>
  <c r="A165" i="380" l="1"/>
  <c r="B164" i="380"/>
  <c r="A166" i="380" l="1"/>
  <c r="B165" i="380"/>
  <c r="A167" i="380" l="1"/>
  <c r="B166" i="380"/>
  <c r="A168" i="380" l="1"/>
  <c r="B167" i="380"/>
  <c r="A169" i="380" l="1"/>
  <c r="B168" i="380"/>
  <c r="A170" i="380" l="1"/>
  <c r="B169" i="380"/>
  <c r="A171" i="380" l="1"/>
  <c r="B170" i="380"/>
  <c r="A172" i="380" l="1"/>
  <c r="B171" i="380"/>
  <c r="A173" i="380" l="1"/>
  <c r="B172" i="380"/>
  <c r="A174" i="380" l="1"/>
  <c r="B173" i="380"/>
  <c r="A175" i="380" l="1"/>
  <c r="B174" i="380"/>
  <c r="A176" i="380" l="1"/>
  <c r="B175" i="380"/>
  <c r="A177" i="380" l="1"/>
  <c r="B176" i="380"/>
  <c r="A178" i="380" l="1"/>
  <c r="B177" i="380"/>
  <c r="A179" i="380" l="1"/>
  <c r="B178" i="380"/>
  <c r="A180" i="380" l="1"/>
  <c r="B179" i="380"/>
  <c r="A181" i="380" l="1"/>
  <c r="B180" i="380"/>
  <c r="B181" i="380"/>
  <c r="A182" i="380" l="1"/>
  <c r="B182" i="380"/>
  <c r="A183" i="380" l="1"/>
  <c r="B183" i="380"/>
  <c r="A184" i="380" l="1"/>
  <c r="A185" i="380" l="1"/>
  <c r="B184" i="380"/>
  <c r="A186" i="380" l="1"/>
  <c r="B185" i="380"/>
  <c r="A187" i="380" l="1"/>
  <c r="B186" i="380"/>
  <c r="A188" i="380" l="1"/>
  <c r="B187" i="380"/>
  <c r="A189" i="380" l="1"/>
  <c r="B188" i="380"/>
  <c r="A190" i="380" l="1"/>
  <c r="B189" i="380"/>
  <c r="A191" i="380" l="1"/>
  <c r="B190" i="380"/>
  <c r="A192" i="380" l="1"/>
  <c r="B191" i="380"/>
  <c r="A193" i="380" l="1"/>
  <c r="B192" i="380"/>
  <c r="A194" i="380" l="1"/>
  <c r="B193" i="380"/>
  <c r="A195" i="380" l="1"/>
  <c r="B194" i="380"/>
  <c r="A196" i="380" l="1"/>
  <c r="B195" i="380"/>
  <c r="A197" i="380" l="1"/>
  <c r="B196" i="380"/>
  <c r="A198" i="380" l="1"/>
  <c r="B197" i="380"/>
  <c r="A199" i="380" l="1"/>
  <c r="B198" i="380"/>
  <c r="A200" i="380" l="1"/>
  <c r="B199" i="380"/>
  <c r="A201" i="380" l="1"/>
  <c r="B200" i="380"/>
  <c r="A202" i="380" l="1"/>
  <c r="B201" i="380"/>
  <c r="A203" i="380" l="1"/>
  <c r="B202" i="380"/>
  <c r="A204" i="380" l="1"/>
  <c r="B203" i="380"/>
  <c r="A205" i="380" l="1"/>
  <c r="B204" i="380"/>
  <c r="A206" i="380" l="1"/>
  <c r="B205" i="380"/>
  <c r="A207" i="380" l="1"/>
  <c r="B206" i="380"/>
  <c r="A208" i="380" l="1"/>
  <c r="B207" i="380"/>
  <c r="A209" i="380" l="1"/>
  <c r="B208" i="380"/>
  <c r="A210" i="380" l="1"/>
  <c r="B209" i="380"/>
  <c r="A211" i="380" l="1"/>
  <c r="B210" i="380"/>
  <c r="A212" i="380" l="1"/>
  <c r="B211" i="380"/>
  <c r="A213" i="380" l="1"/>
  <c r="B212" i="380"/>
  <c r="A214" i="380" l="1"/>
  <c r="B213" i="380"/>
  <c r="A215" i="380" l="1"/>
  <c r="B214" i="380"/>
  <c r="A216" i="380" l="1"/>
  <c r="B215" i="380"/>
  <c r="A217" i="380" l="1"/>
  <c r="B216" i="380"/>
  <c r="A218" i="380" l="1"/>
  <c r="B217" i="380"/>
  <c r="A219" i="380" l="1"/>
  <c r="B218" i="380"/>
  <c r="A220" i="380" l="1"/>
  <c r="B219" i="380"/>
  <c r="A221" i="380" l="1"/>
  <c r="B220" i="380"/>
  <c r="A222" i="380" l="1"/>
  <c r="B221" i="380"/>
  <c r="A223" i="380" l="1"/>
  <c r="B222" i="380"/>
  <c r="A224" i="380" l="1"/>
  <c r="B223" i="380"/>
  <c r="A225" i="380" l="1"/>
  <c r="B224" i="380"/>
  <c r="A226" i="380" l="1"/>
  <c r="B225" i="380"/>
  <c r="A227" i="380" l="1"/>
  <c r="B226" i="380"/>
  <c r="A228" i="380" l="1"/>
  <c r="B227" i="380"/>
  <c r="A229" i="380" l="1"/>
  <c r="B228" i="380"/>
  <c r="A230" i="380" l="1"/>
  <c r="B229" i="380"/>
  <c r="A231" i="380" l="1"/>
  <c r="B230" i="380"/>
  <c r="A232" i="380" l="1"/>
  <c r="B231" i="380"/>
  <c r="A233" i="380" l="1"/>
  <c r="B232" i="380"/>
  <c r="A234" i="380" l="1"/>
  <c r="B233" i="380"/>
  <c r="A235" i="380" l="1"/>
  <c r="B234" i="380"/>
  <c r="A236" i="380" l="1"/>
  <c r="B235" i="380"/>
  <c r="A237" i="380" l="1"/>
  <c r="B236" i="380"/>
  <c r="A238" i="380" l="1"/>
  <c r="B237" i="380"/>
  <c r="A239" i="380" l="1"/>
  <c r="B238" i="380"/>
  <c r="A240" i="380" l="1"/>
  <c r="B239" i="380"/>
  <c r="A241" i="380" l="1"/>
  <c r="B240" i="380"/>
  <c r="A242" i="380" l="1"/>
  <c r="B241" i="380"/>
  <c r="A243" i="380" l="1"/>
  <c r="B242" i="380"/>
  <c r="A244" i="380" l="1"/>
  <c r="B243" i="380"/>
  <c r="A245" i="380" l="1"/>
  <c r="B244" i="380"/>
  <c r="A246" i="380" l="1"/>
  <c r="B245" i="380"/>
  <c r="A247" i="380" l="1"/>
  <c r="B246" i="380"/>
  <c r="A248" i="380" l="1"/>
  <c r="B247" i="380"/>
  <c r="A249" i="380" l="1"/>
  <c r="B248" i="380"/>
  <c r="A250" i="380" l="1"/>
  <c r="B249" i="380"/>
  <c r="A251" i="380" l="1"/>
  <c r="B250" i="380"/>
  <c r="A252" i="380" l="1"/>
  <c r="B251" i="380"/>
  <c r="A253" i="380" l="1"/>
  <c r="B252" i="380"/>
  <c r="A254" i="380" l="1"/>
  <c r="B253" i="380"/>
  <c r="A255" i="380" l="1"/>
  <c r="B254" i="380"/>
  <c r="A256" i="380" l="1"/>
  <c r="B255" i="380"/>
  <c r="A257" i="380" l="1"/>
  <c r="B256" i="380"/>
  <c r="A258" i="380" l="1"/>
  <c r="B257" i="380"/>
  <c r="A259" i="380" l="1"/>
  <c r="B258" i="380"/>
  <c r="A260" i="380" l="1"/>
  <c r="B259" i="380"/>
  <c r="A261" i="380" l="1"/>
  <c r="B260" i="380"/>
  <c r="A262" i="380" l="1"/>
  <c r="B261" i="380"/>
  <c r="A263" i="380" l="1"/>
  <c r="B262" i="380"/>
  <c r="A264" i="380" l="1"/>
  <c r="B263" i="380"/>
  <c r="A265" i="380" l="1"/>
  <c r="B264" i="380"/>
  <c r="A266" i="380" l="1"/>
  <c r="B265" i="380"/>
  <c r="A267" i="380" l="1"/>
  <c r="B266" i="380"/>
  <c r="A268" i="380" l="1"/>
  <c r="B267" i="380"/>
  <c r="A269" i="380" l="1"/>
  <c r="B268" i="380"/>
  <c r="A270" i="380" l="1"/>
  <c r="B269" i="380"/>
  <c r="A271" i="380" l="1"/>
  <c r="B270" i="380"/>
  <c r="A272" i="380" l="1"/>
  <c r="B271" i="380"/>
  <c r="A273" i="380" l="1"/>
  <c r="B272" i="380"/>
  <c r="A274" i="380" l="1"/>
  <c r="B273" i="380"/>
  <c r="A275" i="380" l="1"/>
  <c r="B274" i="380"/>
  <c r="A276" i="380" l="1"/>
  <c r="B275" i="380"/>
  <c r="A277" i="380" l="1"/>
  <c r="B276" i="380"/>
  <c r="A278" i="380" l="1"/>
  <c r="B277" i="380"/>
  <c r="A279" i="380" l="1"/>
  <c r="B278" i="380"/>
  <c r="A280" i="380" l="1"/>
  <c r="B279" i="380"/>
  <c r="A281" i="380" l="1"/>
  <c r="B280" i="380"/>
  <c r="A282" i="380" l="1"/>
  <c r="B281" i="380"/>
  <c r="A283" i="380" l="1"/>
  <c r="B282" i="380"/>
  <c r="A284" i="380" l="1"/>
  <c r="B283" i="380"/>
  <c r="A285" i="380" l="1"/>
  <c r="B284" i="380"/>
  <c r="A286" i="380" l="1"/>
  <c r="B285" i="380"/>
  <c r="A287" i="380" l="1"/>
  <c r="B286" i="380"/>
  <c r="A288" i="380" l="1"/>
  <c r="B287" i="380"/>
  <c r="A289" i="380" l="1"/>
  <c r="B288" i="380"/>
  <c r="A290" i="380" l="1"/>
  <c r="B289" i="380"/>
  <c r="A291" i="380" l="1"/>
  <c r="B290" i="380"/>
  <c r="A292" i="380" l="1"/>
  <c r="B291" i="380"/>
  <c r="A293" i="380" l="1"/>
  <c r="B292" i="380"/>
  <c r="A294" i="380" l="1"/>
  <c r="B293" i="380"/>
  <c r="A295" i="380" l="1"/>
  <c r="B294" i="380"/>
  <c r="A296" i="380" l="1"/>
  <c r="B295" i="380"/>
  <c r="A297" i="380" l="1"/>
  <c r="B296" i="380"/>
  <c r="A298" i="380" l="1"/>
  <c r="B297" i="380"/>
  <c r="A299" i="380" l="1"/>
  <c r="B298" i="380"/>
  <c r="A300" i="380" l="1"/>
  <c r="B299" i="380"/>
  <c r="A301" i="380" l="1"/>
  <c r="B300" i="380"/>
  <c r="A302" i="380" l="1"/>
  <c r="B301" i="380"/>
  <c r="A303" i="380" l="1"/>
  <c r="B302" i="380"/>
  <c r="A304" i="380" l="1"/>
  <c r="B303" i="380"/>
  <c r="A305" i="380" l="1"/>
  <c r="B304" i="380"/>
  <c r="A306" i="380" l="1"/>
  <c r="B305" i="380"/>
  <c r="B306" i="380"/>
</calcChain>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8" formatCode="&quot;$&quot;#,##0.00_);[Red]\(&quot;$&quot;#,##0.00\)"/>
    <numFmt numFmtId="44" formatCode="_(&quot;$&quot;* #,##0.00_);_(&quot;$&quot;* \(#,##0.00\);_(&quot;$&quot;* &quot;-&quot;??_);_(@_)"/>
    <numFmt numFmtId="43" formatCode="_(* #,##0.00_);_(* \(#,##0.00\);_(* &quot;-&quot;??_);_(@_)"/>
    <numFmt numFmtId="164" formatCode="mmmm\ d\,\ yyyy"/>
    <numFmt numFmtId="165" formatCode="_(* #,##0_);_(* \(#,##0\);_(* &quot;-&quot;??_);_(@_)"/>
    <numFmt numFmtId="166" formatCode="mm/dd/yy;@"/>
    <numFmt numFmtId="167" formatCode="_(* #,##0.000_);_(* \(#,##0.000\);_(* &quot;-&quot;???_);_(@_)"/>
    <numFmt numFmtId="168" formatCode="_(* #,##0.0000_);_(* \(#,##0.0000\);_(* &quot;-&quot;????_);_(@_)"/>
    <numFmt numFmtId="169" formatCode="0.000%"/>
    <numFmt numFmtId="170" formatCode="0.0000%"/>
  </numFmts>
  <fonts count="83">
    <font>
      <sz val="10"/>
      <name val="Arial"/>
    </font>
    <font>
      <sz val="11"/>
      <color theme="1"/>
      <name val="Calibri"/>
      <family val="2"/>
      <scheme val="minor"/>
    </font>
    <font>
      <sz val="11"/>
      <color theme="1"/>
      <name val="Calibri"/>
      <family val="2"/>
      <scheme val="minor"/>
    </font>
    <font>
      <sz val="10"/>
      <name val="Arial"/>
      <family val="2"/>
    </font>
    <font>
      <b/>
      <sz val="18"/>
      <name val="Arial"/>
      <family val="2"/>
    </font>
    <font>
      <b/>
      <sz val="18"/>
      <name val="Times New Roman"/>
      <family val="1"/>
    </font>
    <font>
      <b/>
      <sz val="12"/>
      <name val="Times New Roman"/>
      <family val="1"/>
    </font>
    <font>
      <sz val="10"/>
      <name val="Times New Roman"/>
      <family val="1"/>
    </font>
    <font>
      <i/>
      <sz val="9"/>
      <name val="Arial"/>
      <family val="2"/>
    </font>
    <font>
      <u/>
      <sz val="10"/>
      <name val="Times New Roman"/>
      <family val="1"/>
    </font>
    <font>
      <sz val="8"/>
      <name val="Arial"/>
      <family val="2"/>
    </font>
    <font>
      <b/>
      <sz val="14"/>
      <name val="Times New Roman"/>
      <family val="1"/>
    </font>
    <font>
      <b/>
      <sz val="16"/>
      <name val="Times New Roman"/>
      <family val="1"/>
    </font>
    <font>
      <sz val="11"/>
      <name val="Arial"/>
      <family val="2"/>
    </font>
    <font>
      <sz val="11"/>
      <name val="Times New Roman"/>
      <family val="1"/>
    </font>
    <font>
      <b/>
      <sz val="9"/>
      <name val="Arial"/>
      <family val="2"/>
    </font>
    <font>
      <sz val="9"/>
      <name val="Arial"/>
      <family val="2"/>
    </font>
    <font>
      <b/>
      <sz val="10"/>
      <name val="Arial"/>
      <family val="2"/>
    </font>
    <font>
      <b/>
      <sz val="11"/>
      <name val="Times New Roman"/>
      <family val="1"/>
    </font>
    <font>
      <b/>
      <u/>
      <sz val="11"/>
      <name val="Times New Roman"/>
      <family val="1"/>
    </font>
    <font>
      <sz val="10"/>
      <name val="Arial"/>
      <family val="2"/>
    </font>
    <font>
      <u/>
      <sz val="8"/>
      <name val="Arial"/>
      <family val="2"/>
    </font>
    <font>
      <u/>
      <sz val="10"/>
      <name val="Arial"/>
      <family val="2"/>
    </font>
    <font>
      <b/>
      <sz val="11"/>
      <name val="Arial"/>
      <family val="2"/>
    </font>
    <font>
      <b/>
      <sz val="12"/>
      <name val="Arial"/>
      <family val="2"/>
    </font>
    <font>
      <b/>
      <i/>
      <sz val="10"/>
      <name val="Arial"/>
      <family val="2"/>
    </font>
    <font>
      <i/>
      <sz val="11"/>
      <name val="Arial"/>
      <family val="2"/>
    </font>
    <font>
      <b/>
      <sz val="14"/>
      <name val="Arial"/>
      <family val="2"/>
    </font>
    <font>
      <b/>
      <u/>
      <sz val="10"/>
      <name val="Arial"/>
      <family val="2"/>
    </font>
    <font>
      <sz val="14"/>
      <name val="Times New Roman"/>
      <family val="1"/>
    </font>
    <font>
      <i/>
      <u/>
      <sz val="10"/>
      <name val="Arial"/>
      <family val="2"/>
    </font>
    <font>
      <b/>
      <sz val="10"/>
      <name val="Times New Roman"/>
      <family val="1"/>
    </font>
    <font>
      <sz val="12"/>
      <name val="Arial"/>
      <family val="2"/>
    </font>
    <font>
      <b/>
      <u/>
      <sz val="11"/>
      <name val="Arial"/>
      <family val="2"/>
    </font>
    <font>
      <b/>
      <u/>
      <sz val="26"/>
      <name val="Times New Roman"/>
      <family val="1"/>
    </font>
    <font>
      <b/>
      <i/>
      <sz val="9"/>
      <name val="Arial"/>
      <family val="2"/>
    </font>
    <font>
      <b/>
      <i/>
      <sz val="11"/>
      <name val="Arial"/>
      <family val="2"/>
    </font>
    <font>
      <b/>
      <sz val="20"/>
      <name val="Times New Roman"/>
      <family val="1"/>
    </font>
    <font>
      <b/>
      <sz val="8"/>
      <name val="Arial"/>
      <family val="2"/>
    </font>
    <font>
      <u/>
      <sz val="9"/>
      <name val="Arial"/>
      <family val="2"/>
    </font>
    <font>
      <sz val="8.5"/>
      <name val="Arial"/>
      <family val="2"/>
    </font>
    <font>
      <sz val="8"/>
      <name val="Arial"/>
      <family val="2"/>
    </font>
    <font>
      <b/>
      <sz val="10"/>
      <name val="Arial"/>
      <family val="2"/>
    </font>
    <font>
      <sz val="9"/>
      <name val="Arial"/>
      <family val="2"/>
    </font>
    <font>
      <sz val="10"/>
      <name val="Arial"/>
      <family val="2"/>
    </font>
    <font>
      <sz val="12"/>
      <name val="Times New Roman"/>
      <family val="1"/>
    </font>
    <font>
      <sz val="10"/>
      <name val="Arial"/>
      <family val="2"/>
    </font>
    <font>
      <u/>
      <sz val="10.45"/>
      <color indexed="12"/>
      <name val="Times New Roman"/>
      <family val="1"/>
    </font>
    <font>
      <sz val="11"/>
      <name val="Arial MT"/>
    </font>
    <font>
      <sz val="10"/>
      <name val="Arial"/>
      <family val="2"/>
    </font>
    <font>
      <u/>
      <sz val="10"/>
      <color indexed="12"/>
      <name val="Arial"/>
      <family val="2"/>
    </font>
    <font>
      <sz val="12"/>
      <name val="Times New Roman"/>
      <family val="1"/>
    </font>
    <font>
      <sz val="10"/>
      <color theme="1"/>
      <name val="Arial"/>
      <family val="2"/>
    </font>
    <font>
      <u/>
      <sz val="10"/>
      <color theme="10"/>
      <name val="Arial"/>
      <family val="2"/>
    </font>
    <font>
      <u/>
      <sz val="9.5500000000000007"/>
      <color indexed="12"/>
      <name val="Arial"/>
      <family val="2"/>
    </font>
    <font>
      <sz val="10"/>
      <color rgb="FF0000FF"/>
      <name val="Arial"/>
      <family val="2"/>
    </font>
    <font>
      <sz val="10"/>
      <color rgb="FF0070C0"/>
      <name val="Arial"/>
      <family val="2"/>
    </font>
    <font>
      <sz val="11"/>
      <color rgb="FF0070C0"/>
      <name val="Arial Narrow"/>
      <family val="2"/>
    </font>
    <font>
      <b/>
      <sz val="13.5"/>
      <name val="Times New Roman"/>
      <family val="1"/>
    </font>
    <font>
      <sz val="16"/>
      <name val="Times New Roman"/>
      <family val="1"/>
    </font>
    <font>
      <sz val="10"/>
      <color theme="3" tint="0.39997558519241921"/>
      <name val="Arial"/>
      <family val="2"/>
    </font>
    <font>
      <sz val="10"/>
      <color rgb="FF00B0F0"/>
      <name val="Arial"/>
      <family val="2"/>
    </font>
    <font>
      <b/>
      <sz val="10"/>
      <color rgb="FFFF0000"/>
      <name val="Arial"/>
      <family val="2"/>
    </font>
    <font>
      <b/>
      <i/>
      <sz val="10"/>
      <color rgb="FFFF0000"/>
      <name val="Arial"/>
      <family val="2"/>
    </font>
    <font>
      <sz val="10"/>
      <color rgb="FF7030A0"/>
      <name val="Arial"/>
      <family val="2"/>
    </font>
    <font>
      <sz val="16"/>
      <color theme="1"/>
      <name val="Calibri"/>
      <family val="2"/>
      <scheme val="minor"/>
    </font>
    <font>
      <b/>
      <sz val="16"/>
      <name val="Calibri"/>
      <family val="2"/>
      <scheme val="minor"/>
    </font>
    <font>
      <sz val="13"/>
      <name val="Cambria"/>
      <family val="1"/>
      <scheme val="major"/>
    </font>
    <font>
      <sz val="13"/>
      <name val="Cambria"/>
      <family val="1"/>
    </font>
    <font>
      <b/>
      <sz val="13"/>
      <name val="Cambria"/>
      <family val="1"/>
    </font>
    <font>
      <sz val="11"/>
      <color rgb="FFFF0000"/>
      <name val="Calibri"/>
      <family val="2"/>
    </font>
    <font>
      <sz val="10"/>
      <color theme="0"/>
      <name val="Arial"/>
      <family val="2"/>
    </font>
    <font>
      <sz val="16"/>
      <color theme="0"/>
      <name val="Calibri"/>
      <family val="2"/>
      <scheme val="minor"/>
    </font>
    <font>
      <sz val="13"/>
      <color theme="1"/>
      <name val="Cambria"/>
      <family val="1"/>
      <scheme val="major"/>
    </font>
    <font>
      <u/>
      <sz val="10"/>
      <color theme="10"/>
      <name val="Cambria"/>
      <family val="1"/>
      <scheme val="major"/>
    </font>
    <font>
      <i/>
      <sz val="10"/>
      <name val="Arial"/>
      <family val="2"/>
    </font>
    <font>
      <b/>
      <u/>
      <sz val="9"/>
      <name val="Arial"/>
      <family val="2"/>
    </font>
    <font>
      <b/>
      <u/>
      <sz val="13"/>
      <color theme="1"/>
      <name val="Cambria"/>
      <family val="1"/>
      <scheme val="major"/>
    </font>
    <font>
      <sz val="10"/>
      <color rgb="FFFF0000"/>
      <name val="Arial"/>
      <family val="2"/>
    </font>
    <font>
      <sz val="11"/>
      <color rgb="FFFF0000"/>
      <name val="Arial"/>
      <family val="2"/>
    </font>
    <font>
      <b/>
      <u/>
      <sz val="11"/>
      <color rgb="FFFF0000"/>
      <name val="Arial"/>
      <family val="2"/>
    </font>
    <font>
      <b/>
      <sz val="13"/>
      <name val="Cambria"/>
      <family val="1"/>
      <scheme val="major"/>
    </font>
    <font>
      <b/>
      <i/>
      <u/>
      <sz val="1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130">
    <border>
      <left/>
      <right/>
      <top/>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thin">
        <color indexed="64"/>
      </bottom>
      <diagonal/>
    </border>
    <border>
      <left style="double">
        <color indexed="64"/>
      </left>
      <right style="double">
        <color indexed="64"/>
      </right>
      <top style="double">
        <color indexed="64"/>
      </top>
      <bottom/>
      <diagonal/>
    </border>
    <border>
      <left/>
      <right/>
      <top style="thin">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n">
        <color indexed="64"/>
      </bottom>
      <diagonal/>
    </border>
    <border>
      <left/>
      <right/>
      <top/>
      <bottom style="double">
        <color indexed="64"/>
      </bottom>
      <diagonal/>
    </border>
    <border>
      <left/>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double">
        <color indexed="64"/>
      </left>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diagonal/>
    </border>
    <border>
      <left style="double">
        <color indexed="64"/>
      </left>
      <right style="double">
        <color indexed="64"/>
      </right>
      <top style="thin">
        <color indexed="64"/>
      </top>
      <bottom style="double">
        <color indexed="64"/>
      </bottom>
      <diagonal/>
    </border>
    <border>
      <left/>
      <right/>
      <top style="thin">
        <color indexed="64"/>
      </top>
      <bottom style="double">
        <color indexed="64"/>
      </bottom>
      <diagonal/>
    </border>
    <border>
      <left/>
      <right/>
      <top style="thin">
        <color indexed="64"/>
      </top>
      <bottom style="thick">
        <color indexed="64"/>
      </bottom>
      <diagonal/>
    </border>
    <border>
      <left style="double">
        <color indexed="64"/>
      </left>
      <right style="double">
        <color indexed="64"/>
      </right>
      <top style="thin">
        <color indexed="64"/>
      </top>
      <bottom style="thick">
        <color indexed="64"/>
      </bottom>
      <diagonal/>
    </border>
    <border>
      <left/>
      <right/>
      <top/>
      <bottom style="thin">
        <color indexed="64"/>
      </bottom>
      <diagonal/>
    </border>
    <border>
      <left style="double">
        <color indexed="64"/>
      </left>
      <right style="double">
        <color indexed="64"/>
      </right>
      <top/>
      <bottom style="thin">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ck">
        <color indexed="64"/>
      </top>
      <bottom style="double">
        <color indexed="64"/>
      </bottom>
      <diagonal/>
    </border>
    <border>
      <left style="double">
        <color indexed="64"/>
      </left>
      <right/>
      <top style="thick">
        <color indexed="64"/>
      </top>
      <bottom style="double">
        <color indexed="64"/>
      </bottom>
      <diagonal/>
    </border>
    <border>
      <left style="double">
        <color indexed="64"/>
      </left>
      <right style="double">
        <color indexed="64"/>
      </right>
      <top style="thin">
        <color indexed="64"/>
      </top>
      <bottom style="medium">
        <color indexed="64"/>
      </bottom>
      <diagonal/>
    </border>
    <border>
      <left style="double">
        <color indexed="64"/>
      </left>
      <right/>
      <top style="double">
        <color indexed="64"/>
      </top>
      <bottom style="double">
        <color indexed="64"/>
      </bottom>
      <diagonal/>
    </border>
    <border>
      <left/>
      <right style="double">
        <color indexed="64"/>
      </right>
      <top style="thin">
        <color indexed="64"/>
      </top>
      <bottom/>
      <diagonal/>
    </border>
    <border>
      <left/>
      <right/>
      <top/>
      <bottom style="thick">
        <color indexed="64"/>
      </bottom>
      <diagonal/>
    </border>
    <border>
      <left/>
      <right/>
      <top style="thick">
        <color indexed="64"/>
      </top>
      <bottom style="thin">
        <color indexed="64"/>
      </bottom>
      <diagonal/>
    </border>
    <border>
      <left/>
      <right style="double">
        <color indexed="64"/>
      </right>
      <top/>
      <bottom style="thin">
        <color indexed="64"/>
      </bottom>
      <diagonal/>
    </border>
    <border>
      <left style="thick">
        <color indexed="64"/>
      </left>
      <right style="thick">
        <color indexed="64"/>
      </right>
      <top style="thick">
        <color indexed="64"/>
      </top>
      <bottom style="thick">
        <color indexed="64"/>
      </bottom>
      <diagonal/>
    </border>
    <border>
      <left style="double">
        <color indexed="64"/>
      </left>
      <right/>
      <top style="thick">
        <color indexed="64"/>
      </top>
      <bottom style="thick">
        <color indexed="64"/>
      </bottom>
      <diagonal/>
    </border>
    <border>
      <left/>
      <right style="double">
        <color indexed="64"/>
      </right>
      <top style="thick">
        <color indexed="64"/>
      </top>
      <bottom style="thick">
        <color indexed="64"/>
      </bottom>
      <diagonal/>
    </border>
    <border>
      <left/>
      <right/>
      <top style="thick">
        <color indexed="64"/>
      </top>
      <bottom style="thick">
        <color indexed="64"/>
      </bottom>
      <diagonal/>
    </border>
    <border>
      <left style="double">
        <color indexed="64"/>
      </left>
      <right/>
      <top style="double">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ck">
        <color indexed="64"/>
      </bottom>
      <diagonal/>
    </border>
    <border>
      <left/>
      <right style="double">
        <color indexed="64"/>
      </right>
      <top style="double">
        <color indexed="64"/>
      </top>
      <bottom/>
      <diagonal/>
    </border>
    <border>
      <left/>
      <right style="double">
        <color indexed="64"/>
      </right>
      <top/>
      <bottom style="double">
        <color indexed="64"/>
      </bottom>
      <diagonal/>
    </border>
    <border>
      <left style="double">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double">
        <color indexed="64"/>
      </left>
      <right/>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double">
        <color indexed="64"/>
      </bottom>
      <diagonal/>
    </border>
    <border>
      <left/>
      <right style="thin">
        <color indexed="64"/>
      </right>
      <top style="thin">
        <color indexed="64"/>
      </top>
      <bottom style="thin">
        <color indexed="64"/>
      </bottom>
      <diagonal/>
    </border>
    <border>
      <left style="double">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style="double">
        <color indexed="64"/>
      </left>
      <right/>
      <top/>
      <bottom style="thick">
        <color indexed="64"/>
      </bottom>
      <diagonal/>
    </border>
    <border>
      <left/>
      <right style="double">
        <color indexed="64"/>
      </right>
      <top style="thick">
        <color indexed="64"/>
      </top>
      <bottom style="thin">
        <color indexed="64"/>
      </bottom>
      <diagonal/>
    </border>
    <border>
      <left style="double">
        <color indexed="64"/>
      </left>
      <right/>
      <top style="thick">
        <color indexed="64"/>
      </top>
      <bottom style="medium">
        <color indexed="64"/>
      </bottom>
      <diagonal/>
    </border>
    <border>
      <left style="double">
        <color indexed="64"/>
      </left>
      <right style="double">
        <color indexed="64"/>
      </right>
      <top style="medium">
        <color indexed="64"/>
      </top>
      <bottom style="medium">
        <color indexed="64"/>
      </bottom>
      <diagonal/>
    </border>
    <border>
      <left style="double">
        <color indexed="64"/>
      </left>
      <right style="double">
        <color indexed="64"/>
      </right>
      <top style="medium">
        <color indexed="64"/>
      </top>
      <bottom style="thin">
        <color indexed="64"/>
      </bottom>
      <diagonal/>
    </border>
    <border>
      <left/>
      <right/>
      <top style="medium">
        <color indexed="64"/>
      </top>
      <bottom style="medium">
        <color indexed="64"/>
      </bottom>
      <diagonal/>
    </border>
    <border>
      <left/>
      <right style="double">
        <color indexed="64"/>
      </right>
      <top style="medium">
        <color indexed="64"/>
      </top>
      <bottom style="thin">
        <color indexed="64"/>
      </bottom>
      <diagonal/>
    </border>
    <border>
      <left/>
      <right/>
      <top style="thick">
        <color indexed="64"/>
      </top>
      <bottom style="double">
        <color indexed="64"/>
      </bottom>
      <diagonal/>
    </border>
    <border>
      <left style="double">
        <color indexed="64"/>
      </left>
      <right/>
      <top style="thin">
        <color indexed="64"/>
      </top>
      <bottom style="thick">
        <color indexed="64"/>
      </bottom>
      <diagonal/>
    </border>
    <border>
      <left style="double">
        <color indexed="64"/>
      </left>
      <right style="double">
        <color indexed="64"/>
      </right>
      <top/>
      <bottom style="thick">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double">
        <color indexed="64"/>
      </bottom>
      <diagonal/>
    </border>
    <border>
      <left/>
      <right style="double">
        <color indexed="64"/>
      </right>
      <top style="thin">
        <color indexed="64"/>
      </top>
      <bottom style="medium">
        <color indexed="64"/>
      </bottom>
      <diagonal/>
    </border>
    <border>
      <left style="double">
        <color indexed="64"/>
      </left>
      <right style="double">
        <color indexed="64"/>
      </right>
      <top style="medium">
        <color indexed="64"/>
      </top>
      <bottom style="double">
        <color indexed="64"/>
      </bottom>
      <diagonal/>
    </border>
    <border>
      <left/>
      <right/>
      <top style="medium">
        <color indexed="64"/>
      </top>
      <bottom style="double">
        <color indexed="64"/>
      </bottom>
      <diagonal/>
    </border>
    <border>
      <left/>
      <right style="thin">
        <color indexed="64"/>
      </right>
      <top/>
      <bottom style="thin">
        <color indexed="64"/>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thin">
        <color indexed="64"/>
      </top>
      <bottom style="double">
        <color indexed="64"/>
      </bottom>
      <diagonal/>
    </border>
    <border>
      <left style="thin">
        <color theme="0" tint="-0.24994659260841701"/>
      </left>
      <right style="thin">
        <color theme="0" tint="-0.24994659260841701"/>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theme="0" tint="-0.34998626667073579"/>
      </left>
      <right style="medium">
        <color indexed="64"/>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theme="0" tint="-0.24994659260841701"/>
      </bottom>
      <diagonal/>
    </border>
    <border>
      <left style="medium">
        <color indexed="64"/>
      </left>
      <right style="medium">
        <color indexed="64"/>
      </right>
      <top style="thin">
        <color theme="0" tint="-0.24994659260841701"/>
      </top>
      <bottom style="thin">
        <color theme="0" tint="-0.24994659260841701"/>
      </bottom>
      <diagonal/>
    </border>
    <border>
      <left style="medium">
        <color indexed="64"/>
      </left>
      <right style="medium">
        <color indexed="64"/>
      </right>
      <top style="thin">
        <color theme="0" tint="-0.24994659260841701"/>
      </top>
      <bottom style="medium">
        <color indexed="64"/>
      </bottom>
      <diagonal/>
    </border>
    <border>
      <left style="medium">
        <color indexed="64"/>
      </left>
      <right style="medium">
        <color indexed="64"/>
      </right>
      <top/>
      <bottom/>
      <diagonal/>
    </border>
    <border>
      <left style="thin">
        <color theme="0" tint="-0.24994659260841701"/>
      </left>
      <right style="medium">
        <color indexed="64"/>
      </right>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34998626667073579"/>
      </left>
      <right style="medium">
        <color indexed="64"/>
      </right>
      <top style="medium">
        <color indexed="64"/>
      </top>
      <bottom style="thin">
        <color theme="0" tint="-0.34998626667073579"/>
      </bottom>
      <diagonal/>
    </border>
    <border>
      <left style="thin">
        <color indexed="64"/>
      </left>
      <right style="medium">
        <color indexed="64"/>
      </right>
      <top style="thin">
        <color theme="0" tint="-0.34998626667073579"/>
      </top>
      <bottom style="thin">
        <color theme="0" tint="-0.34998626667073579"/>
      </bottom>
      <diagonal/>
    </border>
    <border>
      <left style="thin">
        <color indexed="64"/>
      </left>
      <right style="medium">
        <color indexed="64"/>
      </right>
      <top style="thin">
        <color theme="0" tint="-0.34998626667073579"/>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87">
    <xf numFmtId="0" fontId="0" fillId="0" borderId="0"/>
    <xf numFmtId="43" fontId="3" fillId="0" borderId="0" applyFont="0" applyFill="0" applyBorder="0" applyAlignment="0" applyProtection="0"/>
    <xf numFmtId="43" fontId="20"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4" fontId="20" fillId="0" borderId="0" applyFont="0" applyFill="0" applyBorder="0" applyAlignment="0" applyProtection="0"/>
    <xf numFmtId="44" fontId="3" fillId="0" borderId="0" applyFont="0" applyFill="0" applyBorder="0" applyAlignment="0" applyProtection="0"/>
    <xf numFmtId="44" fontId="20" fillId="0" borderId="0" applyFont="0" applyFill="0" applyBorder="0" applyAlignment="0" applyProtection="0"/>
    <xf numFmtId="3" fontId="45" fillId="0" borderId="0"/>
    <xf numFmtId="0" fontId="13" fillId="0" borderId="0"/>
    <xf numFmtId="0" fontId="20" fillId="0" borderId="0"/>
    <xf numFmtId="9" fontId="3" fillId="0" borderId="0" applyFont="0" applyFill="0" applyBorder="0" applyAlignment="0" applyProtection="0"/>
    <xf numFmtId="9" fontId="20" fillId="0" borderId="0" applyFont="0" applyFill="0" applyBorder="0" applyAlignment="0" applyProtection="0"/>
    <xf numFmtId="9" fontId="3" fillId="0" borderId="0" applyFont="0" applyFill="0" applyBorder="0" applyAlignment="0" applyProtection="0"/>
    <xf numFmtId="9" fontId="13" fillId="0" borderId="0" applyFont="0" applyFill="0" applyBorder="0" applyAlignment="0" applyProtection="0"/>
    <xf numFmtId="9" fontId="20" fillId="0" borderId="0" applyFont="0" applyFill="0" applyBorder="0" applyAlignment="0" applyProtection="0"/>
    <xf numFmtId="9" fontId="46" fillId="0" borderId="0" applyFont="0" applyFill="0" applyBorder="0" applyAlignment="0" applyProtection="0"/>
    <xf numFmtId="0" fontId="3" fillId="0" borderId="0"/>
    <xf numFmtId="43" fontId="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47" fillId="0" borderId="0" applyNumberFormat="0" applyFill="0" applyBorder="0" applyAlignment="0" applyProtection="0">
      <alignment vertical="top"/>
      <protection locked="0"/>
    </xf>
    <xf numFmtId="3" fontId="45" fillId="0" borderId="0"/>
    <xf numFmtId="3" fontId="45" fillId="0" borderId="0"/>
    <xf numFmtId="0" fontId="45" fillId="0" borderId="0"/>
    <xf numFmtId="0" fontId="45" fillId="0" borderId="0"/>
    <xf numFmtId="0" fontId="13" fillId="0" borderId="0"/>
    <xf numFmtId="0" fontId="48" fillId="0" borderId="0"/>
    <xf numFmtId="0" fontId="3" fillId="0" borderId="0"/>
    <xf numFmtId="0" fontId="45" fillId="0" borderId="0"/>
    <xf numFmtId="0" fontId="13" fillId="0" borderId="0"/>
    <xf numFmtId="9" fontId="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2" fillId="0" borderId="0" applyFont="0" applyFill="0" applyBorder="0" applyAlignment="0" applyProtection="0"/>
    <xf numFmtId="43" fontId="49" fillId="0" borderId="0" applyFont="0" applyFill="0" applyBorder="0" applyAlignment="0" applyProtection="0"/>
    <xf numFmtId="43" fontId="3" fillId="0" borderId="0" applyFont="0" applyFill="0" applyBorder="0" applyAlignment="0" applyProtection="0"/>
    <xf numFmtId="43" fontId="49" fillId="0" borderId="0" applyFont="0" applyFill="0" applyBorder="0" applyAlignment="0" applyProtection="0"/>
    <xf numFmtId="44" fontId="3" fillId="0" borderId="0" applyFont="0" applyFill="0" applyBorder="0" applyAlignment="0" applyProtection="0"/>
    <xf numFmtId="43" fontId="49" fillId="0" borderId="0" applyFont="0" applyFill="0" applyBorder="0" applyAlignment="0" applyProtection="0"/>
    <xf numFmtId="43" fontId="13" fillId="0" borderId="0" applyFont="0" applyFill="0" applyBorder="0" applyAlignment="0" applyProtection="0"/>
    <xf numFmtId="44" fontId="49"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49" fillId="0" borderId="0" applyFont="0" applyFill="0" applyBorder="0" applyAlignment="0" applyProtection="0"/>
    <xf numFmtId="44" fontId="49" fillId="0" borderId="0" applyFont="0" applyFill="0" applyBorder="0" applyAlignment="0" applyProtection="0"/>
    <xf numFmtId="3" fontId="45" fillId="0" borderId="0"/>
    <xf numFmtId="44" fontId="52" fillId="0" borderId="0" applyFont="0" applyFill="0" applyBorder="0" applyAlignment="0" applyProtection="0"/>
    <xf numFmtId="44" fontId="2" fillId="0" borderId="0" applyFont="0" applyFill="0" applyBorder="0" applyAlignment="0" applyProtection="0"/>
    <xf numFmtId="3" fontId="45" fillId="0" borderId="0"/>
    <xf numFmtId="3" fontId="51" fillId="0" borderId="0"/>
    <xf numFmtId="0" fontId="50"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13" fillId="0" borderId="0"/>
    <xf numFmtId="0" fontId="3" fillId="0" borderId="0"/>
    <xf numFmtId="0" fontId="52" fillId="0" borderId="0"/>
    <xf numFmtId="0" fontId="53" fillId="0" borderId="0" applyNumberFormat="0" applyFill="0" applyBorder="0" applyAlignment="0" applyProtection="0"/>
    <xf numFmtId="0" fontId="3" fillId="0" borderId="0"/>
    <xf numFmtId="0" fontId="3" fillId="0" borderId="0"/>
    <xf numFmtId="9" fontId="49"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2" fillId="0" borderId="0" applyFont="0" applyFill="0" applyBorder="0" applyAlignment="0" applyProtection="0"/>
    <xf numFmtId="9" fontId="3" fillId="0" borderId="0" applyFont="0" applyFill="0" applyBorder="0" applyAlignment="0" applyProtection="0"/>
    <xf numFmtId="0" fontId="2" fillId="0" borderId="0"/>
    <xf numFmtId="9" fontId="3" fillId="0" borderId="0" applyFont="0" applyFill="0" applyBorder="0" applyAlignment="0" applyProtection="0"/>
    <xf numFmtId="43" fontId="13" fillId="0" borderId="0" applyFont="0" applyFill="0" applyBorder="0" applyAlignment="0" applyProtection="0"/>
    <xf numFmtId="0" fontId="1" fillId="0" borderId="0"/>
    <xf numFmtId="43" fontId="1" fillId="0" borderId="0" applyFont="0" applyFill="0" applyBorder="0" applyAlignment="0" applyProtection="0"/>
  </cellStyleXfs>
  <cellXfs count="2095">
    <xf numFmtId="0" fontId="0" fillId="0" borderId="0" xfId="0"/>
    <xf numFmtId="0" fontId="0" fillId="0" borderId="0" xfId="0" applyAlignment="1">
      <alignment horizontal="center"/>
    </xf>
    <xf numFmtId="0" fontId="5" fillId="0" borderId="0" xfId="0" applyFont="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xf numFmtId="0" fontId="0" fillId="0" borderId="4" xfId="0" applyBorder="1"/>
    <xf numFmtId="0" fontId="0" fillId="0" borderId="5" xfId="0" applyBorder="1"/>
    <xf numFmtId="0" fontId="10" fillId="0" borderId="0" xfId="0" applyFont="1" applyAlignment="1">
      <alignment horizontal="left"/>
    </xf>
    <xf numFmtId="0" fontId="10" fillId="0" borderId="0" xfId="0" applyFont="1" applyAlignment="1">
      <alignment horizontal="center"/>
    </xf>
    <xf numFmtId="0" fontId="0" fillId="0" borderId="8" xfId="0" applyBorder="1"/>
    <xf numFmtId="0" fontId="0" fillId="0" borderId="9" xfId="0" applyBorder="1"/>
    <xf numFmtId="0" fontId="0" fillId="0" borderId="4" xfId="0" applyBorder="1" applyAlignment="1">
      <alignment horizontal="center"/>
    </xf>
    <xf numFmtId="0" fontId="0" fillId="0" borderId="10" xfId="0" applyBorder="1" applyAlignment="1">
      <alignment horizontal="center"/>
    </xf>
    <xf numFmtId="0" fontId="0" fillId="0" borderId="11" xfId="0" applyBorder="1"/>
    <xf numFmtId="0" fontId="0" fillId="0" borderId="10" xfId="0" applyBorder="1"/>
    <xf numFmtId="0" fontId="0" fillId="0" borderId="11" xfId="0" applyBorder="1" applyAlignment="1">
      <alignment horizontal="center"/>
    </xf>
    <xf numFmtId="0" fontId="0" fillId="0" borderId="12" xfId="0" applyBorder="1"/>
    <xf numFmtId="0" fontId="0" fillId="0" borderId="13" xfId="0" applyBorder="1"/>
    <xf numFmtId="0" fontId="0" fillId="0" borderId="14" xfId="0" applyBorder="1"/>
    <xf numFmtId="0" fontId="0" fillId="0" borderId="15" xfId="0" applyBorder="1" applyAlignment="1">
      <alignment horizontal="center"/>
    </xf>
    <xf numFmtId="0" fontId="0" fillId="0" borderId="16" xfId="0" applyBorder="1" applyAlignment="1">
      <alignment horizontal="center"/>
    </xf>
    <xf numFmtId="0" fontId="0" fillId="0" borderId="18" xfId="0" applyBorder="1"/>
    <xf numFmtId="0" fontId="0" fillId="0" borderId="19" xfId="0" applyBorder="1"/>
    <xf numFmtId="0" fontId="0" fillId="0" borderId="20" xfId="0" applyBorder="1"/>
    <xf numFmtId="0" fontId="0" fillId="0" borderId="21" xfId="0" applyBorder="1" applyAlignment="1">
      <alignment horizontal="center" vertical="center"/>
    </xf>
    <xf numFmtId="0" fontId="12" fillId="0" borderId="0" xfId="0" applyFont="1" applyAlignment="1">
      <alignment horizontal="center"/>
    </xf>
    <xf numFmtId="0" fontId="0" fillId="0" borderId="23" xfId="0" applyBorder="1"/>
    <xf numFmtId="0" fontId="0" fillId="0" borderId="24" xfId="0" applyBorder="1"/>
    <xf numFmtId="0" fontId="0" fillId="0" borderId="8" xfId="0" applyBorder="1" applyAlignment="1">
      <alignment horizontal="center"/>
    </xf>
    <xf numFmtId="0" fontId="0" fillId="0" borderId="26" xfId="0" applyBorder="1"/>
    <xf numFmtId="0" fontId="16" fillId="0" borderId="3" xfId="0" applyFont="1" applyBorder="1"/>
    <xf numFmtId="0" fontId="16" fillId="0" borderId="5" xfId="0" applyFont="1" applyBorder="1"/>
    <xf numFmtId="0" fontId="16" fillId="0" borderId="26" xfId="0" applyFont="1" applyBorder="1"/>
    <xf numFmtId="0" fontId="10" fillId="0" borderId="0" xfId="0" applyFont="1"/>
    <xf numFmtId="0" fontId="19" fillId="0" borderId="0" xfId="0" applyFont="1"/>
    <xf numFmtId="0" fontId="20" fillId="0" borderId="0" xfId="0" applyFont="1"/>
    <xf numFmtId="0" fontId="22" fillId="0" borderId="0" xfId="0" applyFont="1"/>
    <xf numFmtId="0" fontId="0" fillId="0" borderId="0" xfId="0" applyAlignment="1">
      <alignment horizontal="right"/>
    </xf>
    <xf numFmtId="0" fontId="4" fillId="0" borderId="0" xfId="0" applyFont="1" applyBorder="1" applyAlignment="1">
      <alignment horizontal="center"/>
    </xf>
    <xf numFmtId="0" fontId="0" fillId="0" borderId="30" xfId="0" applyBorder="1"/>
    <xf numFmtId="0" fontId="0" fillId="0" borderId="31" xfId="0" applyBorder="1"/>
    <xf numFmtId="0" fontId="0" fillId="0" borderId="0" xfId="0" applyBorder="1"/>
    <xf numFmtId="0" fontId="10" fillId="0" borderId="5" xfId="0" applyFont="1" applyBorder="1"/>
    <xf numFmtId="0" fontId="10" fillId="0" borderId="0" xfId="0" applyFont="1" applyBorder="1"/>
    <xf numFmtId="0" fontId="17" fillId="0" borderId="7" xfId="0" applyFont="1" applyBorder="1" applyAlignment="1">
      <alignment horizontal="center"/>
    </xf>
    <xf numFmtId="0" fontId="17" fillId="0" borderId="3" xfId="0" applyFont="1" applyBorder="1" applyAlignment="1">
      <alignment horizontal="center"/>
    </xf>
    <xf numFmtId="0" fontId="17" fillId="0" borderId="32" xfId="0" applyFont="1" applyBorder="1" applyAlignment="1">
      <alignment horizontal="center"/>
    </xf>
    <xf numFmtId="0" fontId="0" fillId="0" borderId="3" xfId="0" applyBorder="1" applyAlignment="1">
      <alignment horizontal="right"/>
    </xf>
    <xf numFmtId="0" fontId="0" fillId="0" borderId="18" xfId="0" applyBorder="1" applyAlignment="1">
      <alignment horizontal="right"/>
    </xf>
    <xf numFmtId="0" fontId="17" fillId="0" borderId="33" xfId="0" applyFont="1" applyBorder="1" applyAlignment="1">
      <alignment horizontal="center"/>
    </xf>
    <xf numFmtId="0" fontId="0" fillId="0" borderId="5" xfId="0" applyBorder="1" applyAlignment="1">
      <alignment horizontal="right"/>
    </xf>
    <xf numFmtId="0" fontId="0" fillId="0" borderId="26" xfId="0" applyBorder="1" applyAlignment="1">
      <alignment horizontal="right"/>
    </xf>
    <xf numFmtId="0" fontId="0" fillId="0" borderId="9" xfId="0" applyBorder="1" applyAlignment="1">
      <alignment horizontal="center"/>
    </xf>
    <xf numFmtId="49" fontId="0" fillId="0" borderId="8" xfId="0" applyNumberFormat="1" applyBorder="1" applyAlignment="1">
      <alignment horizontal="center"/>
    </xf>
    <xf numFmtId="49" fontId="0" fillId="0" borderId="11" xfId="0" applyNumberFormat="1" applyBorder="1" applyAlignment="1">
      <alignment horizontal="center"/>
    </xf>
    <xf numFmtId="0" fontId="16" fillId="0" borderId="0" xfId="0" applyFont="1" applyAlignment="1">
      <alignment horizontal="center"/>
    </xf>
    <xf numFmtId="0" fontId="16" fillId="0" borderId="18" xfId="0" applyFont="1" applyBorder="1" applyAlignment="1">
      <alignment horizontal="center"/>
    </xf>
    <xf numFmtId="0" fontId="16" fillId="0" borderId="26" xfId="0" applyFont="1" applyBorder="1" applyAlignment="1">
      <alignment horizontal="center"/>
    </xf>
    <xf numFmtId="0" fontId="16" fillId="0" borderId="3" xfId="0" applyFont="1" applyBorder="1" applyAlignment="1">
      <alignment horizontal="center"/>
    </xf>
    <xf numFmtId="0" fontId="0" fillId="0" borderId="1" xfId="0" applyBorder="1"/>
    <xf numFmtId="43" fontId="0" fillId="0" borderId="33" xfId="1" applyFont="1" applyBorder="1"/>
    <xf numFmtId="43" fontId="0" fillId="0" borderId="18" xfId="1" applyFont="1" applyBorder="1"/>
    <xf numFmtId="43" fontId="0" fillId="0" borderId="0" xfId="1" applyFont="1"/>
    <xf numFmtId="43" fontId="0" fillId="0" borderId="27" xfId="1" applyFont="1" applyBorder="1"/>
    <xf numFmtId="43" fontId="0" fillId="0" borderId="26" xfId="1" applyFont="1" applyBorder="1"/>
    <xf numFmtId="43" fontId="0" fillId="0" borderId="7" xfId="1" applyFont="1" applyBorder="1"/>
    <xf numFmtId="43" fontId="0" fillId="0" borderId="3" xfId="1" applyFont="1" applyBorder="1"/>
    <xf numFmtId="43" fontId="0" fillId="0" borderId="25" xfId="1" applyFont="1" applyBorder="1"/>
    <xf numFmtId="43" fontId="0" fillId="0" borderId="34" xfId="1" applyFont="1" applyBorder="1"/>
    <xf numFmtId="43" fontId="0" fillId="0" borderId="35" xfId="1" applyFont="1" applyBorder="1"/>
    <xf numFmtId="43" fontId="0" fillId="0" borderId="5" xfId="1" applyFont="1" applyBorder="1"/>
    <xf numFmtId="0" fontId="0" fillId="0" borderId="15" xfId="0" applyBorder="1"/>
    <xf numFmtId="0" fontId="0" fillId="0" borderId="20" xfId="0" applyBorder="1" applyAlignment="1">
      <alignment horizontal="right"/>
    </xf>
    <xf numFmtId="43" fontId="0" fillId="0" borderId="36" xfId="1" applyFont="1" applyBorder="1"/>
    <xf numFmtId="0" fontId="0" fillId="0" borderId="31" xfId="0" applyBorder="1" applyAlignment="1">
      <alignment horizontal="right"/>
    </xf>
    <xf numFmtId="43" fontId="0" fillId="0" borderId="12" xfId="1" applyFont="1" applyBorder="1"/>
    <xf numFmtId="43" fontId="0" fillId="0" borderId="11" xfId="1" applyFont="1" applyBorder="1"/>
    <xf numFmtId="43" fontId="0" fillId="0" borderId="30" xfId="1" applyFont="1" applyBorder="1"/>
    <xf numFmtId="0" fontId="17" fillId="0" borderId="37" xfId="0" applyFont="1" applyBorder="1" applyAlignment="1">
      <alignment horizontal="center" vertical="center"/>
    </xf>
    <xf numFmtId="0" fontId="17" fillId="0" borderId="3" xfId="0" applyFont="1" applyBorder="1"/>
    <xf numFmtId="0" fontId="0" fillId="0" borderId="38" xfId="0" applyBorder="1"/>
    <xf numFmtId="43" fontId="0" fillId="0" borderId="8" xfId="1" applyFont="1" applyBorder="1"/>
    <xf numFmtId="49" fontId="0" fillId="0" borderId="0" xfId="0" applyNumberFormat="1" applyAlignment="1">
      <alignment horizontal="center"/>
    </xf>
    <xf numFmtId="49" fontId="0" fillId="0" borderId="18" xfId="0" applyNumberFormat="1" applyBorder="1" applyAlignment="1">
      <alignment horizontal="center"/>
    </xf>
    <xf numFmtId="49" fontId="0" fillId="0" borderId="3" xfId="0" applyNumberFormat="1" applyBorder="1" applyAlignment="1">
      <alignment horizontal="center"/>
    </xf>
    <xf numFmtId="49" fontId="0" fillId="0" borderId="26" xfId="0" applyNumberFormat="1" applyBorder="1" applyAlignment="1">
      <alignment horizontal="center"/>
    </xf>
    <xf numFmtId="0" fontId="0" fillId="0" borderId="37" xfId="0" applyBorder="1"/>
    <xf numFmtId="0" fontId="16" fillId="0" borderId="3" xfId="0" applyFont="1" applyBorder="1" applyAlignment="1">
      <alignment wrapText="1"/>
    </xf>
    <xf numFmtId="49" fontId="25" fillId="0" borderId="0" xfId="0" applyNumberFormat="1" applyFont="1" applyAlignment="1">
      <alignment horizontal="left"/>
    </xf>
    <xf numFmtId="0" fontId="23" fillId="0" borderId="0" xfId="0" applyFont="1"/>
    <xf numFmtId="0" fontId="13" fillId="0" borderId="0" xfId="0" applyFont="1"/>
    <xf numFmtId="0" fontId="26" fillId="0" borderId="0" xfId="0" applyFont="1"/>
    <xf numFmtId="0" fontId="0" fillId="0" borderId="39" xfId="0" applyBorder="1"/>
    <xf numFmtId="0" fontId="0" fillId="0" borderId="40" xfId="0" applyBorder="1"/>
    <xf numFmtId="49" fontId="0" fillId="0" borderId="0" xfId="0" applyNumberFormat="1" applyAlignment="1">
      <alignment horizontal="left"/>
    </xf>
    <xf numFmtId="0" fontId="0" fillId="0" borderId="0" xfId="0" applyAlignment="1">
      <alignment horizontal="left"/>
    </xf>
    <xf numFmtId="43" fontId="0" fillId="0" borderId="22" xfId="1" applyFont="1" applyBorder="1"/>
    <xf numFmtId="0" fontId="16" fillId="0" borderId="0" xfId="0" applyFont="1"/>
    <xf numFmtId="0" fontId="0" fillId="0" borderId="41" xfId="0" applyBorder="1" applyAlignment="1">
      <alignment horizontal="right"/>
    </xf>
    <xf numFmtId="0" fontId="0" fillId="0" borderId="41" xfId="0" applyBorder="1"/>
    <xf numFmtId="43" fontId="13" fillId="0" borderId="27" xfId="1" applyFont="1" applyBorder="1"/>
    <xf numFmtId="43" fontId="13" fillId="0" borderId="10" xfId="1" applyFont="1" applyBorder="1"/>
    <xf numFmtId="43" fontId="13" fillId="0" borderId="22" xfId="1" applyFont="1" applyBorder="1"/>
    <xf numFmtId="0" fontId="0" fillId="0" borderId="0" xfId="0" applyAlignment="1">
      <alignment vertical="center"/>
    </xf>
    <xf numFmtId="0" fontId="0" fillId="0" borderId="21" xfId="0" applyBorder="1"/>
    <xf numFmtId="0" fontId="6" fillId="0" borderId="0" xfId="0" applyFont="1" applyAlignment="1">
      <alignment horizontal="center"/>
    </xf>
    <xf numFmtId="43" fontId="0" fillId="0" borderId="41" xfId="1" applyFont="1" applyBorder="1"/>
    <xf numFmtId="43" fontId="0" fillId="0" borderId="20" xfId="1" applyFont="1" applyBorder="1"/>
    <xf numFmtId="43" fontId="0" fillId="0" borderId="43" xfId="1" applyFont="1" applyBorder="1"/>
    <xf numFmtId="43" fontId="0" fillId="0" borderId="44" xfId="1" applyFont="1" applyBorder="1"/>
    <xf numFmtId="43" fontId="0" fillId="0" borderId="45" xfId="1" applyFont="1" applyBorder="1"/>
    <xf numFmtId="43" fontId="0" fillId="0" borderId="31" xfId="1" applyFont="1" applyBorder="1"/>
    <xf numFmtId="43" fontId="0" fillId="0" borderId="23" xfId="1" applyFont="1" applyBorder="1"/>
    <xf numFmtId="0" fontId="17" fillId="0" borderId="0" xfId="0" applyFont="1"/>
    <xf numFmtId="0" fontId="11" fillId="0" borderId="0" xfId="0" applyFont="1"/>
    <xf numFmtId="43" fontId="3" fillId="0" borderId="7" xfId="1" applyBorder="1"/>
    <xf numFmtId="0" fontId="0" fillId="0" borderId="19" xfId="0" applyBorder="1" applyAlignment="1">
      <alignment horizontal="right"/>
    </xf>
    <xf numFmtId="43" fontId="3" fillId="0" borderId="0" xfId="1" applyBorder="1"/>
    <xf numFmtId="43" fontId="3" fillId="0" borderId="8" xfId="1" applyBorder="1"/>
    <xf numFmtId="43" fontId="3" fillId="0" borderId="34" xfId="1" applyBorder="1"/>
    <xf numFmtId="43" fontId="0" fillId="0" borderId="0" xfId="1" applyFont="1" applyBorder="1"/>
    <xf numFmtId="43" fontId="17" fillId="0" borderId="18" xfId="1" applyFont="1" applyBorder="1" applyAlignment="1">
      <alignment horizontal="center"/>
    </xf>
    <xf numFmtId="43" fontId="17" fillId="0" borderId="3" xfId="1" applyFont="1" applyBorder="1" applyAlignment="1">
      <alignment horizontal="center"/>
    </xf>
    <xf numFmtId="43" fontId="17" fillId="0" borderId="26" xfId="1" applyFont="1" applyBorder="1" applyAlignment="1">
      <alignment horizontal="center"/>
    </xf>
    <xf numFmtId="49" fontId="6" fillId="0" borderId="0" xfId="0" applyNumberFormat="1" applyFont="1" applyAlignment="1">
      <alignment horizontal="center"/>
    </xf>
    <xf numFmtId="0" fontId="22" fillId="0" borderId="0" xfId="0" applyFont="1" applyAlignment="1">
      <alignment horizontal="center"/>
    </xf>
    <xf numFmtId="0" fontId="22" fillId="0" borderId="0" xfId="0" applyFont="1" applyAlignment="1">
      <alignment horizontal="center" vertical="center"/>
    </xf>
    <xf numFmtId="0" fontId="0" fillId="0" borderId="0" xfId="0" applyBorder="1" applyAlignment="1">
      <alignment horizontal="center"/>
    </xf>
    <xf numFmtId="0" fontId="22" fillId="0" borderId="0" xfId="0" applyFont="1" applyBorder="1" applyAlignment="1">
      <alignment horizontal="center"/>
    </xf>
    <xf numFmtId="43" fontId="0" fillId="0" borderId="17" xfId="1" applyFont="1" applyBorder="1"/>
    <xf numFmtId="43" fontId="0" fillId="0" borderId="6" xfId="1" applyFont="1" applyBorder="1"/>
    <xf numFmtId="43" fontId="0" fillId="0" borderId="48" xfId="1" applyFont="1" applyBorder="1"/>
    <xf numFmtId="43" fontId="3" fillId="0" borderId="11" xfId="1" applyBorder="1"/>
    <xf numFmtId="0" fontId="13" fillId="0" borderId="0" xfId="0" applyFont="1" applyAlignment="1">
      <alignment horizontal="center" vertical="center" textRotation="180" wrapText="1"/>
    </xf>
    <xf numFmtId="0" fontId="0" fillId="0" borderId="23" xfId="0" applyBorder="1" applyAlignment="1">
      <alignment horizontal="right"/>
    </xf>
    <xf numFmtId="0" fontId="0" fillId="0" borderId="49" xfId="0" applyBorder="1" applyAlignment="1">
      <alignment horizontal="right"/>
    </xf>
    <xf numFmtId="43" fontId="3" fillId="0" borderId="36" xfId="1" applyBorder="1"/>
    <xf numFmtId="0" fontId="0" fillId="0" borderId="23" xfId="0" applyBorder="1" applyAlignment="1">
      <alignment horizontal="center"/>
    </xf>
    <xf numFmtId="0" fontId="0" fillId="0" borderId="2" xfId="0" applyBorder="1" applyAlignment="1">
      <alignment horizontal="center" vertical="center" wrapText="1"/>
    </xf>
    <xf numFmtId="0" fontId="16" fillId="0" borderId="0" xfId="0" applyFont="1" applyAlignment="1">
      <alignment horizontal="right"/>
    </xf>
    <xf numFmtId="43" fontId="17" fillId="0" borderId="33" xfId="1" applyFont="1" applyBorder="1" applyAlignment="1">
      <alignment horizontal="center"/>
    </xf>
    <xf numFmtId="43" fontId="17" fillId="0" borderId="7" xfId="1" applyFont="1" applyBorder="1" applyAlignment="1">
      <alignment horizontal="center"/>
    </xf>
    <xf numFmtId="49" fontId="0" fillId="0" borderId="3" xfId="0" applyNumberFormat="1" applyBorder="1" applyAlignment="1">
      <alignment horizontal="left"/>
    </xf>
    <xf numFmtId="49" fontId="0" fillId="0" borderId="23" xfId="0" applyNumberFormat="1" applyBorder="1" applyAlignment="1">
      <alignment horizontal="center"/>
    </xf>
    <xf numFmtId="0" fontId="17" fillId="0" borderId="11" xfId="0" applyFont="1" applyBorder="1" applyAlignment="1">
      <alignment horizontal="center"/>
    </xf>
    <xf numFmtId="0" fontId="16" fillId="0" borderId="0" xfId="0" applyFont="1" applyBorder="1" applyAlignment="1">
      <alignment horizontal="center"/>
    </xf>
    <xf numFmtId="0" fontId="17" fillId="0" borderId="0" xfId="0" applyFont="1" applyBorder="1"/>
    <xf numFmtId="0" fontId="10" fillId="0" borderId="0" xfId="0" applyFont="1" applyBorder="1" applyAlignment="1">
      <alignment horizontal="right"/>
    </xf>
    <xf numFmtId="43" fontId="3" fillId="0" borderId="25" xfId="1" applyBorder="1"/>
    <xf numFmtId="49" fontId="10" fillId="0" borderId="0" xfId="0" applyNumberFormat="1" applyFont="1" applyBorder="1" applyAlignment="1">
      <alignment horizontal="left"/>
    </xf>
    <xf numFmtId="0" fontId="10" fillId="0" borderId="0" xfId="0" applyFont="1" applyBorder="1" applyAlignment="1">
      <alignment horizontal="left"/>
    </xf>
    <xf numFmtId="0" fontId="17" fillId="0" borderId="14" xfId="0" applyFont="1" applyBorder="1" applyAlignment="1">
      <alignment horizontal="center"/>
    </xf>
    <xf numFmtId="43" fontId="3" fillId="0" borderId="14" xfId="1" applyBorder="1"/>
    <xf numFmtId="43" fontId="17" fillId="0" borderId="27" xfId="1" applyFont="1" applyBorder="1" applyAlignment="1">
      <alignment horizontal="center"/>
    </xf>
    <xf numFmtId="43" fontId="17" fillId="0" borderId="24" xfId="1" applyFont="1" applyBorder="1" applyAlignment="1">
      <alignment horizontal="center"/>
    </xf>
    <xf numFmtId="43" fontId="3" fillId="0" borderId="26" xfId="1" applyBorder="1"/>
    <xf numFmtId="43" fontId="3" fillId="0" borderId="35" xfId="1" applyBorder="1"/>
    <xf numFmtId="49" fontId="16" fillId="0" borderId="0" xfId="0" applyNumberFormat="1" applyFont="1" applyAlignment="1">
      <alignment horizontal="left"/>
    </xf>
    <xf numFmtId="0" fontId="17" fillId="0" borderId="0" xfId="0" applyFont="1" applyBorder="1" applyAlignment="1">
      <alignment horizontal="center"/>
    </xf>
    <xf numFmtId="0" fontId="0" fillId="0" borderId="52" xfId="0" applyBorder="1"/>
    <xf numFmtId="43" fontId="0" fillId="0" borderId="4" xfId="1" applyFont="1" applyBorder="1"/>
    <xf numFmtId="43" fontId="17" fillId="0" borderId="4" xfId="1" applyFont="1" applyBorder="1" applyAlignment="1">
      <alignment horizontal="center"/>
    </xf>
    <xf numFmtId="43" fontId="17" fillId="0" borderId="0" xfId="1" applyFont="1" applyAlignment="1">
      <alignment horizontal="center"/>
    </xf>
    <xf numFmtId="43" fontId="17" fillId="0" borderId="6" xfId="1" applyFont="1" applyBorder="1" applyAlignment="1">
      <alignment horizontal="center"/>
    </xf>
    <xf numFmtId="43" fontId="0" fillId="0" borderId="53" xfId="1" applyFont="1" applyBorder="1"/>
    <xf numFmtId="43" fontId="17" fillId="0" borderId="32" xfId="1" applyFont="1" applyBorder="1" applyAlignment="1">
      <alignment horizontal="center"/>
    </xf>
    <xf numFmtId="0" fontId="25" fillId="0" borderId="0" xfId="0" applyFont="1"/>
    <xf numFmtId="0" fontId="0" fillId="0" borderId="54" xfId="0" applyBorder="1"/>
    <xf numFmtId="0" fontId="0" fillId="0" borderId="55" xfId="0" applyBorder="1"/>
    <xf numFmtId="0" fontId="0" fillId="0" borderId="56" xfId="0" applyBorder="1"/>
    <xf numFmtId="0" fontId="0" fillId="0" borderId="57" xfId="0" applyBorder="1"/>
    <xf numFmtId="0" fontId="0" fillId="0" borderId="58" xfId="0" applyBorder="1"/>
    <xf numFmtId="49" fontId="0" fillId="0" borderId="0" xfId="0" applyNumberFormat="1" applyBorder="1" applyAlignment="1">
      <alignment horizontal="left"/>
    </xf>
    <xf numFmtId="0" fontId="0" fillId="0" borderId="59" xfId="0" applyBorder="1"/>
    <xf numFmtId="0" fontId="0" fillId="0" borderId="60" xfId="0" applyBorder="1"/>
    <xf numFmtId="0" fontId="0" fillId="0" borderId="61" xfId="0" applyBorder="1"/>
    <xf numFmtId="49" fontId="17" fillId="0" borderId="0" xfId="0" applyNumberFormat="1" applyFont="1" applyBorder="1" applyAlignment="1">
      <alignment horizontal="left"/>
    </xf>
    <xf numFmtId="0" fontId="22" fillId="0" borderId="0" xfId="0" applyFont="1" applyBorder="1"/>
    <xf numFmtId="0" fontId="13" fillId="0" borderId="0" xfId="0" applyFont="1" applyAlignment="1">
      <alignment horizontal="center"/>
    </xf>
    <xf numFmtId="0" fontId="11" fillId="0" borderId="0" xfId="0" applyFont="1" applyAlignment="1">
      <alignment horizontal="left"/>
    </xf>
    <xf numFmtId="0" fontId="13" fillId="0" borderId="0" xfId="0" applyFont="1" applyBorder="1"/>
    <xf numFmtId="0" fontId="0" fillId="0" borderId="62" xfId="0" applyBorder="1"/>
    <xf numFmtId="49" fontId="0" fillId="0" borderId="62" xfId="0" applyNumberFormat="1" applyBorder="1" applyAlignment="1">
      <alignment horizontal="center" vertical="center"/>
    </xf>
    <xf numFmtId="0" fontId="0" fillId="0" borderId="62" xfId="0" applyBorder="1" applyAlignment="1">
      <alignment horizontal="center" vertical="center"/>
    </xf>
    <xf numFmtId="0" fontId="15" fillId="0" borderId="0" xfId="0" applyFont="1"/>
    <xf numFmtId="43" fontId="3" fillId="0" borderId="0" xfId="1"/>
    <xf numFmtId="0" fontId="13" fillId="0" borderId="18" xfId="0" applyFont="1" applyBorder="1" applyAlignment="1"/>
    <xf numFmtId="0" fontId="0" fillId="0" borderId="65" xfId="0" applyBorder="1"/>
    <xf numFmtId="49" fontId="16" fillId="0" borderId="0" xfId="0" applyNumberFormat="1" applyFont="1"/>
    <xf numFmtId="0" fontId="16" fillId="0" borderId="0" xfId="0" applyFont="1" applyAlignment="1">
      <alignment horizontal="left"/>
    </xf>
    <xf numFmtId="49" fontId="0" fillId="0" borderId="0" xfId="0" applyNumberFormat="1" applyAlignment="1"/>
    <xf numFmtId="0" fontId="0" fillId="0" borderId="0" xfId="0" applyAlignment="1"/>
    <xf numFmtId="43" fontId="17" fillId="0" borderId="28" xfId="1" applyFont="1" applyBorder="1" applyAlignment="1">
      <alignment horizontal="center"/>
    </xf>
    <xf numFmtId="43" fontId="0" fillId="0" borderId="56" xfId="0" applyNumberFormat="1" applyBorder="1"/>
    <xf numFmtId="43" fontId="20" fillId="0" borderId="36" xfId="1" applyFont="1" applyBorder="1" applyAlignment="1"/>
    <xf numFmtId="0" fontId="0" fillId="0" borderId="0" xfId="0" applyAlignment="1">
      <alignment horizontal="center" vertical="top"/>
    </xf>
    <xf numFmtId="0" fontId="0" fillId="0" borderId="15" xfId="0" applyBorder="1" applyAlignment="1">
      <alignment horizontal="center" vertical="top"/>
    </xf>
    <xf numFmtId="49" fontId="16" fillId="0" borderId="0" xfId="0" applyNumberFormat="1" applyFont="1" applyAlignment="1">
      <alignment horizontal="right"/>
    </xf>
    <xf numFmtId="8" fontId="16" fillId="0" borderId="0" xfId="0" applyNumberFormat="1" applyFont="1"/>
    <xf numFmtId="0" fontId="38" fillId="0" borderId="0" xfId="0" applyFont="1"/>
    <xf numFmtId="49" fontId="38" fillId="0" borderId="0" xfId="0" applyNumberFormat="1" applyFont="1" applyBorder="1" applyAlignment="1">
      <alignment horizontal="left"/>
    </xf>
    <xf numFmtId="0" fontId="38" fillId="0" borderId="0" xfId="0" applyFont="1" applyBorder="1"/>
    <xf numFmtId="0" fontId="38" fillId="0" borderId="0" xfId="0" applyFont="1" applyBorder="1" applyAlignment="1">
      <alignment horizontal="right"/>
    </xf>
    <xf numFmtId="0" fontId="38" fillId="0" borderId="0" xfId="0" applyFont="1" applyBorder="1" applyAlignment="1">
      <alignment horizontal="left"/>
    </xf>
    <xf numFmtId="49" fontId="16" fillId="0" borderId="0" xfId="0" applyNumberFormat="1" applyFont="1" applyAlignment="1"/>
    <xf numFmtId="0" fontId="16" fillId="0" borderId="0" xfId="0" applyFont="1" applyAlignment="1"/>
    <xf numFmtId="43" fontId="0" fillId="0" borderId="3" xfId="1" applyFont="1" applyBorder="1" applyAlignment="1">
      <alignment horizontal="center"/>
    </xf>
    <xf numFmtId="43" fontId="0" fillId="0" borderId="32" xfId="1" applyFont="1" applyBorder="1"/>
    <xf numFmtId="43" fontId="13" fillId="0" borderId="3" xfId="1" applyFont="1" applyBorder="1"/>
    <xf numFmtId="43" fontId="13" fillId="0" borderId="34" xfId="1" applyFont="1" applyBorder="1"/>
    <xf numFmtId="43" fontId="13" fillId="0" borderId="33" xfId="1" applyFont="1" applyBorder="1"/>
    <xf numFmtId="43" fontId="13" fillId="0" borderId="18" xfId="1" applyFont="1" applyBorder="1"/>
    <xf numFmtId="43" fontId="13" fillId="0" borderId="11" xfId="1" applyFont="1" applyBorder="1"/>
    <xf numFmtId="43" fontId="13" fillId="0" borderId="8" xfId="1" applyFont="1" applyBorder="1"/>
    <xf numFmtId="43" fontId="13" fillId="0" borderId="28" xfId="1" applyFont="1" applyBorder="1"/>
    <xf numFmtId="43" fontId="13" fillId="0" borderId="30" xfId="1" applyFont="1" applyBorder="1"/>
    <xf numFmtId="43" fontId="13" fillId="0" borderId="64" xfId="1" applyFont="1" applyBorder="1"/>
    <xf numFmtId="43" fontId="0" fillId="0" borderId="0" xfId="0" applyNumberFormat="1"/>
    <xf numFmtId="49" fontId="17" fillId="0" borderId="18" xfId="0" applyNumberFormat="1" applyFont="1" applyBorder="1" applyAlignment="1">
      <alignment horizontal="left"/>
    </xf>
    <xf numFmtId="43" fontId="13" fillId="0" borderId="0" xfId="1" applyFont="1"/>
    <xf numFmtId="43" fontId="13" fillId="0" borderId="26" xfId="1" applyFont="1" applyBorder="1"/>
    <xf numFmtId="43" fontId="13" fillId="0" borderId="82" xfId="1" applyFont="1" applyBorder="1"/>
    <xf numFmtId="43" fontId="13" fillId="0" borderId="35" xfId="1" applyFont="1" applyBorder="1"/>
    <xf numFmtId="43" fontId="13" fillId="0" borderId="12" xfId="1" applyFont="1" applyBorder="1"/>
    <xf numFmtId="43" fontId="13" fillId="0" borderId="36" xfId="1" applyFont="1" applyBorder="1"/>
    <xf numFmtId="0" fontId="13" fillId="0" borderId="15" xfId="0" applyFont="1" applyBorder="1"/>
    <xf numFmtId="43" fontId="13" fillId="0" borderId="83" xfId="1" applyFont="1" applyBorder="1"/>
    <xf numFmtId="43" fontId="13" fillId="0" borderId="84" xfId="1" applyFont="1" applyBorder="1"/>
    <xf numFmtId="43" fontId="13" fillId="0" borderId="23" xfId="1" applyFont="1" applyBorder="1"/>
    <xf numFmtId="43" fontId="0" fillId="0" borderId="86" xfId="1" applyFont="1" applyBorder="1"/>
    <xf numFmtId="43" fontId="0" fillId="0" borderId="87" xfId="1" applyFont="1" applyBorder="1"/>
    <xf numFmtId="0" fontId="39" fillId="0" borderId="0" xfId="0" applyFont="1"/>
    <xf numFmtId="0" fontId="0" fillId="0" borderId="52" xfId="0" applyBorder="1" applyAlignment="1">
      <alignment horizontal="right"/>
    </xf>
    <xf numFmtId="0" fontId="0" fillId="0" borderId="12" xfId="0" applyBorder="1" applyAlignment="1">
      <alignment horizontal="center"/>
    </xf>
    <xf numFmtId="43" fontId="3" fillId="0" borderId="12" xfId="1" applyBorder="1"/>
    <xf numFmtId="0" fontId="0" fillId="0" borderId="0" xfId="0" applyFill="1"/>
    <xf numFmtId="43" fontId="0" fillId="0" borderId="7" xfId="1" applyFont="1" applyFill="1" applyBorder="1"/>
    <xf numFmtId="10" fontId="0" fillId="0" borderId="0" xfId="13" applyNumberFormat="1" applyFont="1"/>
    <xf numFmtId="49" fontId="0" fillId="0" borderId="0" xfId="0" quotePrefix="1" applyNumberFormat="1" applyAlignment="1">
      <alignment horizontal="center"/>
    </xf>
    <xf numFmtId="0" fontId="22" fillId="0" borderId="0" xfId="0" applyFont="1" applyFill="1" applyAlignment="1">
      <alignment horizontal="center"/>
    </xf>
    <xf numFmtId="43" fontId="3" fillId="0" borderId="26" xfId="1" applyFill="1" applyBorder="1"/>
    <xf numFmtId="165" fontId="0" fillId="0" borderId="0" xfId="0" applyNumberFormat="1"/>
    <xf numFmtId="168" fontId="0" fillId="0" borderId="0" xfId="0" applyNumberFormat="1"/>
    <xf numFmtId="167" fontId="0" fillId="0" borderId="0" xfId="0" applyNumberFormat="1"/>
    <xf numFmtId="0" fontId="0" fillId="0" borderId="10" xfId="0" applyFill="1" applyBorder="1" applyAlignment="1">
      <alignment horizontal="center"/>
    </xf>
    <xf numFmtId="43" fontId="0" fillId="0" borderId="0" xfId="0" applyNumberFormat="1" applyFill="1"/>
    <xf numFmtId="0" fontId="0" fillId="0" borderId="23" xfId="0" applyFill="1" applyBorder="1"/>
    <xf numFmtId="0" fontId="0" fillId="0" borderId="0" xfId="0" applyFill="1" applyBorder="1"/>
    <xf numFmtId="0" fontId="0" fillId="0" borderId="2" xfId="0" applyFill="1" applyBorder="1" applyAlignment="1">
      <alignment horizontal="center" vertical="center"/>
    </xf>
    <xf numFmtId="0" fontId="0" fillId="0" borderId="1" xfId="0" applyFill="1" applyBorder="1" applyAlignment="1">
      <alignment horizontal="center" vertical="center"/>
    </xf>
    <xf numFmtId="43" fontId="3" fillId="0" borderId="4" xfId="1" applyFill="1" applyBorder="1"/>
    <xf numFmtId="43" fontId="3" fillId="0" borderId="0" xfId="1" applyFill="1"/>
    <xf numFmtId="43" fontId="3" fillId="0" borderId="3" xfId="1" applyFill="1" applyBorder="1"/>
    <xf numFmtId="43" fontId="17" fillId="0" borderId="3" xfId="1" applyFont="1" applyFill="1" applyBorder="1" applyAlignment="1">
      <alignment horizontal="center"/>
    </xf>
    <xf numFmtId="0" fontId="0" fillId="0" borderId="13" xfId="0" applyFill="1" applyBorder="1"/>
    <xf numFmtId="0" fontId="0" fillId="0" borderId="16" xfId="0" applyFill="1" applyBorder="1" applyAlignment="1">
      <alignment horizontal="center"/>
    </xf>
    <xf numFmtId="0" fontId="0" fillId="0" borderId="14" xfId="0" applyFill="1" applyBorder="1"/>
    <xf numFmtId="43" fontId="13" fillId="0" borderId="26" xfId="1" applyFont="1" applyFill="1" applyBorder="1"/>
    <xf numFmtId="43" fontId="13" fillId="0" borderId="32" xfId="1" applyFont="1" applyFill="1" applyBorder="1"/>
    <xf numFmtId="43" fontId="13" fillId="0" borderId="87" xfId="1" applyFont="1" applyFill="1" applyBorder="1"/>
    <xf numFmtId="43" fontId="0" fillId="0" borderId="3" xfId="1" applyFont="1" applyFill="1" applyBorder="1"/>
    <xf numFmtId="43" fontId="0" fillId="0" borderId="26" xfId="1" applyFont="1" applyFill="1" applyBorder="1"/>
    <xf numFmtId="43" fontId="3" fillId="0" borderId="0" xfId="0" applyNumberFormat="1" applyFont="1"/>
    <xf numFmtId="43" fontId="3" fillId="0" borderId="0" xfId="0" applyNumberFormat="1" applyFont="1" applyFill="1"/>
    <xf numFmtId="0" fontId="0" fillId="0" borderId="0" xfId="0"/>
    <xf numFmtId="0" fontId="0" fillId="0" borderId="0" xfId="0" applyFill="1"/>
    <xf numFmtId="0" fontId="0" fillId="0" borderId="26" xfId="0" applyFill="1" applyBorder="1" applyAlignment="1"/>
    <xf numFmtId="0" fontId="0" fillId="0" borderId="0" xfId="0"/>
    <xf numFmtId="0" fontId="0" fillId="0" borderId="3" xfId="0" applyBorder="1"/>
    <xf numFmtId="0" fontId="0" fillId="0" borderId="10" xfId="0" applyBorder="1" applyAlignment="1">
      <alignment horizontal="center"/>
    </xf>
    <xf numFmtId="0" fontId="0" fillId="0" borderId="18" xfId="0" applyBorder="1"/>
    <xf numFmtId="0" fontId="0" fillId="0" borderId="26" xfId="0" applyBorder="1"/>
    <xf numFmtId="0" fontId="3" fillId="0" borderId="0" xfId="0" applyFont="1"/>
    <xf numFmtId="0" fontId="0" fillId="0" borderId="0" xfId="0" applyBorder="1"/>
    <xf numFmtId="43" fontId="0" fillId="0" borderId="0" xfId="1" applyFont="1"/>
    <xf numFmtId="0" fontId="13" fillId="0" borderId="0" xfId="0" applyFont="1"/>
    <xf numFmtId="0" fontId="16" fillId="0" borderId="0" xfId="0" applyFont="1"/>
    <xf numFmtId="0" fontId="22" fillId="0" borderId="0" xfId="0" applyFont="1" applyAlignment="1">
      <alignment horizontal="center"/>
    </xf>
    <xf numFmtId="43" fontId="0" fillId="0" borderId="0" xfId="0" applyNumberFormat="1"/>
    <xf numFmtId="43" fontId="3" fillId="0" borderId="7" xfId="1" applyFill="1" applyBorder="1"/>
    <xf numFmtId="14" fontId="22" fillId="0" borderId="0" xfId="0" applyNumberFormat="1" applyFont="1" applyBorder="1" applyAlignment="1">
      <alignment horizontal="center"/>
    </xf>
    <xf numFmtId="0" fontId="22" fillId="0" borderId="0" xfId="0" applyNumberFormat="1" applyFont="1" applyAlignment="1">
      <alignment horizontal="left"/>
    </xf>
    <xf numFmtId="0" fontId="0" fillId="0" borderId="0" xfId="0" applyNumberFormat="1" applyAlignment="1">
      <alignment horizontal="left"/>
    </xf>
    <xf numFmtId="14" fontId="0" fillId="0" borderId="0" xfId="0" applyNumberFormat="1" applyAlignment="1">
      <alignment horizontal="center"/>
    </xf>
    <xf numFmtId="14" fontId="0" fillId="0" borderId="16" xfId="0" applyNumberFormat="1" applyBorder="1" applyAlignment="1">
      <alignment horizontal="center"/>
    </xf>
    <xf numFmtId="14" fontId="0" fillId="0" borderId="10" xfId="0" applyNumberFormat="1" applyBorder="1" applyAlignment="1">
      <alignment horizontal="center"/>
    </xf>
    <xf numFmtId="14" fontId="0" fillId="0" borderId="16" xfId="0" applyNumberFormat="1" applyFill="1" applyBorder="1" applyAlignment="1">
      <alignment horizontal="center"/>
    </xf>
    <xf numFmtId="0" fontId="3" fillId="0" borderId="3" xfId="0" quotePrefix="1" applyFont="1" applyBorder="1"/>
    <xf numFmtId="1" fontId="3" fillId="0" borderId="0" xfId="19" applyNumberFormat="1" applyAlignment="1">
      <alignment horizontal="center"/>
    </xf>
    <xf numFmtId="0" fontId="3" fillId="0" borderId="3" xfId="19" applyBorder="1"/>
    <xf numFmtId="14" fontId="10" fillId="0" borderId="0" xfId="0" applyNumberFormat="1" applyFont="1" applyAlignment="1">
      <alignment horizontal="center"/>
    </xf>
    <xf numFmtId="14" fontId="0" fillId="0" borderId="11" xfId="0" applyNumberFormat="1" applyBorder="1" applyAlignment="1">
      <alignment horizontal="center"/>
    </xf>
    <xf numFmtId="14" fontId="0" fillId="0" borderId="15" xfId="0" applyNumberFormat="1" applyBorder="1" applyAlignment="1">
      <alignment horizontal="center"/>
    </xf>
    <xf numFmtId="0" fontId="16" fillId="0" borderId="0" xfId="0" applyNumberFormat="1" applyFont="1" applyAlignment="1">
      <alignment horizontal="left"/>
    </xf>
    <xf numFmtId="43" fontId="0" fillId="0" borderId="20" xfId="1" applyFont="1" applyFill="1" applyBorder="1"/>
    <xf numFmtId="43" fontId="13" fillId="0" borderId="27" xfId="1" applyFont="1" applyFill="1" applyBorder="1"/>
    <xf numFmtId="43" fontId="17" fillId="0" borderId="7" xfId="1" applyFont="1" applyFill="1" applyBorder="1" applyAlignment="1">
      <alignment horizontal="center"/>
    </xf>
    <xf numFmtId="43" fontId="13" fillId="0" borderId="3" xfId="1" applyFont="1" applyFill="1" applyBorder="1"/>
    <xf numFmtId="43" fontId="0" fillId="0" borderId="0" xfId="0" applyNumberFormat="1"/>
    <xf numFmtId="0" fontId="0" fillId="0" borderId="0" xfId="0" applyAlignment="1">
      <alignment horizontal="center"/>
    </xf>
    <xf numFmtId="43" fontId="13" fillId="0" borderId="36" xfId="1" applyFont="1" applyFill="1" applyBorder="1"/>
    <xf numFmtId="43" fontId="17" fillId="0" borderId="27" xfId="1" applyFont="1" applyFill="1" applyBorder="1" applyAlignment="1">
      <alignment horizontal="center"/>
    </xf>
    <xf numFmtId="43" fontId="17" fillId="0" borderId="6" xfId="1" applyFont="1" applyFill="1" applyBorder="1" applyAlignment="1">
      <alignment horizontal="center"/>
    </xf>
    <xf numFmtId="43" fontId="3" fillId="0" borderId="48" xfId="1" applyFont="1" applyFill="1" applyBorder="1"/>
    <xf numFmtId="0" fontId="0" fillId="0" borderId="0" xfId="0"/>
    <xf numFmtId="0" fontId="3" fillId="0" borderId="31" xfId="0" applyFont="1" applyBorder="1"/>
    <xf numFmtId="43" fontId="3" fillId="0" borderId="17" xfId="1" applyFont="1" applyFill="1" applyBorder="1"/>
    <xf numFmtId="0" fontId="3" fillId="0" borderId="0" xfId="69" applyFont="1" applyFill="1" applyBorder="1" applyAlignment="1">
      <alignment horizontal="left"/>
    </xf>
    <xf numFmtId="0" fontId="0" fillId="0" borderId="0" xfId="0"/>
    <xf numFmtId="0" fontId="0" fillId="0" borderId="3" xfId="0" applyBorder="1"/>
    <xf numFmtId="0" fontId="3" fillId="0" borderId="0" xfId="0" applyFont="1"/>
    <xf numFmtId="43" fontId="0" fillId="0" borderId="0" xfId="0" applyNumberFormat="1"/>
    <xf numFmtId="0" fontId="3" fillId="0" borderId="3" xfId="0" applyFont="1" applyBorder="1"/>
    <xf numFmtId="43" fontId="0" fillId="0" borderId="0" xfId="0" applyNumberFormat="1" applyFill="1"/>
    <xf numFmtId="0" fontId="3" fillId="0" borderId="23" xfId="0" applyFont="1" applyBorder="1"/>
    <xf numFmtId="0" fontId="23" fillId="0" borderId="0" xfId="0" applyFont="1" applyAlignment="1">
      <alignment horizontal="center" vertical="center" textRotation="180" wrapText="1"/>
    </xf>
    <xf numFmtId="0" fontId="13" fillId="0" borderId="23" xfId="0" applyFont="1" applyBorder="1"/>
    <xf numFmtId="0" fontId="3" fillId="0" borderId="0" xfId="19"/>
    <xf numFmtId="43" fontId="3" fillId="0" borderId="22" xfId="1" applyFont="1" applyBorder="1"/>
    <xf numFmtId="0" fontId="3" fillId="0" borderId="0" xfId="68" applyFont="1" applyFill="1" applyBorder="1" applyAlignment="1">
      <alignment horizontal="left"/>
    </xf>
    <xf numFmtId="0" fontId="3" fillId="0" borderId="3" xfId="19" applyBorder="1"/>
    <xf numFmtId="43" fontId="13" fillId="0" borderId="7" xfId="1" applyFont="1" applyBorder="1"/>
    <xf numFmtId="43" fontId="13" fillId="0" borderId="29" xfId="1" applyFont="1" applyBorder="1"/>
    <xf numFmtId="43" fontId="13" fillId="0" borderId="7" xfId="1" applyFont="1" applyFill="1" applyBorder="1"/>
    <xf numFmtId="43" fontId="3" fillId="0" borderId="0" xfId="1" applyFont="1" applyFill="1"/>
    <xf numFmtId="0" fontId="24" fillId="0" borderId="0" xfId="0" applyFont="1" applyFill="1" applyAlignment="1">
      <alignment horizontal="center"/>
    </xf>
    <xf numFmtId="0" fontId="0" fillId="0" borderId="8" xfId="0" applyFill="1" applyBorder="1"/>
    <xf numFmtId="43" fontId="17" fillId="0" borderId="18" xfId="1" applyFont="1" applyFill="1" applyBorder="1" applyAlignment="1">
      <alignment horizontal="center"/>
    </xf>
    <xf numFmtId="43" fontId="17" fillId="0" borderId="32" xfId="1" applyFont="1" applyFill="1" applyBorder="1" applyAlignment="1">
      <alignment horizontal="center"/>
    </xf>
    <xf numFmtId="43" fontId="13" fillId="0" borderId="11" xfId="1" applyFont="1" applyFill="1" applyBorder="1"/>
    <xf numFmtId="43" fontId="13" fillId="0" borderId="8" xfId="1" applyFont="1" applyFill="1" applyBorder="1"/>
    <xf numFmtId="0" fontId="3" fillId="0" borderId="0" xfId="0" applyFont="1" applyFill="1" applyBorder="1"/>
    <xf numFmtId="0" fontId="4" fillId="0" borderId="0" xfId="0" applyFont="1" applyFill="1" applyBorder="1" applyAlignment="1">
      <alignment horizontal="center"/>
    </xf>
    <xf numFmtId="0" fontId="0" fillId="0" borderId="18" xfId="0" applyFill="1" applyBorder="1"/>
    <xf numFmtId="43" fontId="23" fillId="0" borderId="28" xfId="1" applyFont="1" applyFill="1" applyBorder="1"/>
    <xf numFmtId="0" fontId="0" fillId="0" borderId="3" xfId="0" applyFill="1" applyBorder="1"/>
    <xf numFmtId="43" fontId="13" fillId="0" borderId="29" xfId="1" applyFont="1" applyFill="1" applyBorder="1"/>
    <xf numFmtId="0" fontId="0" fillId="0" borderId="0" xfId="0" quotePrefix="1" applyFill="1" applyBorder="1"/>
    <xf numFmtId="43" fontId="0" fillId="0" borderId="0" xfId="0" applyNumberFormat="1" applyFill="1" applyBorder="1"/>
    <xf numFmtId="0" fontId="20" fillId="0" borderId="0" xfId="0" applyFont="1" applyFill="1" applyBorder="1"/>
    <xf numFmtId="43" fontId="13" fillId="0" borderId="30" xfId="1" applyFont="1" applyFill="1" applyBorder="1"/>
    <xf numFmtId="0" fontId="42" fillId="0" borderId="0" xfId="0" applyFont="1" applyFill="1"/>
    <xf numFmtId="0" fontId="42" fillId="0" borderId="0" xfId="0" applyFont="1" applyFill="1" applyAlignment="1">
      <alignment horizontal="center"/>
    </xf>
    <xf numFmtId="43" fontId="42" fillId="0" borderId="0" xfId="0" applyNumberFormat="1" applyFont="1" applyFill="1"/>
    <xf numFmtId="0" fontId="0" fillId="0" borderId="0" xfId="0" applyFill="1" applyAlignment="1">
      <alignment horizontal="right"/>
    </xf>
    <xf numFmtId="43" fontId="0" fillId="0" borderId="8" xfId="1" applyFont="1" applyFill="1" applyBorder="1"/>
    <xf numFmtId="0" fontId="3" fillId="0" borderId="0" xfId="0" applyFont="1" applyFill="1"/>
    <xf numFmtId="43" fontId="13" fillId="0" borderId="4" xfId="1" applyFont="1" applyFill="1" applyBorder="1"/>
    <xf numFmtId="43" fontId="13" fillId="0" borderId="86" xfId="1" applyFont="1" applyFill="1" applyBorder="1"/>
    <xf numFmtId="0" fontId="3" fillId="0" borderId="0" xfId="0" applyFont="1" applyBorder="1"/>
    <xf numFmtId="43" fontId="13" fillId="2" borderId="7" xfId="1" applyFont="1" applyFill="1" applyBorder="1" applyProtection="1">
      <protection locked="0"/>
    </xf>
    <xf numFmtId="43" fontId="13" fillId="0" borderId="7" xfId="1" applyFont="1" applyFill="1" applyBorder="1" applyProtection="1">
      <protection locked="0"/>
    </xf>
    <xf numFmtId="43" fontId="0" fillId="2" borderId="7" xfId="1" applyFont="1" applyFill="1" applyBorder="1" applyProtection="1">
      <protection locked="0"/>
    </xf>
    <xf numFmtId="0" fontId="0" fillId="2" borderId="26" xfId="0" applyFill="1" applyBorder="1" applyProtection="1">
      <protection locked="0"/>
    </xf>
    <xf numFmtId="43" fontId="3" fillId="2" borderId="26" xfId="1" applyFill="1" applyBorder="1" applyProtection="1">
      <protection locked="0"/>
    </xf>
    <xf numFmtId="0" fontId="55" fillId="0" borderId="0" xfId="0" applyFont="1"/>
    <xf numFmtId="0" fontId="0" fillId="0" borderId="0" xfId="0" applyProtection="1">
      <protection locked="0"/>
    </xf>
    <xf numFmtId="0" fontId="0" fillId="0" borderId="18" xfId="0" applyBorder="1" applyProtection="1"/>
    <xf numFmtId="0" fontId="0" fillId="0" borderId="19" xfId="0" applyBorder="1" applyProtection="1"/>
    <xf numFmtId="0" fontId="0" fillId="0" borderId="3" xfId="0" applyBorder="1" applyProtection="1"/>
    <xf numFmtId="0" fontId="0" fillId="0" borderId="20" xfId="0" applyBorder="1" applyProtection="1"/>
    <xf numFmtId="0" fontId="56" fillId="0" borderId="0" xfId="0" applyFont="1"/>
    <xf numFmtId="0" fontId="57" fillId="0" borderId="0" xfId="0" applyFont="1" applyAlignment="1" applyProtection="1">
      <alignment horizontal="left"/>
    </xf>
    <xf numFmtId="0" fontId="57" fillId="0" borderId="0" xfId="0" quotePrefix="1" applyFont="1" applyAlignment="1">
      <alignment horizontal="left"/>
    </xf>
    <xf numFmtId="0" fontId="57" fillId="0" borderId="0" xfId="0" quotePrefix="1" applyFont="1" applyAlignment="1" applyProtection="1">
      <alignment horizontal="left"/>
    </xf>
    <xf numFmtId="0" fontId="57" fillId="0" borderId="0" xfId="0" applyFont="1" applyFill="1" applyAlignment="1" applyProtection="1">
      <alignment horizontal="left"/>
    </xf>
    <xf numFmtId="3" fontId="0" fillId="0" borderId="0" xfId="0" applyNumberFormat="1"/>
    <xf numFmtId="0" fontId="0" fillId="2" borderId="92" xfId="0" applyFill="1" applyBorder="1" applyProtection="1">
      <protection locked="0"/>
    </xf>
    <xf numFmtId="0" fontId="0" fillId="2" borderId="0" xfId="0" applyFill="1" applyProtection="1">
      <protection locked="0"/>
    </xf>
    <xf numFmtId="0" fontId="3" fillId="0" borderId="0" xfId="19" applyFill="1"/>
    <xf numFmtId="43" fontId="3" fillId="0" borderId="0" xfId="19" applyNumberFormat="1" applyFill="1"/>
    <xf numFmtId="0" fontId="3" fillId="0" borderId="0" xfId="19" applyFill="1" applyAlignment="1">
      <alignment horizontal="center"/>
    </xf>
    <xf numFmtId="43" fontId="3" fillId="0" borderId="11" xfId="1" applyFill="1" applyBorder="1"/>
    <xf numFmtId="0" fontId="3" fillId="0" borderId="3" xfId="19" applyFill="1" applyBorder="1"/>
    <xf numFmtId="0" fontId="3" fillId="0" borderId="2" xfId="19" applyFill="1" applyBorder="1" applyAlignment="1">
      <alignment horizontal="center" vertical="center"/>
    </xf>
    <xf numFmtId="43" fontId="13" fillId="0" borderId="12" xfId="1" applyFont="1" applyFill="1" applyBorder="1"/>
    <xf numFmtId="43" fontId="13" fillId="0" borderId="83" xfId="1" applyFont="1" applyFill="1" applyBorder="1"/>
    <xf numFmtId="0" fontId="3" fillId="0" borderId="3" xfId="19" applyFont="1" applyFill="1" applyBorder="1"/>
    <xf numFmtId="0" fontId="17" fillId="0" borderId="3" xfId="19" applyFont="1" applyFill="1" applyBorder="1"/>
    <xf numFmtId="0" fontId="3" fillId="0" borderId="0" xfId="19" applyAlignment="1">
      <alignment horizontal="center"/>
    </xf>
    <xf numFmtId="0" fontId="3" fillId="0" borderId="1" xfId="19" applyBorder="1" applyAlignment="1">
      <alignment horizontal="center" vertical="center"/>
    </xf>
    <xf numFmtId="0" fontId="3" fillId="0" borderId="2" xfId="19" applyBorder="1" applyAlignment="1">
      <alignment horizontal="center" vertical="center"/>
    </xf>
    <xf numFmtId="0" fontId="10" fillId="0" borderId="0" xfId="19" applyFont="1"/>
    <xf numFmtId="0" fontId="3" fillId="0" borderId="31" xfId="19" applyBorder="1"/>
    <xf numFmtId="0" fontId="3" fillId="0" borderId="23" xfId="19" applyBorder="1"/>
    <xf numFmtId="0" fontId="3" fillId="0" borderId="20" xfId="19" applyBorder="1"/>
    <xf numFmtId="0" fontId="3" fillId="0" borderId="18" xfId="19" applyBorder="1"/>
    <xf numFmtId="0" fontId="3" fillId="0" borderId="14" xfId="19" applyBorder="1"/>
    <xf numFmtId="0" fontId="3" fillId="0" borderId="12" xfId="19" applyBorder="1"/>
    <xf numFmtId="0" fontId="3" fillId="0" borderId="11" xfId="19" applyBorder="1"/>
    <xf numFmtId="0" fontId="3" fillId="0" borderId="11" xfId="19" applyBorder="1" applyAlignment="1">
      <alignment horizontal="center"/>
    </xf>
    <xf numFmtId="0" fontId="3" fillId="0" borderId="8" xfId="19" applyBorder="1"/>
    <xf numFmtId="0" fontId="3" fillId="0" borderId="15" xfId="19" applyBorder="1" applyAlignment="1">
      <alignment horizontal="center"/>
    </xf>
    <xf numFmtId="0" fontId="3" fillId="0" borderId="10" xfId="19" applyBorder="1" applyAlignment="1">
      <alignment horizontal="center"/>
    </xf>
    <xf numFmtId="0" fontId="3" fillId="0" borderId="16" xfId="19" applyBorder="1" applyAlignment="1">
      <alignment horizontal="center"/>
    </xf>
    <xf numFmtId="0" fontId="3" fillId="0" borderId="13" xfId="19" applyBorder="1"/>
    <xf numFmtId="0" fontId="3" fillId="0" borderId="9" xfId="19" applyBorder="1"/>
    <xf numFmtId="0" fontId="3" fillId="0" borderId="4" xfId="19" applyBorder="1" applyAlignment="1">
      <alignment horizontal="center"/>
    </xf>
    <xf numFmtId="0" fontId="10" fillId="0" borderId="0" xfId="19" applyFont="1" applyFill="1"/>
    <xf numFmtId="43" fontId="3" fillId="0" borderId="35" xfId="1" applyFont="1" applyFill="1" applyBorder="1" applyAlignment="1"/>
    <xf numFmtId="43" fontId="3" fillId="0" borderId="20" xfId="1" applyFont="1" applyFill="1" applyBorder="1" applyAlignment="1"/>
    <xf numFmtId="0" fontId="3" fillId="0" borderId="3" xfId="19" applyFont="1" applyFill="1" applyBorder="1" applyAlignment="1"/>
    <xf numFmtId="43" fontId="3" fillId="0" borderId="5" xfId="1" applyFont="1" applyFill="1" applyBorder="1" applyAlignment="1"/>
    <xf numFmtId="43" fontId="3" fillId="0" borderId="74" xfId="1" applyFont="1" applyFill="1" applyBorder="1" applyAlignment="1"/>
    <xf numFmtId="43" fontId="3" fillId="0" borderId="26" xfId="1" applyFont="1" applyFill="1" applyBorder="1" applyAlignment="1"/>
    <xf numFmtId="43" fontId="3" fillId="0" borderId="15" xfId="1" applyFont="1" applyFill="1" applyBorder="1" applyAlignment="1"/>
    <xf numFmtId="43" fontId="3" fillId="0" borderId="53" xfId="1" applyFont="1" applyFill="1" applyBorder="1" applyAlignment="1"/>
    <xf numFmtId="43" fontId="3" fillId="0" borderId="41" xfId="1" applyFont="1" applyFill="1" applyBorder="1" applyAlignment="1"/>
    <xf numFmtId="0" fontId="3" fillId="0" borderId="26" xfId="19" applyFont="1" applyFill="1" applyBorder="1" applyAlignment="1"/>
    <xf numFmtId="0" fontId="13" fillId="0" borderId="26" xfId="19" applyFont="1" applyFill="1" applyBorder="1" applyAlignment="1"/>
    <xf numFmtId="43" fontId="3" fillId="0" borderId="41" xfId="1" applyFont="1" applyFill="1" applyBorder="1" applyAlignment="1">
      <alignment horizontal="right"/>
    </xf>
    <xf numFmtId="43" fontId="3" fillId="0" borderId="19" xfId="1" applyFont="1" applyFill="1" applyBorder="1" applyAlignment="1">
      <alignment horizontal="right"/>
    </xf>
    <xf numFmtId="0" fontId="3" fillId="0" borderId="18" xfId="19" applyFont="1" applyFill="1" applyBorder="1" applyAlignment="1"/>
    <xf numFmtId="0" fontId="13" fillId="0" borderId="18" xfId="19" applyFont="1" applyFill="1" applyBorder="1" applyAlignment="1"/>
    <xf numFmtId="43" fontId="3" fillId="0" borderId="35" xfId="1" applyFill="1" applyBorder="1"/>
    <xf numFmtId="43" fontId="3" fillId="0" borderId="34" xfId="1" applyFill="1" applyBorder="1"/>
    <xf numFmtId="0" fontId="16" fillId="0" borderId="38" xfId="19" applyFont="1" applyFill="1" applyBorder="1" applyAlignment="1">
      <alignment horizontal="center"/>
    </xf>
    <xf numFmtId="0" fontId="16" fillId="0" borderId="26" xfId="19" applyFont="1" applyFill="1" applyBorder="1" applyAlignment="1">
      <alignment horizontal="center"/>
    </xf>
    <xf numFmtId="0" fontId="16" fillId="0" borderId="3" xfId="19" applyFont="1" applyFill="1" applyBorder="1"/>
    <xf numFmtId="43" fontId="3" fillId="0" borderId="27" xfId="1" applyFill="1" applyBorder="1"/>
    <xf numFmtId="0" fontId="16" fillId="0" borderId="3" xfId="19" applyFont="1" applyFill="1" applyBorder="1" applyAlignment="1">
      <alignment horizontal="center"/>
    </xf>
    <xf numFmtId="43" fontId="3" fillId="0" borderId="3" xfId="1" applyFont="1" applyFill="1" applyBorder="1" applyAlignment="1"/>
    <xf numFmtId="0" fontId="3" fillId="0" borderId="26" xfId="19" applyFill="1" applyBorder="1"/>
    <xf numFmtId="43" fontId="3" fillId="0" borderId="10" xfId="1" applyFill="1" applyBorder="1"/>
    <xf numFmtId="0" fontId="16" fillId="0" borderId="0" xfId="19" applyFont="1" applyFill="1" applyAlignment="1">
      <alignment horizontal="center"/>
    </xf>
    <xf numFmtId="43" fontId="3" fillId="0" borderId="18" xfId="1" applyFill="1" applyBorder="1"/>
    <xf numFmtId="43" fontId="3" fillId="0" borderId="33" xfId="1" applyFill="1" applyBorder="1"/>
    <xf numFmtId="0" fontId="16" fillId="0" borderId="18" xfId="19" applyFont="1" applyFill="1" applyBorder="1" applyAlignment="1">
      <alignment horizontal="center"/>
    </xf>
    <xf numFmtId="0" fontId="3" fillId="0" borderId="18" xfId="19" applyFill="1" applyBorder="1"/>
    <xf numFmtId="49" fontId="3" fillId="0" borderId="8" xfId="19" applyNumberFormat="1" applyFill="1" applyBorder="1" applyAlignment="1">
      <alignment horizontal="center"/>
    </xf>
    <xf numFmtId="49" fontId="3" fillId="0" borderId="11" xfId="19" applyNumberFormat="1" applyFill="1" applyBorder="1" applyAlignment="1">
      <alignment horizontal="center"/>
    </xf>
    <xf numFmtId="0" fontId="3" fillId="0" borderId="9" xfId="19" applyFill="1" applyBorder="1" applyAlignment="1">
      <alignment horizontal="center"/>
    </xf>
    <xf numFmtId="0" fontId="3" fillId="0" borderId="4" xfId="19" applyFill="1" applyBorder="1" applyAlignment="1">
      <alignment horizontal="center"/>
    </xf>
    <xf numFmtId="0" fontId="5" fillId="0" borderId="0" xfId="19" applyFont="1" applyFill="1" applyAlignment="1">
      <alignment horizontal="center"/>
    </xf>
    <xf numFmtId="0" fontId="3" fillId="0" borderId="0" xfId="19" applyFont="1" applyFill="1"/>
    <xf numFmtId="43" fontId="0" fillId="0" borderId="0" xfId="1" applyFont="1" applyFill="1"/>
    <xf numFmtId="43" fontId="0" fillId="0" borderId="11" xfId="1" applyFont="1" applyFill="1" applyBorder="1"/>
    <xf numFmtId="0" fontId="3" fillId="0" borderId="8" xfId="19" applyFill="1" applyBorder="1"/>
    <xf numFmtId="0" fontId="3" fillId="0" borderId="0" xfId="19" applyFill="1" applyBorder="1"/>
    <xf numFmtId="0" fontId="3" fillId="0" borderId="63" xfId="19" applyFill="1" applyBorder="1"/>
    <xf numFmtId="43" fontId="17" fillId="0" borderId="33" xfId="1" applyFont="1" applyFill="1" applyBorder="1" applyAlignment="1">
      <alignment horizontal="center"/>
    </xf>
    <xf numFmtId="0" fontId="16" fillId="0" borderId="0" xfId="19" applyFont="1" applyFill="1"/>
    <xf numFmtId="0" fontId="3" fillId="0" borderId="0" xfId="19" applyFill="1" applyAlignment="1">
      <alignment horizontal="right"/>
    </xf>
    <xf numFmtId="0" fontId="15" fillId="0" borderId="0" xfId="19" applyFont="1" applyFill="1"/>
    <xf numFmtId="43" fontId="3" fillId="0" borderId="81" xfId="1" applyFill="1" applyBorder="1"/>
    <xf numFmtId="14" fontId="3" fillId="0" borderId="18" xfId="19" applyNumberFormat="1" applyFill="1" applyBorder="1"/>
    <xf numFmtId="0" fontId="3" fillId="0" borderId="1" xfId="19" applyFill="1" applyBorder="1"/>
    <xf numFmtId="43" fontId="3" fillId="0" borderId="5" xfId="19" applyNumberFormat="1" applyFont="1" applyFill="1" applyBorder="1" applyAlignment="1">
      <alignment horizontal="center"/>
    </xf>
    <xf numFmtId="43" fontId="3" fillId="0" borderId="7" xfId="19" applyNumberFormat="1" applyFont="1" applyFill="1" applyBorder="1" applyAlignment="1"/>
    <xf numFmtId="1" fontId="3" fillId="0" borderId="0" xfId="19" applyNumberFormat="1"/>
    <xf numFmtId="0" fontId="3" fillId="0" borderId="26" xfId="19" applyBorder="1"/>
    <xf numFmtId="1" fontId="3" fillId="0" borderId="0" xfId="19" applyNumberFormat="1" applyFont="1"/>
    <xf numFmtId="49" fontId="3" fillId="0" borderId="0" xfId="19" applyNumberFormat="1" applyAlignment="1">
      <alignment horizontal="center"/>
    </xf>
    <xf numFmtId="0" fontId="22" fillId="0" borderId="0" xfId="19" applyFont="1" applyAlignment="1">
      <alignment horizontal="center"/>
    </xf>
    <xf numFmtId="0" fontId="22" fillId="0" borderId="0" xfId="19" applyFont="1" applyAlignment="1">
      <alignment horizontal="center" vertical="center"/>
    </xf>
    <xf numFmtId="0" fontId="3" fillId="0" borderId="0" xfId="19" applyAlignment="1">
      <alignment vertical="center"/>
    </xf>
    <xf numFmtId="49" fontId="6" fillId="0" borderId="0" xfId="19" applyNumberFormat="1" applyFont="1" applyAlignment="1">
      <alignment horizontal="center"/>
    </xf>
    <xf numFmtId="14" fontId="22" fillId="0" borderId="0" xfId="19" applyNumberFormat="1" applyFont="1" applyBorder="1" applyAlignment="1">
      <alignment horizontal="center"/>
    </xf>
    <xf numFmtId="14" fontId="3" fillId="0" borderId="0" xfId="19" applyNumberFormat="1" applyAlignment="1">
      <alignment horizontal="center"/>
    </xf>
    <xf numFmtId="0" fontId="3" fillId="0" borderId="23" xfId="19" applyFill="1" applyBorder="1"/>
    <xf numFmtId="0" fontId="3" fillId="0" borderId="30" xfId="19" applyFill="1" applyBorder="1"/>
    <xf numFmtId="0" fontId="3" fillId="0" borderId="31" xfId="19" applyFill="1" applyBorder="1"/>
    <xf numFmtId="0" fontId="3" fillId="0" borderId="29" xfId="19" applyFill="1" applyBorder="1"/>
    <xf numFmtId="0" fontId="3" fillId="0" borderId="37" xfId="19" applyFill="1" applyBorder="1" applyAlignment="1">
      <alignment horizontal="center" vertical="center" wrapText="1"/>
    </xf>
    <xf numFmtId="0" fontId="3" fillId="0" borderId="2" xfId="19" applyFont="1" applyFill="1" applyBorder="1" applyAlignment="1">
      <alignment horizontal="center" vertical="center"/>
    </xf>
    <xf numFmtId="0" fontId="3" fillId="0" borderId="0" xfId="19" applyFill="1" applyBorder="1" applyAlignment="1">
      <alignment horizontal="center"/>
    </xf>
    <xf numFmtId="43" fontId="3" fillId="0" borderId="0" xfId="19" applyNumberFormat="1" applyFill="1" applyBorder="1" applyAlignment="1">
      <alignment horizontal="center"/>
    </xf>
    <xf numFmtId="43" fontId="3" fillId="0" borderId="20" xfId="19" applyNumberFormat="1" applyFill="1" applyBorder="1"/>
    <xf numFmtId="0" fontId="3" fillId="0" borderId="18" xfId="19" applyFont="1" applyFill="1" applyBorder="1"/>
    <xf numFmtId="0" fontId="3" fillId="0" borderId="23" xfId="19" applyFont="1" applyFill="1" applyBorder="1"/>
    <xf numFmtId="0" fontId="3" fillId="0" borderId="31" xfId="19" applyFill="1" applyBorder="1" applyAlignment="1">
      <alignment horizontal="right"/>
    </xf>
    <xf numFmtId="0" fontId="3" fillId="0" borderId="19" xfId="19" applyFill="1" applyBorder="1" applyAlignment="1">
      <alignment horizontal="right"/>
    </xf>
    <xf numFmtId="0" fontId="3" fillId="0" borderId="26" xfId="19" applyFont="1" applyFill="1" applyBorder="1"/>
    <xf numFmtId="43" fontId="3" fillId="0" borderId="29" xfId="1" applyFill="1" applyBorder="1" applyAlignment="1">
      <alignment horizontal="right"/>
    </xf>
    <xf numFmtId="0" fontId="6" fillId="0" borderId="0" xfId="19" applyFont="1" applyFill="1" applyAlignment="1">
      <alignment horizontal="center"/>
    </xf>
    <xf numFmtId="0" fontId="16" fillId="0" borderId="0" xfId="19" applyFont="1" applyAlignment="1">
      <alignment horizontal="center"/>
    </xf>
    <xf numFmtId="0" fontId="3" fillId="0" borderId="30" xfId="19" applyBorder="1"/>
    <xf numFmtId="0" fontId="3" fillId="0" borderId="29" xfId="19" applyBorder="1"/>
    <xf numFmtId="0" fontId="3" fillId="0" borderId="37" xfId="19" applyBorder="1" applyAlignment="1">
      <alignment horizontal="center" vertical="center" wrapText="1"/>
    </xf>
    <xf numFmtId="0" fontId="3" fillId="0" borderId="0" xfId="19" applyBorder="1" applyAlignment="1">
      <alignment horizontal="center"/>
    </xf>
    <xf numFmtId="43" fontId="3" fillId="0" borderId="0" xfId="19" applyNumberFormat="1" applyBorder="1" applyAlignment="1">
      <alignment horizontal="center"/>
    </xf>
    <xf numFmtId="0" fontId="3" fillId="0" borderId="0" xfId="19" applyBorder="1"/>
    <xf numFmtId="0" fontId="3" fillId="0" borderId="3" xfId="19" applyFont="1" applyBorder="1"/>
    <xf numFmtId="43" fontId="3" fillId="0" borderId="20" xfId="19" applyNumberFormat="1" applyBorder="1"/>
    <xf numFmtId="43" fontId="3" fillId="0" borderId="19" xfId="19" applyNumberFormat="1" applyBorder="1"/>
    <xf numFmtId="0" fontId="3" fillId="0" borderId="31" xfId="19" applyBorder="1" applyAlignment="1">
      <alignment horizontal="right"/>
    </xf>
    <xf numFmtId="0" fontId="3" fillId="0" borderId="19" xfId="19" applyBorder="1" applyAlignment="1">
      <alignment horizontal="right"/>
    </xf>
    <xf numFmtId="0" fontId="3" fillId="0" borderId="1" xfId="19" applyBorder="1"/>
    <xf numFmtId="0" fontId="6" fillId="0" borderId="0" xfId="19" applyFont="1" applyAlignment="1">
      <alignment horizontal="center"/>
    </xf>
    <xf numFmtId="0" fontId="17" fillId="0" borderId="0" xfId="19" applyFont="1" applyFill="1" applyBorder="1"/>
    <xf numFmtId="0" fontId="17" fillId="0" borderId="0" xfId="19" applyFont="1" applyFill="1"/>
    <xf numFmtId="0" fontId="15" fillId="0" borderId="0" xfId="19" applyFont="1" applyFill="1" applyAlignment="1">
      <alignment horizontal="left"/>
    </xf>
    <xf numFmtId="43" fontId="0" fillId="0" borderId="52" xfId="1" applyFont="1" applyFill="1" applyBorder="1"/>
    <xf numFmtId="0" fontId="3" fillId="0" borderId="72" xfId="19" applyFill="1" applyBorder="1"/>
    <xf numFmtId="0" fontId="3" fillId="0" borderId="12" xfId="19" applyFont="1" applyFill="1" applyBorder="1"/>
    <xf numFmtId="0" fontId="3" fillId="0" borderId="71" xfId="19" applyFill="1" applyBorder="1"/>
    <xf numFmtId="0" fontId="3" fillId="0" borderId="29" xfId="19" applyFont="1" applyFill="1" applyBorder="1"/>
    <xf numFmtId="0" fontId="3" fillId="0" borderId="70" xfId="19" applyFill="1" applyBorder="1"/>
    <xf numFmtId="0" fontId="3" fillId="0" borderId="69" xfId="19" applyFont="1" applyFill="1" applyBorder="1"/>
    <xf numFmtId="0" fontId="38" fillId="0" borderId="0" xfId="19" applyFont="1" applyFill="1"/>
    <xf numFmtId="0" fontId="10" fillId="0" borderId="0" xfId="19" applyFont="1" applyFill="1" applyBorder="1" applyAlignment="1">
      <alignment horizontal="right"/>
    </xf>
    <xf numFmtId="0" fontId="10" fillId="0" borderId="0" xfId="19" applyFont="1" applyFill="1" applyBorder="1"/>
    <xf numFmtId="49" fontId="10" fillId="0" borderId="0" xfId="19" applyNumberFormat="1" applyFont="1" applyFill="1" applyBorder="1" applyAlignment="1">
      <alignment horizontal="center"/>
    </xf>
    <xf numFmtId="43" fontId="3" fillId="0" borderId="0" xfId="1" applyFill="1" applyBorder="1"/>
    <xf numFmtId="10" fontId="3" fillId="0" borderId="0" xfId="13" applyNumberFormat="1" applyFill="1" applyBorder="1"/>
    <xf numFmtId="49" fontId="3" fillId="0" borderId="0" xfId="19" applyNumberFormat="1" applyFill="1" applyBorder="1" applyAlignment="1">
      <alignment horizontal="center"/>
    </xf>
    <xf numFmtId="0" fontId="13" fillId="0" borderId="0" xfId="19" applyFont="1" applyFill="1" applyAlignment="1">
      <alignment horizontal="center" vertical="center" textRotation="180" wrapText="1"/>
    </xf>
    <xf numFmtId="49" fontId="3" fillId="0" borderId="3" xfId="19" applyNumberFormat="1" applyFill="1" applyBorder="1" applyAlignment="1">
      <alignment horizontal="center"/>
    </xf>
    <xf numFmtId="49" fontId="3" fillId="0" borderId="18" xfId="19" applyNumberFormat="1" applyFill="1" applyBorder="1" applyAlignment="1">
      <alignment horizontal="center"/>
    </xf>
    <xf numFmtId="0" fontId="3" fillId="0" borderId="11" xfId="19" applyFill="1" applyBorder="1" applyAlignment="1">
      <alignment horizontal="center"/>
    </xf>
    <xf numFmtId="0" fontId="3" fillId="0" borderId="10" xfId="19" applyFill="1" applyBorder="1" applyAlignment="1">
      <alignment horizontal="center"/>
    </xf>
    <xf numFmtId="0" fontId="3" fillId="0" borderId="9" xfId="19" applyFill="1" applyBorder="1"/>
    <xf numFmtId="0" fontId="10" fillId="0" borderId="0" xfId="19" applyFont="1" applyAlignment="1">
      <alignment horizontal="left"/>
    </xf>
    <xf numFmtId="0" fontId="17" fillId="0" borderId="0" xfId="19" applyFont="1" applyBorder="1"/>
    <xf numFmtId="0" fontId="16" fillId="0" borderId="0" xfId="19" applyFont="1" applyBorder="1" applyAlignment="1">
      <alignment horizontal="center"/>
    </xf>
    <xf numFmtId="49" fontId="3" fillId="0" borderId="23" xfId="19" applyNumberFormat="1" applyBorder="1" applyAlignment="1">
      <alignment horizontal="center"/>
    </xf>
    <xf numFmtId="0" fontId="13" fillId="0" borderId="0" xfId="19" applyFont="1" applyAlignment="1">
      <alignment horizontal="center" vertical="center" textRotation="180" wrapText="1"/>
    </xf>
    <xf numFmtId="0" fontId="17" fillId="0" borderId="11" xfId="19" applyFont="1" applyBorder="1" applyAlignment="1">
      <alignment horizontal="center"/>
    </xf>
    <xf numFmtId="0" fontId="10" fillId="0" borderId="0" xfId="19" applyFont="1" applyBorder="1" applyAlignment="1">
      <alignment horizontal="right"/>
    </xf>
    <xf numFmtId="0" fontId="10" fillId="0" borderId="0" xfId="19" applyFont="1" applyBorder="1"/>
    <xf numFmtId="49" fontId="10" fillId="0" borderId="0" xfId="19" applyNumberFormat="1" applyFont="1" applyBorder="1" applyAlignment="1">
      <alignment horizontal="left"/>
    </xf>
    <xf numFmtId="0" fontId="3" fillId="0" borderId="52" xfId="19" applyBorder="1"/>
    <xf numFmtId="0" fontId="3" fillId="0" borderId="23" xfId="19" applyBorder="1" applyAlignment="1">
      <alignment horizontal="right"/>
    </xf>
    <xf numFmtId="0" fontId="3" fillId="0" borderId="38" xfId="19" applyBorder="1"/>
    <xf numFmtId="43" fontId="3" fillId="0" borderId="0" xfId="19" applyNumberFormat="1"/>
    <xf numFmtId="0" fontId="16" fillId="0" borderId="0" xfId="19" applyFont="1"/>
    <xf numFmtId="0" fontId="3" fillId="0" borderId="3" xfId="19" applyBorder="1" applyAlignment="1">
      <alignment horizontal="right"/>
    </xf>
    <xf numFmtId="0" fontId="16" fillId="0" borderId="26" xfId="19" applyFont="1" applyBorder="1"/>
    <xf numFmtId="0" fontId="3" fillId="0" borderId="18" xfId="19" applyBorder="1" applyAlignment="1">
      <alignment horizontal="right"/>
    </xf>
    <xf numFmtId="0" fontId="3" fillId="0" borderId="26" xfId="19" applyBorder="1" applyAlignment="1">
      <alignment horizontal="right"/>
    </xf>
    <xf numFmtId="0" fontId="3" fillId="0" borderId="5" xfId="19" applyBorder="1"/>
    <xf numFmtId="0" fontId="16" fillId="0" borderId="5" xfId="19" applyFont="1" applyBorder="1"/>
    <xf numFmtId="43" fontId="0" fillId="0" borderId="30" xfId="1" applyFont="1" applyFill="1" applyBorder="1"/>
    <xf numFmtId="0" fontId="3" fillId="0" borderId="3" xfId="19" quotePrefix="1" applyFont="1" applyFill="1" applyBorder="1"/>
    <xf numFmtId="43" fontId="3" fillId="0" borderId="8" xfId="1" applyFill="1" applyBorder="1"/>
    <xf numFmtId="0" fontId="3" fillId="0" borderId="8" xfId="19" applyFill="1" applyBorder="1" applyAlignment="1">
      <alignment horizontal="center"/>
    </xf>
    <xf numFmtId="0" fontId="3" fillId="0" borderId="0" xfId="19" applyFont="1" applyFill="1" applyAlignment="1">
      <alignment horizontal="center"/>
    </xf>
    <xf numFmtId="0" fontId="0" fillId="2" borderId="3" xfId="0" applyFill="1" applyBorder="1" applyProtection="1">
      <protection locked="0"/>
    </xf>
    <xf numFmtId="0" fontId="3" fillId="2" borderId="3" xfId="0" applyFont="1" applyFill="1" applyBorder="1" applyProtection="1">
      <protection locked="0"/>
    </xf>
    <xf numFmtId="43" fontId="13" fillId="2" borderId="29" xfId="1" applyFont="1" applyFill="1" applyBorder="1" applyProtection="1">
      <protection locked="0"/>
    </xf>
    <xf numFmtId="0" fontId="0" fillId="2" borderId="18" xfId="0" applyFill="1" applyBorder="1" applyProtection="1">
      <protection locked="0"/>
    </xf>
    <xf numFmtId="0" fontId="0" fillId="2" borderId="19" xfId="0" applyFill="1" applyBorder="1" applyProtection="1">
      <protection locked="0"/>
    </xf>
    <xf numFmtId="43" fontId="0" fillId="2" borderId="33" xfId="1" applyFont="1" applyFill="1" applyBorder="1" applyProtection="1">
      <protection locked="0"/>
    </xf>
    <xf numFmtId="0" fontId="0" fillId="2" borderId="20" xfId="0" applyFill="1" applyBorder="1" applyProtection="1">
      <protection locked="0"/>
    </xf>
    <xf numFmtId="0" fontId="20" fillId="2" borderId="3" xfId="0" applyFont="1" applyFill="1" applyBorder="1" applyProtection="1">
      <protection locked="0"/>
    </xf>
    <xf numFmtId="43" fontId="0" fillId="0" borderId="17" xfId="1" applyFont="1" applyFill="1" applyBorder="1" applyProtection="1">
      <protection locked="0"/>
    </xf>
    <xf numFmtId="43" fontId="3" fillId="2" borderId="7" xfId="1" applyFont="1" applyFill="1" applyBorder="1" applyProtection="1">
      <protection locked="0"/>
    </xf>
    <xf numFmtId="0" fontId="43" fillId="2" borderId="3" xfId="0" applyFont="1" applyFill="1" applyBorder="1" applyProtection="1">
      <protection locked="0"/>
    </xf>
    <xf numFmtId="0" fontId="3" fillId="2" borderId="20" xfId="0" applyFont="1" applyFill="1" applyBorder="1" applyProtection="1">
      <protection locked="0"/>
    </xf>
    <xf numFmtId="43" fontId="0" fillId="2" borderId="3" xfId="1" applyFont="1" applyFill="1" applyBorder="1" applyProtection="1">
      <protection locked="0"/>
    </xf>
    <xf numFmtId="43" fontId="0" fillId="2" borderId="5" xfId="1" applyFont="1" applyFill="1" applyBorder="1" applyProtection="1">
      <protection locked="0"/>
    </xf>
    <xf numFmtId="43" fontId="0" fillId="2" borderId="26" xfId="1" applyFont="1" applyFill="1" applyBorder="1" applyProtection="1">
      <protection locked="0"/>
    </xf>
    <xf numFmtId="43" fontId="0" fillId="2" borderId="20" xfId="1" applyFont="1" applyFill="1" applyBorder="1" applyProtection="1">
      <protection locked="0"/>
    </xf>
    <xf numFmtId="43" fontId="0" fillId="2" borderId="29" xfId="1" applyFont="1" applyFill="1" applyBorder="1" applyProtection="1">
      <protection locked="0"/>
    </xf>
    <xf numFmtId="43" fontId="13" fillId="2" borderId="83" xfId="1" applyFont="1" applyFill="1" applyBorder="1" applyProtection="1">
      <protection locked="0"/>
    </xf>
    <xf numFmtId="43" fontId="13" fillId="2" borderId="36" xfId="1" applyFont="1" applyFill="1" applyBorder="1" applyProtection="1">
      <protection locked="0"/>
    </xf>
    <xf numFmtId="43" fontId="13" fillId="2" borderId="28" xfId="1" applyFont="1" applyFill="1" applyBorder="1" applyProtection="1">
      <protection locked="0"/>
    </xf>
    <xf numFmtId="43" fontId="13" fillId="2" borderId="53" xfId="1" applyFont="1" applyFill="1" applyBorder="1" applyProtection="1">
      <protection locked="0"/>
    </xf>
    <xf numFmtId="43" fontId="13" fillId="2" borderId="3" xfId="1" applyFont="1" applyFill="1" applyBorder="1" applyProtection="1">
      <protection locked="0"/>
    </xf>
    <xf numFmtId="43" fontId="13" fillId="2" borderId="18" xfId="1" applyFont="1" applyFill="1" applyBorder="1" applyProtection="1">
      <protection locked="0"/>
    </xf>
    <xf numFmtId="43" fontId="13" fillId="2" borderId="27" xfId="1" applyFont="1" applyFill="1" applyBorder="1" applyProtection="1">
      <protection locked="0"/>
    </xf>
    <xf numFmtId="0" fontId="0" fillId="2" borderId="28" xfId="0" applyFill="1" applyBorder="1" applyProtection="1">
      <protection locked="0"/>
    </xf>
    <xf numFmtId="43" fontId="0" fillId="2" borderId="19" xfId="1" applyFont="1" applyFill="1" applyBorder="1" applyProtection="1">
      <protection locked="0"/>
    </xf>
    <xf numFmtId="43" fontId="0" fillId="2" borderId="33" xfId="1" applyFont="1" applyFill="1" applyBorder="1" applyAlignment="1" applyProtection="1">
      <alignment horizontal="center"/>
      <protection locked="0"/>
    </xf>
    <xf numFmtId="0" fontId="0" fillId="2" borderId="29" xfId="0" applyFill="1" applyBorder="1" applyProtection="1">
      <protection locked="0"/>
    </xf>
    <xf numFmtId="43" fontId="0" fillId="2" borderId="38" xfId="1" applyFont="1" applyFill="1" applyBorder="1" applyProtection="1">
      <protection locked="0"/>
    </xf>
    <xf numFmtId="43" fontId="0" fillId="2" borderId="6" xfId="1" applyFont="1" applyFill="1" applyBorder="1" applyProtection="1">
      <protection locked="0"/>
    </xf>
    <xf numFmtId="43" fontId="3" fillId="2" borderId="19" xfId="1" applyFill="1" applyBorder="1" applyProtection="1">
      <protection locked="0"/>
    </xf>
    <xf numFmtId="43" fontId="3" fillId="2" borderId="33" xfId="1" applyFill="1" applyBorder="1" applyAlignment="1" applyProtection="1">
      <alignment horizontal="center"/>
      <protection locked="0"/>
    </xf>
    <xf numFmtId="43" fontId="3" fillId="2" borderId="20" xfId="1" applyFill="1" applyBorder="1" applyProtection="1">
      <protection locked="0"/>
    </xf>
    <xf numFmtId="43" fontId="3" fillId="2" borderId="7" xfId="1" applyFill="1" applyBorder="1" applyProtection="1">
      <protection locked="0"/>
    </xf>
    <xf numFmtId="43" fontId="3" fillId="2" borderId="17" xfId="1" applyFill="1" applyBorder="1" applyProtection="1">
      <protection locked="0"/>
    </xf>
    <xf numFmtId="43" fontId="3" fillId="2" borderId="38" xfId="1" applyFill="1" applyBorder="1" applyProtection="1">
      <protection locked="0"/>
    </xf>
    <xf numFmtId="43" fontId="3" fillId="2" borderId="6" xfId="1" applyFill="1" applyBorder="1" applyProtection="1">
      <protection locked="0"/>
    </xf>
    <xf numFmtId="43" fontId="3" fillId="2" borderId="33" xfId="1" applyFill="1" applyBorder="1" applyProtection="1">
      <protection locked="0"/>
    </xf>
    <xf numFmtId="0" fontId="0" fillId="2" borderId="19" xfId="0" applyFill="1" applyBorder="1" applyAlignment="1" applyProtection="1">
      <alignment horizontal="right"/>
      <protection locked="0"/>
    </xf>
    <xf numFmtId="43" fontId="3" fillId="2" borderId="31" xfId="1" applyFill="1" applyBorder="1" applyProtection="1">
      <protection locked="0"/>
    </xf>
    <xf numFmtId="43" fontId="3" fillId="2" borderId="3" xfId="1" applyFill="1" applyBorder="1" applyProtection="1">
      <protection locked="0"/>
    </xf>
    <xf numFmtId="43" fontId="0" fillId="2" borderId="19" xfId="1" applyFont="1" applyFill="1" applyBorder="1" applyAlignment="1" applyProtection="1">
      <protection locked="0"/>
    </xf>
    <xf numFmtId="14" fontId="0" fillId="2" borderId="7" xfId="0" applyNumberFormat="1" applyFill="1" applyBorder="1" applyAlignment="1" applyProtection="1">
      <alignment horizontal="center"/>
      <protection locked="0"/>
    </xf>
    <xf numFmtId="166" fontId="0" fillId="2" borderId="7" xfId="1" applyNumberFormat="1" applyFont="1" applyFill="1" applyBorder="1" applyAlignment="1" applyProtection="1">
      <alignment horizontal="center"/>
      <protection locked="0"/>
    </xf>
    <xf numFmtId="43" fontId="44" fillId="2" borderId="7" xfId="1" applyFont="1" applyFill="1" applyBorder="1" applyProtection="1">
      <protection locked="0"/>
    </xf>
    <xf numFmtId="166" fontId="0" fillId="2" borderId="17" xfId="0" applyNumberFormat="1" applyFill="1" applyBorder="1" applyAlignment="1" applyProtection="1">
      <alignment horizontal="center"/>
      <protection locked="0"/>
    </xf>
    <xf numFmtId="14" fontId="0" fillId="2" borderId="7" xfId="1" quotePrefix="1" applyNumberFormat="1" applyFont="1" applyFill="1" applyBorder="1" applyAlignment="1" applyProtection="1">
      <alignment horizontal="center"/>
      <protection locked="0"/>
    </xf>
    <xf numFmtId="43" fontId="0" fillId="2" borderId="25" xfId="1" applyFont="1" applyFill="1" applyBorder="1" applyProtection="1">
      <protection locked="0"/>
    </xf>
    <xf numFmtId="0" fontId="0" fillId="2" borderId="25" xfId="0" applyFill="1" applyBorder="1" applyProtection="1">
      <protection locked="0"/>
    </xf>
    <xf numFmtId="43" fontId="3" fillId="2" borderId="33" xfId="1" applyFill="1" applyBorder="1" applyAlignment="1" applyProtection="1">
      <protection locked="0"/>
    </xf>
    <xf numFmtId="0" fontId="0" fillId="2" borderId="33" xfId="0" applyFill="1" applyBorder="1" applyAlignment="1" applyProtection="1">
      <protection locked="0"/>
    </xf>
    <xf numFmtId="10" fontId="3" fillId="2" borderId="33" xfId="13" applyNumberFormat="1" applyFill="1" applyBorder="1" applyAlignment="1" applyProtection="1">
      <protection locked="0"/>
    </xf>
    <xf numFmtId="0" fontId="0" fillId="2" borderId="47" xfId="0" applyFill="1" applyBorder="1" applyAlignment="1" applyProtection="1">
      <protection locked="0"/>
    </xf>
    <xf numFmtId="0" fontId="0" fillId="2" borderId="7" xfId="0" applyFill="1" applyBorder="1" applyProtection="1">
      <protection locked="0"/>
    </xf>
    <xf numFmtId="10" fontId="3" fillId="2" borderId="7" xfId="13" applyNumberFormat="1" applyFill="1" applyBorder="1" applyProtection="1">
      <protection locked="0"/>
    </xf>
    <xf numFmtId="0" fontId="0" fillId="2" borderId="17" xfId="0" applyFill="1" applyBorder="1" applyProtection="1">
      <protection locked="0"/>
    </xf>
    <xf numFmtId="0" fontId="0" fillId="2" borderId="6" xfId="0" applyFill="1" applyBorder="1" applyProtection="1">
      <protection locked="0"/>
    </xf>
    <xf numFmtId="10" fontId="3" fillId="2" borderId="6" xfId="13" applyNumberFormat="1" applyFill="1" applyBorder="1" applyProtection="1">
      <protection locked="0"/>
    </xf>
    <xf numFmtId="43" fontId="3" fillId="2" borderId="25" xfId="1" applyFill="1" applyBorder="1" applyProtection="1">
      <protection locked="0"/>
    </xf>
    <xf numFmtId="0" fontId="0" fillId="2" borderId="50" xfId="0" applyFill="1" applyBorder="1" applyProtection="1">
      <protection locked="0"/>
    </xf>
    <xf numFmtId="43" fontId="3" fillId="2" borderId="28" xfId="1" applyFill="1" applyBorder="1" applyAlignment="1" applyProtection="1">
      <protection locked="0"/>
    </xf>
    <xf numFmtId="43" fontId="3" fillId="2" borderId="47" xfId="1" applyFill="1" applyBorder="1" applyAlignment="1" applyProtection="1">
      <protection locked="0"/>
    </xf>
    <xf numFmtId="43" fontId="3" fillId="2" borderId="29" xfId="1" applyFill="1" applyBorder="1" applyProtection="1">
      <protection locked="0"/>
    </xf>
    <xf numFmtId="43" fontId="3" fillId="2" borderId="53" xfId="1" applyFill="1" applyBorder="1" applyProtection="1">
      <protection locked="0"/>
    </xf>
    <xf numFmtId="43" fontId="3" fillId="2" borderId="81" xfId="1" applyFill="1" applyBorder="1" applyProtection="1">
      <protection locked="0"/>
    </xf>
    <xf numFmtId="43" fontId="3" fillId="2" borderId="50" xfId="1" applyFill="1" applyBorder="1" applyProtection="1">
      <protection locked="0"/>
    </xf>
    <xf numFmtId="43" fontId="13" fillId="2" borderId="6" xfId="1" applyFont="1" applyFill="1" applyBorder="1" applyProtection="1">
      <protection locked="0"/>
    </xf>
    <xf numFmtId="43" fontId="13" fillId="2" borderId="25" xfId="1" applyFont="1" applyFill="1" applyBorder="1" applyProtection="1">
      <protection locked="0"/>
    </xf>
    <xf numFmtId="43" fontId="0" fillId="2" borderId="18" xfId="1" applyFont="1" applyFill="1" applyBorder="1" applyProtection="1">
      <protection locked="0"/>
    </xf>
    <xf numFmtId="43" fontId="3" fillId="2" borderId="18" xfId="1" applyFill="1" applyBorder="1" applyProtection="1">
      <protection locked="0"/>
    </xf>
    <xf numFmtId="0" fontId="0" fillId="0" borderId="3" xfId="0" applyFill="1" applyBorder="1" applyProtection="1"/>
    <xf numFmtId="43" fontId="3" fillId="2" borderId="9" xfId="1" applyFill="1" applyBorder="1" applyProtection="1">
      <protection locked="0"/>
    </xf>
    <xf numFmtId="0" fontId="3" fillId="2" borderId="18" xfId="0" applyFont="1" applyFill="1" applyBorder="1" applyProtection="1">
      <protection locked="0"/>
    </xf>
    <xf numFmtId="49" fontId="41" fillId="2" borderId="3" xfId="0" applyNumberFormat="1" applyFont="1" applyFill="1" applyBorder="1" applyAlignment="1" applyProtection="1">
      <alignment horizontal="left"/>
      <protection locked="0"/>
    </xf>
    <xf numFmtId="0" fontId="41" fillId="2" borderId="3" xfId="0" applyFont="1" applyFill="1" applyBorder="1" applyProtection="1">
      <protection locked="0"/>
    </xf>
    <xf numFmtId="0" fontId="40" fillId="2" borderId="3" xfId="0" applyFont="1" applyFill="1" applyBorder="1" applyProtection="1">
      <protection locked="0"/>
    </xf>
    <xf numFmtId="43" fontId="0" fillId="2" borderId="24" xfId="1" applyFont="1" applyFill="1" applyBorder="1" applyProtection="1">
      <protection locked="0"/>
    </xf>
    <xf numFmtId="0" fontId="17" fillId="2" borderId="26" xfId="0" applyFont="1" applyFill="1" applyBorder="1" applyAlignment="1" applyProtection="1">
      <alignment horizontal="center"/>
      <protection locked="0"/>
    </xf>
    <xf numFmtId="0" fontId="3" fillId="2" borderId="3" xfId="19" applyFill="1" applyBorder="1"/>
    <xf numFmtId="0" fontId="3" fillId="2" borderId="3" xfId="19" applyFill="1" applyBorder="1" applyProtection="1">
      <protection locked="0"/>
    </xf>
    <xf numFmtId="0" fontId="3" fillId="2" borderId="0" xfId="19" applyFill="1" applyProtection="1">
      <protection locked="0"/>
    </xf>
    <xf numFmtId="43" fontId="3" fillId="2" borderId="4" xfId="1" applyFill="1" applyBorder="1" applyProtection="1">
      <protection locked="0"/>
    </xf>
    <xf numFmtId="43" fontId="3" fillId="2" borderId="0" xfId="1" applyFill="1" applyProtection="1">
      <protection locked="0"/>
    </xf>
    <xf numFmtId="0" fontId="3" fillId="2" borderId="20" xfId="19" applyFill="1" applyBorder="1" applyProtection="1">
      <protection locked="0"/>
    </xf>
    <xf numFmtId="43" fontId="3" fillId="2" borderId="27" xfId="1" applyFill="1" applyBorder="1" applyProtection="1">
      <protection locked="0"/>
    </xf>
    <xf numFmtId="43" fontId="3" fillId="2" borderId="82" xfId="1" applyFill="1" applyBorder="1" applyProtection="1">
      <protection locked="0"/>
    </xf>
    <xf numFmtId="43" fontId="3" fillId="2" borderId="26" xfId="1" applyFont="1" applyFill="1" applyBorder="1" applyAlignment="1" applyProtection="1">
      <protection locked="0"/>
    </xf>
    <xf numFmtId="43" fontId="3" fillId="2" borderId="81" xfId="1" applyFont="1" applyFill="1" applyBorder="1" applyAlignment="1"/>
    <xf numFmtId="43" fontId="3" fillId="2" borderId="81" xfId="1" applyFont="1" applyFill="1" applyBorder="1" applyAlignment="1" applyProtection="1">
      <protection locked="0"/>
    </xf>
    <xf numFmtId="43" fontId="3" fillId="2" borderId="7" xfId="1" applyFont="1" applyFill="1" applyBorder="1" applyAlignment="1" applyProtection="1">
      <protection locked="0"/>
    </xf>
    <xf numFmtId="43" fontId="3" fillId="2" borderId="25" xfId="1" applyFont="1" applyFill="1" applyBorder="1" applyAlignment="1" applyProtection="1">
      <protection locked="0"/>
    </xf>
    <xf numFmtId="43" fontId="0" fillId="2" borderId="0" xfId="1" applyFont="1" applyFill="1" applyProtection="1">
      <protection locked="0"/>
    </xf>
    <xf numFmtId="43" fontId="13" fillId="2" borderId="5" xfId="1" applyFont="1" applyFill="1" applyBorder="1" applyProtection="1">
      <protection locked="0"/>
    </xf>
    <xf numFmtId="43" fontId="0" fillId="2" borderId="4" xfId="1" applyFont="1" applyFill="1" applyBorder="1" applyProtection="1">
      <protection locked="0"/>
    </xf>
    <xf numFmtId="43" fontId="0" fillId="0" borderId="3" xfId="1" applyFont="1" applyFill="1" applyBorder="1" applyProtection="1"/>
    <xf numFmtId="43" fontId="0" fillId="2" borderId="27" xfId="1" applyFont="1" applyFill="1" applyBorder="1" applyProtection="1">
      <protection locked="0"/>
    </xf>
    <xf numFmtId="43" fontId="3" fillId="2" borderId="26" xfId="1" applyFont="1" applyFill="1" applyBorder="1" applyProtection="1">
      <protection locked="0"/>
    </xf>
    <xf numFmtId="0" fontId="3" fillId="2" borderId="26" xfId="0" applyFont="1" applyFill="1" applyBorder="1" applyProtection="1">
      <protection locked="0"/>
    </xf>
    <xf numFmtId="0" fontId="3" fillId="0" borderId="0" xfId="19" applyProtection="1">
      <protection locked="0"/>
    </xf>
    <xf numFmtId="0" fontId="3" fillId="2" borderId="26" xfId="19" applyFill="1" applyBorder="1" applyProtection="1">
      <protection locked="0"/>
    </xf>
    <xf numFmtId="0" fontId="3" fillId="2" borderId="26" xfId="19" applyFont="1" applyFill="1" applyBorder="1" applyProtection="1">
      <protection locked="0"/>
    </xf>
    <xf numFmtId="43" fontId="3" fillId="0" borderId="26" xfId="19" applyNumberFormat="1" applyFill="1" applyBorder="1" applyProtection="1"/>
    <xf numFmtId="43" fontId="3" fillId="2" borderId="24" xfId="1" applyFill="1" applyBorder="1" applyProtection="1">
      <protection locked="0"/>
    </xf>
    <xf numFmtId="43" fontId="3" fillId="2" borderId="20" xfId="1" applyFont="1" applyFill="1" applyBorder="1" applyProtection="1">
      <protection locked="0"/>
    </xf>
    <xf numFmtId="0" fontId="3" fillId="2" borderId="18" xfId="19" applyFill="1" applyBorder="1" applyProtection="1">
      <protection locked="0"/>
    </xf>
    <xf numFmtId="43" fontId="3" fillId="2" borderId="31" xfId="1" applyFont="1" applyFill="1" applyBorder="1" applyProtection="1">
      <protection locked="0"/>
    </xf>
    <xf numFmtId="0" fontId="3" fillId="2" borderId="18" xfId="19" applyFont="1" applyFill="1" applyBorder="1" applyProtection="1">
      <protection locked="0"/>
    </xf>
    <xf numFmtId="0" fontId="3" fillId="2" borderId="19" xfId="19" applyFill="1" applyBorder="1" applyProtection="1">
      <protection locked="0"/>
    </xf>
    <xf numFmtId="14" fontId="3" fillId="2" borderId="33" xfId="19" applyNumberFormat="1" applyFill="1" applyBorder="1" applyAlignment="1" applyProtection="1">
      <alignment horizontal="center"/>
      <protection locked="0"/>
    </xf>
    <xf numFmtId="14" fontId="3" fillId="2" borderId="33" xfId="1" applyNumberFormat="1" applyFill="1" applyBorder="1" applyAlignment="1" applyProtection="1">
      <protection locked="0"/>
    </xf>
    <xf numFmtId="0" fontId="3" fillId="2" borderId="93" xfId="19" applyFill="1" applyBorder="1" applyAlignment="1" applyProtection="1">
      <protection locked="0"/>
    </xf>
    <xf numFmtId="49" fontId="3" fillId="2" borderId="3" xfId="19" applyNumberFormat="1" applyFont="1" applyFill="1" applyBorder="1" applyProtection="1">
      <protection locked="0"/>
    </xf>
    <xf numFmtId="14" fontId="3" fillId="2" borderId="7" xfId="19" applyNumberFormat="1" applyFill="1" applyBorder="1" applyAlignment="1" applyProtection="1">
      <alignment horizontal="center"/>
      <protection locked="0"/>
    </xf>
    <xf numFmtId="10" fontId="3" fillId="2" borderId="7" xfId="13" applyNumberFormat="1" applyFont="1" applyFill="1" applyBorder="1" applyAlignment="1" applyProtection="1">
      <protection locked="0"/>
    </xf>
    <xf numFmtId="43" fontId="3" fillId="2" borderId="7" xfId="1" applyFont="1" applyFill="1" applyBorder="1" applyAlignment="1" applyProtection="1">
      <alignment horizontal="center"/>
      <protection locked="0"/>
    </xf>
    <xf numFmtId="0" fontId="3" fillId="2" borderId="68" xfId="19" applyFill="1" applyBorder="1" applyProtection="1">
      <protection locked="0"/>
    </xf>
    <xf numFmtId="0" fontId="3" fillId="2" borderId="7" xfId="19" applyFill="1" applyBorder="1" applyProtection="1">
      <protection locked="0"/>
    </xf>
    <xf numFmtId="0" fontId="3" fillId="2" borderId="6" xfId="19" applyFill="1" applyBorder="1" applyProtection="1">
      <protection locked="0"/>
    </xf>
    <xf numFmtId="0" fontId="25" fillId="2" borderId="3" xfId="19" applyFont="1" applyFill="1" applyBorder="1" applyProtection="1">
      <protection locked="0"/>
    </xf>
    <xf numFmtId="0" fontId="25" fillId="2" borderId="20" xfId="19" applyFont="1" applyFill="1" applyBorder="1" applyProtection="1">
      <protection locked="0"/>
    </xf>
    <xf numFmtId="43" fontId="3" fillId="0" borderId="7" xfId="1" applyFill="1" applyBorder="1" applyProtection="1"/>
    <xf numFmtId="0" fontId="3" fillId="0" borderId="3" xfId="19" applyFill="1" applyBorder="1" applyProtection="1"/>
    <xf numFmtId="0" fontId="3" fillId="0" borderId="20" xfId="19" applyFill="1" applyBorder="1" applyProtection="1"/>
    <xf numFmtId="0" fontId="3" fillId="0" borderId="7" xfId="19" applyFill="1" applyBorder="1" applyProtection="1"/>
    <xf numFmtId="10" fontId="3" fillId="0" borderId="7" xfId="13" applyNumberFormat="1" applyFill="1" applyBorder="1" applyProtection="1"/>
    <xf numFmtId="43" fontId="3" fillId="0" borderId="29" xfId="1" applyFill="1" applyBorder="1" applyProtection="1"/>
    <xf numFmtId="0" fontId="3" fillId="0" borderId="68" xfId="19" applyFill="1" applyBorder="1" applyProtection="1"/>
    <xf numFmtId="49" fontId="3" fillId="0" borderId="3" xfId="19" applyNumberFormat="1" applyFill="1" applyBorder="1" applyAlignment="1" applyProtection="1">
      <alignment horizontal="left"/>
    </xf>
    <xf numFmtId="0" fontId="3" fillId="2" borderId="33" xfId="19" applyFill="1" applyBorder="1" applyAlignment="1" applyProtection="1">
      <protection locked="0"/>
    </xf>
    <xf numFmtId="0" fontId="3" fillId="2" borderId="47" xfId="19" applyFill="1" applyBorder="1" applyAlignment="1" applyProtection="1">
      <protection locked="0"/>
    </xf>
    <xf numFmtId="0" fontId="3" fillId="2" borderId="17" xfId="19" applyFill="1" applyBorder="1" applyProtection="1">
      <protection locked="0"/>
    </xf>
    <xf numFmtId="43" fontId="3" fillId="2" borderId="17" xfId="1" applyFont="1" applyFill="1" applyBorder="1" applyProtection="1">
      <protection locked="0"/>
    </xf>
    <xf numFmtId="49" fontId="3" fillId="2" borderId="18" xfId="19" applyNumberFormat="1" applyFill="1" applyBorder="1" applyAlignment="1" applyProtection="1">
      <alignment horizontal="left"/>
      <protection locked="0"/>
    </xf>
    <xf numFmtId="49" fontId="3" fillId="2" borderId="3" xfId="19" applyNumberFormat="1" applyFont="1" applyFill="1" applyBorder="1" applyAlignment="1" applyProtection="1">
      <alignment horizontal="left"/>
      <protection locked="0"/>
    </xf>
    <xf numFmtId="0" fontId="3" fillId="2" borderId="3" xfId="19" applyFont="1" applyFill="1" applyBorder="1" applyProtection="1">
      <protection locked="0"/>
    </xf>
    <xf numFmtId="49" fontId="3" fillId="2" borderId="3" xfId="19" quotePrefix="1" applyNumberFormat="1" applyFont="1" applyFill="1" applyBorder="1" applyAlignment="1" applyProtection="1">
      <alignment horizontal="left"/>
      <protection locked="0"/>
    </xf>
    <xf numFmtId="49" fontId="3" fillId="2" borderId="3" xfId="19" applyNumberFormat="1" applyFill="1" applyBorder="1" applyAlignment="1" applyProtection="1">
      <alignment horizontal="left"/>
      <protection locked="0"/>
    </xf>
    <xf numFmtId="0" fontId="3" fillId="2" borderId="20" xfId="19" applyFill="1" applyBorder="1" applyAlignment="1" applyProtection="1">
      <alignment horizontal="right"/>
      <protection locked="0"/>
    </xf>
    <xf numFmtId="14" fontId="3" fillId="0" borderId="18" xfId="19" quotePrefix="1" applyNumberFormat="1" applyFill="1" applyBorder="1"/>
    <xf numFmtId="0" fontId="3" fillId="0" borderId="0" xfId="0" applyFont="1" applyAlignment="1">
      <alignment horizontal="center"/>
    </xf>
    <xf numFmtId="0" fontId="59" fillId="0" borderId="0" xfId="0" applyFont="1"/>
    <xf numFmtId="0" fontId="60" fillId="0" borderId="0" xfId="0" applyFont="1"/>
    <xf numFmtId="0" fontId="3" fillId="2" borderId="26" xfId="0" applyFont="1" applyFill="1" applyBorder="1" applyAlignment="1" applyProtection="1">
      <alignment horizontal="center"/>
      <protection locked="0"/>
    </xf>
    <xf numFmtId="43" fontId="60" fillId="0" borderId="0" xfId="0" applyNumberFormat="1" applyFont="1"/>
    <xf numFmtId="0" fontId="3" fillId="2" borderId="19" xfId="0" applyFont="1" applyFill="1" applyBorder="1" applyProtection="1">
      <protection locked="0"/>
    </xf>
    <xf numFmtId="43" fontId="60" fillId="0" borderId="0" xfId="0" applyNumberFormat="1" applyFont="1" applyFill="1"/>
    <xf numFmtId="43" fontId="56" fillId="0" borderId="0" xfId="0" applyNumberFormat="1" applyFont="1"/>
    <xf numFmtId="0" fontId="3" fillId="2" borderId="3" xfId="0" applyFont="1" applyFill="1" applyBorder="1" applyAlignment="1" applyProtection="1">
      <alignment horizontal="center"/>
      <protection locked="0"/>
    </xf>
    <xf numFmtId="43" fontId="13" fillId="3" borderId="3" xfId="1" applyFont="1" applyFill="1" applyBorder="1" applyProtection="1">
      <protection locked="0"/>
    </xf>
    <xf numFmtId="43" fontId="13" fillId="2" borderId="3" xfId="1" applyFont="1" applyFill="1" applyBorder="1"/>
    <xf numFmtId="43" fontId="0" fillId="3" borderId="19" xfId="1" applyFont="1" applyFill="1" applyBorder="1"/>
    <xf numFmtId="43" fontId="0" fillId="3" borderId="20" xfId="1" applyFont="1" applyFill="1" applyBorder="1"/>
    <xf numFmtId="43" fontId="13" fillId="3" borderId="7" xfId="1" applyFont="1" applyFill="1" applyBorder="1" applyProtection="1">
      <protection locked="0"/>
    </xf>
    <xf numFmtId="0" fontId="0" fillId="0" borderId="7" xfId="0" applyFill="1" applyBorder="1"/>
    <xf numFmtId="0" fontId="0" fillId="0" borderId="27" xfId="0" applyFill="1" applyBorder="1"/>
    <xf numFmtId="0" fontId="0" fillId="3" borderId="3" xfId="0" applyFill="1" applyBorder="1"/>
    <xf numFmtId="0" fontId="0" fillId="0" borderId="4" xfId="0" applyBorder="1" applyAlignment="1">
      <alignment horizontal="center" vertical="center"/>
    </xf>
    <xf numFmtId="43" fontId="13" fillId="2" borderId="10" xfId="1" applyFont="1" applyFill="1" applyBorder="1" applyProtection="1">
      <protection locked="0"/>
    </xf>
    <xf numFmtId="43" fontId="13" fillId="2" borderId="15" xfId="1" applyFont="1" applyFill="1" applyBorder="1" applyProtection="1">
      <protection locked="0"/>
    </xf>
    <xf numFmtId="43" fontId="15" fillId="0" borderId="28" xfId="1" applyFont="1" applyBorder="1" applyAlignment="1">
      <alignment horizontal="center"/>
    </xf>
    <xf numFmtId="43" fontId="13" fillId="2" borderId="64" xfId="1" applyFont="1" applyFill="1" applyBorder="1" applyProtection="1">
      <protection locked="0"/>
    </xf>
    <xf numFmtId="43" fontId="13" fillId="3" borderId="7" xfId="1" applyFont="1" applyFill="1" applyBorder="1"/>
    <xf numFmtId="10" fontId="60" fillId="0" borderId="0" xfId="13" applyNumberFormat="1" applyFont="1"/>
    <xf numFmtId="0" fontId="3" fillId="3" borderId="3" xfId="0" applyFont="1" applyFill="1" applyBorder="1"/>
    <xf numFmtId="0" fontId="0" fillId="0" borderId="0" xfId="0" applyAlignment="1">
      <alignment horizontal="center"/>
    </xf>
    <xf numFmtId="0" fontId="0" fillId="0" borderId="1" xfId="0" applyBorder="1" applyAlignment="1">
      <alignment horizontal="center" vertical="center"/>
    </xf>
    <xf numFmtId="0" fontId="22" fillId="0" borderId="0" xfId="0" applyFont="1" applyAlignment="1">
      <alignment horizontal="center"/>
    </xf>
    <xf numFmtId="0" fontId="4" fillId="0" borderId="0" xfId="0" applyFont="1" applyBorder="1" applyAlignment="1">
      <alignment horizontal="center"/>
    </xf>
    <xf numFmtId="0" fontId="0" fillId="0" borderId="21" xfId="0" applyBorder="1" applyAlignment="1">
      <alignment horizontal="center" vertical="center"/>
    </xf>
    <xf numFmtId="43" fontId="61" fillId="0" borderId="0" xfId="1" applyFont="1"/>
    <xf numFmtId="0" fontId="61" fillId="0" borderId="0" xfId="19" applyFont="1" applyFill="1"/>
    <xf numFmtId="0" fontId="3" fillId="3" borderId="0" xfId="19" applyFill="1"/>
    <xf numFmtId="0" fontId="61" fillId="0" borderId="0" xfId="0" applyFont="1"/>
    <xf numFmtId="43" fontId="61" fillId="0" borderId="0" xfId="0" applyNumberFormat="1" applyFont="1"/>
    <xf numFmtId="0" fontId="0" fillId="0" borderId="64" xfId="0" applyFill="1" applyBorder="1"/>
    <xf numFmtId="0" fontId="0" fillId="0" borderId="64" xfId="0" applyBorder="1"/>
    <xf numFmtId="0" fontId="0" fillId="3" borderId="3" xfId="0" applyFill="1" applyBorder="1" applyProtection="1">
      <protection locked="0"/>
    </xf>
    <xf numFmtId="10" fontId="61" fillId="0" borderId="0" xfId="13" applyNumberFormat="1" applyFont="1"/>
    <xf numFmtId="43" fontId="13" fillId="0" borderId="94" xfId="1" applyFont="1" applyFill="1" applyBorder="1"/>
    <xf numFmtId="0" fontId="6" fillId="0" borderId="0" xfId="0" applyFont="1" applyAlignment="1">
      <alignment horizontal="center"/>
    </xf>
    <xf numFmtId="0" fontId="16" fillId="0" borderId="0" xfId="0" applyFont="1" applyBorder="1" applyAlignment="1">
      <alignment horizontal="center"/>
    </xf>
    <xf numFmtId="0" fontId="0" fillId="0" borderId="1" xfId="0" applyBorder="1" applyAlignment="1">
      <alignment horizontal="center" vertical="center"/>
    </xf>
    <xf numFmtId="0" fontId="23" fillId="0" borderId="0" xfId="0" applyFont="1" applyAlignment="1">
      <alignment horizontal="center" vertical="center" textRotation="180" wrapText="1"/>
    </xf>
    <xf numFmtId="0" fontId="0" fillId="0" borderId="15" xfId="0" applyBorder="1" applyAlignment="1">
      <alignment horizontal="center"/>
    </xf>
    <xf numFmtId="0" fontId="16" fillId="0" borderId="0" xfId="0" applyFont="1" applyAlignment="1">
      <alignment horizontal="center"/>
    </xf>
    <xf numFmtId="0" fontId="62" fillId="0" borderId="0" xfId="0" applyFont="1"/>
    <xf numFmtId="43" fontId="0" fillId="2" borderId="81" xfId="1" applyFont="1" applyFill="1" applyBorder="1" applyProtection="1">
      <protection locked="0"/>
    </xf>
    <xf numFmtId="0" fontId="0" fillId="0" borderId="6" xfId="0" applyBorder="1" applyAlignment="1">
      <alignment horizontal="center" vertical="center"/>
    </xf>
    <xf numFmtId="0" fontId="0" fillId="2" borderId="3" xfId="0" applyFill="1" applyBorder="1" applyAlignment="1" applyProtection="1">
      <alignment horizontal="left" vertical="center"/>
      <protection locked="0"/>
    </xf>
    <xf numFmtId="0" fontId="0" fillId="2" borderId="20" xfId="0" applyFill="1" applyBorder="1" applyAlignment="1" applyProtection="1">
      <alignment horizontal="left" vertical="center"/>
      <protection locked="0"/>
    </xf>
    <xf numFmtId="0" fontId="3" fillId="2" borderId="3" xfId="0" applyFont="1" applyFill="1" applyBorder="1" applyAlignment="1" applyProtection="1">
      <protection locked="0"/>
    </xf>
    <xf numFmtId="0" fontId="0" fillId="2" borderId="3" xfId="0" applyFill="1" applyBorder="1" applyAlignment="1" applyProtection="1">
      <protection locked="0"/>
    </xf>
    <xf numFmtId="43" fontId="3" fillId="2" borderId="3" xfId="1" applyFont="1" applyFill="1" applyBorder="1" applyProtection="1">
      <protection locked="0"/>
    </xf>
    <xf numFmtId="10" fontId="24" fillId="0" borderId="26" xfId="13" applyNumberFormat="1" applyFont="1" applyBorder="1"/>
    <xf numFmtId="10" fontId="0" fillId="0" borderId="26" xfId="13" applyNumberFormat="1" applyFont="1" applyBorder="1"/>
    <xf numFmtId="43" fontId="0" fillId="0" borderId="26" xfId="1" applyFont="1" applyFill="1" applyBorder="1" applyProtection="1">
      <protection locked="0"/>
    </xf>
    <xf numFmtId="0" fontId="3" fillId="0" borderId="26" xfId="0" applyFont="1" applyBorder="1"/>
    <xf numFmtId="43" fontId="0" fillId="0" borderId="33" xfId="1" applyFont="1" applyFill="1" applyBorder="1" applyProtection="1">
      <protection locked="0"/>
    </xf>
    <xf numFmtId="0" fontId="3" fillId="0" borderId="96" xfId="19" applyBorder="1"/>
    <xf numFmtId="0" fontId="3" fillId="0" borderId="0" xfId="19" applyFill="1" applyProtection="1">
      <protection locked="0"/>
    </xf>
    <xf numFmtId="0" fontId="62" fillId="0" borderId="0" xfId="19" applyFont="1" applyFill="1"/>
    <xf numFmtId="0" fontId="0" fillId="0" borderId="0" xfId="0" applyBorder="1" applyAlignment="1">
      <alignment horizontal="center" vertical="center"/>
    </xf>
    <xf numFmtId="43" fontId="13" fillId="0" borderId="10" xfId="0" applyNumberFormat="1" applyFont="1" applyFill="1" applyBorder="1" applyAlignment="1">
      <alignment horizontal="center"/>
    </xf>
    <xf numFmtId="0" fontId="3" fillId="0" borderId="23" xfId="0" applyFont="1" applyFill="1" applyBorder="1"/>
    <xf numFmtId="43" fontId="3" fillId="2" borderId="7" xfId="1" applyFont="1" applyFill="1" applyBorder="1" applyAlignment="1" applyProtection="1">
      <alignment horizontal="right"/>
      <protection locked="0"/>
    </xf>
    <xf numFmtId="0" fontId="3" fillId="0" borderId="0" xfId="19" applyFill="1" applyAlignment="1">
      <alignment horizontal="center"/>
    </xf>
    <xf numFmtId="0" fontId="16" fillId="0" borderId="0" xfId="19" applyFont="1" applyFill="1" applyAlignment="1">
      <alignment horizontal="center"/>
    </xf>
    <xf numFmtId="0" fontId="3" fillId="0" borderId="0" xfId="19" applyFill="1" applyBorder="1" applyAlignment="1">
      <alignment horizontal="center"/>
    </xf>
    <xf numFmtId="0" fontId="3" fillId="0" borderId="0" xfId="19" applyAlignment="1">
      <alignment horizontal="center"/>
    </xf>
    <xf numFmtId="43" fontId="3" fillId="0" borderId="29" xfId="1" applyFill="1" applyBorder="1" applyAlignment="1">
      <alignment horizontal="right"/>
    </xf>
    <xf numFmtId="0" fontId="3" fillId="0" borderId="37" xfId="19" applyFill="1" applyBorder="1" applyAlignment="1">
      <alignment horizontal="center" vertical="center" wrapText="1"/>
    </xf>
    <xf numFmtId="0" fontId="3" fillId="0" borderId="0" xfId="19" applyBorder="1" applyAlignment="1">
      <alignment horizontal="center"/>
    </xf>
    <xf numFmtId="0" fontId="3" fillId="0" borderId="10" xfId="0" applyFont="1" applyBorder="1" applyAlignment="1">
      <alignment horizontal="center"/>
    </xf>
    <xf numFmtId="43" fontId="0" fillId="0" borderId="13" xfId="1" applyFont="1" applyFill="1" applyBorder="1" applyProtection="1">
      <protection locked="0"/>
    </xf>
    <xf numFmtId="0" fontId="0" fillId="0" borderId="18" xfId="0" applyFill="1" applyBorder="1" applyProtection="1">
      <protection locked="0"/>
    </xf>
    <xf numFmtId="0" fontId="0" fillId="0" borderId="19" xfId="0" applyFill="1" applyBorder="1" applyProtection="1">
      <protection locked="0"/>
    </xf>
    <xf numFmtId="0" fontId="64" fillId="0" borderId="0" xfId="0" applyFont="1"/>
    <xf numFmtId="0" fontId="3" fillId="2" borderId="41" xfId="0" applyFont="1" applyFill="1" applyBorder="1" applyProtection="1">
      <protection locked="0"/>
    </xf>
    <xf numFmtId="0" fontId="3" fillId="0" borderId="18" xfId="0" applyFont="1" applyBorder="1"/>
    <xf numFmtId="0" fontId="3" fillId="0" borderId="31" xfId="0" applyFont="1" applyBorder="1" applyAlignment="1">
      <alignment horizontal="right"/>
    </xf>
    <xf numFmtId="14" fontId="3" fillId="0" borderId="11" xfId="19" applyNumberFormat="1" applyBorder="1" applyAlignment="1">
      <alignment horizontal="center"/>
    </xf>
    <xf numFmtId="0" fontId="3" fillId="2" borderId="33" xfId="19" applyFill="1" applyBorder="1" applyProtection="1">
      <protection locked="0"/>
    </xf>
    <xf numFmtId="10" fontId="3" fillId="2" borderId="33" xfId="13" applyNumberFormat="1" applyFill="1" applyBorder="1" applyProtection="1">
      <protection locked="0"/>
    </xf>
    <xf numFmtId="0" fontId="3" fillId="2" borderId="47" xfId="19" applyFill="1" applyBorder="1" applyProtection="1">
      <protection locked="0"/>
    </xf>
    <xf numFmtId="0" fontId="17" fillId="0" borderId="0" xfId="19" applyFont="1"/>
    <xf numFmtId="43" fontId="3" fillId="2" borderId="28" xfId="1" applyFill="1" applyBorder="1" applyProtection="1">
      <protection locked="0"/>
    </xf>
    <xf numFmtId="43" fontId="3" fillId="2" borderId="47" xfId="1" applyFill="1" applyBorder="1" applyProtection="1">
      <protection locked="0"/>
    </xf>
    <xf numFmtId="49" fontId="10" fillId="0" borderId="0" xfId="19" applyNumberFormat="1" applyFont="1" applyAlignment="1">
      <alignment horizontal="left"/>
    </xf>
    <xf numFmtId="0" fontId="10" fillId="0" borderId="0" xfId="19" applyFont="1" applyAlignment="1">
      <alignment horizontal="right"/>
    </xf>
    <xf numFmtId="49" fontId="3" fillId="2" borderId="3" xfId="19" quotePrefix="1" applyNumberFormat="1" applyFill="1" applyBorder="1" applyAlignment="1" applyProtection="1">
      <alignment horizontal="left"/>
      <protection locked="0"/>
    </xf>
    <xf numFmtId="43" fontId="3" fillId="0" borderId="29" xfId="1" applyBorder="1" applyAlignment="1">
      <alignment horizontal="right"/>
    </xf>
    <xf numFmtId="0" fontId="6" fillId="0" borderId="0" xfId="19" applyFont="1" applyAlignment="1">
      <alignment horizontal="center"/>
    </xf>
    <xf numFmtId="0" fontId="3" fillId="0" borderId="37" xfId="19" applyBorder="1" applyAlignment="1">
      <alignment horizontal="center" vertical="center" wrapText="1"/>
    </xf>
    <xf numFmtId="0" fontId="3" fillId="0" borderId="0" xfId="19" applyBorder="1" applyAlignment="1">
      <alignment horizontal="center"/>
    </xf>
    <xf numFmtId="0" fontId="0" fillId="0" borderId="66" xfId="0" applyBorder="1"/>
    <xf numFmtId="0" fontId="0" fillId="0" borderId="99" xfId="0" applyBorder="1" applyAlignment="1">
      <alignment horizontal="center" vertical="center" wrapText="1"/>
    </xf>
    <xf numFmtId="0" fontId="0" fillId="2" borderId="47"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0" borderId="0" xfId="0" applyAlignment="1">
      <alignment horizontal="center"/>
    </xf>
    <xf numFmtId="0" fontId="0" fillId="2" borderId="3" xfId="0" applyFill="1" applyBorder="1" applyAlignment="1" applyProtection="1">
      <alignment horizontal="left"/>
      <protection locked="0"/>
    </xf>
    <xf numFmtId="0" fontId="0" fillId="0" borderId="1" xfId="0" applyBorder="1" applyAlignment="1">
      <alignment horizontal="center" vertical="center"/>
    </xf>
    <xf numFmtId="0" fontId="0" fillId="0" borderId="0" xfId="0" applyFill="1" applyAlignment="1">
      <alignment horizontal="center"/>
    </xf>
    <xf numFmtId="0" fontId="0" fillId="0" borderId="46" xfId="0" applyBorder="1" applyAlignment="1">
      <alignment horizontal="center"/>
    </xf>
    <xf numFmtId="0" fontId="0" fillId="0" borderId="15" xfId="0" applyBorder="1" applyAlignment="1">
      <alignment horizontal="center"/>
    </xf>
    <xf numFmtId="0" fontId="0" fillId="2" borderId="20" xfId="0" applyFill="1" applyBorder="1" applyAlignment="1" applyProtection="1">
      <alignment horizontal="center"/>
      <protection locked="0"/>
    </xf>
    <xf numFmtId="0" fontId="0" fillId="2" borderId="3" xfId="0" applyFill="1" applyBorder="1" applyAlignment="1" applyProtection="1">
      <alignment horizontal="right"/>
      <protection locked="0"/>
    </xf>
    <xf numFmtId="43" fontId="3" fillId="0" borderId="0" xfId="19" applyNumberFormat="1" applyFont="1" applyFill="1" applyBorder="1" applyAlignment="1"/>
    <xf numFmtId="43" fontId="3" fillId="0" borderId="0" xfId="19" applyNumberFormat="1" applyFont="1" applyFill="1" applyBorder="1" applyAlignment="1">
      <alignment horizontal="center"/>
    </xf>
    <xf numFmtId="0" fontId="3" fillId="3" borderId="4" xfId="19" applyFill="1" applyBorder="1" applyAlignment="1" applyProtection="1">
      <alignment horizontal="center"/>
      <protection locked="0"/>
    </xf>
    <xf numFmtId="0" fontId="0" fillId="2" borderId="3" xfId="0" applyFill="1" applyBorder="1" applyAlignment="1" applyProtection="1">
      <alignment horizontal="center"/>
      <protection locked="0"/>
    </xf>
    <xf numFmtId="0" fontId="3" fillId="2" borderId="62" xfId="0" applyFont="1" applyFill="1" applyBorder="1" applyAlignment="1" applyProtection="1">
      <alignment vertical="center"/>
      <protection locked="0"/>
    </xf>
    <xf numFmtId="0" fontId="17" fillId="2" borderId="62" xfId="0" applyFont="1" applyFill="1" applyBorder="1" applyProtection="1">
      <protection locked="0"/>
    </xf>
    <xf numFmtId="0" fontId="3" fillId="2" borderId="0" xfId="0" applyFont="1" applyFill="1" applyProtection="1">
      <protection locked="0"/>
    </xf>
    <xf numFmtId="43" fontId="13" fillId="0" borderId="0" xfId="0" applyNumberFormat="1" applyFont="1" applyFill="1" applyBorder="1" applyAlignment="1" applyProtection="1">
      <alignment horizontal="center"/>
    </xf>
    <xf numFmtId="43" fontId="13" fillId="3" borderId="3" xfId="1" applyFont="1" applyFill="1" applyBorder="1" applyProtection="1"/>
    <xf numFmtId="0" fontId="3" fillId="3" borderId="3" xfId="0" applyFont="1" applyFill="1" applyBorder="1" applyProtection="1"/>
    <xf numFmtId="0" fontId="3" fillId="3" borderId="3" xfId="0" applyFont="1" applyFill="1" applyBorder="1" applyAlignment="1" applyProtection="1">
      <alignment horizontal="center"/>
    </xf>
    <xf numFmtId="0" fontId="0" fillId="3" borderId="3" xfId="0" applyFill="1" applyBorder="1" applyAlignment="1" applyProtection="1">
      <alignment horizontal="center"/>
    </xf>
    <xf numFmtId="0" fontId="0" fillId="3" borderId="20" xfId="0" applyFill="1" applyBorder="1" applyAlignment="1" applyProtection="1">
      <alignment horizontal="center"/>
    </xf>
    <xf numFmtId="0" fontId="0" fillId="0" borderId="0" xfId="0" applyFill="1" applyProtection="1"/>
    <xf numFmtId="43" fontId="0" fillId="0" borderId="4" xfId="1" applyFont="1" applyFill="1" applyBorder="1" applyProtection="1"/>
    <xf numFmtId="43" fontId="0" fillId="0" borderId="0" xfId="1" applyFont="1" applyFill="1" applyProtection="1"/>
    <xf numFmtId="43" fontId="0" fillId="0" borderId="7" xfId="1" applyFont="1" applyFill="1" applyBorder="1" applyProtection="1"/>
    <xf numFmtId="0" fontId="3" fillId="0" borderId="3" xfId="0" applyFont="1" applyFill="1" applyBorder="1" applyProtection="1"/>
    <xf numFmtId="43" fontId="0" fillId="0" borderId="17" xfId="1" applyFont="1" applyFill="1" applyBorder="1" applyProtection="1"/>
    <xf numFmtId="0" fontId="0" fillId="3" borderId="3" xfId="0" applyFill="1" applyBorder="1" applyProtection="1"/>
    <xf numFmtId="43" fontId="0" fillId="3" borderId="34" xfId="1" applyFont="1" applyFill="1" applyBorder="1" applyProtection="1"/>
    <xf numFmtId="43" fontId="0" fillId="3" borderId="35" xfId="1" applyFont="1" applyFill="1" applyBorder="1" applyProtection="1"/>
    <xf numFmtId="43" fontId="0" fillId="0" borderId="27" xfId="1" applyFont="1" applyFill="1" applyBorder="1" applyProtection="1"/>
    <xf numFmtId="43" fontId="0" fillId="0" borderId="26" xfId="1" applyFont="1" applyFill="1" applyBorder="1" applyProtection="1"/>
    <xf numFmtId="43" fontId="0" fillId="3" borderId="80" xfId="1" applyFont="1" applyFill="1" applyBorder="1" applyProtection="1"/>
    <xf numFmtId="43" fontId="0" fillId="0" borderId="29" xfId="1" applyFont="1" applyFill="1" applyBorder="1" applyProtection="1"/>
    <xf numFmtId="0" fontId="0" fillId="0" borderId="0" xfId="0" applyAlignment="1" applyProtection="1">
      <alignment horizontal="center"/>
    </xf>
    <xf numFmtId="0" fontId="0" fillId="0" borderId="0" xfId="0" applyProtection="1"/>
    <xf numFmtId="0" fontId="3" fillId="0" borderId="0" xfId="0" applyFont="1" applyFill="1" applyProtection="1"/>
    <xf numFmtId="43" fontId="3" fillId="0" borderId="26" xfId="1" applyBorder="1" applyProtection="1"/>
    <xf numFmtId="0" fontId="3" fillId="0" borderId="26" xfId="0" applyFont="1" applyFill="1" applyBorder="1" applyProtection="1"/>
    <xf numFmtId="0" fontId="0" fillId="0" borderId="26" xfId="0" applyFill="1" applyBorder="1" applyProtection="1"/>
    <xf numFmtId="43" fontId="3" fillId="0" borderId="26" xfId="1" applyFill="1" applyBorder="1" applyProtection="1"/>
    <xf numFmtId="0" fontId="0" fillId="0" borderId="23" xfId="0" applyBorder="1" applyProtection="1"/>
    <xf numFmtId="0" fontId="0" fillId="0" borderId="31" xfId="0" applyBorder="1" applyProtection="1"/>
    <xf numFmtId="43" fontId="0" fillId="0" borderId="22" xfId="1" applyFont="1" applyBorder="1" applyProtection="1"/>
    <xf numFmtId="43" fontId="0" fillId="0" borderId="48" xfId="1" applyFont="1" applyBorder="1" applyProtection="1"/>
    <xf numFmtId="0" fontId="0" fillId="0" borderId="13" xfId="0" applyBorder="1" applyProtection="1"/>
    <xf numFmtId="0" fontId="0" fillId="0" borderId="16" xfId="0" applyBorder="1" applyAlignment="1" applyProtection="1">
      <alignment horizontal="center"/>
    </xf>
    <xf numFmtId="14" fontId="0" fillId="0" borderId="16" xfId="0" applyNumberFormat="1" applyBorder="1" applyAlignment="1" applyProtection="1">
      <alignment horizontal="center"/>
    </xf>
    <xf numFmtId="0" fontId="0" fillId="0" borderId="14" xfId="0" applyBorder="1" applyProtection="1"/>
    <xf numFmtId="43" fontId="17" fillId="0" borderId="47" xfId="1" applyFont="1" applyBorder="1" applyAlignment="1" applyProtection="1">
      <alignment horizontal="center"/>
    </xf>
    <xf numFmtId="43" fontId="17" fillId="0" borderId="17" xfId="1" applyFont="1" applyFill="1" applyBorder="1" applyAlignment="1" applyProtection="1">
      <alignment horizontal="center"/>
    </xf>
    <xf numFmtId="43" fontId="17" fillId="0" borderId="17" xfId="1" applyFont="1" applyBorder="1" applyAlignment="1" applyProtection="1">
      <alignment horizontal="center"/>
    </xf>
    <xf numFmtId="43" fontId="13" fillId="0" borderId="6" xfId="1" applyFont="1" applyFill="1" applyBorder="1" applyProtection="1"/>
    <xf numFmtId="43" fontId="15" fillId="0" borderId="7" xfId="1" applyFont="1" applyBorder="1" applyAlignment="1" applyProtection="1">
      <alignment horizontal="center"/>
    </xf>
    <xf numFmtId="43" fontId="13" fillId="0" borderId="7" xfId="1" applyFont="1" applyBorder="1" applyProtection="1"/>
    <xf numFmtId="43" fontId="13" fillId="3" borderId="7" xfId="1" applyFont="1" applyFill="1" applyBorder="1" applyProtection="1"/>
    <xf numFmtId="43" fontId="13" fillId="0" borderId="29" xfId="1" applyFont="1" applyBorder="1" applyProtection="1"/>
    <xf numFmtId="0" fontId="3" fillId="0" borderId="3" xfId="0" applyFont="1" applyBorder="1" applyProtection="1"/>
    <xf numFmtId="43" fontId="13" fillId="3" borderId="10" xfId="1" applyFont="1" applyFill="1" applyBorder="1" applyProtection="1"/>
    <xf numFmtId="43" fontId="13" fillId="3" borderId="15" xfId="1" applyFont="1" applyFill="1" applyBorder="1" applyProtection="1"/>
    <xf numFmtId="0" fontId="3" fillId="3" borderId="0" xfId="0" applyFont="1" applyFill="1" applyProtection="1"/>
    <xf numFmtId="43" fontId="13" fillId="3" borderId="29" xfId="1" applyFont="1" applyFill="1" applyBorder="1" applyProtection="1"/>
    <xf numFmtId="43" fontId="15" fillId="2" borderId="64" xfId="1" applyFont="1" applyFill="1" applyBorder="1" applyAlignment="1" applyProtection="1">
      <alignment horizontal="center"/>
      <protection locked="0"/>
    </xf>
    <xf numFmtId="43" fontId="15" fillId="2" borderId="7" xfId="1" applyFont="1" applyFill="1" applyBorder="1" applyAlignment="1" applyProtection="1">
      <alignment horizontal="center"/>
      <protection locked="0"/>
    </xf>
    <xf numFmtId="0" fontId="3" fillId="0" borderId="18" xfId="0" applyFont="1" applyFill="1" applyBorder="1" applyProtection="1"/>
    <xf numFmtId="0" fontId="0" fillId="0" borderId="18" xfId="0" applyFill="1" applyBorder="1" applyProtection="1"/>
    <xf numFmtId="43" fontId="13" fillId="0" borderId="28" xfId="1" applyFont="1" applyFill="1" applyBorder="1" applyProtection="1"/>
    <xf numFmtId="43" fontId="0" fillId="0" borderId="47" xfId="1" applyFont="1" applyFill="1" applyBorder="1" applyProtection="1"/>
    <xf numFmtId="0" fontId="0" fillId="0" borderId="9" xfId="0" applyBorder="1" applyProtection="1"/>
    <xf numFmtId="0" fontId="0" fillId="0" borderId="4" xfId="0" applyBorder="1" applyAlignment="1" applyProtection="1">
      <alignment horizontal="center"/>
    </xf>
    <xf numFmtId="0" fontId="0" fillId="0" borderId="4" xfId="0" applyBorder="1" applyProtection="1"/>
    <xf numFmtId="0" fontId="0" fillId="0" borderId="10" xfId="0" applyBorder="1" applyAlignment="1" applyProtection="1">
      <alignment horizontal="center"/>
    </xf>
    <xf numFmtId="0" fontId="3" fillId="0" borderId="10" xfId="0" applyFont="1" applyBorder="1" applyAlignment="1" applyProtection="1">
      <alignment horizontal="center"/>
    </xf>
    <xf numFmtId="0" fontId="0" fillId="0" borderId="10" xfId="0" applyFill="1" applyBorder="1" applyAlignment="1" applyProtection="1">
      <alignment horizontal="center"/>
    </xf>
    <xf numFmtId="14" fontId="0" fillId="0" borderId="10" xfId="0" applyNumberFormat="1" applyBorder="1" applyAlignment="1" applyProtection="1">
      <alignment horizontal="center"/>
    </xf>
    <xf numFmtId="0" fontId="0" fillId="0" borderId="10" xfId="0" applyBorder="1" applyProtection="1"/>
    <xf numFmtId="0" fontId="0" fillId="0" borderId="15" xfId="0" applyBorder="1" applyAlignment="1" applyProtection="1">
      <alignment horizontal="center"/>
    </xf>
    <xf numFmtId="0" fontId="0" fillId="0" borderId="8" xfId="0" applyBorder="1" applyProtection="1"/>
    <xf numFmtId="0" fontId="0" fillId="0" borderId="11" xfId="0" applyBorder="1" applyProtection="1"/>
    <xf numFmtId="0" fontId="0" fillId="0" borderId="11" xfId="0" applyBorder="1" applyAlignment="1" applyProtection="1">
      <alignment horizontal="center"/>
    </xf>
    <xf numFmtId="0" fontId="0" fillId="0" borderId="12" xfId="0" applyBorder="1" applyProtection="1"/>
    <xf numFmtId="0" fontId="0" fillId="0" borderId="19" xfId="0" applyFill="1" applyBorder="1" applyProtection="1"/>
    <xf numFmtId="43" fontId="0" fillId="0" borderId="33" xfId="1" applyFont="1" applyFill="1" applyBorder="1" applyProtection="1"/>
    <xf numFmtId="43" fontId="0" fillId="0" borderId="13" xfId="1" applyFont="1" applyFill="1" applyBorder="1" applyProtection="1"/>
    <xf numFmtId="43" fontId="0" fillId="0" borderId="97" xfId="1" applyFont="1" applyFill="1" applyBorder="1" applyProtection="1"/>
    <xf numFmtId="43" fontId="0" fillId="0" borderId="98" xfId="1" applyFont="1" applyFill="1" applyBorder="1" applyProtection="1"/>
    <xf numFmtId="43" fontId="0" fillId="0" borderId="16" xfId="1" applyFont="1" applyFill="1" applyBorder="1" applyProtection="1"/>
    <xf numFmtId="43" fontId="0" fillId="0" borderId="14" xfId="1" applyFont="1" applyBorder="1" applyProtection="1"/>
    <xf numFmtId="43" fontId="13" fillId="0" borderId="7" xfId="1" applyFont="1" applyFill="1" applyBorder="1" applyProtection="1"/>
    <xf numFmtId="43" fontId="13" fillId="0" borderId="29" xfId="1" applyFont="1" applyFill="1" applyBorder="1" applyProtection="1"/>
    <xf numFmtId="0" fontId="3" fillId="0" borderId="0" xfId="19" applyFill="1" applyAlignment="1">
      <alignment horizontal="center"/>
    </xf>
    <xf numFmtId="43" fontId="3" fillId="0" borderId="20" xfId="1" applyFill="1" applyBorder="1"/>
    <xf numFmtId="43" fontId="13" fillId="0" borderId="10" xfId="1" applyFont="1" applyFill="1" applyBorder="1" applyProtection="1"/>
    <xf numFmtId="43" fontId="13" fillId="0" borderId="15" xfId="1" applyFont="1" applyFill="1" applyBorder="1" applyProtection="1"/>
    <xf numFmtId="43" fontId="13" fillId="0" borderId="3" xfId="1" applyFont="1" applyFill="1" applyBorder="1" applyProtection="1"/>
    <xf numFmtId="0" fontId="3" fillId="0" borderId="3" xfId="19" applyFont="1" applyFill="1" applyBorder="1" applyProtection="1"/>
    <xf numFmtId="10" fontId="3" fillId="2" borderId="28" xfId="13" applyNumberFormat="1" applyFill="1" applyBorder="1" applyProtection="1">
      <protection locked="0"/>
    </xf>
    <xf numFmtId="10" fontId="3" fillId="2" borderId="29" xfId="13" applyNumberFormat="1" applyFill="1" applyBorder="1" applyProtection="1">
      <protection locked="0"/>
    </xf>
    <xf numFmtId="10" fontId="3" fillId="2" borderId="28" xfId="13" applyNumberFormat="1" applyFill="1" applyBorder="1" applyAlignment="1" applyProtection="1">
      <alignment horizontal="center"/>
      <protection locked="0"/>
    </xf>
    <xf numFmtId="0" fontId="3" fillId="0" borderId="0" xfId="19" applyFill="1" applyAlignment="1">
      <alignment horizontal="center"/>
    </xf>
    <xf numFmtId="43" fontId="3" fillId="0" borderId="19" xfId="1" applyFill="1" applyBorder="1" applyAlignment="1">
      <alignment horizontal="right"/>
    </xf>
    <xf numFmtId="43" fontId="3" fillId="0" borderId="20" xfId="1" applyFill="1" applyBorder="1" applyProtection="1">
      <protection locked="0"/>
    </xf>
    <xf numFmtId="0" fontId="3" fillId="0" borderId="15" xfId="0" applyFont="1" applyBorder="1" applyAlignment="1">
      <alignment horizontal="center"/>
    </xf>
    <xf numFmtId="43" fontId="3" fillId="2" borderId="3" xfId="1" applyNumberFormat="1" applyFill="1" applyBorder="1" applyProtection="1">
      <protection locked="0"/>
    </xf>
    <xf numFmtId="43" fontId="3" fillId="2" borderId="7" xfId="1" applyNumberFormat="1" applyFill="1" applyBorder="1" applyProtection="1">
      <protection locked="0"/>
    </xf>
    <xf numFmtId="43" fontId="3" fillId="2" borderId="18" xfId="1" applyNumberFormat="1" applyFill="1" applyBorder="1" applyProtection="1">
      <protection locked="0"/>
    </xf>
    <xf numFmtId="43" fontId="0" fillId="2" borderId="28" xfId="1" applyFont="1" applyFill="1" applyBorder="1" applyProtection="1">
      <protection locked="0"/>
    </xf>
    <xf numFmtId="0" fontId="65" fillId="0" borderId="0" xfId="85" applyFont="1" applyAlignment="1">
      <alignment horizontal="left"/>
    </xf>
    <xf numFmtId="0" fontId="66" fillId="0" borderId="0" xfId="85" quotePrefix="1" applyFont="1" applyAlignment="1">
      <alignment horizontal="left" vertical="center"/>
    </xf>
    <xf numFmtId="0" fontId="13" fillId="0" borderId="0" xfId="85" applyFont="1"/>
    <xf numFmtId="0" fontId="1" fillId="0" borderId="0" xfId="85"/>
    <xf numFmtId="165" fontId="67" fillId="0" borderId="0" xfId="86" applyNumberFormat="1" applyFont="1" applyAlignment="1">
      <alignment horizontal="right" vertical="center" wrapText="1"/>
    </xf>
    <xf numFmtId="0" fontId="67" fillId="0" borderId="0" xfId="85" applyFont="1" applyAlignment="1">
      <alignment horizontal="left" vertical="center" wrapText="1"/>
    </xf>
    <xf numFmtId="0" fontId="67" fillId="0" borderId="0" xfId="85" quotePrefix="1" applyFont="1" applyAlignment="1">
      <alignment horizontal="left" vertical="center" wrapText="1"/>
    </xf>
    <xf numFmtId="0" fontId="1" fillId="0" borderId="0" xfId="85" applyAlignment="1">
      <alignment wrapText="1"/>
    </xf>
    <xf numFmtId="0" fontId="67" fillId="0" borderId="0" xfId="85" applyFont="1" applyAlignment="1">
      <alignment vertical="center" wrapText="1"/>
    </xf>
    <xf numFmtId="0" fontId="67" fillId="0" borderId="0" xfId="85" applyFont="1" applyAlignment="1">
      <alignment horizontal="left" vertical="center"/>
    </xf>
    <xf numFmtId="0" fontId="65" fillId="0" borderId="0" xfId="85" applyFont="1" applyAlignment="1">
      <alignment horizontal="left" wrapText="1"/>
    </xf>
    <xf numFmtId="0" fontId="1" fillId="0" borderId="0" xfId="85" applyAlignment="1">
      <alignment vertical="center" wrapText="1"/>
    </xf>
    <xf numFmtId="43" fontId="0" fillId="2" borderId="64" xfId="1" applyFont="1" applyFill="1" applyBorder="1" applyAlignment="1" applyProtection="1">
      <protection locked="0"/>
    </xf>
    <xf numFmtId="43" fontId="0" fillId="0" borderId="6" xfId="1" applyFont="1" applyFill="1" applyBorder="1" applyAlignment="1"/>
    <xf numFmtId="49" fontId="57" fillId="0" borderId="0" xfId="0" applyNumberFormat="1" applyFont="1" applyAlignment="1" applyProtection="1">
      <alignment horizontal="left"/>
    </xf>
    <xf numFmtId="0" fontId="6" fillId="0" borderId="0" xfId="0" applyFont="1" applyFill="1" applyBorder="1" applyAlignment="1"/>
    <xf numFmtId="49" fontId="0" fillId="0" borderId="0" xfId="0" applyNumberFormat="1" applyFill="1" applyBorder="1" applyAlignment="1">
      <alignment horizontal="center"/>
    </xf>
    <xf numFmtId="0" fontId="0" fillId="0" borderId="0" xfId="0" applyFill="1" applyBorder="1" applyAlignment="1">
      <alignment horizontal="right"/>
    </xf>
    <xf numFmtId="43" fontId="0" fillId="0" borderId="0" xfId="1" applyFont="1" applyFill="1" applyBorder="1" applyProtection="1">
      <protection locked="0"/>
    </xf>
    <xf numFmtId="49" fontId="0" fillId="0" borderId="0" xfId="0" applyNumberFormat="1" applyFill="1" applyBorder="1" applyAlignment="1">
      <alignment horizontal="left"/>
    </xf>
    <xf numFmtId="49" fontId="16" fillId="0" borderId="0" xfId="0" applyNumberFormat="1" applyFont="1" applyFill="1" applyBorder="1" applyAlignment="1">
      <alignment horizontal="left"/>
    </xf>
    <xf numFmtId="43" fontId="13" fillId="0" borderId="81" xfId="1" applyFont="1" applyBorder="1"/>
    <xf numFmtId="43" fontId="0" fillId="0" borderId="6" xfId="1" applyFont="1" applyFill="1" applyBorder="1"/>
    <xf numFmtId="10" fontId="0" fillId="2" borderId="47" xfId="13" applyNumberFormat="1" applyFont="1" applyFill="1" applyBorder="1" applyProtection="1">
      <protection locked="0"/>
    </xf>
    <xf numFmtId="10" fontId="0" fillId="2" borderId="17" xfId="13" applyNumberFormat="1" applyFont="1" applyFill="1" applyBorder="1" applyProtection="1">
      <protection locked="0"/>
    </xf>
    <xf numFmtId="10" fontId="0" fillId="2" borderId="47" xfId="0" applyNumberFormat="1" applyFill="1" applyBorder="1" applyAlignment="1" applyProtection="1">
      <alignment horizontal="right"/>
      <protection locked="0"/>
    </xf>
    <xf numFmtId="10" fontId="0" fillId="2" borderId="17" xfId="0" applyNumberFormat="1" applyFill="1" applyBorder="1" applyAlignment="1" applyProtection="1">
      <alignment horizontal="right"/>
      <protection locked="0"/>
    </xf>
    <xf numFmtId="170" fontId="0" fillId="2" borderId="7" xfId="13" applyNumberFormat="1" applyFont="1" applyFill="1" applyBorder="1" applyProtection="1">
      <protection locked="0"/>
    </xf>
    <xf numFmtId="170" fontId="0" fillId="2" borderId="25" xfId="13" applyNumberFormat="1" applyFont="1" applyFill="1" applyBorder="1" applyProtection="1">
      <protection locked="0"/>
    </xf>
    <xf numFmtId="170" fontId="3" fillId="2" borderId="33" xfId="13" applyNumberFormat="1" applyFill="1" applyBorder="1" applyAlignment="1" applyProtection="1">
      <protection locked="0"/>
    </xf>
    <xf numFmtId="170" fontId="3" fillId="2" borderId="7" xfId="13" applyNumberFormat="1" applyFill="1" applyBorder="1" applyProtection="1">
      <protection locked="0"/>
    </xf>
    <xf numFmtId="170" fontId="3" fillId="2" borderId="6" xfId="13" applyNumberFormat="1" applyFill="1" applyBorder="1" applyProtection="1">
      <protection locked="0"/>
    </xf>
    <xf numFmtId="170" fontId="3" fillId="2" borderId="25" xfId="13" applyNumberFormat="1" applyFill="1" applyBorder="1" applyProtection="1">
      <protection locked="0"/>
    </xf>
    <xf numFmtId="0" fontId="0" fillId="0" borderId="0" xfId="0" applyAlignment="1" applyProtection="1">
      <alignment horizontal="center"/>
    </xf>
    <xf numFmtId="0" fontId="24" fillId="0" borderId="0" xfId="0" applyFont="1"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0" xfId="0" applyAlignment="1" applyProtection="1">
      <alignment horizontal="center"/>
    </xf>
    <xf numFmtId="0" fontId="0" fillId="0" borderId="2" xfId="0" applyBorder="1" applyAlignment="1" applyProtection="1">
      <alignment horizontal="center" vertical="center"/>
    </xf>
    <xf numFmtId="0" fontId="0" fillId="0" borderId="1" xfId="0" applyBorder="1" applyAlignment="1" applyProtection="1">
      <alignment horizontal="center" vertical="center"/>
    </xf>
    <xf numFmtId="43" fontId="0" fillId="0" borderId="53" xfId="1" applyFont="1" applyFill="1" applyBorder="1" applyAlignment="1" applyProtection="1"/>
    <xf numFmtId="0" fontId="3" fillId="0" borderId="26" xfId="0" applyFont="1" applyBorder="1" applyAlignment="1">
      <alignment horizontal="right"/>
    </xf>
    <xf numFmtId="43" fontId="17" fillId="2" borderId="7" xfId="1" applyFont="1" applyFill="1" applyBorder="1" applyAlignment="1" applyProtection="1">
      <alignment horizontal="center"/>
      <protection locked="0"/>
    </xf>
    <xf numFmtId="43" fontId="17" fillId="0" borderId="7" xfId="1" applyFont="1" applyBorder="1" applyAlignment="1" applyProtection="1">
      <alignment horizontal="center"/>
    </xf>
    <xf numFmtId="43" fontId="0" fillId="0" borderId="6" xfId="1" applyFont="1" applyFill="1" applyBorder="1" applyAlignment="1" applyProtection="1"/>
    <xf numFmtId="43" fontId="0" fillId="3" borderId="7" xfId="1" applyFont="1" applyFill="1" applyBorder="1" applyProtection="1"/>
    <xf numFmtId="43" fontId="0" fillId="2" borderId="27" xfId="1" applyFont="1" applyFill="1" applyBorder="1" applyAlignment="1" applyProtection="1">
      <protection locked="0"/>
    </xf>
    <xf numFmtId="43" fontId="17" fillId="0" borderId="3" xfId="1" applyFont="1" applyBorder="1" applyAlignment="1" applyProtection="1">
      <alignment horizontal="center"/>
    </xf>
    <xf numFmtId="43" fontId="17" fillId="0" borderId="32" xfId="1" applyFont="1" applyBorder="1" applyAlignment="1" applyProtection="1">
      <alignment horizontal="center"/>
    </xf>
    <xf numFmtId="43" fontId="0" fillId="0" borderId="12" xfId="1" applyFont="1" applyBorder="1" applyProtection="1"/>
    <xf numFmtId="43" fontId="0" fillId="0" borderId="26" xfId="1" applyFont="1" applyBorder="1" applyProtection="1"/>
    <xf numFmtId="49" fontId="0" fillId="0" borderId="3" xfId="0" applyNumberFormat="1" applyBorder="1" applyAlignment="1" applyProtection="1">
      <alignment horizontal="center"/>
    </xf>
    <xf numFmtId="43" fontId="17" fillId="0" borderId="29" xfId="1" applyFont="1" applyBorder="1" applyAlignment="1" applyProtection="1">
      <alignment horizontal="center"/>
    </xf>
    <xf numFmtId="43" fontId="0" fillId="0" borderId="29" xfId="1" applyFont="1" applyBorder="1" applyProtection="1"/>
    <xf numFmtId="49" fontId="0" fillId="0" borderId="0" xfId="0" applyNumberFormat="1" applyAlignment="1" applyProtection="1">
      <alignment horizontal="center"/>
    </xf>
    <xf numFmtId="43" fontId="0" fillId="0" borderId="30" xfId="1" applyFont="1" applyBorder="1" applyProtection="1"/>
    <xf numFmtId="0" fontId="17" fillId="0" borderId="0" xfId="0" applyFont="1" applyAlignment="1">
      <alignment horizontal="center"/>
    </xf>
    <xf numFmtId="0" fontId="17" fillId="0" borderId="26" xfId="0" applyFont="1" applyBorder="1" applyAlignment="1">
      <alignment horizontal="center"/>
    </xf>
    <xf numFmtId="0" fontId="16" fillId="0" borderId="0" xfId="0" applyFont="1" applyBorder="1" applyAlignment="1">
      <alignment horizontal="center"/>
    </xf>
    <xf numFmtId="0" fontId="24" fillId="0" borderId="0" xfId="0" applyFont="1" applyAlignment="1">
      <alignment horizontal="center"/>
    </xf>
    <xf numFmtId="49" fontId="0" fillId="0" borderId="0" xfId="0" applyNumberFormat="1" applyAlignment="1">
      <alignment horizont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pplyProtection="1">
      <alignment horizontal="center" vertical="center"/>
    </xf>
    <xf numFmtId="0" fontId="0" fillId="0" borderId="21" xfId="0" applyBorder="1" applyAlignment="1">
      <alignment horizontal="center"/>
    </xf>
    <xf numFmtId="0" fontId="0" fillId="0" borderId="0" xfId="0" applyAlignment="1" applyProtection="1">
      <alignment horizontal="center"/>
    </xf>
    <xf numFmtId="0" fontId="0" fillId="0" borderId="51" xfId="0" applyBorder="1" applyAlignment="1">
      <alignment horizontal="center"/>
    </xf>
    <xf numFmtId="0" fontId="0" fillId="0" borderId="15" xfId="0" applyBorder="1" applyAlignment="1">
      <alignment horizontal="center"/>
    </xf>
    <xf numFmtId="43" fontId="17" fillId="0" borderId="29" xfId="1" applyFont="1" applyBorder="1" applyAlignment="1">
      <alignment horizontal="center"/>
    </xf>
    <xf numFmtId="43" fontId="17" fillId="0" borderId="20" xfId="1" applyFont="1" applyBorder="1" applyAlignment="1">
      <alignment horizontal="center"/>
    </xf>
    <xf numFmtId="43" fontId="17" fillId="0" borderId="38" xfId="1" applyFont="1" applyBorder="1" applyAlignment="1">
      <alignment horizontal="center"/>
    </xf>
    <xf numFmtId="43" fontId="3" fillId="0" borderId="29" xfId="1" applyBorder="1" applyAlignment="1">
      <alignment horizontal="right"/>
    </xf>
    <xf numFmtId="43" fontId="3" fillId="0" borderId="20" xfId="1" applyBorder="1" applyAlignment="1">
      <alignment horizontal="right"/>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0" fontId="0" fillId="0" borderId="0" xfId="0" applyBorder="1" applyAlignment="1">
      <alignment horizontal="center"/>
    </xf>
    <xf numFmtId="43" fontId="17" fillId="0" borderId="6" xfId="1" applyFont="1" applyBorder="1" applyAlignment="1">
      <alignment horizontal="center"/>
    </xf>
    <xf numFmtId="0" fontId="3" fillId="0" borderId="1" xfId="19" applyFill="1" applyBorder="1" applyAlignment="1">
      <alignment horizontal="center" vertical="center"/>
    </xf>
    <xf numFmtId="0" fontId="3" fillId="0" borderId="0" xfId="19" applyFill="1" applyAlignment="1">
      <alignment horizontal="center"/>
    </xf>
    <xf numFmtId="0" fontId="16" fillId="0" borderId="0" xfId="19" applyFont="1" applyFill="1" applyAlignment="1">
      <alignment horizontal="center"/>
    </xf>
    <xf numFmtId="0" fontId="3" fillId="0" borderId="37" xfId="19" applyBorder="1" applyAlignment="1">
      <alignment horizontal="center" vertical="center" wrapText="1"/>
    </xf>
    <xf numFmtId="0" fontId="3" fillId="0" borderId="0" xfId="19" applyBorder="1" applyAlignment="1">
      <alignment horizontal="center"/>
    </xf>
    <xf numFmtId="43" fontId="0" fillId="0" borderId="33" xfId="1" applyFont="1" applyBorder="1" applyProtection="1"/>
    <xf numFmtId="43" fontId="0" fillId="0" borderId="7" xfId="1" applyFont="1" applyBorder="1" applyProtection="1"/>
    <xf numFmtId="43" fontId="0" fillId="0" borderId="27" xfId="1" applyFont="1" applyBorder="1" applyProtection="1"/>
    <xf numFmtId="43" fontId="0" fillId="0" borderId="11" xfId="1" applyFont="1" applyBorder="1" applyProtection="1"/>
    <xf numFmtId="43" fontId="0" fillId="2" borderId="36" xfId="1" applyFont="1" applyFill="1" applyBorder="1" applyProtection="1">
      <protection locked="0"/>
    </xf>
    <xf numFmtId="0" fontId="0" fillId="0" borderId="13" xfId="0" applyFill="1" applyBorder="1" applyProtection="1"/>
    <xf numFmtId="0" fontId="0" fillId="0" borderId="16" xfId="0" applyFill="1" applyBorder="1" applyAlignment="1" applyProtection="1">
      <alignment horizontal="center"/>
    </xf>
    <xf numFmtId="14" fontId="0" fillId="0" borderId="16" xfId="0" applyNumberFormat="1" applyFill="1" applyBorder="1" applyAlignment="1" applyProtection="1">
      <alignment horizontal="center"/>
    </xf>
    <xf numFmtId="0" fontId="0" fillId="0" borderId="14" xfId="0" applyFill="1" applyBorder="1" applyProtection="1"/>
    <xf numFmtId="0" fontId="52" fillId="0" borderId="0" xfId="0" applyFont="1" applyFill="1" applyProtection="1"/>
    <xf numFmtId="0" fontId="3" fillId="0" borderId="20" xfId="0" applyFont="1" applyFill="1" applyBorder="1" applyProtection="1"/>
    <xf numFmtId="43" fontId="3" fillId="0" borderId="7" xfId="1" applyFont="1" applyFill="1" applyBorder="1" applyProtection="1"/>
    <xf numFmtId="43" fontId="3" fillId="0" borderId="17" xfId="1" applyFont="1" applyFill="1" applyBorder="1" applyProtection="1"/>
    <xf numFmtId="0" fontId="3" fillId="0" borderId="0" xfId="0" applyFont="1" applyAlignment="1" applyProtection="1">
      <alignment horizontal="center"/>
    </xf>
    <xf numFmtId="0" fontId="3" fillId="0" borderId="19" xfId="0" applyFont="1" applyFill="1" applyBorder="1" applyProtection="1"/>
    <xf numFmtId="43" fontId="13" fillId="2" borderId="33" xfId="1" applyFont="1" applyFill="1" applyBorder="1" applyProtection="1">
      <protection locked="0"/>
    </xf>
    <xf numFmtId="43" fontId="13" fillId="2" borderId="81" xfId="1" applyFont="1" applyFill="1" applyBorder="1" applyProtection="1">
      <protection locked="0"/>
    </xf>
    <xf numFmtId="0" fontId="17" fillId="0" borderId="37" xfId="0" applyFont="1" applyBorder="1" applyAlignment="1" applyProtection="1">
      <alignment horizontal="center" vertical="center"/>
    </xf>
    <xf numFmtId="0" fontId="24" fillId="0" borderId="0" xfId="0" applyFont="1" applyAlignment="1" applyProtection="1">
      <alignment horizontal="center"/>
    </xf>
    <xf numFmtId="0" fontId="17" fillId="0" borderId="29" xfId="0" applyFont="1" applyBorder="1" applyAlignment="1" applyProtection="1">
      <alignment horizontal="center"/>
    </xf>
    <xf numFmtId="0" fontId="17" fillId="0" borderId="7" xfId="0" applyFont="1" applyBorder="1" applyAlignment="1" applyProtection="1">
      <alignment horizontal="center"/>
    </xf>
    <xf numFmtId="0" fontId="17" fillId="0" borderId="53" xfId="0" applyFont="1" applyBorder="1" applyAlignment="1" applyProtection="1">
      <alignment horizontal="center"/>
    </xf>
    <xf numFmtId="0" fontId="17" fillId="0" borderId="64" xfId="0" applyFont="1" applyBorder="1" applyAlignment="1" applyProtection="1">
      <alignment horizontal="center"/>
    </xf>
    <xf numFmtId="43" fontId="0" fillId="0" borderId="6" xfId="1" applyFont="1" applyBorder="1" applyProtection="1"/>
    <xf numFmtId="0" fontId="0" fillId="0" borderId="37" xfId="0" applyBorder="1" applyAlignment="1" applyProtection="1">
      <alignment horizontal="center" vertical="center"/>
    </xf>
    <xf numFmtId="0" fontId="17" fillId="0" borderId="33" xfId="0" applyFont="1" applyBorder="1" applyAlignment="1" applyProtection="1">
      <alignment horizontal="center"/>
    </xf>
    <xf numFmtId="0" fontId="0" fillId="0" borderId="1" xfId="0" applyBorder="1" applyProtection="1"/>
    <xf numFmtId="43" fontId="0" fillId="3" borderId="28" xfId="1" applyFont="1" applyFill="1" applyBorder="1" applyProtection="1"/>
    <xf numFmtId="43" fontId="17" fillId="0" borderId="18" xfId="1" applyFont="1" applyBorder="1" applyAlignment="1" applyProtection="1">
      <alignment horizontal="center"/>
    </xf>
    <xf numFmtId="43" fontId="17" fillId="0" borderId="20" xfId="1" applyFont="1" applyBorder="1" applyAlignment="1" applyProtection="1">
      <alignment horizontal="center"/>
    </xf>
    <xf numFmtId="49" fontId="0" fillId="0" borderId="18" xfId="0" applyNumberFormat="1" applyBorder="1" applyAlignment="1" applyProtection="1">
      <alignment horizontal="center"/>
    </xf>
    <xf numFmtId="0" fontId="0" fillId="0" borderId="19" xfId="0" applyBorder="1" applyAlignment="1" applyProtection="1">
      <alignment horizontal="right"/>
    </xf>
    <xf numFmtId="0" fontId="0" fillId="0" borderId="20" xfId="0" applyBorder="1" applyAlignment="1" applyProtection="1">
      <alignment horizontal="right"/>
    </xf>
    <xf numFmtId="0" fontId="0" fillId="0" borderId="5" xfId="0" applyBorder="1" applyProtection="1"/>
    <xf numFmtId="0" fontId="0" fillId="0" borderId="38" xfId="0" applyBorder="1" applyAlignment="1" applyProtection="1">
      <alignment horizontal="right"/>
    </xf>
    <xf numFmtId="0" fontId="16" fillId="0" borderId="3" xfId="0" applyFont="1" applyBorder="1" applyAlignment="1" applyProtection="1"/>
    <xf numFmtId="0" fontId="20" fillId="0" borderId="3" xfId="0" applyFont="1" applyBorder="1" applyAlignment="1" applyProtection="1"/>
    <xf numFmtId="0" fontId="16" fillId="0" borderId="26" xfId="0" applyFont="1" applyBorder="1" applyAlignment="1" applyProtection="1">
      <alignment wrapText="1"/>
    </xf>
    <xf numFmtId="0" fontId="20" fillId="0" borderId="26" xfId="0" applyFont="1" applyBorder="1" applyAlignment="1" applyProtection="1">
      <alignment horizontal="left"/>
    </xf>
    <xf numFmtId="0" fontId="16" fillId="0" borderId="3" xfId="0" applyFont="1" applyBorder="1" applyAlignment="1" applyProtection="1">
      <alignment wrapText="1"/>
    </xf>
    <xf numFmtId="43" fontId="0" fillId="3" borderId="83" xfId="1" applyFont="1" applyFill="1" applyBorder="1" applyProtection="1"/>
    <xf numFmtId="43" fontId="3" fillId="0" borderId="8" xfId="1" applyBorder="1" applyProtection="1"/>
    <xf numFmtId="43" fontId="17" fillId="0" borderId="25" xfId="1" applyFont="1" applyBorder="1" applyAlignment="1" applyProtection="1">
      <alignment horizontal="center"/>
    </xf>
    <xf numFmtId="43" fontId="3" fillId="0" borderId="34" xfId="1" applyBorder="1" applyProtection="1"/>
    <xf numFmtId="43" fontId="0" fillId="0" borderId="83" xfId="1" applyFont="1" applyFill="1" applyBorder="1" applyProtection="1"/>
    <xf numFmtId="0" fontId="0" fillId="0" borderId="0" xfId="0" applyBorder="1" applyProtection="1"/>
    <xf numFmtId="49" fontId="0" fillId="0" borderId="0" xfId="0" applyNumberFormat="1" applyAlignment="1" applyProtection="1">
      <alignment horizontal="left"/>
    </xf>
    <xf numFmtId="0" fontId="0" fillId="0" borderId="0" xfId="0" applyNumberFormat="1" applyAlignment="1" applyProtection="1">
      <alignment horizontal="left"/>
    </xf>
    <xf numFmtId="0" fontId="16" fillId="0" borderId="0" xfId="0" applyFont="1" applyAlignment="1" applyProtection="1">
      <alignment horizontal="center"/>
    </xf>
    <xf numFmtId="43" fontId="0" fillId="0" borderId="0" xfId="1" applyFont="1" applyBorder="1" applyProtection="1"/>
    <xf numFmtId="14" fontId="22" fillId="0" borderId="0" xfId="0" applyNumberFormat="1" applyFont="1" applyBorder="1" applyAlignment="1" applyProtection="1">
      <alignment horizontal="center"/>
    </xf>
    <xf numFmtId="43" fontId="0" fillId="0" borderId="0" xfId="1" applyFont="1" applyProtection="1"/>
    <xf numFmtId="0" fontId="3" fillId="0" borderId="26" xfId="0" applyFont="1" applyBorder="1" applyProtection="1"/>
    <xf numFmtId="0" fontId="0" fillId="0" borderId="26" xfId="0" applyBorder="1" applyProtection="1"/>
    <xf numFmtId="0" fontId="11" fillId="0" borderId="0" xfId="0" applyFont="1" applyProtection="1"/>
    <xf numFmtId="0" fontId="0" fillId="0" borderId="46" xfId="0" applyBorder="1" applyProtection="1"/>
    <xf numFmtId="0" fontId="0" fillId="0" borderId="9" xfId="0" applyBorder="1" applyAlignment="1" applyProtection="1">
      <alignment horizontal="center"/>
    </xf>
    <xf numFmtId="0" fontId="0" fillId="0" borderId="15" xfId="0" applyBorder="1" applyProtection="1"/>
    <xf numFmtId="0" fontId="0" fillId="0" borderId="8" xfId="0" applyBorder="1" applyAlignment="1" applyProtection="1">
      <alignment horizontal="center"/>
    </xf>
    <xf numFmtId="0" fontId="0" fillId="0" borderId="0" xfId="0" applyBorder="1" applyAlignment="1" applyProtection="1">
      <alignment horizontal="center"/>
    </xf>
    <xf numFmtId="43" fontId="3" fillId="3" borderId="17" xfId="1" applyFill="1" applyBorder="1" applyProtection="1"/>
    <xf numFmtId="43" fontId="3" fillId="0" borderId="48" xfId="1" applyBorder="1" applyProtection="1"/>
    <xf numFmtId="43" fontId="3" fillId="0" borderId="11" xfId="1" applyBorder="1" applyProtection="1"/>
    <xf numFmtId="43" fontId="0" fillId="2" borderId="31" xfId="1" applyFont="1" applyFill="1" applyBorder="1" applyProtection="1">
      <protection locked="0"/>
    </xf>
    <xf numFmtId="43" fontId="17" fillId="0" borderId="33" xfId="1" applyFont="1" applyBorder="1" applyAlignment="1" applyProtection="1">
      <alignment horizontal="center"/>
    </xf>
    <xf numFmtId="43" fontId="3" fillId="0" borderId="36" xfId="1" applyBorder="1" applyProtection="1"/>
    <xf numFmtId="0" fontId="0" fillId="0" borderId="41" xfId="0" applyBorder="1" applyAlignment="1" applyProtection="1">
      <alignment horizontal="right"/>
    </xf>
    <xf numFmtId="0" fontId="0" fillId="0" borderId="52" xfId="0" applyBorder="1" applyAlignment="1" applyProtection="1">
      <alignment horizontal="right"/>
    </xf>
    <xf numFmtId="0" fontId="0" fillId="0" borderId="30" xfId="0" applyBorder="1" applyProtection="1"/>
    <xf numFmtId="14" fontId="0" fillId="0" borderId="11" xfId="0" applyNumberFormat="1" applyBorder="1" applyAlignment="1" applyProtection="1">
      <alignment horizontal="center"/>
    </xf>
    <xf numFmtId="0" fontId="17" fillId="0" borderId="11" xfId="0" applyFont="1" applyBorder="1" applyAlignment="1" applyProtection="1">
      <alignment horizontal="center"/>
    </xf>
    <xf numFmtId="14" fontId="0" fillId="0" borderId="7" xfId="0" applyNumberFormat="1" applyFill="1" applyBorder="1" applyAlignment="1" applyProtection="1">
      <alignment horizontal="center"/>
    </xf>
    <xf numFmtId="166" fontId="0" fillId="0" borderId="7" xfId="1" applyNumberFormat="1" applyFont="1" applyFill="1" applyBorder="1" applyAlignment="1" applyProtection="1">
      <alignment horizontal="center"/>
    </xf>
    <xf numFmtId="169" fontId="0" fillId="0" borderId="7" xfId="13" applyNumberFormat="1" applyFont="1" applyFill="1" applyBorder="1" applyProtection="1"/>
    <xf numFmtId="43" fontId="44" fillId="0" borderId="7" xfId="1" applyFont="1" applyFill="1" applyBorder="1" applyProtection="1"/>
    <xf numFmtId="166" fontId="0" fillId="0" borderId="17" xfId="0" applyNumberFormat="1" applyFill="1" applyBorder="1" applyAlignment="1" applyProtection="1">
      <alignment horizontal="center"/>
    </xf>
    <xf numFmtId="0" fontId="16" fillId="2" borderId="26" xfId="0" applyFont="1" applyFill="1" applyBorder="1" applyProtection="1">
      <protection locked="0"/>
    </xf>
    <xf numFmtId="43" fontId="20" fillId="2" borderId="7" xfId="1" applyFont="1" applyFill="1" applyBorder="1" applyAlignment="1" applyProtection="1">
      <alignment horizontal="center"/>
      <protection locked="0"/>
    </xf>
    <xf numFmtId="0" fontId="0" fillId="0" borderId="18" xfId="0" applyBorder="1" applyAlignment="1" applyProtection="1">
      <alignment horizontal="right"/>
    </xf>
    <xf numFmtId="0" fontId="0" fillId="0" borderId="3" xfId="0" applyBorder="1" applyAlignment="1" applyProtection="1">
      <alignment horizontal="right"/>
    </xf>
    <xf numFmtId="43" fontId="17" fillId="0" borderId="24" xfId="1" applyFont="1" applyBorder="1" applyAlignment="1" applyProtection="1">
      <alignment horizontal="center"/>
    </xf>
    <xf numFmtId="43" fontId="3" fillId="0" borderId="7" xfId="1" applyBorder="1" applyProtection="1"/>
    <xf numFmtId="43" fontId="3" fillId="0" borderId="25" xfId="1" applyBorder="1" applyProtection="1"/>
    <xf numFmtId="43" fontId="3" fillId="0" borderId="35" xfId="1" applyBorder="1" applyProtection="1"/>
    <xf numFmtId="43" fontId="0" fillId="0" borderId="11" xfId="1" applyFont="1" applyFill="1" applyBorder="1" applyProtection="1"/>
    <xf numFmtId="43" fontId="0" fillId="0" borderId="8" xfId="1" applyFont="1" applyBorder="1" applyProtection="1"/>
    <xf numFmtId="43" fontId="3" fillId="2" borderId="29" xfId="19" applyNumberFormat="1" applyFill="1" applyBorder="1" applyProtection="1">
      <protection locked="0"/>
    </xf>
    <xf numFmtId="43" fontId="3" fillId="2" borderId="7" xfId="19" applyNumberFormat="1" applyFill="1" applyBorder="1" applyProtection="1">
      <protection locked="0"/>
    </xf>
    <xf numFmtId="43" fontId="3" fillId="2" borderId="29" xfId="1" applyFont="1" applyFill="1" applyBorder="1" applyProtection="1">
      <protection locked="0"/>
    </xf>
    <xf numFmtId="0" fontId="3" fillId="0" borderId="0" xfId="19" applyFill="1" applyProtection="1"/>
    <xf numFmtId="0" fontId="3" fillId="0" borderId="2" xfId="19" applyFill="1" applyBorder="1" applyAlignment="1" applyProtection="1">
      <alignment horizontal="center" vertical="center"/>
    </xf>
    <xf numFmtId="0" fontId="3" fillId="0" borderId="1" xfId="19" applyFill="1" applyBorder="1" applyAlignment="1" applyProtection="1">
      <alignment horizontal="center" vertical="center"/>
    </xf>
    <xf numFmtId="43" fontId="3" fillId="0" borderId="4" xfId="1" applyFill="1" applyBorder="1" applyProtection="1"/>
    <xf numFmtId="43" fontId="3" fillId="0" borderId="0" xfId="1" applyFill="1" applyProtection="1"/>
    <xf numFmtId="0" fontId="17" fillId="0" borderId="0" xfId="19" applyFont="1" applyFill="1" applyProtection="1"/>
    <xf numFmtId="0" fontId="3" fillId="0" borderId="15" xfId="19" applyFill="1" applyBorder="1" applyProtection="1"/>
    <xf numFmtId="0" fontId="3" fillId="0" borderId="29" xfId="19" applyFill="1" applyBorder="1" applyProtection="1"/>
    <xf numFmtId="43" fontId="3" fillId="0" borderId="29" xfId="19" applyNumberFormat="1" applyFill="1" applyBorder="1" applyProtection="1"/>
    <xf numFmtId="0" fontId="3" fillId="0" borderId="64" xfId="19" applyFill="1" applyBorder="1" applyProtection="1"/>
    <xf numFmtId="43" fontId="3" fillId="0" borderId="3" xfId="1" applyFill="1" applyBorder="1" applyProtection="1"/>
    <xf numFmtId="0" fontId="17" fillId="0" borderId="3" xfId="19" applyFont="1" applyFill="1" applyBorder="1" applyProtection="1"/>
    <xf numFmtId="43" fontId="3" fillId="3" borderId="3" xfId="1" applyFill="1" applyBorder="1" applyProtection="1"/>
    <xf numFmtId="43" fontId="3" fillId="0" borderId="64" xfId="19" applyNumberFormat="1" applyFill="1" applyBorder="1" applyProtection="1"/>
    <xf numFmtId="0" fontId="3" fillId="0" borderId="26" xfId="19" applyFill="1" applyBorder="1" applyProtection="1"/>
    <xf numFmtId="43" fontId="3" fillId="0" borderId="36" xfId="1" applyFill="1" applyBorder="1" applyProtection="1"/>
    <xf numFmtId="43" fontId="3" fillId="0" borderId="83" xfId="1" applyFill="1" applyBorder="1" applyProtection="1"/>
    <xf numFmtId="43" fontId="3" fillId="0" borderId="11" xfId="1" applyFill="1" applyBorder="1" applyProtection="1"/>
    <xf numFmtId="43" fontId="3" fillId="0" borderId="12" xfId="1" applyFill="1" applyBorder="1" applyProtection="1"/>
    <xf numFmtId="0" fontId="36" fillId="0" borderId="0" xfId="19" applyFont="1" applyAlignment="1" applyProtection="1">
      <alignment horizontal="center"/>
    </xf>
    <xf numFmtId="0" fontId="3" fillId="0" borderId="2" xfId="19" applyBorder="1" applyAlignment="1" applyProtection="1">
      <alignment horizontal="center" vertical="center"/>
    </xf>
    <xf numFmtId="0" fontId="3" fillId="0" borderId="1" xfId="19" applyBorder="1" applyAlignment="1" applyProtection="1">
      <alignment horizontal="center" vertical="center"/>
    </xf>
    <xf numFmtId="0" fontId="3" fillId="3" borderId="0" xfId="19" applyFill="1" applyProtection="1"/>
    <xf numFmtId="0" fontId="3" fillId="3" borderId="3" xfId="19" applyFill="1" applyBorder="1" applyProtection="1"/>
    <xf numFmtId="43" fontId="3" fillId="3" borderId="7" xfId="1" applyFill="1" applyBorder="1" applyProtection="1"/>
    <xf numFmtId="0" fontId="3" fillId="0" borderId="3" xfId="19" applyBorder="1" applyProtection="1"/>
    <xf numFmtId="43" fontId="3" fillId="0" borderId="3" xfId="1" applyBorder="1" applyProtection="1"/>
    <xf numFmtId="0" fontId="3" fillId="0" borderId="0" xfId="19" applyAlignment="1" applyProtection="1">
      <alignment horizontal="center"/>
    </xf>
    <xf numFmtId="0" fontId="3" fillId="0" borderId="9" xfId="19" applyBorder="1" applyProtection="1"/>
    <xf numFmtId="0" fontId="3" fillId="0" borderId="4" xfId="19" applyBorder="1" applyAlignment="1" applyProtection="1">
      <alignment horizontal="center"/>
    </xf>
    <xf numFmtId="0" fontId="3" fillId="0" borderId="4" xfId="19" applyBorder="1" applyProtection="1"/>
    <xf numFmtId="0" fontId="3" fillId="0" borderId="13" xfId="19" applyBorder="1" applyProtection="1"/>
    <xf numFmtId="0" fontId="3" fillId="0" borderId="0" xfId="19" applyProtection="1"/>
    <xf numFmtId="0" fontId="3" fillId="0" borderId="10" xfId="19" applyBorder="1" applyAlignment="1" applyProtection="1">
      <alignment horizontal="center"/>
    </xf>
    <xf numFmtId="0" fontId="3" fillId="0" borderId="10" xfId="19" applyBorder="1" applyProtection="1"/>
    <xf numFmtId="0" fontId="3" fillId="0" borderId="16" xfId="19" applyBorder="1" applyAlignment="1" applyProtection="1">
      <alignment horizontal="center"/>
    </xf>
    <xf numFmtId="14" fontId="3" fillId="0" borderId="10" xfId="19" applyNumberFormat="1" applyBorder="1" applyAlignment="1" applyProtection="1">
      <alignment horizontal="center"/>
    </xf>
    <xf numFmtId="0" fontId="3" fillId="0" borderId="15" xfId="19" applyBorder="1" applyAlignment="1" applyProtection="1">
      <alignment horizontal="center"/>
    </xf>
    <xf numFmtId="14" fontId="3" fillId="0" borderId="16" xfId="19" applyNumberFormat="1" applyBorder="1" applyAlignment="1" applyProtection="1">
      <alignment horizontal="center"/>
    </xf>
    <xf numFmtId="0" fontId="3" fillId="0" borderId="8" xfId="19" applyBorder="1" applyProtection="1"/>
    <xf numFmtId="0" fontId="3" fillId="0" borderId="11" xfId="19" applyBorder="1" applyProtection="1"/>
    <xf numFmtId="0" fontId="3" fillId="0" borderId="11" xfId="19" applyBorder="1" applyAlignment="1" applyProtection="1">
      <alignment horizontal="center"/>
    </xf>
    <xf numFmtId="0" fontId="3" fillId="0" borderId="12" xfId="19" applyBorder="1" applyProtection="1"/>
    <xf numFmtId="0" fontId="3" fillId="0" borderId="14" xfId="19" applyBorder="1" applyProtection="1"/>
    <xf numFmtId="0" fontId="3" fillId="0" borderId="18" xfId="19" applyBorder="1" applyProtection="1"/>
    <xf numFmtId="0" fontId="3" fillId="0" borderId="19" xfId="19" applyBorder="1" applyProtection="1"/>
    <xf numFmtId="43" fontId="3" fillId="3" borderId="50" xfId="1" applyFill="1" applyBorder="1" applyProtection="1"/>
    <xf numFmtId="43" fontId="3" fillId="0" borderId="14" xfId="1" applyBorder="1" applyProtection="1"/>
    <xf numFmtId="0" fontId="3" fillId="0" borderId="23" xfId="19" applyBorder="1" applyProtection="1"/>
    <xf numFmtId="0" fontId="3" fillId="0" borderId="31" xfId="19" applyBorder="1" applyProtection="1"/>
    <xf numFmtId="0" fontId="10" fillId="0" borderId="0" xfId="19" applyFont="1" applyProtection="1"/>
    <xf numFmtId="0" fontId="3" fillId="0" borderId="20" xfId="19" applyBorder="1" applyProtection="1"/>
    <xf numFmtId="0" fontId="16" fillId="2" borderId="26" xfId="19" applyFont="1" applyFill="1" applyBorder="1" applyAlignment="1" applyProtection="1">
      <alignment horizontal="center"/>
      <protection locked="0"/>
    </xf>
    <xf numFmtId="0" fontId="22" fillId="0" borderId="0" xfId="19" applyFont="1" applyFill="1" applyProtection="1"/>
    <xf numFmtId="0" fontId="11" fillId="0" borderId="0" xfId="19" applyFont="1" applyFill="1" applyProtection="1"/>
    <xf numFmtId="0" fontId="3" fillId="0" borderId="8" xfId="19" applyFill="1" applyBorder="1" applyProtection="1"/>
    <xf numFmtId="0" fontId="3" fillId="0" borderId="18" xfId="19" applyFill="1" applyBorder="1" applyProtection="1"/>
    <xf numFmtId="43" fontId="17" fillId="0" borderId="33" xfId="1" applyFont="1" applyFill="1" applyBorder="1" applyAlignment="1" applyProtection="1">
      <alignment horizontal="center"/>
    </xf>
    <xf numFmtId="0" fontId="3" fillId="0" borderId="3" xfId="19" applyFill="1" applyBorder="1" applyAlignment="1" applyProtection="1">
      <alignment horizontal="left"/>
    </xf>
    <xf numFmtId="43" fontId="3" fillId="3" borderId="7" xfId="1" applyFont="1" applyFill="1" applyBorder="1" applyProtection="1"/>
    <xf numFmtId="43" fontId="17" fillId="0" borderId="7" xfId="1" applyFont="1" applyFill="1" applyBorder="1" applyAlignment="1" applyProtection="1">
      <alignment horizontal="center"/>
    </xf>
    <xf numFmtId="43" fontId="0" fillId="0" borderId="64" xfId="1" applyFont="1" applyFill="1" applyBorder="1" applyProtection="1"/>
    <xf numFmtId="43" fontId="0" fillId="0" borderId="73" xfId="1" applyFont="1" applyFill="1" applyBorder="1" applyProtection="1"/>
    <xf numFmtId="43" fontId="0" fillId="0" borderId="6" xfId="1" applyFont="1" applyFill="1" applyBorder="1" applyProtection="1"/>
    <xf numFmtId="0" fontId="3" fillId="0" borderId="41" xfId="19" applyFill="1" applyBorder="1" applyProtection="1"/>
    <xf numFmtId="43" fontId="3" fillId="3" borderId="27" xfId="1" applyFont="1" applyFill="1" applyBorder="1" applyProtection="1"/>
    <xf numFmtId="0" fontId="3" fillId="0" borderId="39" xfId="19" applyFill="1" applyBorder="1" applyProtection="1"/>
    <xf numFmtId="43" fontId="0" fillId="0" borderId="39" xfId="1" applyFont="1" applyFill="1" applyBorder="1" applyProtection="1"/>
    <xf numFmtId="0" fontId="3" fillId="0" borderId="40" xfId="19" applyFill="1" applyBorder="1" applyProtection="1"/>
    <xf numFmtId="43" fontId="0" fillId="0" borderId="74" xfId="1" applyFont="1" applyFill="1" applyBorder="1" applyProtection="1"/>
    <xf numFmtId="43" fontId="0" fillId="3" borderId="75" xfId="1" applyFont="1" applyFill="1" applyBorder="1" applyProtection="1"/>
    <xf numFmtId="43" fontId="0" fillId="0" borderId="60" xfId="1" applyFont="1" applyFill="1" applyBorder="1" applyProtection="1"/>
    <xf numFmtId="43" fontId="0" fillId="0" borderId="78" xfId="1" applyFont="1" applyFill="1" applyBorder="1" applyProtection="1"/>
    <xf numFmtId="43" fontId="0" fillId="0" borderId="0" xfId="1" applyFont="1" applyFill="1" applyBorder="1" applyProtection="1"/>
    <xf numFmtId="43" fontId="0" fillId="0" borderId="8" xfId="1" applyFont="1" applyFill="1" applyBorder="1" applyProtection="1"/>
    <xf numFmtId="0" fontId="3" fillId="0" borderId="0" xfId="19" applyFont="1" applyFill="1" applyProtection="1"/>
    <xf numFmtId="0" fontId="3" fillId="0" borderId="60" xfId="19" applyFill="1" applyBorder="1" applyProtection="1"/>
    <xf numFmtId="0" fontId="3" fillId="0" borderId="63" xfId="19" applyFill="1" applyBorder="1" applyProtection="1"/>
    <xf numFmtId="0" fontId="3" fillId="0" borderId="0" xfId="19" applyFill="1" applyBorder="1" applyProtection="1"/>
    <xf numFmtId="43" fontId="0" fillId="3" borderId="76" xfId="1" applyFont="1" applyFill="1" applyBorder="1" applyProtection="1"/>
    <xf numFmtId="43" fontId="0" fillId="0" borderId="77" xfId="1" applyFont="1" applyFill="1" applyBorder="1" applyProtection="1"/>
    <xf numFmtId="43" fontId="3" fillId="0" borderId="27" xfId="1" applyFont="1" applyFill="1" applyBorder="1" applyProtection="1"/>
    <xf numFmtId="0" fontId="3" fillId="0" borderId="3" xfId="19" applyFill="1" applyBorder="1" applyAlignment="1" applyProtection="1">
      <alignment vertical="top"/>
    </xf>
    <xf numFmtId="0" fontId="3" fillId="2" borderId="7" xfId="19" applyFont="1" applyFill="1" applyBorder="1" applyAlignment="1" applyProtection="1">
      <protection locked="0"/>
    </xf>
    <xf numFmtId="43" fontId="3" fillId="2" borderId="7" xfId="19" applyNumberFormat="1" applyFont="1" applyFill="1" applyBorder="1" applyAlignment="1" applyProtection="1">
      <protection locked="0"/>
    </xf>
    <xf numFmtId="0" fontId="3" fillId="2" borderId="3" xfId="19" applyFill="1" applyBorder="1" applyAlignment="1" applyProtection="1">
      <alignment horizontal="left"/>
      <protection locked="0"/>
    </xf>
    <xf numFmtId="49" fontId="3" fillId="2" borderId="3" xfId="19" applyNumberFormat="1" applyFill="1" applyBorder="1" applyAlignment="1" applyProtection="1">
      <protection locked="0"/>
    </xf>
    <xf numFmtId="43" fontId="3" fillId="2" borderId="3" xfId="19" applyNumberFormat="1" applyFont="1" applyFill="1" applyBorder="1" applyAlignment="1" applyProtection="1">
      <protection locked="0"/>
    </xf>
    <xf numFmtId="0" fontId="17" fillId="0" borderId="33" xfId="19" applyFont="1" applyFill="1" applyBorder="1" applyAlignment="1" applyProtection="1">
      <alignment horizontal="center"/>
    </xf>
    <xf numFmtId="43" fontId="3" fillId="0" borderId="18" xfId="1" applyFill="1" applyBorder="1" applyProtection="1"/>
    <xf numFmtId="0" fontId="17" fillId="0" borderId="7" xfId="19" applyFont="1" applyFill="1" applyBorder="1" applyAlignment="1" applyProtection="1">
      <alignment horizontal="center"/>
    </xf>
    <xf numFmtId="43" fontId="3" fillId="0" borderId="5" xfId="19" applyNumberFormat="1" applyFont="1" applyFill="1" applyBorder="1" applyAlignment="1" applyProtection="1">
      <alignment horizontal="center"/>
    </xf>
    <xf numFmtId="0" fontId="17" fillId="0" borderId="3" xfId="19" applyFont="1" applyFill="1" applyBorder="1" applyAlignment="1" applyProtection="1">
      <alignment horizontal="center"/>
    </xf>
    <xf numFmtId="0" fontId="17" fillId="0" borderId="32" xfId="19" applyFont="1" applyFill="1" applyBorder="1" applyAlignment="1" applyProtection="1">
      <alignment horizontal="center"/>
    </xf>
    <xf numFmtId="43" fontId="3" fillId="0" borderId="0" xfId="19" applyNumberFormat="1" applyFill="1" applyProtection="1"/>
    <xf numFmtId="0" fontId="10" fillId="0" borderId="0" xfId="19" applyFont="1" applyFill="1" applyProtection="1"/>
    <xf numFmtId="49" fontId="3" fillId="0" borderId="18" xfId="19" applyNumberFormat="1" applyFill="1" applyBorder="1" applyAlignment="1" applyProtection="1">
      <alignment horizontal="left"/>
    </xf>
    <xf numFmtId="14" fontId="3" fillId="0" borderId="18" xfId="19" applyNumberFormat="1" applyFill="1" applyBorder="1" applyProtection="1"/>
    <xf numFmtId="43" fontId="3" fillId="3" borderId="26" xfId="1" applyFill="1" applyBorder="1" applyProtection="1"/>
    <xf numFmtId="43" fontId="3" fillId="0" borderId="28" xfId="1" applyFill="1" applyBorder="1" applyProtection="1"/>
    <xf numFmtId="0" fontId="3" fillId="0" borderId="18" xfId="19" applyFill="1" applyBorder="1" applyAlignment="1" applyProtection="1">
      <alignment horizontal="right"/>
    </xf>
    <xf numFmtId="0" fontId="3" fillId="0" borderId="3" xfId="19" applyFill="1" applyBorder="1" applyAlignment="1" applyProtection="1">
      <alignment horizontal="right"/>
    </xf>
    <xf numFmtId="43" fontId="3" fillId="0" borderId="64" xfId="1" applyFill="1" applyBorder="1" applyProtection="1"/>
    <xf numFmtId="43" fontId="3" fillId="0" borderId="81" xfId="1" applyFill="1" applyBorder="1" applyProtection="1"/>
    <xf numFmtId="43" fontId="3" fillId="0" borderId="84" xfId="1" applyFill="1" applyBorder="1" applyProtection="1"/>
    <xf numFmtId="0" fontId="3" fillId="0" borderId="20" xfId="19" applyFill="1" applyBorder="1" applyAlignment="1" applyProtection="1">
      <alignment horizontal="right"/>
    </xf>
    <xf numFmtId="0" fontId="15" fillId="0" borderId="0" xfId="19" applyFont="1" applyFill="1" applyProtection="1"/>
    <xf numFmtId="0" fontId="3" fillId="0" borderId="0" xfId="19" applyFill="1" applyAlignment="1" applyProtection="1">
      <alignment horizontal="right"/>
    </xf>
    <xf numFmtId="0" fontId="16" fillId="0" borderId="0" xfId="19" applyFont="1" applyFill="1" applyProtection="1"/>
    <xf numFmtId="0" fontId="16" fillId="0" borderId="3" xfId="19" applyFont="1" applyFill="1" applyBorder="1" applyAlignment="1" applyProtection="1">
      <alignment wrapText="1"/>
    </xf>
    <xf numFmtId="43" fontId="3" fillId="0" borderId="26" xfId="19" applyNumberFormat="1" applyBorder="1" applyProtection="1"/>
    <xf numFmtId="43" fontId="0" fillId="3" borderId="26" xfId="1" applyFont="1" applyFill="1" applyBorder="1" applyProtection="1"/>
    <xf numFmtId="0" fontId="3" fillId="3" borderId="26" xfId="19" applyFill="1" applyBorder="1" applyProtection="1"/>
    <xf numFmtId="0" fontId="17" fillId="0" borderId="26" xfId="19" applyFont="1" applyFill="1" applyBorder="1" applyProtection="1"/>
    <xf numFmtId="43" fontId="3" fillId="0" borderId="20" xfId="1" applyFill="1" applyBorder="1" applyAlignment="1" applyProtection="1">
      <alignment horizontal="right"/>
    </xf>
    <xf numFmtId="43" fontId="3" fillId="0" borderId="20" xfId="1" applyFill="1" applyBorder="1" applyAlignment="1" applyProtection="1">
      <alignment horizontal="right"/>
    </xf>
    <xf numFmtId="43" fontId="3" fillId="0" borderId="19" xfId="19" applyNumberFormat="1" applyFill="1" applyBorder="1" applyProtection="1"/>
    <xf numFmtId="43" fontId="3" fillId="0" borderId="20" xfId="19" applyNumberFormat="1" applyFill="1" applyBorder="1" applyProtection="1"/>
    <xf numFmtId="0" fontId="3" fillId="0" borderId="23" xfId="19" applyFill="1" applyBorder="1" applyProtection="1"/>
    <xf numFmtId="0" fontId="3" fillId="0" borderId="12" xfId="19" applyFill="1" applyBorder="1" applyProtection="1"/>
    <xf numFmtId="43" fontId="0" fillId="0" borderId="79" xfId="1" applyFont="1" applyFill="1" applyBorder="1" applyProtection="1"/>
    <xf numFmtId="43" fontId="0" fillId="0" borderId="20" xfId="1" applyFont="1" applyFill="1" applyBorder="1" applyProtection="1"/>
    <xf numFmtId="43" fontId="0" fillId="0" borderId="52" xfId="1" applyFont="1" applyFill="1" applyBorder="1" applyProtection="1"/>
    <xf numFmtId="0" fontId="3" fillId="0" borderId="9" xfId="19" applyFill="1" applyBorder="1" applyProtection="1"/>
    <xf numFmtId="0" fontId="3" fillId="0" borderId="4" xfId="19" applyFill="1" applyBorder="1" applyAlignment="1" applyProtection="1">
      <alignment horizontal="center"/>
    </xf>
    <xf numFmtId="0" fontId="3" fillId="0" borderId="51" xfId="19" applyFill="1" applyBorder="1" applyProtection="1"/>
    <xf numFmtId="0" fontId="3" fillId="0" borderId="65" xfId="19" applyFill="1" applyBorder="1" applyProtection="1"/>
    <xf numFmtId="0" fontId="3" fillId="0" borderId="10" xfId="19" applyFill="1" applyBorder="1" applyAlignment="1" applyProtection="1">
      <alignment horizontal="center"/>
    </xf>
    <xf numFmtId="0" fontId="3" fillId="0" borderId="15" xfId="19" applyFill="1" applyBorder="1" applyAlignment="1" applyProtection="1">
      <alignment horizontal="center"/>
    </xf>
    <xf numFmtId="0" fontId="6" fillId="0" borderId="0" xfId="19" applyFont="1" applyFill="1" applyBorder="1" applyAlignment="1" applyProtection="1">
      <alignment horizontal="center" vertical="center" wrapText="1"/>
    </xf>
    <xf numFmtId="0" fontId="3" fillId="0" borderId="66" xfId="19" applyFill="1" applyBorder="1" applyAlignment="1" applyProtection="1">
      <alignment horizontal="center"/>
    </xf>
    <xf numFmtId="0" fontId="3" fillId="0" borderId="0" xfId="19" applyFill="1" applyBorder="1" applyAlignment="1" applyProtection="1">
      <alignment horizontal="center" vertical="center" wrapText="1"/>
    </xf>
    <xf numFmtId="0" fontId="3" fillId="0" borderId="11" xfId="19" applyFill="1" applyBorder="1" applyProtection="1"/>
    <xf numFmtId="14" fontId="3" fillId="0" borderId="11" xfId="19" applyNumberFormat="1" applyFill="1" applyBorder="1" applyAlignment="1" applyProtection="1">
      <alignment horizontal="center"/>
    </xf>
    <xf numFmtId="0" fontId="3" fillId="0" borderId="11" xfId="19" applyFill="1" applyBorder="1" applyAlignment="1" applyProtection="1">
      <alignment horizontal="center"/>
    </xf>
    <xf numFmtId="0" fontId="17" fillId="0" borderId="11" xfId="19" applyFont="1" applyFill="1" applyBorder="1" applyAlignment="1" applyProtection="1">
      <alignment horizontal="center"/>
    </xf>
    <xf numFmtId="0" fontId="17" fillId="0" borderId="12" xfId="19" applyFont="1" applyFill="1" applyBorder="1" applyAlignment="1" applyProtection="1">
      <alignment horizontal="center"/>
    </xf>
    <xf numFmtId="0" fontId="3" fillId="0" borderId="67" xfId="19" applyFill="1" applyBorder="1" applyProtection="1"/>
    <xf numFmtId="0" fontId="3" fillId="0" borderId="3" xfId="0" applyFont="1" applyFill="1" applyBorder="1" applyAlignment="1" applyProtection="1">
      <alignment horizontal="center"/>
    </xf>
    <xf numFmtId="0" fontId="0" fillId="0" borderId="3" xfId="0" applyFill="1" applyBorder="1" applyAlignment="1" applyProtection="1">
      <alignment horizontal="center"/>
    </xf>
    <xf numFmtId="0" fontId="0" fillId="0" borderId="20" xfId="0" applyFill="1" applyBorder="1" applyAlignment="1" applyProtection="1">
      <alignment horizontal="center"/>
    </xf>
    <xf numFmtId="0" fontId="17" fillId="0" borderId="11" xfId="19" applyFont="1" applyBorder="1" applyAlignment="1" applyProtection="1">
      <alignment horizontal="center"/>
    </xf>
    <xf numFmtId="49" fontId="3" fillId="0" borderId="23" xfId="19" applyNumberFormat="1" applyBorder="1" applyAlignment="1" applyProtection="1">
      <alignment horizontal="center"/>
    </xf>
    <xf numFmtId="0" fontId="3" fillId="0" borderId="31" xfId="19" applyFill="1" applyBorder="1" applyAlignment="1" applyProtection="1">
      <alignment horizontal="right"/>
    </xf>
    <xf numFmtId="0" fontId="3" fillId="0" borderId="14" xfId="19" applyFill="1" applyBorder="1" applyProtection="1"/>
    <xf numFmtId="49" fontId="38" fillId="0" borderId="0" xfId="19" applyNumberFormat="1" applyFont="1" applyBorder="1" applyAlignment="1" applyProtection="1">
      <alignment horizontal="left"/>
    </xf>
    <xf numFmtId="0" fontId="38" fillId="0" borderId="0" xfId="19" applyFont="1" applyBorder="1" applyProtection="1"/>
    <xf numFmtId="0" fontId="38" fillId="0" borderId="0" xfId="19" applyFont="1" applyBorder="1" applyAlignment="1" applyProtection="1">
      <alignment horizontal="right"/>
    </xf>
    <xf numFmtId="0" fontId="3" fillId="0" borderId="0" xfId="19" applyBorder="1" applyProtection="1"/>
    <xf numFmtId="0" fontId="16" fillId="0" borderId="0" xfId="19" applyFont="1" applyBorder="1" applyAlignment="1" applyProtection="1">
      <alignment horizontal="center"/>
    </xf>
    <xf numFmtId="0" fontId="38" fillId="0" borderId="0" xfId="19" applyFont="1" applyBorder="1" applyAlignment="1" applyProtection="1">
      <alignment horizontal="left"/>
    </xf>
    <xf numFmtId="0" fontId="17" fillId="0" borderId="0" xfId="19" applyFont="1" applyBorder="1" applyProtection="1"/>
    <xf numFmtId="0" fontId="3" fillId="0" borderId="51" xfId="19" applyBorder="1" applyAlignment="1" applyProtection="1">
      <alignment horizontal="center"/>
    </xf>
    <xf numFmtId="0" fontId="3" fillId="0" borderId="65" xfId="19" applyBorder="1" applyProtection="1"/>
    <xf numFmtId="0" fontId="3" fillId="0" borderId="0" xfId="19" applyBorder="1" applyAlignment="1" applyProtection="1">
      <alignment horizontal="center"/>
    </xf>
    <xf numFmtId="0" fontId="6" fillId="0" borderId="0" xfId="19" applyFont="1" applyFill="1" applyBorder="1" applyAlignment="1" applyProtection="1">
      <alignment horizontal="center" vertical="center" wrapText="1"/>
    </xf>
    <xf numFmtId="0" fontId="3" fillId="0" borderId="0" xfId="19" applyBorder="1" applyAlignment="1" applyProtection="1">
      <alignment horizontal="center"/>
    </xf>
    <xf numFmtId="0" fontId="3" fillId="0" borderId="21" xfId="19" applyBorder="1" applyAlignment="1" applyProtection="1">
      <alignment horizontal="center"/>
    </xf>
    <xf numFmtId="14" fontId="3" fillId="0" borderId="15" xfId="19" applyNumberFormat="1" applyBorder="1" applyAlignment="1" applyProtection="1">
      <alignment horizontal="center"/>
    </xf>
    <xf numFmtId="0" fontId="3" fillId="0" borderId="52" xfId="19" applyBorder="1" applyProtection="1"/>
    <xf numFmtId="0" fontId="3" fillId="0" borderId="12" xfId="19" applyBorder="1" applyAlignment="1" applyProtection="1">
      <alignment horizontal="center"/>
    </xf>
    <xf numFmtId="0" fontId="17" fillId="0" borderId="14" xfId="19" applyFont="1" applyBorder="1" applyAlignment="1" applyProtection="1">
      <alignment horizontal="center"/>
    </xf>
    <xf numFmtId="0" fontId="3" fillId="0" borderId="15" xfId="19" applyFont="1" applyBorder="1" applyAlignment="1" applyProtection="1">
      <alignment horizontal="center"/>
    </xf>
    <xf numFmtId="43" fontId="3" fillId="3" borderId="33" xfId="1" applyFill="1" applyBorder="1" applyAlignment="1" applyProtection="1"/>
    <xf numFmtId="49" fontId="3" fillId="3" borderId="18" xfId="19" applyNumberFormat="1" applyFill="1" applyBorder="1" applyAlignment="1" applyProtection="1">
      <alignment horizontal="left"/>
    </xf>
    <xf numFmtId="0" fontId="3" fillId="3" borderId="18" xfId="19" applyFill="1" applyBorder="1" applyProtection="1"/>
    <xf numFmtId="0" fontId="3" fillId="3" borderId="19" xfId="19" applyFill="1" applyBorder="1" applyProtection="1"/>
    <xf numFmtId="43" fontId="3" fillId="3" borderId="47" xfId="1" applyFill="1" applyBorder="1" applyAlignment="1" applyProtection="1"/>
    <xf numFmtId="0" fontId="16" fillId="2" borderId="26" xfId="19" applyFont="1" applyFill="1" applyBorder="1" applyProtection="1">
      <protection locked="0"/>
    </xf>
    <xf numFmtId="43" fontId="3" fillId="0" borderId="25" xfId="1" applyFill="1" applyBorder="1" applyProtection="1"/>
    <xf numFmtId="43" fontId="3" fillId="0" borderId="20" xfId="1" applyFont="1" applyFill="1" applyBorder="1" applyProtection="1"/>
    <xf numFmtId="43" fontId="3" fillId="0" borderId="29" xfId="1" applyFont="1" applyFill="1" applyBorder="1" applyProtection="1"/>
    <xf numFmtId="0" fontId="3" fillId="0" borderId="2" xfId="19" applyFill="1" applyBorder="1" applyAlignment="1" applyProtection="1">
      <alignment horizontal="center" vertical="center"/>
      <protection locked="0"/>
    </xf>
    <xf numFmtId="0" fontId="3" fillId="0" borderId="1" xfId="19" applyFill="1" applyBorder="1" applyAlignment="1" applyProtection="1">
      <alignment horizontal="center" vertical="center"/>
      <protection locked="0"/>
    </xf>
    <xf numFmtId="43" fontId="3" fillId="0" borderId="4" xfId="1" applyFill="1" applyBorder="1" applyProtection="1">
      <protection locked="0"/>
    </xf>
    <xf numFmtId="43" fontId="3" fillId="0" borderId="0" xfId="1" applyFill="1" applyProtection="1">
      <protection locked="0"/>
    </xf>
    <xf numFmtId="0" fontId="17" fillId="0" borderId="3" xfId="19" applyFont="1" applyFill="1" applyBorder="1" applyProtection="1">
      <protection locked="0"/>
    </xf>
    <xf numFmtId="0" fontId="3" fillId="0" borderId="3" xfId="19" applyFill="1" applyBorder="1" applyProtection="1">
      <protection locked="0"/>
    </xf>
    <xf numFmtId="43" fontId="3" fillId="0" borderId="7" xfId="1" applyFill="1" applyBorder="1" applyProtection="1">
      <protection locked="0"/>
    </xf>
    <xf numFmtId="43" fontId="3" fillId="0" borderId="3" xfId="1" applyFill="1" applyBorder="1" applyProtection="1">
      <protection locked="0"/>
    </xf>
    <xf numFmtId="43" fontId="13" fillId="0" borderId="36" xfId="1" applyFont="1" applyFill="1" applyBorder="1" applyProtection="1"/>
    <xf numFmtId="43" fontId="13" fillId="0" borderId="83" xfId="1" applyFont="1" applyFill="1" applyBorder="1" applyProtection="1"/>
    <xf numFmtId="43" fontId="13" fillId="0" borderId="11" xfId="1" applyFont="1" applyFill="1" applyBorder="1" applyProtection="1"/>
    <xf numFmtId="43" fontId="13" fillId="0" borderId="12" xfId="1" applyFont="1" applyFill="1" applyBorder="1" applyProtection="1"/>
    <xf numFmtId="0" fontId="3" fillId="0" borderId="0" xfId="19" applyFill="1" applyBorder="1" applyAlignment="1" applyProtection="1">
      <alignment horizontal="center"/>
    </xf>
    <xf numFmtId="0" fontId="3" fillId="0" borderId="0" xfId="19" applyFill="1" applyAlignment="1" applyProtection="1">
      <alignment horizontal="center"/>
    </xf>
    <xf numFmtId="43" fontId="17" fillId="0" borderId="3" xfId="1" applyFont="1" applyFill="1" applyBorder="1" applyAlignment="1" applyProtection="1">
      <alignment horizontal="center"/>
    </xf>
    <xf numFmtId="0" fontId="5" fillId="0" borderId="0" xfId="19" applyFont="1" applyFill="1" applyAlignment="1" applyProtection="1">
      <alignment horizontal="center"/>
    </xf>
    <xf numFmtId="0" fontId="3" fillId="0" borderId="9" xfId="19" applyFill="1" applyBorder="1" applyAlignment="1" applyProtection="1">
      <alignment horizontal="center"/>
    </xf>
    <xf numFmtId="49" fontId="3" fillId="0" borderId="11" xfId="19" applyNumberFormat="1" applyFill="1" applyBorder="1" applyAlignment="1" applyProtection="1">
      <alignment horizontal="center"/>
    </xf>
    <xf numFmtId="49" fontId="3" fillId="0" borderId="8" xfId="19" applyNumberFormat="1" applyFill="1" applyBorder="1" applyAlignment="1" applyProtection="1">
      <alignment horizontal="center"/>
    </xf>
    <xf numFmtId="0" fontId="16" fillId="0" borderId="18" xfId="19" applyFont="1" applyFill="1" applyBorder="1" applyAlignment="1" applyProtection="1">
      <alignment horizontal="center"/>
    </xf>
    <xf numFmtId="0" fontId="16" fillId="0" borderId="0" xfId="19" applyFont="1" applyFill="1" applyAlignment="1" applyProtection="1">
      <alignment horizontal="center"/>
    </xf>
    <xf numFmtId="0" fontId="16" fillId="0" borderId="26" xfId="19" applyFont="1" applyFill="1" applyBorder="1" applyAlignment="1" applyProtection="1">
      <alignment horizontal="center"/>
    </xf>
    <xf numFmtId="43" fontId="3" fillId="0" borderId="10" xfId="1" applyFill="1" applyBorder="1" applyProtection="1"/>
    <xf numFmtId="43" fontId="3" fillId="0" borderId="33" xfId="1" applyFill="1" applyBorder="1" applyProtection="1"/>
    <xf numFmtId="43" fontId="3" fillId="0" borderId="3" xfId="1" applyFont="1" applyFill="1" applyBorder="1" applyAlignment="1" applyProtection="1"/>
    <xf numFmtId="43" fontId="3" fillId="0" borderId="35" xfId="1" applyFill="1" applyBorder="1" applyProtection="1"/>
    <xf numFmtId="0" fontId="16" fillId="0" borderId="3" xfId="19" applyFont="1" applyFill="1" applyBorder="1" applyAlignment="1" applyProtection="1">
      <alignment horizontal="center"/>
    </xf>
    <xf numFmtId="0" fontId="16" fillId="0" borderId="3" xfId="19" applyFont="1" applyFill="1" applyBorder="1" applyProtection="1"/>
    <xf numFmtId="0" fontId="16" fillId="0" borderId="38" xfId="19" applyFont="1" applyFill="1" applyBorder="1" applyAlignment="1" applyProtection="1">
      <alignment horizontal="center"/>
    </xf>
    <xf numFmtId="43" fontId="3" fillId="0" borderId="27" xfId="1" applyFill="1" applyBorder="1" applyProtection="1"/>
    <xf numFmtId="43" fontId="3" fillId="0" borderId="34" xfId="1" applyFill="1" applyBorder="1" applyProtection="1"/>
    <xf numFmtId="0" fontId="13" fillId="0" borderId="18" xfId="19" applyFont="1" applyFill="1" applyBorder="1" applyAlignment="1" applyProtection="1"/>
    <xf numFmtId="0" fontId="3" fillId="0" borderId="18" xfId="19" applyFont="1" applyFill="1" applyBorder="1" applyAlignment="1" applyProtection="1"/>
    <xf numFmtId="43" fontId="3" fillId="0" borderId="19" xfId="1" applyFont="1" applyFill="1" applyBorder="1" applyAlignment="1" applyProtection="1">
      <alignment horizontal="right"/>
    </xf>
    <xf numFmtId="43" fontId="17" fillId="0" borderId="18" xfId="1" applyFont="1" applyFill="1" applyBorder="1" applyAlignment="1" applyProtection="1">
      <alignment horizontal="center"/>
    </xf>
    <xf numFmtId="0" fontId="13" fillId="0" borderId="26" xfId="19" applyFont="1" applyFill="1" applyBorder="1" applyAlignment="1" applyProtection="1"/>
    <xf numFmtId="0" fontId="3" fillId="0" borderId="26" xfId="19" applyFont="1" applyFill="1" applyBorder="1" applyAlignment="1" applyProtection="1"/>
    <xf numFmtId="43" fontId="3" fillId="0" borderId="41" xfId="1" applyFont="1" applyFill="1" applyBorder="1" applyAlignment="1" applyProtection="1">
      <alignment horizontal="right"/>
    </xf>
    <xf numFmtId="43" fontId="3" fillId="0" borderId="41" xfId="1" applyFont="1" applyFill="1" applyBorder="1" applyAlignment="1" applyProtection="1"/>
    <xf numFmtId="43" fontId="3" fillId="0" borderId="26" xfId="1" applyFont="1" applyFill="1" applyBorder="1" applyAlignment="1" applyProtection="1"/>
    <xf numFmtId="43" fontId="3" fillId="0" borderId="53" xfId="1" applyFont="1" applyFill="1" applyBorder="1" applyAlignment="1" applyProtection="1"/>
    <xf numFmtId="43" fontId="3" fillId="0" borderId="15" xfId="1" applyFont="1" applyFill="1" applyBorder="1" applyAlignment="1" applyProtection="1"/>
    <xf numFmtId="0" fontId="3" fillId="0" borderId="3" xfId="19" applyFont="1" applyFill="1" applyBorder="1" applyAlignment="1" applyProtection="1"/>
    <xf numFmtId="43" fontId="3" fillId="0" borderId="74" xfId="1" applyFont="1" applyFill="1" applyBorder="1" applyAlignment="1" applyProtection="1"/>
    <xf numFmtId="43" fontId="3" fillId="0" borderId="20" xfId="1" applyFont="1" applyFill="1" applyBorder="1" applyAlignment="1" applyProtection="1"/>
    <xf numFmtId="43" fontId="3" fillId="0" borderId="5" xfId="1" applyFont="1" applyFill="1" applyBorder="1" applyAlignment="1" applyProtection="1"/>
    <xf numFmtId="43" fontId="3" fillId="0" borderId="35" xfId="1" applyFont="1" applyFill="1" applyBorder="1" applyAlignment="1" applyProtection="1"/>
    <xf numFmtId="0" fontId="3" fillId="0" borderId="1" xfId="19" applyFill="1" applyBorder="1" applyProtection="1"/>
    <xf numFmtId="0" fontId="3" fillId="2" borderId="3" xfId="19" applyFont="1" applyFill="1" applyBorder="1" applyAlignment="1" applyProtection="1">
      <protection locked="0"/>
    </xf>
    <xf numFmtId="43" fontId="17" fillId="0" borderId="33" xfId="19" applyNumberFormat="1" applyFont="1" applyFill="1" applyBorder="1" applyAlignment="1" applyProtection="1">
      <alignment horizontal="center"/>
    </xf>
    <xf numFmtId="43" fontId="17" fillId="0" borderId="7" xfId="19" applyNumberFormat="1" applyFont="1" applyFill="1" applyBorder="1" applyAlignment="1" applyProtection="1">
      <alignment horizontal="center"/>
    </xf>
    <xf numFmtId="43" fontId="3" fillId="0" borderId="3" xfId="1" applyNumberFormat="1" applyFill="1" applyBorder="1" applyProtection="1"/>
    <xf numFmtId="43" fontId="3" fillId="0" borderId="7" xfId="1" applyNumberFormat="1" applyFill="1" applyBorder="1" applyProtection="1"/>
    <xf numFmtId="43" fontId="17" fillId="0" borderId="3" xfId="19" applyNumberFormat="1" applyFont="1" applyFill="1" applyBorder="1" applyAlignment="1" applyProtection="1">
      <alignment horizontal="center"/>
    </xf>
    <xf numFmtId="43" fontId="3" fillId="0" borderId="36" xfId="1" applyNumberFormat="1" applyFill="1" applyBorder="1" applyProtection="1"/>
    <xf numFmtId="43" fontId="17" fillId="0" borderId="32" xfId="19" applyNumberFormat="1" applyFont="1" applyFill="1" applyBorder="1" applyAlignment="1" applyProtection="1">
      <alignment horizontal="center"/>
    </xf>
    <xf numFmtId="43" fontId="3" fillId="0" borderId="11" xfId="1" applyNumberFormat="1" applyFill="1" applyBorder="1" applyProtection="1"/>
    <xf numFmtId="43" fontId="3" fillId="0" borderId="12" xfId="1" applyNumberFormat="1" applyFill="1" applyBorder="1" applyProtection="1"/>
    <xf numFmtId="14" fontId="3" fillId="0" borderId="0" xfId="19" applyNumberFormat="1" applyAlignment="1" applyProtection="1">
      <alignment horizontal="center"/>
    </xf>
    <xf numFmtId="0" fontId="22" fillId="0" borderId="0" xfId="19" applyFont="1" applyAlignment="1" applyProtection="1">
      <alignment horizontal="center"/>
    </xf>
    <xf numFmtId="14" fontId="22" fillId="0" borderId="0" xfId="19" applyNumberFormat="1" applyFont="1" applyBorder="1" applyAlignment="1" applyProtection="1">
      <alignment horizontal="center"/>
    </xf>
    <xf numFmtId="49" fontId="3" fillId="0" borderId="0" xfId="19" applyNumberFormat="1" applyAlignment="1" applyProtection="1">
      <alignment horizontal="center"/>
    </xf>
    <xf numFmtId="0" fontId="17" fillId="3" borderId="26" xfId="19" applyFont="1" applyFill="1" applyBorder="1" applyProtection="1"/>
    <xf numFmtId="49" fontId="6" fillId="0" borderId="0" xfId="19" applyNumberFormat="1" applyFont="1" applyAlignment="1" applyProtection="1">
      <alignment horizontal="center"/>
    </xf>
    <xf numFmtId="0" fontId="3" fillId="0" borderId="0" xfId="19" applyAlignment="1" applyProtection="1">
      <alignment vertical="center"/>
    </xf>
    <xf numFmtId="0" fontId="22" fillId="0" borderId="0" xfId="19" applyFont="1" applyAlignment="1" applyProtection="1">
      <alignment horizontal="center" vertical="center"/>
    </xf>
    <xf numFmtId="49" fontId="3" fillId="0" borderId="0" xfId="19" applyNumberFormat="1" applyFill="1" applyBorder="1" applyAlignment="1" applyProtection="1">
      <alignment horizontal="center"/>
    </xf>
    <xf numFmtId="43" fontId="3" fillId="0" borderId="0" xfId="1" applyFill="1" applyBorder="1" applyProtection="1"/>
    <xf numFmtId="10" fontId="3" fillId="0" borderId="0" xfId="13" applyNumberFormat="1" applyFill="1" applyBorder="1" applyProtection="1"/>
    <xf numFmtId="49" fontId="10" fillId="0" borderId="0" xfId="19" applyNumberFormat="1" applyFont="1" applyFill="1" applyBorder="1" applyAlignment="1" applyProtection="1">
      <alignment horizontal="center"/>
    </xf>
    <xf numFmtId="0" fontId="10" fillId="0" borderId="0" xfId="19" applyFont="1" applyFill="1" applyBorder="1" applyProtection="1"/>
    <xf numFmtId="0" fontId="10" fillId="0" borderId="0" xfId="19" applyFont="1" applyFill="1" applyBorder="1" applyAlignment="1" applyProtection="1">
      <alignment horizontal="right"/>
    </xf>
    <xf numFmtId="0" fontId="17" fillId="0" borderId="0" xfId="19" applyFont="1" applyFill="1" applyBorder="1" applyProtection="1"/>
    <xf numFmtId="0" fontId="38" fillId="0" borderId="0" xfId="19" applyFont="1" applyFill="1" applyProtection="1"/>
    <xf numFmtId="0" fontId="15" fillId="0" borderId="0" xfId="19" applyFont="1" applyFill="1" applyAlignment="1" applyProtection="1">
      <alignment horizontal="left"/>
    </xf>
    <xf numFmtId="0" fontId="3" fillId="0" borderId="70" xfId="19" applyFill="1" applyBorder="1" applyProtection="1"/>
    <xf numFmtId="0" fontId="3" fillId="0" borderId="51" xfId="19" applyBorder="1" applyAlignment="1" applyProtection="1">
      <alignment horizontal="center"/>
    </xf>
    <xf numFmtId="14" fontId="3" fillId="0" borderId="11" xfId="19" applyNumberFormat="1" applyBorder="1" applyAlignment="1" applyProtection="1">
      <alignment horizontal="center"/>
    </xf>
    <xf numFmtId="43" fontId="3" fillId="3" borderId="11" xfId="1" applyFill="1" applyBorder="1" applyProtection="1"/>
    <xf numFmtId="49" fontId="38" fillId="0" borderId="0" xfId="19" applyNumberFormat="1" applyFont="1" applyAlignment="1" applyProtection="1">
      <alignment horizontal="left"/>
    </xf>
    <xf numFmtId="0" fontId="38" fillId="0" borderId="0" xfId="19" applyFont="1" applyProtection="1"/>
    <xf numFmtId="0" fontId="38" fillId="0" borderId="0" xfId="19" applyFont="1" applyAlignment="1" applyProtection="1">
      <alignment horizontal="right"/>
    </xf>
    <xf numFmtId="0" fontId="16" fillId="0" borderId="0" xfId="19" applyFont="1" applyAlignment="1" applyProtection="1">
      <alignment horizontal="center"/>
    </xf>
    <xf numFmtId="0" fontId="38" fillId="0" borderId="0" xfId="19" applyFont="1" applyAlignment="1" applyProtection="1">
      <alignment horizontal="left"/>
    </xf>
    <xf numFmtId="0" fontId="17" fillId="0" borderId="0" xfId="19" applyFont="1" applyProtection="1"/>
    <xf numFmtId="49" fontId="3" fillId="0" borderId="23" xfId="19" applyNumberFormat="1" applyFill="1" applyBorder="1" applyAlignment="1" applyProtection="1">
      <alignment horizontal="center"/>
    </xf>
    <xf numFmtId="0" fontId="3" fillId="0" borderId="23" xfId="19" applyBorder="1" applyAlignment="1" applyProtection="1">
      <alignment horizontal="right"/>
    </xf>
    <xf numFmtId="43" fontId="3" fillId="0" borderId="12" xfId="1" applyBorder="1" applyProtection="1"/>
    <xf numFmtId="0" fontId="3" fillId="0" borderId="31" xfId="19" applyBorder="1" applyAlignment="1" applyProtection="1">
      <alignment horizontal="right"/>
    </xf>
    <xf numFmtId="49" fontId="10" fillId="0" borderId="0" xfId="19" applyNumberFormat="1" applyFont="1" applyBorder="1" applyAlignment="1" applyProtection="1">
      <alignment horizontal="left"/>
    </xf>
    <xf numFmtId="0" fontId="10" fillId="0" borderId="0" xfId="19" applyFont="1" applyBorder="1" applyProtection="1"/>
    <xf numFmtId="0" fontId="10" fillId="0" borderId="0" xfId="19" applyFont="1" applyBorder="1" applyAlignment="1" applyProtection="1">
      <alignment horizontal="right"/>
    </xf>
    <xf numFmtId="0" fontId="6" fillId="0" borderId="0" xfId="19" applyFont="1" applyFill="1" applyAlignment="1" applyProtection="1">
      <alignment horizontal="center"/>
    </xf>
    <xf numFmtId="43" fontId="3" fillId="0" borderId="29" xfId="1" applyFill="1" applyBorder="1" applyAlignment="1" applyProtection="1">
      <alignment horizontal="right"/>
    </xf>
    <xf numFmtId="0" fontId="3" fillId="0" borderId="19" xfId="19" applyFill="1" applyBorder="1" applyAlignment="1" applyProtection="1">
      <alignment horizontal="right"/>
    </xf>
    <xf numFmtId="0" fontId="3" fillId="0" borderId="26" xfId="19" applyFont="1" applyFill="1" applyBorder="1" applyProtection="1"/>
    <xf numFmtId="0" fontId="3" fillId="0" borderId="23" xfId="19" applyFont="1" applyFill="1" applyBorder="1" applyProtection="1"/>
    <xf numFmtId="43" fontId="3" fillId="0" borderId="19" xfId="1" applyFill="1" applyBorder="1" applyAlignment="1" applyProtection="1">
      <alignment horizontal="right"/>
    </xf>
    <xf numFmtId="0" fontId="3" fillId="0" borderId="31" xfId="19" applyFill="1" applyBorder="1" applyProtection="1"/>
    <xf numFmtId="0" fontId="3" fillId="0" borderId="30" xfId="19" applyFill="1" applyBorder="1" applyProtection="1"/>
    <xf numFmtId="0" fontId="6" fillId="0" borderId="0" xfId="19" applyFont="1" applyAlignment="1" applyProtection="1">
      <alignment horizontal="center"/>
    </xf>
    <xf numFmtId="0" fontId="3" fillId="0" borderId="1" xfId="19" applyBorder="1" applyProtection="1"/>
    <xf numFmtId="43" fontId="3" fillId="0" borderId="29" xfId="1" applyBorder="1" applyAlignment="1" applyProtection="1">
      <alignment horizontal="right"/>
    </xf>
    <xf numFmtId="43" fontId="3" fillId="0" borderId="20" xfId="1" applyBorder="1" applyAlignment="1" applyProtection="1">
      <alignment horizontal="right"/>
    </xf>
    <xf numFmtId="0" fontId="3" fillId="0" borderId="26" xfId="19" applyBorder="1" applyProtection="1"/>
    <xf numFmtId="0" fontId="3" fillId="0" borderId="19" xfId="19" applyBorder="1" applyAlignment="1" applyProtection="1">
      <alignment horizontal="right"/>
    </xf>
    <xf numFmtId="43" fontId="3" fillId="0" borderId="19" xfId="19" applyNumberFormat="1" applyBorder="1" applyProtection="1"/>
    <xf numFmtId="0" fontId="3" fillId="0" borderId="18" xfId="19" applyFont="1" applyFill="1" applyBorder="1" applyProtection="1"/>
    <xf numFmtId="43" fontId="3" fillId="0" borderId="20" xfId="19" applyNumberFormat="1" applyBorder="1" applyProtection="1"/>
    <xf numFmtId="0" fontId="3" fillId="0" borderId="30" xfId="19" applyBorder="1" applyProtection="1"/>
    <xf numFmtId="0" fontId="3" fillId="0" borderId="2" xfId="19" applyFont="1" applyFill="1" applyBorder="1" applyAlignment="1" applyProtection="1">
      <alignment horizontal="center" vertical="center"/>
    </xf>
    <xf numFmtId="0" fontId="3" fillId="0" borderId="37" xfId="19" applyBorder="1" applyAlignment="1" applyProtection="1">
      <alignment horizontal="center" vertical="center" wrapText="1"/>
    </xf>
    <xf numFmtId="0" fontId="3" fillId="0" borderId="23" xfId="19" applyBorder="1" applyProtection="1">
      <protection locked="0"/>
    </xf>
    <xf numFmtId="0" fontId="3" fillId="0" borderId="18" xfId="19" applyBorder="1" applyAlignment="1" applyProtection="1">
      <alignment horizontal="right"/>
    </xf>
    <xf numFmtId="0" fontId="3" fillId="0" borderId="3" xfId="19" applyBorder="1" applyAlignment="1" applyProtection="1">
      <alignment horizontal="right"/>
    </xf>
    <xf numFmtId="0" fontId="16" fillId="0" borderId="5" xfId="19" applyFont="1" applyBorder="1" applyProtection="1"/>
    <xf numFmtId="0" fontId="3" fillId="0" borderId="5" xfId="19" applyBorder="1" applyProtection="1"/>
    <xf numFmtId="0" fontId="3" fillId="0" borderId="38" xfId="19" applyBorder="1" applyProtection="1"/>
    <xf numFmtId="0" fontId="16" fillId="0" borderId="26" xfId="19" applyFont="1" applyBorder="1" applyProtection="1"/>
    <xf numFmtId="0" fontId="3" fillId="0" borderId="26" xfId="19" applyBorder="1" applyAlignment="1" applyProtection="1">
      <alignment horizontal="right"/>
    </xf>
    <xf numFmtId="0" fontId="3" fillId="0" borderId="0" xfId="19" applyFont="1" applyFill="1" applyAlignment="1" applyProtection="1">
      <alignment horizontal="center"/>
    </xf>
    <xf numFmtId="0" fontId="3" fillId="0" borderId="8" xfId="19" applyFill="1" applyBorder="1" applyAlignment="1" applyProtection="1">
      <alignment horizontal="center"/>
    </xf>
    <xf numFmtId="43" fontId="3" fillId="0" borderId="8" xfId="1" applyFill="1" applyBorder="1" applyProtection="1"/>
    <xf numFmtId="14" fontId="3" fillId="0" borderId="18" xfId="19" quotePrefix="1" applyNumberFormat="1" applyFill="1" applyBorder="1" applyProtection="1"/>
    <xf numFmtId="0" fontId="3" fillId="0" borderId="3" xfId="19" quotePrefix="1" applyFont="1" applyFill="1" applyBorder="1" applyProtection="1"/>
    <xf numFmtId="43" fontId="0" fillId="0" borderId="30" xfId="1" applyFont="1" applyFill="1" applyBorder="1" applyProtection="1"/>
    <xf numFmtId="0" fontId="3" fillId="0" borderId="37" xfId="19" applyFill="1" applyBorder="1" applyAlignment="1" applyProtection="1">
      <alignment horizontal="center" vertical="center" wrapText="1"/>
    </xf>
    <xf numFmtId="43" fontId="3" fillId="0" borderId="20" xfId="1" applyFill="1" applyBorder="1" applyProtection="1"/>
    <xf numFmtId="0" fontId="3" fillId="3" borderId="23" xfId="19" applyFill="1" applyBorder="1" applyProtection="1"/>
    <xf numFmtId="0" fontId="3" fillId="3" borderId="31" xfId="19" applyFill="1" applyBorder="1" applyAlignment="1" applyProtection="1">
      <alignment horizontal="right"/>
    </xf>
    <xf numFmtId="0" fontId="3" fillId="3" borderId="11" xfId="19" applyFill="1" applyBorder="1" applyProtection="1"/>
    <xf numFmtId="0" fontId="3" fillId="3" borderId="14" xfId="19" applyFill="1" applyBorder="1" applyProtection="1"/>
    <xf numFmtId="43" fontId="3" fillId="0" borderId="35" xfId="1" applyBorder="1" applyProtection="1">
      <protection locked="0"/>
    </xf>
    <xf numFmtId="0" fontId="16" fillId="0" borderId="0" xfId="19" applyFont="1" applyProtection="1"/>
    <xf numFmtId="0" fontId="3" fillId="0" borderId="9" xfId="19" applyBorder="1" applyAlignment="1" applyProtection="1">
      <alignment horizontal="center"/>
    </xf>
    <xf numFmtId="14" fontId="3" fillId="0" borderId="18" xfId="19" quotePrefix="1" applyNumberFormat="1" applyBorder="1" applyProtection="1"/>
    <xf numFmtId="0" fontId="3" fillId="0" borderId="3" xfId="19" quotePrefix="1" applyBorder="1" applyProtection="1"/>
    <xf numFmtId="43" fontId="3" fillId="0" borderId="0" xfId="19" applyNumberFormat="1" applyFill="1" applyBorder="1" applyAlignment="1" applyProtection="1">
      <alignment horizontal="center"/>
    </xf>
    <xf numFmtId="43" fontId="3" fillId="0" borderId="20" xfId="1" applyBorder="1" applyProtection="1"/>
    <xf numFmtId="43" fontId="3" fillId="0" borderId="0" xfId="19" applyNumberFormat="1" applyBorder="1" applyAlignment="1" applyProtection="1">
      <alignment horizontal="center"/>
    </xf>
    <xf numFmtId="0" fontId="3" fillId="0" borderId="29" xfId="19" applyBorder="1" applyProtection="1"/>
    <xf numFmtId="0" fontId="3" fillId="0" borderId="4" xfId="19" applyFill="1" applyBorder="1" applyAlignment="1" applyProtection="1">
      <alignment horizontal="center"/>
      <protection locked="0"/>
    </xf>
    <xf numFmtId="0" fontId="3" fillId="0" borderId="19" xfId="19" applyFill="1" applyBorder="1" applyProtection="1"/>
    <xf numFmtId="43" fontId="3" fillId="0" borderId="33" xfId="1" applyFill="1" applyBorder="1" applyAlignment="1" applyProtection="1"/>
    <xf numFmtId="43" fontId="3" fillId="0" borderId="47" xfId="1" applyFill="1" applyBorder="1" applyAlignment="1" applyProtection="1"/>
    <xf numFmtId="49" fontId="38" fillId="0" borderId="0" xfId="19" applyNumberFormat="1" applyFont="1" applyFill="1" applyAlignment="1" applyProtection="1">
      <alignment horizontal="left"/>
    </xf>
    <xf numFmtId="0" fontId="38" fillId="0" borderId="0" xfId="19" applyFont="1" applyFill="1" applyAlignment="1" applyProtection="1">
      <alignment horizontal="right"/>
    </xf>
    <xf numFmtId="0" fontId="38" fillId="0" borderId="0" xfId="19" applyFont="1" applyFill="1" applyAlignment="1" applyProtection="1">
      <alignment horizontal="left"/>
    </xf>
    <xf numFmtId="49" fontId="10" fillId="0" borderId="0" xfId="19" applyNumberFormat="1" applyFont="1" applyAlignment="1" applyProtection="1">
      <alignment horizontal="left"/>
    </xf>
    <xf numFmtId="0" fontId="10" fillId="0" borderId="0" xfId="19" applyFont="1" applyAlignment="1" applyProtection="1">
      <alignment horizontal="right"/>
    </xf>
    <xf numFmtId="43" fontId="3" fillId="0" borderId="47" xfId="1" applyFill="1" applyBorder="1" applyProtection="1"/>
    <xf numFmtId="49" fontId="3" fillId="2" borderId="3" xfId="19" applyNumberFormat="1" applyFill="1" applyBorder="1" applyAlignment="1" applyProtection="1">
      <alignment horizontal="left"/>
    </xf>
    <xf numFmtId="0" fontId="3" fillId="2" borderId="3" xfId="19" applyFill="1" applyBorder="1" applyProtection="1"/>
    <xf numFmtId="0" fontId="3" fillId="2" borderId="20" xfId="19" applyFill="1" applyBorder="1" applyProtection="1"/>
    <xf numFmtId="43" fontId="3" fillId="2" borderId="7" xfId="1" applyFill="1" applyBorder="1" applyProtection="1"/>
    <xf numFmtId="43" fontId="3" fillId="2" borderId="17" xfId="1" applyFill="1" applyBorder="1" applyProtection="1"/>
    <xf numFmtId="49" fontId="3" fillId="2" borderId="3" xfId="19" quotePrefix="1" applyNumberFormat="1" applyFill="1" applyBorder="1" applyAlignment="1" applyProtection="1">
      <alignment horizontal="left"/>
    </xf>
    <xf numFmtId="43" fontId="0" fillId="2" borderId="7" xfId="1" applyFont="1" applyFill="1" applyBorder="1" applyProtection="1"/>
    <xf numFmtId="43" fontId="3" fillId="2" borderId="6" xfId="1" applyFill="1" applyBorder="1" applyProtection="1"/>
    <xf numFmtId="0" fontId="3" fillId="2" borderId="20" xfId="19" applyFill="1" applyBorder="1" applyAlignment="1" applyProtection="1">
      <alignment horizontal="right"/>
    </xf>
    <xf numFmtId="43" fontId="3" fillId="2" borderId="25" xfId="1" applyFill="1" applyBorder="1" applyProtection="1"/>
    <xf numFmtId="43" fontId="3" fillId="2" borderId="50" xfId="1" applyFill="1" applyBorder="1" applyProtection="1"/>
    <xf numFmtId="43" fontId="3" fillId="0" borderId="0" xfId="1" applyProtection="1"/>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43" fontId="0" fillId="0" borderId="2" xfId="1" applyFont="1" applyBorder="1" applyAlignment="1">
      <alignment horizontal="center" vertical="center"/>
    </xf>
    <xf numFmtId="0" fontId="70" fillId="0" borderId="0" xfId="0" applyFont="1"/>
    <xf numFmtId="43" fontId="3" fillId="2" borderId="3" xfId="1" applyFont="1" applyFill="1" applyBorder="1" applyAlignment="1" applyProtection="1">
      <alignment horizontal="center"/>
      <protection locked="0"/>
    </xf>
    <xf numFmtId="0" fontId="0" fillId="0" borderId="8" xfId="0" applyFill="1" applyBorder="1" applyProtection="1"/>
    <xf numFmtId="0" fontId="0" fillId="0" borderId="8" xfId="0" applyFill="1" applyBorder="1" applyProtection="1">
      <protection locked="0"/>
    </xf>
    <xf numFmtId="0" fontId="3" fillId="0" borderId="8" xfId="0" applyFont="1" applyBorder="1"/>
    <xf numFmtId="0" fontId="0" fillId="0" borderId="23" xfId="0" applyFill="1" applyBorder="1" applyAlignment="1" applyProtection="1"/>
    <xf numFmtId="0" fontId="0" fillId="0" borderId="23" xfId="0" applyFill="1" applyBorder="1" applyAlignment="1" applyProtection="1">
      <protection locked="0"/>
    </xf>
    <xf numFmtId="0" fontId="0" fillId="2" borderId="25" xfId="0" applyFill="1" applyBorder="1" applyAlignment="1" applyProtection="1">
      <alignment horizontal="center"/>
      <protection locked="0"/>
    </xf>
    <xf numFmtId="43" fontId="0" fillId="2" borderId="25" xfId="1" applyFont="1" applyFill="1" applyBorder="1" applyAlignment="1" applyProtection="1">
      <alignment horizontal="center"/>
      <protection locked="0"/>
    </xf>
    <xf numFmtId="166" fontId="0" fillId="2" borderId="50" xfId="0" applyNumberFormat="1" applyFill="1" applyBorder="1" applyAlignment="1" applyProtection="1">
      <alignment horizontal="center"/>
      <protection locked="0"/>
    </xf>
    <xf numFmtId="14" fontId="3" fillId="2" borderId="33" xfId="19" applyNumberFormat="1" applyFill="1" applyBorder="1" applyAlignment="1" applyProtection="1">
      <protection locked="0"/>
    </xf>
    <xf numFmtId="14" fontId="3" fillId="2" borderId="7" xfId="19" applyNumberFormat="1" applyFill="1" applyBorder="1" applyAlignment="1" applyProtection="1">
      <protection locked="0"/>
    </xf>
    <xf numFmtId="0" fontId="3" fillId="2" borderId="7" xfId="19" applyFill="1" applyBorder="1" applyAlignment="1" applyProtection="1">
      <protection locked="0"/>
    </xf>
    <xf numFmtId="0" fontId="3" fillId="2" borderId="6" xfId="19" applyFill="1" applyBorder="1" applyAlignment="1" applyProtection="1">
      <protection locked="0"/>
    </xf>
    <xf numFmtId="49" fontId="3" fillId="0" borderId="23" xfId="19" applyNumberFormat="1" applyBorder="1" applyAlignment="1" applyProtection="1">
      <alignment horizontal="center"/>
      <protection locked="0"/>
    </xf>
    <xf numFmtId="0" fontId="3" fillId="3" borderId="23" xfId="19" applyFill="1" applyBorder="1" applyProtection="1">
      <protection locked="0"/>
    </xf>
    <xf numFmtId="0" fontId="3" fillId="3" borderId="31" xfId="19" applyFill="1" applyBorder="1" applyAlignment="1" applyProtection="1">
      <alignment horizontal="right"/>
      <protection locked="0"/>
    </xf>
    <xf numFmtId="49" fontId="3" fillId="2" borderId="20" xfId="19" applyNumberFormat="1" applyFill="1" applyBorder="1" applyAlignment="1" applyProtection="1">
      <alignment horizontal="left"/>
      <protection locked="0"/>
    </xf>
    <xf numFmtId="43" fontId="3" fillId="0" borderId="20" xfId="1" applyFill="1" applyBorder="1" applyAlignment="1" applyProtection="1">
      <alignment horizontal="center"/>
    </xf>
    <xf numFmtId="0" fontId="22" fillId="0" borderId="0" xfId="19" applyFont="1" applyFill="1" applyBorder="1" applyProtection="1"/>
    <xf numFmtId="0" fontId="3" fillId="0" borderId="0" xfId="19" applyFont="1" applyFill="1" applyBorder="1" applyProtection="1"/>
    <xf numFmtId="0" fontId="3"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2" borderId="20" xfId="0" applyFill="1" applyBorder="1" applyAlignment="1" applyProtection="1">
      <alignment horizontal="center"/>
      <protection locked="0"/>
    </xf>
    <xf numFmtId="0" fontId="0" fillId="0" borderId="21" xfId="0" applyBorder="1" applyAlignment="1">
      <alignment horizontal="center" vertical="center"/>
    </xf>
    <xf numFmtId="0" fontId="71" fillId="0" borderId="0" xfId="0" applyFont="1"/>
    <xf numFmtId="43" fontId="13" fillId="0" borderId="26" xfId="1" applyFont="1" applyFill="1" applyBorder="1" applyProtection="1"/>
    <xf numFmtId="43" fontId="13" fillId="2" borderId="26" xfId="1" applyFont="1" applyFill="1" applyBorder="1" applyProtection="1">
      <protection locked="0"/>
    </xf>
    <xf numFmtId="43" fontId="13" fillId="2" borderId="32" xfId="1" applyFont="1" applyFill="1" applyBorder="1" applyProtection="1">
      <protection locked="0"/>
    </xf>
    <xf numFmtId="43" fontId="13" fillId="0" borderId="27" xfId="1" applyFont="1" applyFill="1" applyBorder="1" applyProtection="1"/>
    <xf numFmtId="43" fontId="3" fillId="2" borderId="27" xfId="1" applyFont="1" applyFill="1" applyBorder="1" applyProtection="1">
      <protection locked="0"/>
    </xf>
    <xf numFmtId="0" fontId="72" fillId="0" borderId="0" xfId="85" applyFont="1" applyAlignment="1">
      <alignment horizontal="left"/>
    </xf>
    <xf numFmtId="0" fontId="3" fillId="0" borderId="51" xfId="19" applyBorder="1"/>
    <xf numFmtId="0" fontId="3" fillId="0" borderId="65" xfId="19" applyBorder="1"/>
    <xf numFmtId="0" fontId="6" fillId="0" borderId="0" xfId="19" applyFont="1" applyAlignment="1">
      <alignment horizontal="center" vertical="center" wrapText="1"/>
    </xf>
    <xf numFmtId="0" fontId="3" fillId="0" borderId="66" xfId="19" applyBorder="1" applyAlignment="1">
      <alignment horizontal="center"/>
    </xf>
    <xf numFmtId="0" fontId="3" fillId="0" borderId="0" xfId="19" applyAlignment="1">
      <alignment horizontal="center" vertical="center" wrapText="1"/>
    </xf>
    <xf numFmtId="0" fontId="17" fillId="0" borderId="12" xfId="19" applyFont="1" applyBorder="1" applyAlignment="1">
      <alignment horizontal="center"/>
    </xf>
    <xf numFmtId="0" fontId="3" fillId="0" borderId="67" xfId="19" applyBorder="1"/>
    <xf numFmtId="49" fontId="3" fillId="0" borderId="18" xfId="19" applyNumberFormat="1" applyBorder="1" applyAlignment="1">
      <alignment horizontal="center"/>
    </xf>
    <xf numFmtId="14" fontId="3" fillId="2" borderId="33" xfId="19" applyNumberFormat="1" applyFill="1" applyBorder="1" applyProtection="1">
      <protection locked="0"/>
    </xf>
    <xf numFmtId="14" fontId="3" fillId="2" borderId="33" xfId="1" applyNumberFormat="1" applyFill="1" applyBorder="1" applyProtection="1">
      <protection locked="0"/>
    </xf>
    <xf numFmtId="14" fontId="3" fillId="2" borderId="28" xfId="1" applyNumberFormat="1" applyFill="1" applyBorder="1" applyProtection="1">
      <protection locked="0"/>
    </xf>
    <xf numFmtId="14" fontId="3" fillId="2" borderId="93" xfId="19" applyNumberFormat="1" applyFill="1" applyBorder="1" applyProtection="1">
      <protection locked="0"/>
    </xf>
    <xf numFmtId="49" fontId="3" fillId="0" borderId="3" xfId="19" applyNumberFormat="1" applyBorder="1" applyAlignment="1">
      <alignment horizontal="center"/>
    </xf>
    <xf numFmtId="49" fontId="3" fillId="2" borderId="3" xfId="19" applyNumberFormat="1" applyFill="1" applyBorder="1" applyProtection="1">
      <protection locked="0"/>
    </xf>
    <xf numFmtId="14" fontId="3" fillId="2" borderId="7" xfId="19" applyNumberFormat="1" applyFill="1" applyBorder="1" applyProtection="1">
      <protection locked="0"/>
    </xf>
    <xf numFmtId="14" fontId="3" fillId="2" borderId="7" xfId="1" applyNumberFormat="1" applyFill="1" applyBorder="1" applyProtection="1">
      <protection locked="0"/>
    </xf>
    <xf numFmtId="43" fontId="3" fillId="2" borderId="7" xfId="1" applyFill="1" applyBorder="1" applyAlignment="1" applyProtection="1">
      <alignment horizontal="center"/>
      <protection locked="0"/>
    </xf>
    <xf numFmtId="14" fontId="3" fillId="2" borderId="68" xfId="19" applyNumberFormat="1" applyFill="1" applyBorder="1" applyProtection="1">
      <protection locked="0"/>
    </xf>
    <xf numFmtId="49" fontId="3" fillId="0" borderId="3" xfId="19" applyNumberFormat="1" applyBorder="1" applyAlignment="1">
      <alignment horizontal="left"/>
    </xf>
    <xf numFmtId="0" fontId="3" fillId="0" borderId="7" xfId="19" applyBorder="1"/>
    <xf numFmtId="10" fontId="3" fillId="0" borderId="7" xfId="13" applyNumberFormat="1" applyBorder="1"/>
    <xf numFmtId="43" fontId="3" fillId="0" borderId="29" xfId="1" applyBorder="1"/>
    <xf numFmtId="0" fontId="3" fillId="0" borderId="68" xfId="19" applyBorder="1"/>
    <xf numFmtId="10" fontId="3" fillId="0" borderId="0" xfId="13" applyNumberFormat="1"/>
    <xf numFmtId="49" fontId="10" fillId="0" borderId="0" xfId="19" applyNumberFormat="1" applyFont="1" applyAlignment="1">
      <alignment horizontal="center"/>
    </xf>
    <xf numFmtId="0" fontId="15" fillId="0" borderId="0" xfId="19" applyFont="1"/>
    <xf numFmtId="0" fontId="38" fillId="0" borderId="0" xfId="19" applyFont="1"/>
    <xf numFmtId="0" fontId="15" fillId="0" borderId="0" xfId="19" applyFont="1" applyAlignment="1">
      <alignment horizontal="left"/>
    </xf>
    <xf numFmtId="43" fontId="3" fillId="0" borderId="0" xfId="1" applyProtection="1">
      <protection locked="0"/>
    </xf>
    <xf numFmtId="43" fontId="3" fillId="0" borderId="0" xfId="0" quotePrefix="1" applyNumberFormat="1" applyFont="1"/>
    <xf numFmtId="0" fontId="3" fillId="0" borderId="8" xfId="0" applyFont="1" applyBorder="1" applyProtection="1"/>
    <xf numFmtId="0" fontId="0" fillId="2" borderId="3" xfId="0" applyFill="1" applyBorder="1" applyAlignment="1" applyProtection="1">
      <alignment horizontal="center"/>
      <protection locked="0"/>
    </xf>
    <xf numFmtId="0" fontId="23" fillId="0" borderId="0" xfId="0" applyFont="1" applyAlignment="1">
      <alignment horizontal="center" vertical="center" textRotation="180" wrapText="1"/>
    </xf>
    <xf numFmtId="0" fontId="0" fillId="0" borderId="0" xfId="0" applyAlignment="1" applyProtection="1">
      <alignment horizontal="center"/>
    </xf>
    <xf numFmtId="0" fontId="0" fillId="2" borderId="20" xfId="0" applyFill="1" applyBorder="1" applyAlignment="1" applyProtection="1">
      <alignment horizontal="center"/>
      <protection locked="0"/>
    </xf>
    <xf numFmtId="43" fontId="3" fillId="2" borderId="33" xfId="1" applyFont="1" applyFill="1" applyBorder="1" applyAlignment="1" applyProtection="1">
      <protection locked="0"/>
    </xf>
    <xf numFmtId="43" fontId="3" fillId="2" borderId="47" xfId="1" applyFont="1" applyFill="1" applyBorder="1" applyAlignment="1" applyProtection="1">
      <protection locked="0"/>
    </xf>
    <xf numFmtId="43" fontId="3" fillId="2" borderId="6" xfId="1" applyFont="1" applyFill="1" applyBorder="1" applyProtection="1">
      <protection locked="0"/>
    </xf>
    <xf numFmtId="43" fontId="3" fillId="2" borderId="25" xfId="1" applyFont="1" applyFill="1" applyBorder="1" applyProtection="1">
      <protection locked="0"/>
    </xf>
    <xf numFmtId="43" fontId="3" fillId="2" borderId="50" xfId="1" applyFont="1" applyFill="1" applyBorder="1" applyProtection="1">
      <protection locked="0"/>
    </xf>
    <xf numFmtId="43" fontId="3" fillId="0" borderId="33" xfId="1" applyFont="1" applyBorder="1" applyAlignment="1"/>
    <xf numFmtId="43" fontId="3" fillId="0" borderId="47" xfId="1" applyFont="1" applyBorder="1" applyAlignment="1"/>
    <xf numFmtId="43" fontId="3" fillId="0" borderId="11" xfId="1" applyFont="1" applyBorder="1"/>
    <xf numFmtId="43" fontId="3" fillId="0" borderId="14" xfId="1" applyFont="1" applyBorder="1"/>
    <xf numFmtId="43" fontId="3" fillId="0" borderId="25" xfId="1" applyFont="1" applyBorder="1"/>
    <xf numFmtId="43" fontId="3" fillId="0" borderId="50" xfId="1" applyFont="1" applyBorder="1"/>
    <xf numFmtId="10" fontId="0" fillId="0" borderId="26" xfId="13" applyNumberFormat="1" applyFont="1" applyBorder="1" applyAlignment="1">
      <alignment horizontal="center"/>
    </xf>
    <xf numFmtId="0" fontId="3" fillId="0" borderId="0" xfId="0" applyFont="1" applyBorder="1" applyProtection="1"/>
    <xf numFmtId="10" fontId="17" fillId="0" borderId="42" xfId="13" applyNumberFormat="1" applyFont="1" applyBorder="1" applyAlignment="1">
      <alignment horizontal="center"/>
    </xf>
    <xf numFmtId="43" fontId="17" fillId="0" borderId="42" xfId="1" applyFont="1" applyBorder="1" applyAlignment="1">
      <alignment horizontal="center"/>
    </xf>
    <xf numFmtId="43" fontId="3" fillId="0" borderId="24" xfId="1" applyFill="1" applyBorder="1" applyProtection="1"/>
    <xf numFmtId="43" fontId="0" fillId="2" borderId="47" xfId="1" applyFont="1" applyFill="1" applyBorder="1" applyAlignment="1" applyProtection="1">
      <alignment horizontal="center"/>
      <protection locked="0"/>
    </xf>
    <xf numFmtId="43" fontId="0" fillId="2" borderId="17" xfId="1" applyFont="1" applyFill="1" applyBorder="1" applyProtection="1">
      <protection locked="0"/>
    </xf>
    <xf numFmtId="43" fontId="3" fillId="2" borderId="47" xfId="1" applyFill="1" applyBorder="1" applyAlignment="1" applyProtection="1">
      <alignment horizontal="center"/>
      <protection locked="0"/>
    </xf>
    <xf numFmtId="0" fontId="73" fillId="0" borderId="0" xfId="85" applyFont="1"/>
    <xf numFmtId="0" fontId="73" fillId="0" borderId="0" xfId="85" applyFont="1" applyAlignment="1">
      <alignment wrapText="1"/>
    </xf>
    <xf numFmtId="0" fontId="73" fillId="0" borderId="0" xfId="85" applyFont="1" applyAlignment="1">
      <alignment horizontal="right" vertical="center"/>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43" fontId="3" fillId="0" borderId="34" xfId="1" applyFont="1" applyFill="1" applyBorder="1" applyProtection="1"/>
    <xf numFmtId="43" fontId="0" fillId="0" borderId="80" xfId="1" applyFont="1" applyFill="1" applyBorder="1" applyProtection="1"/>
    <xf numFmtId="0" fontId="13" fillId="2" borderId="3" xfId="0" applyFont="1" applyFill="1" applyBorder="1" applyAlignment="1" applyProtection="1">
      <protection locked="0"/>
    </xf>
    <xf numFmtId="0" fontId="13" fillId="2" borderId="20" xfId="0" applyFont="1" applyFill="1" applyBorder="1" applyAlignment="1" applyProtection="1">
      <protection locked="0"/>
    </xf>
    <xf numFmtId="49" fontId="0" fillId="2" borderId="3" xfId="0" applyNumberFormat="1" applyFill="1" applyBorder="1" applyAlignment="1" applyProtection="1">
      <protection locked="0"/>
    </xf>
    <xf numFmtId="49" fontId="0" fillId="2" borderId="20" xfId="0" applyNumberFormat="1" applyFill="1" applyBorder="1" applyAlignment="1" applyProtection="1">
      <protection locked="0"/>
    </xf>
    <xf numFmtId="0" fontId="3" fillId="0" borderId="0" xfId="0" applyFont="1" applyAlignment="1"/>
    <xf numFmtId="49" fontId="3" fillId="0" borderId="102" xfId="0" quotePrefix="1" applyNumberFormat="1" applyFont="1" applyFill="1" applyBorder="1" applyAlignment="1">
      <alignment horizontal="center"/>
    </xf>
    <xf numFmtId="0" fontId="17" fillId="0" borderId="0" xfId="0" applyFont="1" applyBorder="1" applyAlignment="1">
      <alignment horizontal="center"/>
    </xf>
    <xf numFmtId="0" fontId="3" fillId="0" borderId="0" xfId="0" applyFont="1" applyBorder="1" applyAlignment="1"/>
    <xf numFmtId="0" fontId="3" fillId="0" borderId="57" xfId="0" applyFont="1" applyFill="1" applyBorder="1"/>
    <xf numFmtId="0" fontId="3" fillId="0" borderId="57" xfId="0" applyFont="1" applyBorder="1"/>
    <xf numFmtId="0" fontId="3" fillId="0" borderId="59" xfId="0" applyFont="1" applyBorder="1"/>
    <xf numFmtId="0" fontId="17" fillId="4" borderId="105" xfId="0" applyFont="1" applyFill="1" applyBorder="1"/>
    <xf numFmtId="0" fontId="17" fillId="4" borderId="106" xfId="0" applyFont="1" applyFill="1" applyBorder="1"/>
    <xf numFmtId="0" fontId="3" fillId="0" borderId="54" xfId="0" applyFont="1" applyBorder="1"/>
    <xf numFmtId="49" fontId="17" fillId="4" borderId="105" xfId="0" quotePrefix="1" applyNumberFormat="1" applyFont="1" applyFill="1" applyBorder="1" applyAlignment="1">
      <alignment horizontal="center"/>
    </xf>
    <xf numFmtId="0" fontId="17" fillId="4" borderId="105" xfId="0" applyFont="1" applyFill="1" applyBorder="1" applyAlignment="1">
      <alignment horizontal="center"/>
    </xf>
    <xf numFmtId="14" fontId="3" fillId="0" borderId="110" xfId="0" applyNumberFormat="1" applyFont="1" applyFill="1" applyBorder="1"/>
    <xf numFmtId="14" fontId="3" fillId="0" borderId="111" xfId="0" applyNumberFormat="1" applyFont="1" applyFill="1" applyBorder="1"/>
    <xf numFmtId="1" fontId="3" fillId="0" borderId="111" xfId="0" applyNumberFormat="1" applyFont="1" applyFill="1" applyBorder="1"/>
    <xf numFmtId="1" fontId="3" fillId="0" borderId="112" xfId="0" applyNumberFormat="1" applyFont="1" applyFill="1" applyBorder="1"/>
    <xf numFmtId="0" fontId="0" fillId="0" borderId="113" xfId="0" applyBorder="1"/>
    <xf numFmtId="0" fontId="3" fillId="0" borderId="113" xfId="0" applyFont="1" applyBorder="1"/>
    <xf numFmtId="0" fontId="0" fillId="0" borderId="56" xfId="0" applyBorder="1" applyProtection="1">
      <protection locked="0"/>
    </xf>
    <xf numFmtId="0" fontId="3" fillId="0" borderId="114" xfId="0" applyFont="1" applyFill="1" applyBorder="1"/>
    <xf numFmtId="0" fontId="0" fillId="0" borderId="115" xfId="0" applyFill="1" applyBorder="1"/>
    <xf numFmtId="0" fontId="0" fillId="0" borderId="116" xfId="0" applyFill="1" applyBorder="1"/>
    <xf numFmtId="0" fontId="0" fillId="0" borderId="58" xfId="0" applyFill="1" applyBorder="1"/>
    <xf numFmtId="14" fontId="0" fillId="2" borderId="118" xfId="0" applyNumberFormat="1" applyFill="1" applyBorder="1" applyProtection="1">
      <protection locked="0"/>
    </xf>
    <xf numFmtId="0" fontId="0" fillId="0" borderId="61" xfId="0" applyFill="1" applyBorder="1"/>
    <xf numFmtId="0" fontId="13" fillId="0" borderId="54" xfId="38" applyBorder="1"/>
    <xf numFmtId="0" fontId="3" fillId="0" borderId="117" xfId="0" applyFont="1" applyFill="1" applyBorder="1"/>
    <xf numFmtId="0" fontId="13" fillId="0" borderId="57" xfId="38" applyBorder="1"/>
    <xf numFmtId="0" fontId="3" fillId="0" borderId="115" xfId="0" applyFont="1" applyFill="1" applyBorder="1"/>
    <xf numFmtId="0" fontId="13" fillId="0" borderId="59" xfId="38" applyBorder="1"/>
    <xf numFmtId="0" fontId="0" fillId="2" borderId="119" xfId="0" applyNumberFormat="1" applyFill="1" applyBorder="1" applyAlignment="1" applyProtection="1">
      <alignment horizontal="center"/>
      <protection locked="0"/>
    </xf>
    <xf numFmtId="0" fontId="0" fillId="0" borderId="107" xfId="0" applyNumberFormat="1" applyFill="1" applyBorder="1" applyAlignment="1">
      <alignment horizontal="center"/>
    </xf>
    <xf numFmtId="0" fontId="0" fillId="0" borderId="108" xfId="0" applyNumberFormat="1" applyFill="1" applyBorder="1" applyAlignment="1">
      <alignment horizontal="center"/>
    </xf>
    <xf numFmtId="37" fontId="0" fillId="0" borderId="117" xfId="0" applyNumberFormat="1" applyFill="1" applyBorder="1" applyAlignment="1">
      <alignment horizontal="center"/>
    </xf>
    <xf numFmtId="37" fontId="0" fillId="2" borderId="115" xfId="0" applyNumberFormat="1" applyFill="1" applyBorder="1" applyAlignment="1" applyProtection="1">
      <alignment horizontal="center"/>
      <protection locked="0"/>
    </xf>
    <xf numFmtId="0" fontId="0" fillId="0" borderId="61" xfId="0" applyBorder="1" applyAlignment="1">
      <alignment horizontal="center"/>
    </xf>
    <xf numFmtId="0" fontId="75" fillId="0" borderId="105" xfId="0" applyFont="1" applyFill="1" applyBorder="1"/>
    <xf numFmtId="0" fontId="0" fillId="2" borderId="120" xfId="0" applyNumberFormat="1" applyFill="1" applyBorder="1" applyAlignment="1" applyProtection="1">
      <alignment horizontal="left"/>
      <protection locked="0"/>
    </xf>
    <xf numFmtId="0" fontId="3" fillId="2" borderId="121" xfId="0" applyNumberFormat="1" applyFont="1" applyFill="1" applyBorder="1" applyAlignment="1" applyProtection="1">
      <alignment horizontal="left"/>
      <protection locked="0"/>
    </xf>
    <xf numFmtId="0" fontId="0" fillId="2" borderId="105" xfId="0" applyFill="1" applyBorder="1" applyAlignment="1" applyProtection="1">
      <alignment horizontal="center"/>
      <protection locked="0"/>
    </xf>
    <xf numFmtId="0" fontId="3" fillId="0" borderId="54" xfId="0" applyFont="1" applyBorder="1" applyAlignment="1"/>
    <xf numFmtId="0" fontId="17" fillId="2" borderId="122" xfId="0" applyFont="1" applyFill="1" applyBorder="1" applyAlignment="1" applyProtection="1">
      <alignment horizontal="center"/>
      <protection locked="0"/>
    </xf>
    <xf numFmtId="0" fontId="17" fillId="2" borderId="123" xfId="0" applyFont="1" applyFill="1" applyBorder="1" applyAlignment="1" applyProtection="1">
      <alignment horizontal="center"/>
      <protection locked="0"/>
    </xf>
    <xf numFmtId="0" fontId="17" fillId="2" borderId="124" xfId="0" applyFont="1" applyFill="1" applyBorder="1" applyAlignment="1" applyProtection="1">
      <alignment horizontal="center"/>
      <protection locked="0"/>
    </xf>
    <xf numFmtId="0" fontId="13" fillId="0" borderId="0" xfId="0" applyFont="1" applyBorder="1" applyAlignment="1">
      <alignment horizontal="left"/>
    </xf>
    <xf numFmtId="14" fontId="13" fillId="0" borderId="0" xfId="0" applyNumberFormat="1" applyFont="1" applyBorder="1" applyAlignment="1"/>
    <xf numFmtId="0" fontId="13" fillId="0" borderId="0" xfId="0" applyFont="1" applyBorder="1" applyAlignment="1"/>
    <xf numFmtId="0" fontId="61" fillId="0" borderId="0" xfId="0" applyFont="1" applyFill="1"/>
    <xf numFmtId="43" fontId="61" fillId="0" borderId="0" xfId="0" applyNumberFormat="1" applyFont="1" applyFill="1"/>
    <xf numFmtId="14" fontId="3" fillId="0" borderId="10" xfId="0" applyNumberFormat="1" applyFont="1" applyBorder="1" applyAlignment="1">
      <alignment horizontal="center"/>
    </xf>
    <xf numFmtId="0" fontId="0" fillId="0" borderId="106" xfId="0" applyBorder="1"/>
    <xf numFmtId="0" fontId="0" fillId="0" borderId="0" xfId="0" quotePrefix="1" applyFill="1"/>
    <xf numFmtId="0" fontId="3" fillId="0" borderId="23" xfId="0" applyFont="1" applyFill="1" applyBorder="1" applyAlignment="1" applyProtection="1">
      <alignment horizontal="left"/>
    </xf>
    <xf numFmtId="0" fontId="17" fillId="2" borderId="59" xfId="0" applyFont="1" applyFill="1" applyBorder="1" applyAlignment="1" applyProtection="1">
      <alignment horizontal="center"/>
      <protection locked="0"/>
    </xf>
    <xf numFmtId="0" fontId="3" fillId="0" borderId="8" xfId="0" applyFont="1" applyBorder="1" applyAlignment="1" applyProtection="1">
      <alignment horizontal="center"/>
    </xf>
    <xf numFmtId="0" fontId="5" fillId="0" borderId="0" xfId="0" applyFont="1" applyFill="1" applyBorder="1" applyAlignment="1" applyProtection="1"/>
    <xf numFmtId="0" fontId="0" fillId="0" borderId="0" xfId="0" applyFill="1" applyBorder="1" applyProtection="1"/>
    <xf numFmtId="0" fontId="0" fillId="0" borderId="0" xfId="0" applyFill="1" applyBorder="1" applyAlignment="1" applyProtection="1">
      <alignment horizontal="center" vertical="center"/>
    </xf>
    <xf numFmtId="0" fontId="0" fillId="0" borderId="0" xfId="0" applyFill="1" applyBorder="1" applyAlignment="1" applyProtection="1">
      <alignment horizontal="right"/>
    </xf>
    <xf numFmtId="43" fontId="17" fillId="0" borderId="0" xfId="1" applyFont="1" applyFill="1" applyBorder="1" applyAlignment="1" applyProtection="1">
      <alignment horizontal="center"/>
    </xf>
    <xf numFmtId="43" fontId="3" fillId="0" borderId="0" xfId="1" applyFont="1" applyFill="1" applyBorder="1" applyAlignment="1" applyProtection="1">
      <alignment horizontal="center"/>
    </xf>
    <xf numFmtId="43" fontId="3" fillId="0" borderId="0" xfId="1" applyFont="1" applyFill="1" applyBorder="1" applyProtection="1"/>
    <xf numFmtId="0" fontId="10" fillId="0" borderId="0" xfId="0" applyFont="1" applyFill="1" applyBorder="1" applyProtection="1"/>
    <xf numFmtId="0" fontId="0" fillId="0" borderId="0" xfId="0" applyFill="1" applyBorder="1" applyAlignment="1" applyProtection="1">
      <alignment vertical="center"/>
    </xf>
    <xf numFmtId="0" fontId="3" fillId="0" borderId="8" xfId="0" applyFont="1" applyFill="1" applyBorder="1" applyProtection="1"/>
    <xf numFmtId="0" fontId="17" fillId="0" borderId="103" xfId="0" applyFont="1" applyBorder="1"/>
    <xf numFmtId="0" fontId="3" fillId="2" borderId="125" xfId="0" applyFont="1" applyFill="1" applyBorder="1" applyProtection="1">
      <protection locked="0"/>
    </xf>
    <xf numFmtId="0" fontId="3" fillId="0" borderId="23" xfId="0" applyFont="1" applyFill="1" applyBorder="1" applyAlignment="1" applyProtection="1"/>
    <xf numFmtId="0" fontId="62" fillId="0" borderId="58" xfId="0" applyFont="1" applyBorder="1"/>
    <xf numFmtId="0" fontId="0" fillId="0" borderId="57" xfId="0" applyFill="1" applyBorder="1"/>
    <xf numFmtId="0" fontId="3" fillId="0" borderId="58" xfId="0" applyFont="1" applyBorder="1" applyAlignment="1"/>
    <xf numFmtId="0" fontId="17" fillId="2" borderId="109" xfId="0" applyFont="1" applyFill="1" applyBorder="1" applyAlignment="1" applyProtection="1">
      <alignment horizontal="center"/>
      <protection locked="0"/>
    </xf>
    <xf numFmtId="0" fontId="17" fillId="0" borderId="60" xfId="0" applyFont="1" applyFill="1" applyBorder="1" applyAlignment="1">
      <alignment wrapText="1"/>
    </xf>
    <xf numFmtId="0" fontId="17" fillId="4" borderId="109" xfId="0" applyFont="1" applyFill="1" applyBorder="1" applyAlignment="1">
      <alignment horizontal="center" wrapText="1"/>
    </xf>
    <xf numFmtId="14" fontId="0" fillId="0" borderId="115" xfId="0" applyNumberFormat="1" applyFill="1" applyBorder="1" applyAlignment="1">
      <alignment horizontal="left"/>
    </xf>
    <xf numFmtId="14" fontId="0" fillId="0" borderId="116" xfId="0" applyNumberFormat="1" applyFill="1" applyBorder="1" applyAlignment="1">
      <alignment horizontal="left"/>
    </xf>
    <xf numFmtId="14" fontId="0" fillId="0" borderId="113" xfId="0" applyNumberFormat="1" applyBorder="1" applyAlignment="1">
      <alignment horizontal="left"/>
    </xf>
    <xf numFmtId="14" fontId="0" fillId="0" borderId="109" xfId="0" applyNumberFormat="1" applyBorder="1" applyAlignment="1">
      <alignment horizontal="left"/>
    </xf>
    <xf numFmtId="0" fontId="3" fillId="0" borderId="54" xfId="0" applyFont="1" applyFill="1" applyBorder="1"/>
    <xf numFmtId="0" fontId="0" fillId="0" borderId="59" xfId="0" applyFill="1" applyBorder="1"/>
    <xf numFmtId="0" fontId="0" fillId="0" borderId="54" xfId="0" applyFill="1" applyBorder="1"/>
    <xf numFmtId="0" fontId="25" fillId="0" borderId="57" xfId="0" applyFont="1" applyBorder="1" applyAlignment="1">
      <alignment horizontal="right"/>
    </xf>
    <xf numFmtId="0" fontId="25" fillId="0" borderId="59" xfId="0" applyFont="1" applyBorder="1" applyAlignment="1">
      <alignment horizontal="right"/>
    </xf>
    <xf numFmtId="0" fontId="3" fillId="0" borderId="3" xfId="19" applyNumberFormat="1" applyFill="1" applyBorder="1" applyAlignment="1" applyProtection="1">
      <alignment horizontal="left"/>
    </xf>
    <xf numFmtId="0" fontId="8" fillId="0" borderId="58" xfId="0" applyFont="1" applyBorder="1"/>
    <xf numFmtId="0" fontId="25" fillId="0" borderId="58" xfId="0" applyFont="1" applyBorder="1"/>
    <xf numFmtId="0" fontId="0" fillId="0" borderId="0" xfId="0" applyAlignment="1" applyProtection="1">
      <alignment horizontal="center"/>
    </xf>
    <xf numFmtId="0" fontId="8" fillId="0" borderId="61" xfId="0" applyFont="1" applyFill="1" applyBorder="1"/>
    <xf numFmtId="0" fontId="3" fillId="0" borderId="54" xfId="0" applyFont="1" applyBorder="1" applyAlignment="1">
      <alignment horizontal="left"/>
    </xf>
    <xf numFmtId="0" fontId="8" fillId="0" borderId="56" xfId="0" applyFont="1" applyBorder="1"/>
    <xf numFmtId="0" fontId="74" fillId="0" borderId="0" xfId="67" applyFont="1"/>
    <xf numFmtId="0" fontId="13" fillId="2" borderId="126" xfId="0" applyFont="1" applyFill="1" applyBorder="1" applyProtection="1">
      <protection locked="0"/>
    </xf>
    <xf numFmtId="0" fontId="13" fillId="2" borderId="5" xfId="0" applyFont="1" applyFill="1" applyBorder="1" applyProtection="1">
      <protection locked="0"/>
    </xf>
    <xf numFmtId="0" fontId="13" fillId="2" borderId="127" xfId="0" applyFont="1" applyFill="1" applyBorder="1" applyProtection="1">
      <protection locked="0"/>
    </xf>
    <xf numFmtId="0" fontId="13" fillId="2" borderId="96" xfId="0" applyFont="1" applyFill="1" applyBorder="1" applyProtection="1">
      <protection locked="0"/>
    </xf>
    <xf numFmtId="0" fontId="13" fillId="2" borderId="0" xfId="0" applyFont="1" applyFill="1" applyBorder="1" applyProtection="1">
      <protection locked="0"/>
    </xf>
    <xf numFmtId="0" fontId="13" fillId="2" borderId="66" xfId="0" applyFont="1" applyFill="1" applyBorder="1" applyProtection="1">
      <protection locked="0"/>
    </xf>
    <xf numFmtId="0" fontId="13" fillId="2" borderId="96"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0" xfId="0" applyFont="1" applyFill="1" applyBorder="1" applyAlignment="1" applyProtection="1">
      <alignment horizontal="left"/>
      <protection locked="0"/>
    </xf>
    <xf numFmtId="0" fontId="13" fillId="2" borderId="0" xfId="0" quotePrefix="1" applyFont="1" applyFill="1" applyBorder="1" applyAlignment="1" applyProtection="1">
      <alignment horizontal="center"/>
      <protection locked="0"/>
    </xf>
    <xf numFmtId="0" fontId="13" fillId="2" borderId="128" xfId="0" applyFont="1" applyFill="1" applyBorder="1" applyAlignment="1" applyProtection="1">
      <alignment horizontal="center"/>
      <protection locked="0"/>
    </xf>
    <xf numFmtId="0" fontId="13" fillId="2" borderId="26" xfId="0" applyFont="1" applyFill="1" applyBorder="1" applyAlignment="1" applyProtection="1">
      <alignment horizontal="center"/>
      <protection locked="0"/>
    </xf>
    <xf numFmtId="0" fontId="13" fillId="2" borderId="26" xfId="0" applyFont="1" applyFill="1" applyBorder="1" applyProtection="1">
      <protection locked="0"/>
    </xf>
    <xf numFmtId="0" fontId="13" fillId="2" borderId="88" xfId="0" applyFont="1" applyFill="1" applyBorder="1" applyProtection="1">
      <protection locked="0"/>
    </xf>
    <xf numFmtId="43" fontId="13" fillId="0" borderId="95" xfId="0" applyNumberFormat="1" applyFont="1" applyBorder="1"/>
    <xf numFmtId="0" fontId="3" fillId="0" borderId="18" xfId="0" applyFont="1" applyBorder="1" applyAlignment="1"/>
    <xf numFmtId="43" fontId="78" fillId="2" borderId="7" xfId="1" applyFont="1" applyFill="1" applyBorder="1" applyProtection="1">
      <protection locked="0"/>
    </xf>
    <xf numFmtId="0" fontId="28" fillId="4" borderId="105" xfId="0" applyFont="1" applyFill="1" applyBorder="1" applyAlignment="1">
      <alignment horizontal="center"/>
    </xf>
    <xf numFmtId="43" fontId="13" fillId="0" borderId="82" xfId="1" applyFont="1" applyBorder="1" applyProtection="1"/>
    <xf numFmtId="0" fontId="79" fillId="0" borderId="0" xfId="0" applyFont="1"/>
    <xf numFmtId="49" fontId="79" fillId="0" borderId="0" xfId="0" applyNumberFormat="1" applyFont="1" applyFill="1" applyBorder="1" applyAlignment="1">
      <alignment horizontal="left"/>
    </xf>
    <xf numFmtId="0" fontId="3" fillId="2" borderId="105" xfId="0" applyFont="1" applyFill="1" applyBorder="1" applyAlignment="1" applyProtection="1">
      <alignment horizontal="center"/>
      <protection locked="0"/>
    </xf>
    <xf numFmtId="0" fontId="3" fillId="0" borderId="57" xfId="0" applyFont="1" applyFill="1" applyBorder="1" applyAlignment="1" applyProtection="1">
      <alignment horizontal="center"/>
    </xf>
    <xf numFmtId="0" fontId="81" fillId="0" borderId="0" xfId="85" applyFont="1" applyAlignment="1">
      <alignment horizontal="left" vertical="center"/>
    </xf>
    <xf numFmtId="0" fontId="76" fillId="6" borderId="105" xfId="0" applyFont="1" applyFill="1" applyBorder="1" applyAlignment="1">
      <alignment horizontal="center"/>
    </xf>
    <xf numFmtId="0" fontId="75" fillId="0" borderId="0" xfId="0" applyFont="1" applyBorder="1" applyProtection="1">
      <protection locked="0"/>
    </xf>
    <xf numFmtId="0" fontId="0" fillId="2" borderId="3" xfId="0" applyFill="1" applyBorder="1" applyAlignment="1" applyProtection="1">
      <protection locked="0"/>
    </xf>
    <xf numFmtId="49" fontId="0" fillId="2" borderId="3" xfId="0" applyNumberFormat="1" applyFill="1" applyBorder="1" applyAlignment="1" applyProtection="1">
      <alignment horizontal="left"/>
      <protection locked="0"/>
    </xf>
    <xf numFmtId="49" fontId="0" fillId="2" borderId="20" xfId="0" applyNumberFormat="1" applyFill="1" applyBorder="1" applyAlignment="1" applyProtection="1">
      <alignment horizontal="left"/>
      <protection locked="0"/>
    </xf>
    <xf numFmtId="49" fontId="3" fillId="2" borderId="18" xfId="19" applyNumberFormat="1" applyFill="1" applyBorder="1" applyAlignment="1" applyProtection="1">
      <alignment horizontal="left"/>
      <protection locked="0"/>
    </xf>
    <xf numFmtId="49" fontId="0" fillId="2" borderId="3" xfId="0" applyNumberFormat="1" applyFill="1" applyBorder="1" applyAlignment="1" applyProtection="1">
      <alignment horizontal="left"/>
      <protection locked="0"/>
    </xf>
    <xf numFmtId="49" fontId="0" fillId="2" borderId="20" xfId="0" applyNumberFormat="1" applyFill="1" applyBorder="1" applyAlignment="1" applyProtection="1">
      <alignment horizontal="left"/>
      <protection locked="0"/>
    </xf>
    <xf numFmtId="49" fontId="3" fillId="2" borderId="3" xfId="19" applyNumberFormat="1" applyFill="1" applyBorder="1" applyAlignment="1" applyProtection="1">
      <alignment horizontal="left"/>
      <protection locked="0"/>
    </xf>
    <xf numFmtId="0" fontId="3" fillId="2" borderId="117" xfId="0" applyFont="1" applyFill="1" applyBorder="1" applyProtection="1">
      <protection locked="0"/>
    </xf>
    <xf numFmtId="0" fontId="0" fillId="2" borderId="129" xfId="0" applyNumberFormat="1" applyFill="1" applyBorder="1" applyAlignment="1" applyProtection="1">
      <alignment horizontal="left"/>
      <protection locked="0"/>
    </xf>
    <xf numFmtId="49" fontId="3" fillId="2" borderId="3" xfId="0" applyNumberFormat="1" applyFont="1" applyFill="1" applyBorder="1" applyAlignment="1" applyProtection="1">
      <alignment horizontal="left"/>
      <protection locked="0"/>
    </xf>
    <xf numFmtId="14" fontId="0" fillId="2" borderId="26" xfId="0" applyNumberFormat="1" applyFill="1" applyBorder="1" applyProtection="1">
      <protection locked="0"/>
    </xf>
    <xf numFmtId="14" fontId="3" fillId="2" borderId="26" xfId="0" applyNumberFormat="1" applyFont="1" applyFill="1" applyBorder="1" applyProtection="1">
      <protection locked="0"/>
    </xf>
    <xf numFmtId="0" fontId="23" fillId="0" borderId="0" xfId="0" applyFont="1" applyAlignment="1">
      <alignment horizontal="center"/>
    </xf>
    <xf numFmtId="0" fontId="12" fillId="0" borderId="0" xfId="0" applyFont="1" applyAlignment="1">
      <alignment horizontal="center"/>
    </xf>
    <xf numFmtId="0" fontId="6" fillId="0" borderId="0" xfId="0" applyFont="1" applyAlignment="1">
      <alignment horizontal="center"/>
    </xf>
    <xf numFmtId="49" fontId="17" fillId="0" borderId="0" xfId="0" applyNumberFormat="1" applyFont="1" applyAlignment="1">
      <alignment horizontal="center"/>
    </xf>
    <xf numFmtId="0" fontId="17" fillId="4" borderId="103" xfId="0" applyFont="1" applyFill="1" applyBorder="1" applyAlignment="1">
      <alignment horizontal="center"/>
    </xf>
    <xf numFmtId="0" fontId="17" fillId="4" borderId="78" xfId="0" applyFont="1" applyFill="1" applyBorder="1" applyAlignment="1">
      <alignment horizontal="center"/>
    </xf>
    <xf numFmtId="0" fontId="17" fillId="4" borderId="104" xfId="0" applyFont="1" applyFill="1" applyBorder="1" applyAlignment="1">
      <alignment horizontal="center"/>
    </xf>
    <xf numFmtId="0" fontId="24" fillId="4" borderId="103" xfId="0" applyFont="1" applyFill="1" applyBorder="1" applyAlignment="1">
      <alignment horizontal="center"/>
    </xf>
    <xf numFmtId="0" fontId="24" fillId="4" borderId="78" xfId="0" applyFont="1" applyFill="1" applyBorder="1" applyAlignment="1">
      <alignment horizontal="center"/>
    </xf>
    <xf numFmtId="0" fontId="24" fillId="4" borderId="104" xfId="0" applyFont="1" applyFill="1" applyBorder="1" applyAlignment="1">
      <alignment horizontal="center"/>
    </xf>
    <xf numFmtId="0" fontId="27" fillId="5" borderId="103" xfId="0" applyFont="1" applyFill="1" applyBorder="1" applyAlignment="1">
      <alignment horizontal="center"/>
    </xf>
    <xf numFmtId="0" fontId="27" fillId="5" borderId="78" xfId="0" applyFont="1" applyFill="1" applyBorder="1" applyAlignment="1">
      <alignment horizontal="center"/>
    </xf>
    <xf numFmtId="0" fontId="27" fillId="5" borderId="104" xfId="0" applyFont="1" applyFill="1" applyBorder="1" applyAlignment="1">
      <alignment horizontal="center"/>
    </xf>
    <xf numFmtId="0" fontId="10" fillId="2" borderId="26" xfId="0" applyFont="1" applyFill="1" applyBorder="1" applyAlignment="1" applyProtection="1">
      <alignment horizontal="left"/>
      <protection locked="0"/>
    </xf>
    <xf numFmtId="0" fontId="3" fillId="0" borderId="26" xfId="0" applyFont="1" applyFill="1" applyBorder="1" applyAlignment="1" applyProtection="1">
      <alignment horizontal="left"/>
    </xf>
    <xf numFmtId="0" fontId="0" fillId="0" borderId="3" xfId="0" applyBorder="1" applyAlignment="1">
      <alignment horizontal="center"/>
    </xf>
    <xf numFmtId="0" fontId="0" fillId="0" borderId="62" xfId="0" applyBorder="1" applyAlignment="1">
      <alignment horizontal="center" vertical="center"/>
    </xf>
    <xf numFmtId="0" fontId="15" fillId="0" borderId="26" xfId="0" applyFont="1" applyBorder="1" applyAlignment="1">
      <alignment horizontal="center"/>
    </xf>
    <xf numFmtId="0" fontId="17" fillId="0" borderId="26" xfId="0" applyFont="1" applyBorder="1" applyAlignment="1">
      <alignment horizontal="center"/>
    </xf>
    <xf numFmtId="0" fontId="3" fillId="2" borderId="62" xfId="0" applyFont="1"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10" fillId="2" borderId="26" xfId="0" applyFont="1" applyFill="1" applyBorder="1" applyAlignment="1" applyProtection="1">
      <alignment horizontal="center"/>
      <protection locked="0"/>
    </xf>
    <xf numFmtId="0" fontId="41" fillId="2" borderId="26"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15" fillId="0" borderId="0" xfId="0" applyFont="1" applyAlignment="1">
      <alignment horizontal="center"/>
    </xf>
    <xf numFmtId="0" fontId="17" fillId="0" borderId="0" xfId="0" applyFont="1" applyAlignment="1">
      <alignment horizontal="center"/>
    </xf>
    <xf numFmtId="14" fontId="17" fillId="0" borderId="0" xfId="0" applyNumberFormat="1" applyFont="1" applyAlignment="1">
      <alignment horizontal="center"/>
    </xf>
    <xf numFmtId="37" fontId="0" fillId="0" borderId="26" xfId="0" applyNumberFormat="1" applyBorder="1" applyAlignment="1">
      <alignment horizontal="center"/>
    </xf>
    <xf numFmtId="0" fontId="0" fillId="0" borderId="26" xfId="0" applyBorder="1" applyAlignment="1">
      <alignment horizontal="center"/>
    </xf>
    <xf numFmtId="49" fontId="3" fillId="0" borderId="3" xfId="0" applyNumberFormat="1" applyFont="1" applyBorder="1" applyAlignment="1">
      <alignment horizontal="center"/>
    </xf>
    <xf numFmtId="0" fontId="0" fillId="0" borderId="3" xfId="0" applyNumberFormat="1" applyBorder="1" applyAlignment="1">
      <alignment horizontal="center"/>
    </xf>
    <xf numFmtId="165" fontId="0" fillId="0" borderId="3" xfId="1" applyNumberFormat="1" applyFont="1" applyFill="1" applyBorder="1" applyAlignment="1">
      <alignment horizontal="center"/>
    </xf>
    <xf numFmtId="0" fontId="0" fillId="2" borderId="26" xfId="0" applyFill="1" applyBorder="1" applyAlignment="1" applyProtection="1">
      <alignment horizontal="center"/>
      <protection locked="0"/>
    </xf>
    <xf numFmtId="0" fontId="16" fillId="0" borderId="5" xfId="0" applyFont="1" applyBorder="1" applyAlignment="1">
      <alignment horizontal="center"/>
    </xf>
    <xf numFmtId="0" fontId="23" fillId="0" borderId="0" xfId="0" applyFont="1" applyBorder="1" applyAlignment="1">
      <alignment horizontal="center"/>
    </xf>
    <xf numFmtId="0" fontId="3" fillId="2" borderId="26" xfId="0" applyFont="1" applyFill="1" applyBorder="1" applyAlignment="1" applyProtection="1">
      <alignment horizontal="center"/>
      <protection locked="0"/>
    </xf>
    <xf numFmtId="0" fontId="16" fillId="0" borderId="0" xfId="0" applyFont="1" applyBorder="1" applyAlignment="1">
      <alignment horizontal="center"/>
    </xf>
    <xf numFmtId="0" fontId="24" fillId="0" borderId="0" xfId="0" applyFont="1" applyAlignment="1">
      <alignment horizontal="center"/>
    </xf>
    <xf numFmtId="0" fontId="17" fillId="0" borderId="0" xfId="0" applyFont="1" applyBorder="1" applyAlignment="1">
      <alignment horizontal="center"/>
    </xf>
    <xf numFmtId="0" fontId="0" fillId="0" borderId="26" xfId="0" applyFill="1" applyBorder="1" applyAlignment="1" applyProtection="1">
      <alignment horizontal="center"/>
      <protection locked="0"/>
    </xf>
    <xf numFmtId="0" fontId="0" fillId="0" borderId="26" xfId="0" applyFill="1" applyBorder="1" applyAlignment="1">
      <alignment horizontal="center"/>
    </xf>
    <xf numFmtId="0" fontId="0" fillId="0" borderId="5" xfId="0" applyBorder="1" applyAlignment="1">
      <alignment horizontal="center"/>
    </xf>
    <xf numFmtId="164" fontId="17" fillId="0" borderId="26" xfId="0" applyNumberFormat="1" applyFont="1" applyBorder="1" applyAlignment="1">
      <alignment horizontal="center"/>
    </xf>
    <xf numFmtId="49" fontId="0" fillId="0" borderId="0" xfId="0" applyNumberFormat="1" applyAlignment="1">
      <alignment horizontal="center"/>
    </xf>
    <xf numFmtId="0" fontId="0" fillId="0" borderId="0" xfId="0" applyAlignment="1">
      <alignment horizontal="center"/>
    </xf>
    <xf numFmtId="43" fontId="3" fillId="2" borderId="26" xfId="1" applyFill="1" applyBorder="1" applyAlignment="1" applyProtection="1">
      <alignment horizontal="center"/>
      <protection locked="0"/>
    </xf>
    <xf numFmtId="0" fontId="5" fillId="0" borderId="0" xfId="0" applyFont="1" applyAlignment="1">
      <alignment horizontal="center"/>
    </xf>
    <xf numFmtId="0" fontId="18" fillId="0" borderId="0" xfId="0" applyFont="1" applyAlignment="1">
      <alignment horizontal="center"/>
    </xf>
    <xf numFmtId="43" fontId="0" fillId="2" borderId="26" xfId="1" applyFont="1" applyFill="1" applyBorder="1" applyAlignment="1" applyProtection="1">
      <alignment horizontal="center"/>
      <protection locked="0"/>
    </xf>
    <xf numFmtId="0" fontId="0" fillId="0" borderId="1" xfId="0" applyBorder="1" applyAlignment="1">
      <alignment horizontal="center" vertical="center"/>
    </xf>
    <xf numFmtId="0" fontId="0" fillId="0" borderId="49" xfId="0" applyBorder="1" applyAlignment="1">
      <alignment horizontal="center" vertical="center"/>
    </xf>
    <xf numFmtId="0" fontId="7" fillId="0" borderId="0" xfId="0" applyFont="1" applyAlignment="1">
      <alignment horizontal="center"/>
    </xf>
    <xf numFmtId="14" fontId="6" fillId="0" borderId="0" xfId="0" applyNumberFormat="1" applyFont="1" applyAlignment="1">
      <alignment horizontal="center"/>
    </xf>
    <xf numFmtId="0" fontId="8" fillId="0" borderId="8" xfId="0" applyFont="1" applyBorder="1" applyAlignment="1">
      <alignment horizontal="center" vertical="top"/>
    </xf>
    <xf numFmtId="0" fontId="3" fillId="2" borderId="3" xfId="0" applyFont="1" applyFill="1" applyBorder="1" applyAlignment="1" applyProtection="1">
      <alignment horizontal="left"/>
      <protection locked="0"/>
    </xf>
    <xf numFmtId="0" fontId="3" fillId="2" borderId="20" xfId="0" applyFont="1" applyFill="1" applyBorder="1" applyAlignment="1" applyProtection="1">
      <alignment horizontal="left"/>
      <protection locked="0"/>
    </xf>
    <xf numFmtId="0" fontId="11" fillId="0" borderId="0" xfId="0" applyFont="1" applyAlignment="1">
      <alignment horizontal="center"/>
    </xf>
    <xf numFmtId="0" fontId="17" fillId="0" borderId="0" xfId="0" applyFont="1" applyAlignment="1" applyProtection="1">
      <alignment horizontal="center"/>
    </xf>
    <xf numFmtId="0" fontId="23" fillId="0" borderId="0" xfId="0" applyFont="1" applyAlignment="1" applyProtection="1">
      <alignment horizontal="center"/>
    </xf>
    <xf numFmtId="0" fontId="0" fillId="2" borderId="3" xfId="0" applyFill="1" applyBorder="1" applyAlignment="1" applyProtection="1">
      <alignment horizontal="left"/>
      <protection locked="0"/>
    </xf>
    <xf numFmtId="0" fontId="0" fillId="2" borderId="20" xfId="0" applyFill="1" applyBorder="1" applyAlignment="1" applyProtection="1">
      <alignment horizontal="left"/>
      <protection locked="0"/>
    </xf>
    <xf numFmtId="0" fontId="5" fillId="0" borderId="0" xfId="0" applyFont="1" applyAlignment="1" applyProtection="1">
      <alignment horizontal="center"/>
    </xf>
    <xf numFmtId="0" fontId="11" fillId="0" borderId="0" xfId="0" applyFont="1" applyAlignment="1" applyProtection="1">
      <alignment horizontal="center"/>
    </xf>
    <xf numFmtId="14" fontId="6" fillId="0" borderId="0" xfId="0" applyNumberFormat="1" applyFont="1" applyAlignment="1" applyProtection="1">
      <alignment horizontal="center"/>
    </xf>
    <xf numFmtId="0" fontId="6" fillId="0" borderId="0" xfId="0" applyFont="1" applyAlignment="1" applyProtection="1">
      <alignment horizontal="center"/>
    </xf>
    <xf numFmtId="0" fontId="3"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0" fillId="0" borderId="49" xfId="0" applyBorder="1" applyAlignment="1" applyProtection="1">
      <alignment horizontal="center" vertical="center"/>
    </xf>
    <xf numFmtId="0" fontId="22" fillId="0" borderId="0" xfId="0" applyFont="1" applyAlignment="1">
      <alignment horizontal="center"/>
    </xf>
    <xf numFmtId="49" fontId="23" fillId="0" borderId="0" xfId="0" applyNumberFormat="1" applyFont="1" applyAlignment="1">
      <alignment horizontal="center"/>
    </xf>
    <xf numFmtId="0" fontId="6" fillId="0" borderId="64" xfId="0" applyFont="1" applyBorder="1" applyAlignment="1">
      <alignment horizontal="center" vertical="top"/>
    </xf>
    <xf numFmtId="0" fontId="6" fillId="0" borderId="26" xfId="0" applyFont="1" applyBorder="1" applyAlignment="1">
      <alignment horizontal="center" vertical="top"/>
    </xf>
    <xf numFmtId="0" fontId="6" fillId="0" borderId="41" xfId="0" applyFont="1" applyBorder="1" applyAlignment="1">
      <alignment horizontal="center" vertical="top"/>
    </xf>
    <xf numFmtId="0" fontId="23" fillId="0" borderId="0" xfId="0" applyFont="1" applyAlignment="1">
      <alignment horizontal="center" vertical="center" textRotation="180" wrapText="1"/>
    </xf>
    <xf numFmtId="0" fontId="14" fillId="0" borderId="0" xfId="0" applyFont="1" applyAlignment="1">
      <alignment horizontal="left"/>
    </xf>
    <xf numFmtId="0" fontId="3" fillId="0" borderId="3" xfId="0" applyFont="1" applyFill="1" applyBorder="1" applyAlignment="1" applyProtection="1">
      <alignment horizontal="left" vertical="center"/>
    </xf>
    <xf numFmtId="0" fontId="0" fillId="0" borderId="3" xfId="0" applyFill="1" applyBorder="1" applyAlignment="1" applyProtection="1">
      <alignment horizontal="left" vertical="center"/>
    </xf>
    <xf numFmtId="0" fontId="0" fillId="0" borderId="20" xfId="0" applyFill="1" applyBorder="1" applyAlignment="1" applyProtection="1">
      <alignment horizontal="left" vertical="center"/>
    </xf>
    <xf numFmtId="0" fontId="0" fillId="2" borderId="3" xfId="0" applyFill="1" applyBorder="1" applyAlignment="1" applyProtection="1">
      <alignment horizontal="left" vertical="center"/>
      <protection locked="0"/>
    </xf>
    <xf numFmtId="0" fontId="0" fillId="2" borderId="20" xfId="0" applyFill="1" applyBorder="1" applyAlignment="1" applyProtection="1">
      <alignment horizontal="left" vertical="center"/>
      <protection locked="0"/>
    </xf>
    <xf numFmtId="0" fontId="0" fillId="2" borderId="26" xfId="0" applyFill="1" applyBorder="1" applyAlignment="1" applyProtection="1">
      <alignment horizontal="left" vertical="center"/>
      <protection locked="0"/>
    </xf>
    <xf numFmtId="0" fontId="0" fillId="2" borderId="41" xfId="0" applyFill="1" applyBorder="1" applyAlignment="1" applyProtection="1">
      <alignment horizontal="left" vertical="center"/>
      <protection locked="0"/>
    </xf>
    <xf numFmtId="0" fontId="3" fillId="2" borderId="3" xfId="0" applyFont="1" applyFill="1" applyBorder="1" applyAlignment="1" applyProtection="1">
      <alignment horizontal="left" vertical="center"/>
      <protection locked="0"/>
    </xf>
    <xf numFmtId="0" fontId="4" fillId="0" borderId="8" xfId="0" applyFont="1" applyBorder="1" applyAlignment="1">
      <alignment horizontal="center"/>
    </xf>
    <xf numFmtId="0" fontId="0" fillId="0" borderId="28" xfId="0" applyBorder="1" applyAlignment="1">
      <alignment horizontal="center" vertical="center"/>
    </xf>
    <xf numFmtId="0" fontId="0" fillId="0" borderId="19" xfId="0" applyBorder="1" applyAlignment="1">
      <alignment horizontal="center" vertical="center"/>
    </xf>
    <xf numFmtId="0" fontId="3" fillId="0" borderId="3" xfId="0" applyFont="1" applyFill="1" applyBorder="1" applyAlignment="1" applyProtection="1">
      <alignment horizontal="left" vertical="center"/>
      <protection locked="0"/>
    </xf>
    <xf numFmtId="0" fontId="0" fillId="0" borderId="3" xfId="0" applyFill="1" applyBorder="1" applyAlignment="1" applyProtection="1">
      <alignment horizontal="left" vertical="center"/>
      <protection locked="0"/>
    </xf>
    <xf numFmtId="0" fontId="0" fillId="0" borderId="20" xfId="0" applyFill="1" applyBorder="1" applyAlignment="1" applyProtection="1">
      <alignment horizontal="left" vertical="center"/>
      <protection locked="0"/>
    </xf>
    <xf numFmtId="0" fontId="22" fillId="0" borderId="3" xfId="0" applyFont="1" applyFill="1" applyBorder="1" applyAlignment="1" applyProtection="1">
      <alignment horizontal="left" vertical="center"/>
    </xf>
    <xf numFmtId="0" fontId="22" fillId="0" borderId="20" xfId="0" applyFont="1" applyFill="1" applyBorder="1" applyAlignment="1" applyProtection="1">
      <alignment horizontal="left" vertical="center"/>
    </xf>
    <xf numFmtId="0" fontId="23" fillId="0" borderId="0" xfId="0" applyFont="1" applyFill="1" applyAlignment="1">
      <alignment horizontal="center"/>
    </xf>
    <xf numFmtId="0" fontId="6" fillId="0" borderId="0" xfId="0" applyFont="1" applyFill="1" applyAlignment="1">
      <alignment horizontal="center"/>
    </xf>
    <xf numFmtId="0" fontId="4" fillId="0" borderId="0" xfId="0" applyFont="1" applyFill="1" applyBorder="1" applyAlignment="1">
      <alignment horizontal="center"/>
    </xf>
    <xf numFmtId="0" fontId="0" fillId="0" borderId="0" xfId="0" applyFill="1" applyAlignment="1">
      <alignment horizontal="center"/>
    </xf>
    <xf numFmtId="0" fontId="4" fillId="0" borderId="0" xfId="0" applyFont="1" applyBorder="1" applyAlignment="1" applyProtection="1">
      <alignment horizontal="center"/>
    </xf>
    <xf numFmtId="0" fontId="0" fillId="0" borderId="21" xfId="0" applyBorder="1" applyAlignment="1">
      <alignment horizontal="center"/>
    </xf>
    <xf numFmtId="0" fontId="12" fillId="0" borderId="0" xfId="0" applyFont="1" applyAlignment="1" applyProtection="1">
      <alignment horizontal="center"/>
    </xf>
    <xf numFmtId="0" fontId="0" fillId="0" borderId="0" xfId="0" applyAlignment="1" applyProtection="1">
      <alignment horizontal="center"/>
    </xf>
    <xf numFmtId="0" fontId="0" fillId="0" borderId="21" xfId="0" applyBorder="1" applyAlignment="1" applyProtection="1">
      <alignment horizontal="center"/>
    </xf>
    <xf numFmtId="0" fontId="23" fillId="0" borderId="0" xfId="0" applyFont="1" applyAlignment="1">
      <alignment vertical="center" textRotation="180" wrapText="1"/>
    </xf>
    <xf numFmtId="0" fontId="13" fillId="2" borderId="3" xfId="0" applyFont="1" applyFill="1" applyBorder="1" applyAlignment="1" applyProtection="1">
      <alignment horizontal="left"/>
      <protection locked="0"/>
    </xf>
    <xf numFmtId="0" fontId="13" fillId="2" borderId="20" xfId="0" applyFont="1" applyFill="1" applyBorder="1" applyAlignment="1" applyProtection="1">
      <alignment horizontal="left"/>
      <protection locked="0"/>
    </xf>
    <xf numFmtId="0" fontId="0" fillId="0" borderId="46" xfId="0" applyBorder="1" applyAlignment="1">
      <alignment horizontal="center"/>
    </xf>
    <xf numFmtId="0" fontId="0" fillId="0" borderId="51" xfId="0" applyBorder="1" applyAlignment="1">
      <alignment horizontal="center"/>
    </xf>
    <xf numFmtId="0" fontId="0" fillId="0" borderId="64" xfId="0" applyBorder="1" applyAlignment="1">
      <alignment horizontal="center"/>
    </xf>
    <xf numFmtId="0" fontId="0" fillId="0" borderId="41" xfId="0" applyBorder="1" applyAlignment="1">
      <alignment horizontal="center"/>
    </xf>
    <xf numFmtId="0" fontId="0" fillId="0" borderId="46" xfId="0" applyBorder="1" applyAlignment="1" applyProtection="1">
      <alignment horizontal="center"/>
    </xf>
    <xf numFmtId="0" fontId="0" fillId="0" borderId="51" xfId="0" applyBorder="1" applyAlignment="1" applyProtection="1">
      <alignment horizontal="center"/>
    </xf>
    <xf numFmtId="0" fontId="0" fillId="0" borderId="64" xfId="0" applyBorder="1" applyAlignment="1" applyProtection="1">
      <alignment horizontal="center"/>
    </xf>
    <xf numFmtId="0" fontId="0" fillId="0" borderId="41" xfId="0" applyBorder="1" applyAlignment="1" applyProtection="1">
      <alignment horizontal="center"/>
    </xf>
    <xf numFmtId="0" fontId="0" fillId="0" borderId="0" xfId="0" applyAlignment="1"/>
    <xf numFmtId="0" fontId="14" fillId="0" borderId="0" xfId="0" applyFont="1" applyAlignment="1">
      <alignment horizontal="center"/>
    </xf>
    <xf numFmtId="0" fontId="63" fillId="0" borderId="54" xfId="0" applyFont="1" applyBorder="1" applyAlignment="1">
      <alignment horizontal="center"/>
    </xf>
    <xf numFmtId="0" fontId="63" fillId="0" borderId="55" xfId="0" applyFont="1" applyBorder="1" applyAlignment="1">
      <alignment horizontal="center"/>
    </xf>
    <xf numFmtId="0" fontId="63" fillId="0" borderId="59" xfId="0" applyFont="1" applyBorder="1" applyAlignment="1">
      <alignment horizontal="center"/>
    </xf>
    <xf numFmtId="0" fontId="63" fillId="0" borderId="60" xfId="0" applyFont="1" applyBorder="1" applyAlignment="1">
      <alignment horizontal="center"/>
    </xf>
    <xf numFmtId="0" fontId="0" fillId="0" borderId="9" xfId="0" applyBorder="1" applyAlignment="1">
      <alignment horizontal="center" vertical="center"/>
    </xf>
    <xf numFmtId="0" fontId="0" fillId="0" borderId="51" xfId="0" applyBorder="1" applyAlignment="1">
      <alignment horizontal="center" vertical="center"/>
    </xf>
    <xf numFmtId="0" fontId="0" fillId="0" borderId="8" xfId="0" applyBorder="1" applyAlignment="1">
      <alignment horizontal="center" vertical="center"/>
    </xf>
    <xf numFmtId="0" fontId="0" fillId="0" borderId="52" xfId="0" applyBorder="1" applyAlignment="1">
      <alignment horizontal="center" vertical="center"/>
    </xf>
    <xf numFmtId="0" fontId="10" fillId="0" borderId="5" xfId="0" applyFont="1" applyBorder="1" applyAlignment="1">
      <alignment horizontal="left" wrapText="1"/>
    </xf>
    <xf numFmtId="0" fontId="10" fillId="0" borderId="0" xfId="0" applyFont="1" applyAlignment="1">
      <alignment horizontal="left" wrapText="1"/>
    </xf>
    <xf numFmtId="43" fontId="13" fillId="0" borderId="53" xfId="1" applyFont="1" applyFill="1" applyBorder="1" applyAlignment="1" applyProtection="1">
      <alignment horizontal="center"/>
    </xf>
    <xf numFmtId="43" fontId="13" fillId="0" borderId="64" xfId="1" applyFont="1" applyFill="1" applyBorder="1" applyAlignment="1" applyProtection="1">
      <alignment horizontal="center"/>
    </xf>
    <xf numFmtId="43" fontId="17" fillId="0" borderId="6" xfId="1" applyFont="1" applyFill="1" applyBorder="1" applyAlignment="1">
      <alignment horizontal="center"/>
    </xf>
    <xf numFmtId="43" fontId="17" fillId="0" borderId="27" xfId="1" applyFont="1" applyFill="1" applyBorder="1" applyAlignment="1">
      <alignment horizontal="center"/>
    </xf>
    <xf numFmtId="0" fontId="17" fillId="0" borderId="1" xfId="0" applyFont="1" applyBorder="1" applyAlignment="1">
      <alignment horizontal="center" vertical="center"/>
    </xf>
    <xf numFmtId="0" fontId="17" fillId="0" borderId="1" xfId="0" applyFont="1" applyBorder="1" applyAlignment="1" applyProtection="1">
      <alignment horizontal="center" vertical="center"/>
    </xf>
    <xf numFmtId="0" fontId="16" fillId="0" borderId="3" xfId="0" applyFont="1" applyBorder="1" applyAlignment="1">
      <alignment wrapText="1"/>
    </xf>
    <xf numFmtId="1" fontId="5" fillId="0" borderId="0" xfId="0" applyNumberFormat="1" applyFont="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16" fillId="0" borderId="3" xfId="0" applyFont="1" applyBorder="1" applyAlignment="1" applyProtection="1">
      <alignment wrapText="1"/>
    </xf>
    <xf numFmtId="0" fontId="0" fillId="0" borderId="37" xfId="0" applyBorder="1" applyAlignment="1">
      <alignment horizontal="center" vertical="center"/>
    </xf>
    <xf numFmtId="0" fontId="16" fillId="0" borderId="20" xfId="0" applyFont="1" applyBorder="1" applyAlignment="1">
      <alignment wrapText="1"/>
    </xf>
    <xf numFmtId="49" fontId="23" fillId="0" borderId="0" xfId="0" applyNumberFormat="1" applyFont="1" applyAlignment="1" applyProtection="1">
      <alignment horizontal="center"/>
    </xf>
    <xf numFmtId="14" fontId="0" fillId="2" borderId="26" xfId="0" applyNumberFormat="1" applyFill="1" applyBorder="1" applyAlignment="1" applyProtection="1">
      <alignment horizontal="center"/>
      <protection locked="0"/>
    </xf>
    <xf numFmtId="49" fontId="6" fillId="0" borderId="0" xfId="0" applyNumberFormat="1" applyFont="1" applyAlignment="1">
      <alignment horizontal="center"/>
    </xf>
    <xf numFmtId="0" fontId="22" fillId="0" borderId="0" xfId="0" applyFont="1" applyAlignment="1">
      <alignment horizontal="left"/>
    </xf>
    <xf numFmtId="0" fontId="3" fillId="2" borderId="26" xfId="0" applyFont="1" applyFill="1" applyBorder="1" applyAlignment="1" applyProtection="1">
      <alignment horizontal="left"/>
      <protection locked="0"/>
    </xf>
    <xf numFmtId="43" fontId="0" fillId="2" borderId="26" xfId="1" applyFont="1" applyFill="1" applyBorder="1" applyAlignment="1" applyProtection="1">
      <alignment horizontal="left"/>
      <protection locked="0"/>
    </xf>
    <xf numFmtId="0" fontId="22" fillId="0" borderId="0" xfId="0" applyFont="1" applyAlignment="1">
      <alignment horizontal="center" vertical="center"/>
    </xf>
    <xf numFmtId="49" fontId="24" fillId="0" borderId="0" xfId="0" applyNumberFormat="1" applyFont="1" applyAlignment="1">
      <alignment horizontal="center"/>
    </xf>
    <xf numFmtId="0" fontId="6" fillId="0" borderId="46" xfId="0" applyFont="1" applyBorder="1" applyAlignment="1" applyProtection="1">
      <alignment horizontal="center"/>
    </xf>
    <xf numFmtId="0" fontId="6" fillId="0" borderId="51" xfId="0" applyFont="1" applyBorder="1" applyAlignment="1" applyProtection="1">
      <alignment horizontal="center"/>
    </xf>
    <xf numFmtId="0" fontId="0" fillId="0" borderId="15" xfId="0" applyBorder="1" applyAlignment="1" applyProtection="1">
      <alignment horizontal="center"/>
    </xf>
    <xf numFmtId="14" fontId="0" fillId="2" borderId="18" xfId="0" applyNumberFormat="1" applyFill="1" applyBorder="1" applyAlignment="1" applyProtection="1">
      <alignment horizontal="center"/>
      <protection locked="0"/>
    </xf>
    <xf numFmtId="0" fontId="0" fillId="2" borderId="18" xfId="0" applyFill="1" applyBorder="1" applyAlignment="1" applyProtection="1">
      <alignment horizontal="center"/>
      <protection locked="0"/>
    </xf>
    <xf numFmtId="0" fontId="0" fillId="2" borderId="19" xfId="0" applyFill="1" applyBorder="1" applyAlignment="1" applyProtection="1">
      <alignment horizontal="center"/>
      <protection locked="0"/>
    </xf>
    <xf numFmtId="0" fontId="0" fillId="2" borderId="3" xfId="0" quotePrefix="1" applyFill="1" applyBorder="1" applyAlignment="1" applyProtection="1">
      <alignment horizontal="center"/>
      <protection locked="0"/>
    </xf>
    <xf numFmtId="0" fontId="0" fillId="2" borderId="20" xfId="0" applyFill="1" applyBorder="1" applyAlignment="1" applyProtection="1">
      <alignment horizontal="center"/>
      <protection locked="0"/>
    </xf>
    <xf numFmtId="0" fontId="10" fillId="0" borderId="5" xfId="0" applyFont="1" applyBorder="1" applyAlignment="1" applyProtection="1">
      <alignment horizontal="center"/>
    </xf>
    <xf numFmtId="0" fontId="6" fillId="0" borderId="64" xfId="0" applyFont="1" applyBorder="1" applyAlignment="1" applyProtection="1">
      <alignment horizontal="center" vertical="top"/>
    </xf>
    <xf numFmtId="0" fontId="6" fillId="0" borderId="41" xfId="0" applyFont="1" applyBorder="1" applyAlignment="1" applyProtection="1">
      <alignment horizontal="center" vertical="top"/>
    </xf>
    <xf numFmtId="43" fontId="0" fillId="2" borderId="29" xfId="1" applyFont="1" applyFill="1" applyBorder="1" applyAlignment="1" applyProtection="1">
      <alignment horizontal="right"/>
      <protection locked="0"/>
    </xf>
    <xf numFmtId="43" fontId="0" fillId="2" borderId="20" xfId="1" applyFont="1" applyFill="1" applyBorder="1" applyAlignment="1" applyProtection="1">
      <alignment horizontal="right"/>
      <protection locked="0"/>
    </xf>
    <xf numFmtId="0" fontId="0" fillId="0" borderId="37" xfId="0" applyBorder="1" applyAlignment="1">
      <alignment horizontal="center" vertical="center" wrapText="1"/>
    </xf>
    <xf numFmtId="0" fontId="0" fillId="0" borderId="1" xfId="0" applyBorder="1" applyAlignment="1">
      <alignment horizontal="center" vertical="center" wrapText="1"/>
    </xf>
    <xf numFmtId="0" fontId="0" fillId="0" borderId="100" xfId="0" applyBorder="1" applyAlignment="1">
      <alignment horizontal="center" vertical="center" wrapText="1"/>
    </xf>
    <xf numFmtId="43" fontId="0" fillId="2" borderId="26" xfId="1" applyFont="1" applyFill="1" applyBorder="1" applyAlignment="1" applyProtection="1">
      <alignment horizontal="right"/>
      <protection locked="0"/>
    </xf>
    <xf numFmtId="43" fontId="0" fillId="2" borderId="88" xfId="1" applyFont="1" applyFill="1" applyBorder="1" applyAlignment="1" applyProtection="1">
      <alignment horizontal="right"/>
      <protection locked="0"/>
    </xf>
    <xf numFmtId="0" fontId="0" fillId="2" borderId="29" xfId="0" applyFill="1" applyBorder="1" applyAlignment="1" applyProtection="1">
      <alignment horizontal="center"/>
      <protection locked="0"/>
    </xf>
    <xf numFmtId="43" fontId="17" fillId="0" borderId="29" xfId="1" applyFont="1" applyBorder="1" applyAlignment="1">
      <alignment horizontal="center"/>
    </xf>
    <xf numFmtId="43" fontId="17" fillId="0" borderId="20" xfId="1" applyFont="1" applyBorder="1" applyAlignment="1">
      <alignment horizontal="center"/>
    </xf>
    <xf numFmtId="43" fontId="0" fillId="0" borderId="8" xfId="1" applyFont="1" applyBorder="1" applyAlignment="1">
      <alignment horizontal="right"/>
    </xf>
    <xf numFmtId="43" fontId="0" fillId="0" borderId="67" xfId="1" applyFont="1" applyBorder="1" applyAlignment="1">
      <alignment horizontal="right"/>
    </xf>
    <xf numFmtId="43" fontId="17" fillId="0" borderId="83" xfId="1" applyFont="1" applyBorder="1" applyAlignment="1">
      <alignment horizontal="center"/>
    </xf>
    <xf numFmtId="43" fontId="17" fillId="0" borderId="85" xfId="1" applyFont="1" applyBorder="1" applyAlignment="1">
      <alignment horizontal="center"/>
    </xf>
    <xf numFmtId="43" fontId="0" fillId="0" borderId="12" xfId="1" applyFont="1" applyBorder="1" applyAlignment="1">
      <alignment horizontal="right"/>
    </xf>
    <xf numFmtId="43" fontId="0" fillId="0" borderId="52" xfId="1" applyFont="1" applyBorder="1" applyAlignment="1">
      <alignment horizontal="right"/>
    </xf>
    <xf numFmtId="0" fontId="6" fillId="0" borderId="9" xfId="0" applyFont="1" applyBorder="1" applyAlignment="1">
      <alignment horizontal="center" vertical="center"/>
    </xf>
    <xf numFmtId="0" fontId="6" fillId="0" borderId="51" xfId="0" applyFont="1" applyBorder="1" applyAlignment="1">
      <alignment horizontal="center" vertical="center"/>
    </xf>
    <xf numFmtId="0" fontId="6" fillId="0" borderId="8" xfId="0" applyFont="1" applyBorder="1" applyAlignment="1">
      <alignment horizontal="center" vertical="center"/>
    </xf>
    <xf numFmtId="0" fontId="6" fillId="0" borderId="52" xfId="0" applyFont="1" applyBorder="1" applyAlignment="1">
      <alignment horizontal="center" vertical="center"/>
    </xf>
    <xf numFmtId="0" fontId="6" fillId="0" borderId="8" xfId="0" applyFont="1" applyBorder="1" applyAlignment="1">
      <alignment horizontal="center"/>
    </xf>
    <xf numFmtId="43" fontId="0" fillId="0" borderId="30" xfId="1" applyFont="1" applyBorder="1" applyAlignment="1">
      <alignment horizontal="right"/>
    </xf>
    <xf numFmtId="43" fontId="0" fillId="0" borderId="31" xfId="1" applyFont="1" applyBorder="1" applyAlignment="1">
      <alignment horizontal="right"/>
    </xf>
    <xf numFmtId="0" fontId="0" fillId="2" borderId="28" xfId="0" applyFill="1" applyBorder="1" applyAlignment="1" applyProtection="1">
      <alignment horizontal="center"/>
      <protection locked="0"/>
    </xf>
    <xf numFmtId="43" fontId="0" fillId="2" borderId="28" xfId="1" applyFont="1" applyFill="1" applyBorder="1" applyAlignment="1" applyProtection="1">
      <alignment horizontal="right"/>
      <protection locked="0"/>
    </xf>
    <xf numFmtId="43" fontId="0" fillId="2" borderId="19" xfId="1" applyFont="1" applyFill="1" applyBorder="1" applyAlignment="1" applyProtection="1">
      <alignment horizontal="right"/>
      <protection locked="0"/>
    </xf>
    <xf numFmtId="0" fontId="0" fillId="0" borderId="49" xfId="0" applyBorder="1" applyAlignment="1">
      <alignment horizontal="center" vertical="center" wrapText="1"/>
    </xf>
    <xf numFmtId="0" fontId="0" fillId="2" borderId="3" xfId="0" applyFill="1" applyBorder="1" applyAlignment="1" applyProtection="1">
      <protection locked="0"/>
    </xf>
    <xf numFmtId="0" fontId="0" fillId="2" borderId="20" xfId="0" applyFill="1" applyBorder="1" applyAlignment="1" applyProtection="1">
      <protection locked="0"/>
    </xf>
    <xf numFmtId="43" fontId="3" fillId="0" borderId="8" xfId="1" applyFont="1" applyFill="1" applyBorder="1" applyAlignment="1" applyProtection="1">
      <alignment horizontal="right"/>
    </xf>
    <xf numFmtId="43" fontId="3" fillId="0" borderId="67" xfId="1" applyFill="1" applyBorder="1" applyAlignment="1" applyProtection="1">
      <alignment horizontal="right"/>
    </xf>
    <xf numFmtId="43" fontId="3" fillId="0" borderId="30" xfId="1" applyBorder="1" applyAlignment="1" applyProtection="1">
      <alignment horizontal="right"/>
    </xf>
    <xf numFmtId="43" fontId="3" fillId="0" borderId="31" xfId="1" applyBorder="1" applyAlignment="1" applyProtection="1">
      <alignment horizontal="right"/>
    </xf>
    <xf numFmtId="43" fontId="3" fillId="2" borderId="29" xfId="1" applyFill="1" applyBorder="1" applyAlignment="1" applyProtection="1">
      <alignment horizontal="right"/>
      <protection locked="0"/>
    </xf>
    <xf numFmtId="43" fontId="3" fillId="2" borderId="20" xfId="1" applyFill="1" applyBorder="1" applyAlignment="1" applyProtection="1">
      <alignment horizontal="right"/>
      <protection locked="0"/>
    </xf>
    <xf numFmtId="43" fontId="3" fillId="2" borderId="28" xfId="1" applyFill="1" applyBorder="1" applyAlignment="1" applyProtection="1">
      <alignment horizontal="right"/>
      <protection locked="0"/>
    </xf>
    <xf numFmtId="43" fontId="3" fillId="2" borderId="19" xfId="1" applyFill="1" applyBorder="1" applyAlignment="1" applyProtection="1">
      <alignment horizontal="right"/>
      <protection locked="0"/>
    </xf>
    <xf numFmtId="14" fontId="0" fillId="2" borderId="28" xfId="0" applyNumberFormat="1" applyFill="1" applyBorder="1" applyAlignment="1" applyProtection="1">
      <alignment horizontal="center"/>
      <protection locked="0"/>
    </xf>
    <xf numFmtId="0" fontId="6" fillId="0" borderId="8" xfId="0" applyFont="1" applyFill="1" applyBorder="1" applyAlignment="1" applyProtection="1">
      <alignment horizontal="center" vertical="center"/>
    </xf>
    <xf numFmtId="0" fontId="6" fillId="0" borderId="52" xfId="0" applyFont="1" applyFill="1" applyBorder="1" applyAlignment="1" applyProtection="1">
      <alignment horizontal="center" vertical="center"/>
    </xf>
    <xf numFmtId="0" fontId="6" fillId="0" borderId="0" xfId="0" applyFont="1" applyFill="1" applyAlignment="1" applyProtection="1">
      <alignment horizontal="center"/>
    </xf>
    <xf numFmtId="0" fontId="0" fillId="0" borderId="37"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100" xfId="0" applyBorder="1" applyAlignment="1" applyProtection="1">
      <alignment horizontal="center" vertical="center" wrapText="1"/>
    </xf>
    <xf numFmtId="0" fontId="0" fillId="0" borderId="37" xfId="0" applyBorder="1" applyAlignment="1" applyProtection="1">
      <alignment horizontal="center" vertical="center"/>
    </xf>
    <xf numFmtId="43" fontId="0" fillId="2" borderId="46" xfId="1" applyFont="1" applyFill="1" applyBorder="1" applyAlignment="1" applyProtection="1">
      <alignment horizontal="right"/>
      <protection locked="0"/>
    </xf>
    <xf numFmtId="43" fontId="0" fillId="2" borderId="51" xfId="1" applyFont="1" applyFill="1" applyBorder="1" applyAlignment="1" applyProtection="1">
      <alignment horizontal="right"/>
      <protection locked="0"/>
    </xf>
    <xf numFmtId="43" fontId="17" fillId="0" borderId="53" xfId="1" applyFont="1" applyBorder="1" applyAlignment="1" applyProtection="1">
      <alignment horizontal="center"/>
    </xf>
    <xf numFmtId="43" fontId="17" fillId="0" borderId="38" xfId="1" applyFont="1" applyBorder="1" applyAlignment="1" applyProtection="1">
      <alignment horizontal="center"/>
    </xf>
    <xf numFmtId="43" fontId="17" fillId="0" borderId="83" xfId="1" applyFont="1" applyBorder="1" applyAlignment="1" applyProtection="1">
      <alignment horizontal="center"/>
    </xf>
    <xf numFmtId="43" fontId="17" fillId="0" borderId="85" xfId="1" applyFont="1" applyBorder="1" applyAlignment="1" applyProtection="1">
      <alignment horizontal="center"/>
    </xf>
    <xf numFmtId="43" fontId="0" fillId="0" borderId="23" xfId="0" applyNumberFormat="1" applyFill="1" applyBorder="1" applyAlignment="1" applyProtection="1">
      <alignment horizontal="center"/>
    </xf>
    <xf numFmtId="0" fontId="0" fillId="0" borderId="101" xfId="0" applyFill="1" applyBorder="1" applyAlignment="1" applyProtection="1">
      <alignment horizontal="center"/>
    </xf>
    <xf numFmtId="43" fontId="3" fillId="0" borderId="12" xfId="1" applyBorder="1" applyAlignment="1" applyProtection="1">
      <alignment horizontal="right"/>
    </xf>
    <xf numFmtId="43" fontId="3" fillId="0" borderId="52" xfId="1" applyBorder="1" applyAlignment="1" applyProtection="1">
      <alignment horizontal="right"/>
    </xf>
    <xf numFmtId="43" fontId="17" fillId="0" borderId="29" xfId="1" applyFont="1" applyBorder="1" applyAlignment="1" applyProtection="1">
      <alignment horizontal="center"/>
    </xf>
    <xf numFmtId="43" fontId="17" fillId="0" borderId="20" xfId="1" applyFont="1" applyBorder="1" applyAlignment="1" applyProtection="1">
      <alignment horizontal="center"/>
    </xf>
    <xf numFmtId="43" fontId="3" fillId="0" borderId="29" xfId="1" applyBorder="1" applyAlignment="1" applyProtection="1">
      <alignment horizontal="right"/>
    </xf>
    <xf numFmtId="43" fontId="3" fillId="0" borderId="20" xfId="1" applyBorder="1" applyAlignment="1" applyProtection="1">
      <alignment horizontal="right"/>
    </xf>
    <xf numFmtId="0" fontId="10" fillId="0" borderId="0" xfId="0" applyFont="1" applyAlignment="1">
      <alignment horizontal="center"/>
    </xf>
    <xf numFmtId="43" fontId="3" fillId="2" borderId="26" xfId="1" applyFill="1" applyBorder="1" applyAlignment="1" applyProtection="1">
      <alignment horizontal="right"/>
      <protection locked="0"/>
    </xf>
    <xf numFmtId="43" fontId="3" fillId="0" borderId="30" xfId="1" applyBorder="1" applyAlignment="1">
      <alignment horizontal="right"/>
    </xf>
    <xf numFmtId="43" fontId="3" fillId="0" borderId="31" xfId="1" applyBorder="1" applyAlignment="1">
      <alignment horizontal="right"/>
    </xf>
    <xf numFmtId="0" fontId="11" fillId="0" borderId="8" xfId="0" applyFont="1" applyBorder="1" applyAlignment="1">
      <alignment horizontal="center"/>
    </xf>
    <xf numFmtId="43" fontId="3" fillId="0" borderId="12" xfId="1" applyBorder="1" applyAlignment="1">
      <alignment horizontal="right"/>
    </xf>
    <xf numFmtId="43" fontId="3" fillId="0" borderId="52" xfId="1" applyBorder="1" applyAlignment="1">
      <alignment horizontal="right"/>
    </xf>
    <xf numFmtId="43" fontId="3" fillId="0" borderId="23" xfId="1" applyBorder="1" applyAlignment="1">
      <alignment horizontal="right"/>
    </xf>
    <xf numFmtId="43" fontId="3" fillId="0" borderId="0" xfId="1" applyBorder="1" applyAlignment="1">
      <alignment horizontal="right"/>
    </xf>
    <xf numFmtId="0" fontId="23" fillId="0" borderId="15" xfId="0" applyFont="1" applyBorder="1" applyAlignment="1">
      <alignment horizontal="center" vertical="center" wrapText="1"/>
    </xf>
    <xf numFmtId="0" fontId="23" fillId="0" borderId="2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41" xfId="0" applyFont="1" applyBorder="1" applyAlignment="1">
      <alignment horizontal="center" vertical="center" wrapText="1"/>
    </xf>
    <xf numFmtId="49" fontId="0" fillId="2" borderId="18" xfId="0" applyNumberFormat="1" applyFill="1" applyBorder="1" applyAlignment="1" applyProtection="1">
      <alignment horizontal="left"/>
      <protection locked="0"/>
    </xf>
    <xf numFmtId="49" fontId="0" fillId="2" borderId="19" xfId="0" applyNumberFormat="1" applyFill="1" applyBorder="1" applyAlignment="1" applyProtection="1">
      <alignment horizontal="left"/>
      <protection locked="0"/>
    </xf>
    <xf numFmtId="49" fontId="0" fillId="2" borderId="3" xfId="0" applyNumberFormat="1" applyFill="1" applyBorder="1" applyAlignment="1" applyProtection="1">
      <alignment horizontal="left"/>
      <protection locked="0"/>
    </xf>
    <xf numFmtId="49" fontId="0" fillId="2" borderId="20" xfId="0" applyNumberFormat="1" applyFill="1" applyBorder="1" applyAlignment="1" applyProtection="1">
      <alignment horizontal="left"/>
      <protection locked="0"/>
    </xf>
    <xf numFmtId="0" fontId="23" fillId="0" borderId="15" xfId="0" applyFont="1" applyBorder="1" applyAlignment="1" applyProtection="1">
      <alignment horizontal="center" vertical="center" wrapText="1"/>
    </xf>
    <xf numFmtId="0" fontId="23" fillId="0" borderId="21" xfId="0" applyFont="1" applyBorder="1" applyAlignment="1" applyProtection="1">
      <alignment horizontal="center" vertical="center" wrapText="1"/>
    </xf>
    <xf numFmtId="0" fontId="13" fillId="0" borderId="64" xfId="0" applyFont="1" applyBorder="1" applyAlignment="1" applyProtection="1">
      <alignment horizontal="center" vertical="center" wrapText="1"/>
    </xf>
    <xf numFmtId="0" fontId="13" fillId="0" borderId="41" xfId="0" applyFont="1" applyBorder="1" applyAlignment="1" applyProtection="1">
      <alignment horizontal="center" vertical="center" wrapText="1"/>
    </xf>
    <xf numFmtId="0" fontId="0" fillId="2" borderId="18" xfId="0" applyFill="1" applyBorder="1" applyAlignment="1" applyProtection="1">
      <alignment horizontal="left"/>
      <protection locked="0"/>
    </xf>
    <xf numFmtId="0" fontId="0" fillId="2" borderId="19" xfId="0" applyFill="1" applyBorder="1" applyAlignment="1" applyProtection="1">
      <alignment horizontal="left"/>
      <protection locked="0"/>
    </xf>
    <xf numFmtId="0" fontId="0" fillId="0" borderId="0" xfId="0" applyBorder="1" applyAlignment="1">
      <alignment horizontal="center"/>
    </xf>
    <xf numFmtId="0" fontId="23" fillId="0" borderId="66" xfId="0" applyFont="1" applyBorder="1" applyAlignment="1">
      <alignment horizontal="center" vertical="center" wrapText="1"/>
    </xf>
    <xf numFmtId="0" fontId="13" fillId="0" borderId="88" xfId="0" applyFont="1" applyBorder="1" applyAlignment="1">
      <alignment horizontal="center" vertical="center" wrapText="1"/>
    </xf>
    <xf numFmtId="0" fontId="0" fillId="0" borderId="46" xfId="0" applyBorder="1" applyAlignment="1">
      <alignment horizontal="center" vertical="center"/>
    </xf>
    <xf numFmtId="0" fontId="0" fillId="0" borderId="15" xfId="0" applyBorder="1" applyAlignment="1">
      <alignment horizontal="center" vertical="center"/>
    </xf>
    <xf numFmtId="0" fontId="0" fillId="0" borderId="21" xfId="0" applyBorder="1" applyAlignment="1">
      <alignment horizontal="center" vertical="center"/>
    </xf>
    <xf numFmtId="0" fontId="0" fillId="0" borderId="64" xfId="0" applyBorder="1" applyAlignment="1">
      <alignment horizontal="center" vertical="center"/>
    </xf>
    <xf numFmtId="0" fontId="0" fillId="0" borderId="41" xfId="0" applyBorder="1" applyAlignment="1">
      <alignment horizontal="center" vertical="center"/>
    </xf>
    <xf numFmtId="49" fontId="3" fillId="2" borderId="3" xfId="0" applyNumberFormat="1" applyFont="1" applyFill="1" applyBorder="1" applyAlignment="1" applyProtection="1">
      <alignment horizontal="left"/>
      <protection locked="0"/>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88" xfId="0" applyBorder="1" applyAlignment="1">
      <alignment horizontal="center" vertical="center"/>
    </xf>
    <xf numFmtId="43" fontId="0" fillId="2" borderId="53" xfId="1" applyFont="1" applyFill="1" applyBorder="1" applyAlignment="1" applyProtection="1">
      <alignment horizontal="center"/>
      <protection locked="0"/>
    </xf>
    <xf numFmtId="43" fontId="0" fillId="2" borderId="64" xfId="1" applyFont="1" applyFill="1" applyBorder="1" applyAlignment="1" applyProtection="1">
      <alignment horizontal="center"/>
      <protection locked="0"/>
    </xf>
    <xf numFmtId="43" fontId="17" fillId="0" borderId="6" xfId="1" applyFont="1" applyBorder="1" applyAlignment="1">
      <alignment horizontal="center"/>
    </xf>
    <xf numFmtId="43" fontId="17" fillId="0" borderId="27" xfId="1" applyFont="1" applyBorder="1" applyAlignment="1">
      <alignment horizontal="center"/>
    </xf>
    <xf numFmtId="1" fontId="6" fillId="0" borderId="0" xfId="0" applyNumberFormat="1" applyFont="1" applyAlignment="1">
      <alignment horizontal="center"/>
    </xf>
    <xf numFmtId="0" fontId="30" fillId="0" borderId="0" xfId="0" applyFont="1" applyAlignment="1">
      <alignment horizontal="center"/>
    </xf>
    <xf numFmtId="0" fontId="31" fillId="0" borderId="0" xfId="0" applyFont="1" applyAlignment="1">
      <alignment horizontal="center"/>
    </xf>
    <xf numFmtId="43" fontId="0" fillId="0" borderId="26" xfId="1" applyFont="1" applyBorder="1" applyAlignment="1" applyProtection="1">
      <alignment horizontal="center"/>
    </xf>
    <xf numFmtId="43" fontId="0" fillId="0" borderId="3" xfId="1" applyFont="1" applyBorder="1" applyAlignment="1" applyProtection="1">
      <alignment horizontal="center"/>
    </xf>
    <xf numFmtId="43" fontId="0" fillId="3" borderId="26" xfId="1" applyFont="1" applyFill="1" applyBorder="1" applyAlignment="1" applyProtection="1">
      <alignment horizontal="center"/>
    </xf>
    <xf numFmtId="0" fontId="34" fillId="0" borderId="0" xfId="0" applyFont="1" applyAlignment="1">
      <alignment horizontal="center"/>
    </xf>
    <xf numFmtId="0" fontId="3" fillId="0" borderId="1" xfId="19" applyFill="1" applyBorder="1" applyAlignment="1" applyProtection="1">
      <alignment horizontal="center" vertical="center"/>
    </xf>
    <xf numFmtId="0" fontId="3" fillId="0" borderId="49" xfId="19" applyFill="1" applyBorder="1" applyAlignment="1" applyProtection="1">
      <alignment horizontal="center" vertical="center"/>
    </xf>
    <xf numFmtId="0" fontId="3" fillId="0" borderId="0" xfId="19" applyFill="1" applyAlignment="1">
      <alignment horizontal="center"/>
    </xf>
    <xf numFmtId="0" fontId="23" fillId="0" borderId="0" xfId="19" applyFont="1" applyFill="1" applyAlignment="1">
      <alignment horizontal="center"/>
    </xf>
    <xf numFmtId="0" fontId="24" fillId="0" borderId="0" xfId="19" applyFont="1" applyFill="1" applyAlignment="1" applyProtection="1">
      <alignment horizontal="center"/>
    </xf>
    <xf numFmtId="0" fontId="16" fillId="0" borderId="0" xfId="19" applyFont="1" applyFill="1" applyAlignment="1" applyProtection="1">
      <alignment horizontal="center"/>
    </xf>
    <xf numFmtId="0" fontId="35" fillId="0" borderId="8" xfId="19" applyFont="1" applyFill="1" applyBorder="1" applyAlignment="1" applyProtection="1">
      <alignment horizontal="center" vertical="top"/>
    </xf>
    <xf numFmtId="0" fontId="7" fillId="0" borderId="0" xfId="19" applyFont="1" applyFill="1" applyAlignment="1" applyProtection="1">
      <alignment horizontal="center"/>
    </xf>
    <xf numFmtId="0" fontId="5" fillId="0" borderId="0" xfId="19" applyFont="1" applyFill="1" applyAlignment="1" applyProtection="1">
      <alignment horizontal="center"/>
    </xf>
    <xf numFmtId="14" fontId="6" fillId="0" borderId="0" xfId="19" applyNumberFormat="1" applyFont="1" applyFill="1" applyAlignment="1" applyProtection="1">
      <alignment horizontal="center"/>
    </xf>
    <xf numFmtId="0" fontId="6" fillId="0" borderId="0" xfId="19" applyFont="1" applyFill="1" applyAlignment="1" applyProtection="1">
      <alignment horizontal="center"/>
    </xf>
    <xf numFmtId="0" fontId="24" fillId="0" borderId="0" xfId="19" applyFont="1" applyFill="1" applyAlignment="1">
      <alignment horizontal="center"/>
    </xf>
    <xf numFmtId="0" fontId="16" fillId="0" borderId="0" xfId="19" applyFont="1" applyFill="1" applyAlignment="1">
      <alignment horizontal="center"/>
    </xf>
    <xf numFmtId="0" fontId="35" fillId="0" borderId="8" xfId="19" applyFont="1" applyFill="1" applyBorder="1" applyAlignment="1">
      <alignment horizontal="center" vertical="top"/>
    </xf>
    <xf numFmtId="0" fontId="3" fillId="0" borderId="1" xfId="19" applyFill="1" applyBorder="1" applyAlignment="1">
      <alignment horizontal="center" vertical="center"/>
    </xf>
    <xf numFmtId="0" fontId="3" fillId="0" borderId="49" xfId="19" applyFill="1" applyBorder="1" applyAlignment="1">
      <alignment horizontal="center" vertical="center"/>
    </xf>
    <xf numFmtId="0" fontId="3" fillId="0" borderId="5" xfId="19" applyFill="1" applyBorder="1" applyAlignment="1">
      <alignment horizontal="center"/>
    </xf>
    <xf numFmtId="0" fontId="3" fillId="0" borderId="0" xfId="19" applyFill="1" applyBorder="1" applyAlignment="1">
      <alignment horizontal="center"/>
    </xf>
    <xf numFmtId="0" fontId="7" fillId="0" borderId="0" xfId="19" applyFont="1" applyFill="1" applyAlignment="1">
      <alignment horizontal="center"/>
    </xf>
    <xf numFmtId="0" fontId="5" fillId="0" borderId="0" xfId="19" applyFont="1" applyFill="1" applyAlignment="1">
      <alignment horizontal="center"/>
    </xf>
    <xf numFmtId="14" fontId="6" fillId="0" borderId="0" xfId="19" applyNumberFormat="1" applyFont="1" applyFill="1" applyAlignment="1">
      <alignment horizontal="center"/>
    </xf>
    <xf numFmtId="0" fontId="6" fillId="0" borderId="0" xfId="19" applyFont="1" applyFill="1" applyAlignment="1">
      <alignment horizontal="center"/>
    </xf>
    <xf numFmtId="0" fontId="23" fillId="0" borderId="0" xfId="19" applyFont="1" applyAlignment="1" applyProtection="1">
      <alignment horizontal="center"/>
    </xf>
    <xf numFmtId="0" fontId="36" fillId="0" borderId="0" xfId="19" applyFont="1" applyAlignment="1" applyProtection="1">
      <alignment horizontal="center"/>
    </xf>
    <xf numFmtId="0" fontId="5" fillId="0" borderId="0" xfId="19" applyFont="1" applyAlignment="1" applyProtection="1">
      <alignment horizontal="center"/>
    </xf>
    <xf numFmtId="0" fontId="6" fillId="0" borderId="0" xfId="19" applyFont="1" applyAlignment="1" applyProtection="1">
      <alignment horizontal="center"/>
    </xf>
    <xf numFmtId="14" fontId="6" fillId="0" borderId="0" xfId="19" applyNumberFormat="1" applyFont="1" applyAlignment="1" applyProtection="1">
      <alignment horizontal="center"/>
    </xf>
    <xf numFmtId="0" fontId="3" fillId="0" borderId="1" xfId="19" applyBorder="1" applyAlignment="1" applyProtection="1">
      <alignment horizontal="center" vertical="center"/>
    </xf>
    <xf numFmtId="0" fontId="3" fillId="0" borderId="49" xfId="19" applyBorder="1" applyAlignment="1" applyProtection="1">
      <alignment horizontal="center" vertical="center"/>
    </xf>
    <xf numFmtId="0" fontId="3" fillId="0" borderId="0" xfId="19" applyAlignment="1" applyProtection="1">
      <alignment horizontal="center"/>
    </xf>
    <xf numFmtId="0" fontId="12" fillId="0" borderId="0" xfId="19" applyFont="1" applyFill="1" applyAlignment="1" applyProtection="1">
      <alignment horizontal="center"/>
    </xf>
    <xf numFmtId="0" fontId="6" fillId="0" borderId="64" xfId="19" applyFont="1" applyBorder="1" applyAlignment="1" applyProtection="1">
      <alignment horizontal="center" vertical="top"/>
    </xf>
    <xf numFmtId="0" fontId="6" fillId="0" borderId="26" xfId="19" applyFont="1" applyBorder="1" applyAlignment="1" applyProtection="1">
      <alignment horizontal="center" vertical="top"/>
    </xf>
    <xf numFmtId="0" fontId="6" fillId="0" borderId="41" xfId="19" applyFont="1" applyBorder="1" applyAlignment="1" applyProtection="1">
      <alignment horizontal="center" vertical="top"/>
    </xf>
    <xf numFmtId="0" fontId="23" fillId="0" borderId="0" xfId="19" applyFont="1" applyAlignment="1">
      <alignment horizontal="center" vertical="center" textRotation="180" wrapText="1"/>
    </xf>
    <xf numFmtId="0" fontId="3" fillId="0" borderId="9" xfId="19" applyFill="1" applyBorder="1" applyAlignment="1">
      <alignment horizontal="center" vertical="center"/>
    </xf>
    <xf numFmtId="0" fontId="3" fillId="0" borderId="51" xfId="19" applyFill="1" applyBorder="1" applyAlignment="1">
      <alignment horizontal="center" vertical="center"/>
    </xf>
    <xf numFmtId="0" fontId="3" fillId="0" borderId="8" xfId="19" applyFill="1" applyBorder="1" applyAlignment="1">
      <alignment horizontal="center" vertical="center"/>
    </xf>
    <xf numFmtId="0" fontId="3" fillId="0" borderId="52" xfId="19" applyFill="1" applyBorder="1" applyAlignment="1">
      <alignment horizontal="center" vertical="center"/>
    </xf>
    <xf numFmtId="0" fontId="24" fillId="0" borderId="8" xfId="19" applyFont="1" applyFill="1" applyBorder="1" applyAlignment="1">
      <alignment horizontal="center"/>
    </xf>
    <xf numFmtId="0" fontId="16" fillId="0" borderId="3" xfId="19" applyFont="1" applyFill="1" applyBorder="1" applyAlignment="1" applyProtection="1">
      <alignment wrapText="1"/>
    </xf>
    <xf numFmtId="0" fontId="3" fillId="0" borderId="20" xfId="19" applyFill="1" applyBorder="1" applyAlignment="1" applyProtection="1">
      <alignment wrapText="1"/>
    </xf>
    <xf numFmtId="0" fontId="3" fillId="0" borderId="5" xfId="19" applyFill="1" applyBorder="1" applyAlignment="1" applyProtection="1">
      <alignment vertical="center"/>
    </xf>
    <xf numFmtId="0" fontId="3" fillId="0" borderId="26" xfId="19" applyFill="1" applyBorder="1" applyAlignment="1" applyProtection="1">
      <alignment vertical="center"/>
    </xf>
    <xf numFmtId="0" fontId="3" fillId="0" borderId="0" xfId="19" applyFill="1" applyBorder="1" applyAlignment="1" applyProtection="1">
      <alignment vertical="center"/>
    </xf>
    <xf numFmtId="0" fontId="3" fillId="0" borderId="8" xfId="19" applyFill="1" applyBorder="1" applyAlignment="1" applyProtection="1">
      <alignment vertical="center"/>
    </xf>
    <xf numFmtId="0" fontId="3" fillId="0" borderId="3" xfId="19" applyFont="1" applyFill="1" applyBorder="1" applyAlignment="1" applyProtection="1">
      <alignment wrapText="1"/>
    </xf>
    <xf numFmtId="0" fontId="11" fillId="0" borderId="0" xfId="19" applyFont="1" applyFill="1" applyAlignment="1" applyProtection="1">
      <alignment horizontal="center"/>
    </xf>
    <xf numFmtId="0" fontId="11" fillId="0" borderId="0" xfId="19" applyFont="1" applyFill="1" applyAlignment="1" applyProtection="1">
      <alignment horizontal="center"/>
      <protection locked="0"/>
    </xf>
    <xf numFmtId="43" fontId="3" fillId="2" borderId="6" xfId="1" applyFill="1" applyBorder="1" applyAlignment="1" applyProtection="1">
      <alignment horizontal="center"/>
      <protection locked="0"/>
    </xf>
    <xf numFmtId="43" fontId="3" fillId="2" borderId="27" xfId="1" applyFill="1" applyBorder="1" applyAlignment="1" applyProtection="1">
      <alignment horizontal="center"/>
      <protection locked="0"/>
    </xf>
    <xf numFmtId="0" fontId="17" fillId="0" borderId="53" xfId="19" applyFont="1" applyFill="1" applyBorder="1" applyAlignment="1" applyProtection="1">
      <alignment horizontal="center"/>
    </xf>
    <xf numFmtId="0" fontId="17" fillId="0" borderId="64" xfId="19" applyFont="1" applyFill="1" applyBorder="1" applyAlignment="1" applyProtection="1">
      <alignment horizontal="center"/>
    </xf>
    <xf numFmtId="0" fontId="58" fillId="0" borderId="0" xfId="19" applyFont="1" applyFill="1" applyAlignment="1" applyProtection="1">
      <alignment horizontal="center"/>
    </xf>
    <xf numFmtId="0" fontId="23" fillId="0" borderId="0" xfId="19" applyFont="1" applyAlignment="1">
      <alignment horizontal="center"/>
    </xf>
    <xf numFmtId="49" fontId="23" fillId="0" borderId="0" xfId="19" applyNumberFormat="1" applyFont="1" applyAlignment="1">
      <alignment horizontal="center"/>
    </xf>
    <xf numFmtId="49" fontId="6" fillId="0" borderId="0" xfId="19" applyNumberFormat="1" applyFont="1" applyAlignment="1">
      <alignment horizontal="center"/>
    </xf>
    <xf numFmtId="0" fontId="22" fillId="0" borderId="0" xfId="19" applyFont="1" applyAlignment="1">
      <alignment horizontal="center"/>
    </xf>
    <xf numFmtId="0" fontId="12" fillId="0" borderId="0" xfId="19" applyFont="1" applyAlignment="1">
      <alignment horizontal="center"/>
    </xf>
    <xf numFmtId="0" fontId="22" fillId="0" borderId="0" xfId="19" applyFont="1" applyAlignment="1">
      <alignment horizontal="center" vertical="center"/>
    </xf>
    <xf numFmtId="49" fontId="24" fillId="0" borderId="0" xfId="19" applyNumberFormat="1" applyFont="1" applyAlignment="1">
      <alignment horizontal="center"/>
    </xf>
    <xf numFmtId="0" fontId="17" fillId="0" borderId="0" xfId="19" applyFont="1" applyAlignment="1">
      <alignment horizontal="center"/>
    </xf>
    <xf numFmtId="43" fontId="3" fillId="0" borderId="12" xfId="1" applyFill="1" applyBorder="1" applyAlignment="1" applyProtection="1">
      <alignment horizontal="right"/>
    </xf>
    <xf numFmtId="43" fontId="3" fillId="0" borderId="52" xfId="1" applyFill="1" applyBorder="1" applyAlignment="1" applyProtection="1">
      <alignment horizontal="right"/>
    </xf>
    <xf numFmtId="43" fontId="3" fillId="0" borderId="29" xfId="1" applyFill="1" applyBorder="1" applyAlignment="1" applyProtection="1">
      <alignment horizontal="right"/>
    </xf>
    <xf numFmtId="43" fontId="3" fillId="0" borderId="20" xfId="1" applyFill="1" applyBorder="1" applyAlignment="1" applyProtection="1">
      <alignment horizontal="right"/>
    </xf>
    <xf numFmtId="0" fontId="3" fillId="2" borderId="29" xfId="19" applyFill="1" applyBorder="1" applyAlignment="1" applyProtection="1">
      <alignment horizontal="center"/>
      <protection locked="0"/>
    </xf>
    <xf numFmtId="0" fontId="3" fillId="2" borderId="20" xfId="19" applyFill="1" applyBorder="1" applyAlignment="1" applyProtection="1">
      <alignment horizontal="center"/>
      <protection locked="0"/>
    </xf>
    <xf numFmtId="0" fontId="3" fillId="0" borderId="37" xfId="19" applyFill="1" applyBorder="1" applyAlignment="1">
      <alignment horizontal="center" vertical="center" wrapText="1"/>
    </xf>
    <xf numFmtId="0" fontId="3" fillId="0" borderId="49" xfId="19" applyFill="1" applyBorder="1" applyAlignment="1">
      <alignment horizontal="center" vertical="center" wrapText="1"/>
    </xf>
    <xf numFmtId="0" fontId="3" fillId="0" borderId="37" xfId="19" applyFill="1" applyBorder="1" applyAlignment="1">
      <alignment horizontal="center" vertical="center"/>
    </xf>
    <xf numFmtId="0" fontId="6" fillId="0" borderId="9" xfId="19" applyFont="1" applyFill="1" applyBorder="1" applyAlignment="1">
      <alignment horizontal="center" vertical="center"/>
    </xf>
    <xf numFmtId="0" fontId="6" fillId="0" borderId="51" xfId="19" applyFont="1" applyFill="1" applyBorder="1" applyAlignment="1">
      <alignment horizontal="center" vertical="center"/>
    </xf>
    <xf numFmtId="0" fontId="6" fillId="0" borderId="8" xfId="19" applyFont="1" applyFill="1" applyBorder="1" applyAlignment="1">
      <alignment horizontal="center"/>
    </xf>
    <xf numFmtId="43" fontId="17" fillId="0" borderId="83" xfId="1" applyFont="1" applyFill="1" applyBorder="1" applyAlignment="1" applyProtection="1">
      <alignment horizontal="center"/>
    </xf>
    <xf numFmtId="43" fontId="17" fillId="0" borderId="85" xfId="1" applyFont="1" applyFill="1" applyBorder="1" applyAlignment="1" applyProtection="1">
      <alignment horizontal="center"/>
    </xf>
    <xf numFmtId="0" fontId="3" fillId="0" borderId="1" xfId="19" applyFont="1" applyFill="1" applyBorder="1" applyAlignment="1">
      <alignment horizontal="center" vertical="center" wrapText="1"/>
    </xf>
    <xf numFmtId="0" fontId="3" fillId="0" borderId="1" xfId="19" applyFill="1" applyBorder="1" applyAlignment="1">
      <alignment horizontal="center" vertical="center" wrapText="1"/>
    </xf>
    <xf numFmtId="43" fontId="17" fillId="0" borderId="29" xfId="1" applyFont="1" applyFill="1" applyBorder="1" applyAlignment="1" applyProtection="1">
      <alignment horizontal="center"/>
    </xf>
    <xf numFmtId="43" fontId="17" fillId="0" borderId="20" xfId="1" applyFont="1" applyFill="1" applyBorder="1" applyAlignment="1" applyProtection="1">
      <alignment horizontal="center"/>
    </xf>
    <xf numFmtId="43" fontId="3" fillId="0" borderId="30" xfId="1" applyFill="1" applyBorder="1" applyAlignment="1" applyProtection="1">
      <alignment horizontal="right"/>
    </xf>
    <xf numFmtId="43" fontId="3" fillId="0" borderId="31" xfId="1" applyFill="1" applyBorder="1" applyAlignment="1" applyProtection="1">
      <alignment horizontal="right"/>
    </xf>
    <xf numFmtId="0" fontId="6" fillId="0" borderId="8" xfId="19" applyFont="1" applyFill="1" applyBorder="1" applyAlignment="1" applyProtection="1">
      <alignment horizontal="center" vertical="center"/>
      <protection locked="0"/>
    </xf>
    <xf numFmtId="0" fontId="6" fillId="0" borderId="52" xfId="19" applyFont="1" applyFill="1" applyBorder="1" applyAlignment="1" applyProtection="1">
      <alignment horizontal="center" vertical="center"/>
      <protection locked="0"/>
    </xf>
    <xf numFmtId="43" fontId="3" fillId="0" borderId="3" xfId="19" applyNumberFormat="1" applyFill="1" applyBorder="1" applyAlignment="1" applyProtection="1">
      <alignment horizontal="center"/>
    </xf>
    <xf numFmtId="0" fontId="3" fillId="0" borderId="3" xfId="19" applyFill="1" applyBorder="1" applyAlignment="1" applyProtection="1">
      <alignment horizontal="center"/>
    </xf>
    <xf numFmtId="14" fontId="3" fillId="2" borderId="28" xfId="19" applyNumberFormat="1" applyFill="1" applyBorder="1" applyAlignment="1" applyProtection="1">
      <alignment horizontal="center"/>
      <protection locked="0"/>
    </xf>
    <xf numFmtId="0" fontId="3" fillId="2" borderId="19" xfId="19" applyFill="1" applyBorder="1" applyAlignment="1" applyProtection="1">
      <alignment horizontal="center"/>
      <protection locked="0"/>
    </xf>
    <xf numFmtId="0" fontId="3" fillId="0" borderId="1" xfId="19" applyBorder="1" applyAlignment="1">
      <alignment horizontal="center" vertical="center"/>
    </xf>
    <xf numFmtId="43" fontId="3" fillId="0" borderId="29" xfId="1" applyBorder="1" applyAlignment="1">
      <alignment horizontal="right"/>
    </xf>
    <xf numFmtId="43" fontId="3" fillId="0" borderId="20" xfId="1" applyBorder="1" applyAlignment="1">
      <alignment horizontal="right"/>
    </xf>
    <xf numFmtId="0" fontId="3" fillId="0" borderId="37" xfId="19" applyBorder="1" applyAlignment="1">
      <alignment horizontal="center" vertical="center" wrapText="1"/>
    </xf>
    <xf numFmtId="0" fontId="3" fillId="0" borderId="49" xfId="19" applyBorder="1" applyAlignment="1">
      <alignment horizontal="center" vertical="center" wrapText="1"/>
    </xf>
    <xf numFmtId="0" fontId="3" fillId="0" borderId="37" xfId="19" applyBorder="1" applyAlignment="1">
      <alignment horizontal="center" vertical="center"/>
    </xf>
    <xf numFmtId="0" fontId="3" fillId="0" borderId="49" xfId="19" applyBorder="1" applyAlignment="1">
      <alignment horizontal="center" vertical="center"/>
    </xf>
    <xf numFmtId="0" fontId="6" fillId="0" borderId="9" xfId="19" applyFont="1" applyBorder="1" applyAlignment="1">
      <alignment horizontal="center" vertical="center"/>
    </xf>
    <xf numFmtId="0" fontId="6" fillId="0" borderId="51" xfId="19" applyFont="1" applyBorder="1" applyAlignment="1">
      <alignment horizontal="center" vertical="center"/>
    </xf>
    <xf numFmtId="0" fontId="12" fillId="0" borderId="0" xfId="19" applyFont="1" applyFill="1" applyAlignment="1">
      <alignment horizontal="center"/>
    </xf>
    <xf numFmtId="0" fontId="6" fillId="0" borderId="8" xfId="19" applyFont="1" applyFill="1" applyBorder="1" applyAlignment="1" applyProtection="1">
      <alignment horizontal="center" vertical="center"/>
    </xf>
    <xf numFmtId="0" fontId="6" fillId="0" borderId="52" xfId="19" applyFont="1" applyFill="1" applyBorder="1" applyAlignment="1" applyProtection="1">
      <alignment horizontal="center" vertical="center"/>
    </xf>
    <xf numFmtId="43" fontId="3" fillId="0" borderId="3" xfId="19" applyNumberFormat="1" applyBorder="1" applyAlignment="1">
      <alignment horizontal="center"/>
    </xf>
    <xf numFmtId="0" fontId="3" fillId="0" borderId="3" xfId="19" applyBorder="1" applyAlignment="1">
      <alignment horizontal="center"/>
    </xf>
    <xf numFmtId="0" fontId="3" fillId="2" borderId="28" xfId="19" applyFill="1" applyBorder="1" applyAlignment="1" applyProtection="1">
      <alignment horizontal="center"/>
      <protection locked="0"/>
    </xf>
    <xf numFmtId="0" fontId="6" fillId="0" borderId="15" xfId="19" applyFont="1" applyBorder="1" applyAlignment="1">
      <alignment horizontal="center" vertical="center" wrapText="1"/>
    </xf>
    <xf numFmtId="0" fontId="6" fillId="0" borderId="21" xfId="19" applyFont="1" applyBorder="1" applyAlignment="1">
      <alignment horizontal="center" vertical="center" wrapText="1"/>
    </xf>
    <xf numFmtId="0" fontId="3" fillId="0" borderId="64" xfId="19" applyBorder="1" applyAlignment="1">
      <alignment horizontal="center" vertical="center" wrapText="1"/>
    </xf>
    <xf numFmtId="0" fontId="3" fillId="0" borderId="41" xfId="19" applyBorder="1" applyAlignment="1">
      <alignment horizontal="center" vertical="center" wrapText="1"/>
    </xf>
    <xf numFmtId="0" fontId="3" fillId="0" borderId="0" xfId="19" applyAlignment="1">
      <alignment horizontal="center"/>
    </xf>
    <xf numFmtId="0" fontId="3" fillId="0" borderId="21" xfId="19" applyBorder="1" applyAlignment="1">
      <alignment horizontal="center"/>
    </xf>
    <xf numFmtId="0" fontId="17" fillId="0" borderId="89" xfId="19" applyFont="1" applyFill="1" applyBorder="1" applyAlignment="1" applyProtection="1">
      <alignment horizontal="center"/>
    </xf>
    <xf numFmtId="0" fontId="17" fillId="0" borderId="90" xfId="19" applyFont="1" applyFill="1" applyBorder="1" applyAlignment="1" applyProtection="1">
      <alignment horizontal="center"/>
    </xf>
    <xf numFmtId="0" fontId="17" fillId="0" borderId="91" xfId="19" applyFont="1" applyFill="1" applyBorder="1" applyAlignment="1" applyProtection="1">
      <alignment horizontal="center"/>
    </xf>
    <xf numFmtId="0" fontId="23" fillId="0" borderId="0" xfId="19" applyFont="1" applyFill="1" applyAlignment="1">
      <alignment horizontal="center" vertical="center" textRotation="180" wrapText="1"/>
    </xf>
    <xf numFmtId="0" fontId="3" fillId="0" borderId="0" xfId="19" applyFill="1" applyAlignment="1" applyProtection="1">
      <alignment horizontal="center"/>
    </xf>
    <xf numFmtId="0" fontId="3" fillId="0" borderId="21" xfId="19" applyFill="1" applyBorder="1" applyAlignment="1" applyProtection="1">
      <alignment horizontal="center"/>
    </xf>
    <xf numFmtId="0" fontId="6" fillId="0" borderId="15" xfId="19" applyFont="1" applyFill="1" applyBorder="1" applyAlignment="1" applyProtection="1">
      <alignment horizontal="center" vertical="center" wrapText="1"/>
    </xf>
    <xf numFmtId="0" fontId="6" fillId="0" borderId="21" xfId="19" applyFont="1" applyFill="1" applyBorder="1" applyAlignment="1" applyProtection="1">
      <alignment horizontal="center" vertical="center" wrapText="1"/>
    </xf>
    <xf numFmtId="0" fontId="3" fillId="0" borderId="64" xfId="19" applyFill="1" applyBorder="1" applyAlignment="1" applyProtection="1">
      <alignment horizontal="center" vertical="center" wrapText="1"/>
    </xf>
    <xf numFmtId="0" fontId="3" fillId="0" borderId="41" xfId="19" applyFill="1" applyBorder="1" applyAlignment="1" applyProtection="1">
      <alignment horizontal="center" vertical="center" wrapText="1"/>
    </xf>
    <xf numFmtId="49" fontId="3" fillId="2" borderId="3" xfId="19" applyNumberFormat="1" applyFill="1" applyBorder="1" applyAlignment="1" applyProtection="1">
      <alignment horizontal="left"/>
      <protection locked="0"/>
    </xf>
    <xf numFmtId="49" fontId="3" fillId="2" borderId="20" xfId="19" applyNumberFormat="1" applyFill="1" applyBorder="1" applyAlignment="1" applyProtection="1">
      <alignment horizontal="left"/>
      <protection locked="0"/>
    </xf>
    <xf numFmtId="0" fontId="12" fillId="0" borderId="0" xfId="19" applyFont="1" applyAlignment="1" applyProtection="1">
      <alignment horizontal="center"/>
    </xf>
    <xf numFmtId="0" fontId="3" fillId="0" borderId="21" xfId="19" applyBorder="1" applyAlignment="1" applyProtection="1">
      <alignment horizontal="center"/>
    </xf>
    <xf numFmtId="0" fontId="3" fillId="0" borderId="9" xfId="19" applyFill="1" applyBorder="1" applyAlignment="1" applyProtection="1">
      <alignment horizontal="center"/>
    </xf>
    <xf numFmtId="0" fontId="3" fillId="0" borderId="51" xfId="19" applyFill="1" applyBorder="1" applyAlignment="1" applyProtection="1">
      <alignment horizontal="center"/>
    </xf>
    <xf numFmtId="49" fontId="3" fillId="2" borderId="18" xfId="19" applyNumberFormat="1" applyFill="1" applyBorder="1" applyAlignment="1" applyProtection="1">
      <alignment horizontal="left"/>
      <protection locked="0"/>
    </xf>
    <xf numFmtId="49" fontId="3" fillId="2" borderId="19" xfId="19" applyNumberFormat="1" applyFill="1" applyBorder="1" applyAlignment="1" applyProtection="1">
      <alignment horizontal="left"/>
      <protection locked="0"/>
    </xf>
    <xf numFmtId="0" fontId="3" fillId="0" borderId="0" xfId="19" applyBorder="1" applyAlignment="1" applyProtection="1">
      <alignment horizontal="center"/>
    </xf>
    <xf numFmtId="0" fontId="6" fillId="0" borderId="0" xfId="19" applyFont="1" applyFill="1" applyBorder="1" applyAlignment="1" applyProtection="1">
      <alignment horizontal="center" vertical="center" wrapText="1"/>
    </xf>
    <xf numFmtId="0" fontId="6" fillId="0" borderId="64" xfId="19" applyFont="1" applyFill="1" applyBorder="1" applyAlignment="1" applyProtection="1">
      <alignment horizontal="center" vertical="center" wrapText="1"/>
    </xf>
    <xf numFmtId="0" fontId="6" fillId="0" borderId="26" xfId="19" applyFont="1" applyFill="1" applyBorder="1" applyAlignment="1" applyProtection="1">
      <alignment horizontal="center" vertical="center" wrapText="1"/>
    </xf>
    <xf numFmtId="49" fontId="3" fillId="2" borderId="18" xfId="19" applyNumberFormat="1" applyFill="1" applyBorder="1" applyAlignment="1" applyProtection="1">
      <alignment horizontal="center"/>
      <protection locked="0"/>
    </xf>
    <xf numFmtId="49" fontId="3" fillId="2" borderId="19" xfId="19" applyNumberFormat="1" applyFill="1" applyBorder="1" applyAlignment="1" applyProtection="1">
      <alignment horizontal="center"/>
      <protection locked="0"/>
    </xf>
    <xf numFmtId="0" fontId="3" fillId="0" borderId="46" xfId="19" applyFill="1" applyBorder="1" applyAlignment="1" applyProtection="1">
      <alignment horizontal="center" vertical="center"/>
    </xf>
    <xf numFmtId="0" fontId="3" fillId="0" borderId="51" xfId="19" applyFill="1" applyBorder="1" applyAlignment="1" applyProtection="1">
      <alignment horizontal="center" vertical="center"/>
    </xf>
    <xf numFmtId="0" fontId="3" fillId="0" borderId="15" xfId="19" applyFill="1" applyBorder="1" applyAlignment="1" applyProtection="1">
      <alignment horizontal="center" vertical="center"/>
    </xf>
    <xf numFmtId="0" fontId="3" fillId="0" borderId="21" xfId="19" applyFill="1" applyBorder="1" applyAlignment="1" applyProtection="1">
      <alignment horizontal="center" vertical="center"/>
    </xf>
    <xf numFmtId="0" fontId="3" fillId="0" borderId="64" xfId="19" applyFill="1" applyBorder="1" applyAlignment="1" applyProtection="1">
      <alignment horizontal="center" vertical="center"/>
    </xf>
    <xf numFmtId="0" fontId="3" fillId="0" borderId="41" xfId="19" applyFill="1" applyBorder="1" applyAlignment="1" applyProtection="1">
      <alignment horizontal="center" vertical="center"/>
    </xf>
    <xf numFmtId="0" fontId="3" fillId="0" borderId="46" xfId="19" applyBorder="1" applyAlignment="1" applyProtection="1">
      <alignment horizontal="center" vertical="center"/>
    </xf>
    <xf numFmtId="0" fontId="3" fillId="0" borderId="65" xfId="19" applyBorder="1" applyAlignment="1" applyProtection="1">
      <alignment horizontal="center" vertical="center"/>
    </xf>
    <xf numFmtId="0" fontId="3" fillId="0" borderId="15" xfId="19" applyBorder="1" applyAlignment="1" applyProtection="1">
      <alignment horizontal="center" vertical="center"/>
    </xf>
    <xf numFmtId="0" fontId="3" fillId="0" borderId="66" xfId="19" applyBorder="1" applyAlignment="1" applyProtection="1">
      <alignment horizontal="center" vertical="center"/>
    </xf>
    <xf numFmtId="0" fontId="3" fillId="0" borderId="64" xfId="19" applyBorder="1" applyAlignment="1" applyProtection="1">
      <alignment horizontal="center" vertical="center"/>
    </xf>
    <xf numFmtId="0" fontId="3" fillId="0" borderId="88" xfId="19" applyBorder="1" applyAlignment="1" applyProtection="1">
      <alignment horizontal="center" vertical="center"/>
    </xf>
    <xf numFmtId="0" fontId="3" fillId="3" borderId="46" xfId="19" applyFill="1" applyBorder="1" applyAlignment="1" applyProtection="1">
      <alignment horizontal="center" vertical="center"/>
    </xf>
    <xf numFmtId="0" fontId="3" fillId="3" borderId="51" xfId="19" applyFill="1" applyBorder="1" applyAlignment="1" applyProtection="1">
      <alignment horizontal="center" vertical="center"/>
    </xf>
    <xf numFmtId="0" fontId="3" fillId="3" borderId="15" xfId="19" applyFill="1" applyBorder="1" applyAlignment="1" applyProtection="1">
      <alignment horizontal="center" vertical="center"/>
    </xf>
    <xf numFmtId="0" fontId="3" fillId="3" borderId="21" xfId="19" applyFill="1" applyBorder="1" applyAlignment="1" applyProtection="1">
      <alignment horizontal="center" vertical="center"/>
    </xf>
    <xf numFmtId="0" fontId="3" fillId="3" borderId="64" xfId="19" applyFill="1" applyBorder="1" applyAlignment="1" applyProtection="1">
      <alignment horizontal="center" vertical="center"/>
    </xf>
    <xf numFmtId="0" fontId="3" fillId="3" borderId="41" xfId="19" applyFill="1" applyBorder="1" applyAlignment="1" applyProtection="1">
      <alignment horizontal="center" vertical="center"/>
    </xf>
    <xf numFmtId="0" fontId="6" fillId="0" borderId="0" xfId="19" applyFont="1" applyAlignment="1">
      <alignment horizontal="center"/>
    </xf>
    <xf numFmtId="43" fontId="3" fillId="2" borderId="53" xfId="1" applyFill="1" applyBorder="1" applyAlignment="1" applyProtection="1">
      <alignment horizontal="center"/>
      <protection locked="0"/>
    </xf>
    <xf numFmtId="43" fontId="3" fillId="2" borderId="64" xfId="1" applyFill="1" applyBorder="1" applyAlignment="1" applyProtection="1">
      <alignment horizontal="center"/>
      <protection locked="0"/>
    </xf>
    <xf numFmtId="43" fontId="17" fillId="0" borderId="6" xfId="1" applyFont="1" applyBorder="1" applyAlignment="1" applyProtection="1">
      <alignment horizontal="center"/>
    </xf>
    <xf numFmtId="43" fontId="17" fillId="0" borderId="27" xfId="1" applyFont="1" applyBorder="1" applyAlignment="1" applyProtection="1">
      <alignment horizontal="center"/>
    </xf>
    <xf numFmtId="0" fontId="37" fillId="0" borderId="0" xfId="19" applyFont="1" applyFill="1" applyAlignment="1" applyProtection="1">
      <alignment horizontal="center"/>
    </xf>
    <xf numFmtId="0" fontId="11" fillId="0" borderId="0" xfId="19" applyFont="1" applyFill="1" applyAlignment="1">
      <alignment horizontal="center"/>
    </xf>
    <xf numFmtId="0" fontId="16" fillId="0" borderId="0" xfId="19" applyFont="1" applyFill="1" applyAlignment="1" applyProtection="1">
      <alignment horizontal="center"/>
      <protection locked="0"/>
    </xf>
    <xf numFmtId="0" fontId="35" fillId="0" borderId="8" xfId="19" applyFont="1" applyFill="1" applyBorder="1" applyAlignment="1" applyProtection="1">
      <alignment horizontal="center" vertical="top"/>
      <protection locked="0"/>
    </xf>
    <xf numFmtId="0" fontId="3" fillId="0" borderId="1" xfId="19" applyFill="1" applyBorder="1" applyAlignment="1" applyProtection="1">
      <alignment horizontal="center" vertical="center"/>
      <protection locked="0"/>
    </xf>
    <xf numFmtId="0" fontId="3" fillId="0" borderId="49" xfId="19" applyFill="1" applyBorder="1" applyAlignment="1" applyProtection="1">
      <alignment horizontal="center" vertical="center"/>
      <protection locked="0"/>
    </xf>
    <xf numFmtId="0" fontId="24" fillId="0" borderId="0" xfId="19" applyFont="1" applyFill="1" applyAlignment="1" applyProtection="1">
      <alignment horizontal="center"/>
      <protection locked="0"/>
    </xf>
    <xf numFmtId="0" fontId="7" fillId="0" borderId="0" xfId="19" applyFont="1" applyFill="1" applyAlignment="1" applyProtection="1">
      <alignment horizontal="center"/>
      <protection locked="0"/>
    </xf>
    <xf numFmtId="0" fontId="5" fillId="0" borderId="0" xfId="19" applyFont="1" applyFill="1" applyAlignment="1" applyProtection="1">
      <alignment horizontal="center"/>
      <protection locked="0"/>
    </xf>
    <xf numFmtId="14" fontId="6" fillId="0" borderId="0" xfId="19" applyNumberFormat="1" applyFont="1" applyFill="1" applyAlignment="1" applyProtection="1">
      <alignment horizontal="center"/>
      <protection locked="0"/>
    </xf>
    <xf numFmtId="0" fontId="6" fillId="0" borderId="0" xfId="19" applyFont="1" applyFill="1" applyAlignment="1" applyProtection="1">
      <alignment horizontal="center"/>
      <protection locked="0"/>
    </xf>
    <xf numFmtId="0" fontId="3" fillId="0" borderId="5" xfId="19" applyFill="1" applyBorder="1" applyAlignment="1" applyProtection="1">
      <alignment horizontal="center"/>
    </xf>
    <xf numFmtId="0" fontId="3" fillId="0" borderId="0" xfId="19" applyFill="1" applyBorder="1" applyAlignment="1" applyProtection="1">
      <alignment horizontal="center"/>
    </xf>
    <xf numFmtId="0" fontId="24" fillId="0" borderId="8" xfId="19" applyFont="1" applyFill="1" applyBorder="1" applyAlignment="1" applyProtection="1">
      <alignment horizontal="center"/>
    </xf>
    <xf numFmtId="0" fontId="3" fillId="0" borderId="9" xfId="19" applyFill="1" applyBorder="1" applyAlignment="1" applyProtection="1">
      <alignment horizontal="center" vertical="center"/>
    </xf>
    <xf numFmtId="0" fontId="3" fillId="0" borderId="8" xfId="19" applyFill="1" applyBorder="1" applyAlignment="1" applyProtection="1">
      <alignment horizontal="center" vertical="center"/>
    </xf>
    <xf numFmtId="0" fontId="3" fillId="0" borderId="52" xfId="19" applyFill="1" applyBorder="1" applyAlignment="1" applyProtection="1">
      <alignment horizontal="center" vertical="center"/>
    </xf>
    <xf numFmtId="43" fontId="17" fillId="0" borderId="53" xfId="19" applyNumberFormat="1" applyFont="1" applyFill="1" applyBorder="1" applyAlignment="1" applyProtection="1">
      <alignment horizontal="center"/>
    </xf>
    <xf numFmtId="43" fontId="17" fillId="0" borderId="64" xfId="19" applyNumberFormat="1" applyFont="1" applyFill="1" applyBorder="1" applyAlignment="1" applyProtection="1">
      <alignment horizontal="center"/>
    </xf>
    <xf numFmtId="43" fontId="3" fillId="2" borderId="6" xfId="1" applyNumberFormat="1" applyFill="1" applyBorder="1" applyAlignment="1" applyProtection="1">
      <alignment horizontal="center"/>
      <protection locked="0"/>
    </xf>
    <xf numFmtId="43" fontId="3" fillId="2" borderId="27" xfId="1" applyNumberFormat="1" applyFill="1" applyBorder="1" applyAlignment="1" applyProtection="1">
      <alignment horizontal="center"/>
      <protection locked="0"/>
    </xf>
    <xf numFmtId="0" fontId="22" fillId="0" borderId="0" xfId="19" applyFont="1" applyAlignment="1" applyProtection="1">
      <alignment horizontal="center" vertical="center"/>
    </xf>
    <xf numFmtId="49" fontId="6" fillId="0" borderId="0" xfId="19" applyNumberFormat="1" applyFont="1" applyAlignment="1" applyProtection="1">
      <alignment horizontal="center"/>
    </xf>
    <xf numFmtId="0" fontId="22" fillId="0" borderId="0" xfId="19" applyFont="1" applyAlignment="1" applyProtection="1">
      <alignment horizontal="center"/>
    </xf>
    <xf numFmtId="49" fontId="24" fillId="0" borderId="0" xfId="19" applyNumberFormat="1" applyFont="1" applyAlignment="1" applyProtection="1">
      <alignment horizontal="center"/>
    </xf>
    <xf numFmtId="0" fontId="17" fillId="0" borderId="0" xfId="19" applyFont="1" applyAlignment="1" applyProtection="1">
      <alignment horizontal="center"/>
    </xf>
    <xf numFmtId="0" fontId="3" fillId="0" borderId="37" xfId="19" applyFill="1" applyBorder="1" applyAlignment="1" applyProtection="1">
      <alignment horizontal="center" vertical="center"/>
    </xf>
    <xf numFmtId="0" fontId="3" fillId="0" borderId="1" xfId="19" applyFont="1" applyFill="1" applyBorder="1" applyAlignment="1" applyProtection="1">
      <alignment horizontal="center" vertical="center" wrapText="1"/>
    </xf>
    <xf numFmtId="0" fontId="3" fillId="0" borderId="1" xfId="19" applyFill="1" applyBorder="1" applyAlignment="1" applyProtection="1">
      <alignment horizontal="center" vertical="center" wrapText="1"/>
    </xf>
    <xf numFmtId="0" fontId="3" fillId="0" borderId="37" xfId="19" applyBorder="1" applyAlignment="1" applyProtection="1">
      <alignment horizontal="center" vertical="center"/>
    </xf>
    <xf numFmtId="0" fontId="3" fillId="0" borderId="37" xfId="19" applyBorder="1" applyAlignment="1" applyProtection="1">
      <alignment horizontal="center" vertical="center" wrapText="1"/>
    </xf>
    <xf numFmtId="0" fontId="3" fillId="0" borderId="49" xfId="19" applyBorder="1" applyAlignment="1" applyProtection="1">
      <alignment horizontal="center" vertical="center" wrapText="1"/>
    </xf>
    <xf numFmtId="0" fontId="6" fillId="0" borderId="8" xfId="19" applyFont="1" applyFill="1" applyBorder="1" applyAlignment="1" applyProtection="1">
      <alignment horizontal="center"/>
    </xf>
    <xf numFmtId="43" fontId="3" fillId="0" borderId="3" xfId="19" applyNumberFormat="1" applyBorder="1" applyAlignment="1" applyProtection="1">
      <alignment horizontal="center"/>
    </xf>
    <xf numFmtId="0" fontId="3" fillId="0" borderId="3" xfId="19" applyBorder="1" applyAlignment="1" applyProtection="1">
      <alignment horizontal="center"/>
    </xf>
    <xf numFmtId="0" fontId="3" fillId="0" borderId="9" xfId="19" applyBorder="1" applyAlignment="1" applyProtection="1">
      <alignment horizontal="center"/>
    </xf>
    <xf numFmtId="0" fontId="3" fillId="0" borderId="51" xfId="19" applyBorder="1" applyAlignment="1" applyProtection="1">
      <alignment horizontal="center"/>
    </xf>
    <xf numFmtId="0" fontId="6" fillId="0" borderId="15" xfId="19" applyFont="1" applyBorder="1" applyAlignment="1" applyProtection="1">
      <alignment horizontal="center" vertical="center" wrapText="1"/>
    </xf>
    <xf numFmtId="0" fontId="6" fillId="0" borderId="0" xfId="19" applyFont="1" applyAlignment="1" applyProtection="1">
      <alignment horizontal="center" vertical="center" wrapText="1"/>
    </xf>
    <xf numFmtId="0" fontId="6" fillId="0" borderId="64" xfId="19" applyFont="1" applyBorder="1" applyAlignment="1" applyProtection="1">
      <alignment horizontal="center" vertical="center" wrapText="1"/>
    </xf>
    <xf numFmtId="0" fontId="6" fillId="0" borderId="26" xfId="19" applyFont="1" applyBorder="1" applyAlignment="1" applyProtection="1">
      <alignment horizontal="center" vertical="center" wrapText="1"/>
    </xf>
    <xf numFmtId="0" fontId="23" fillId="0" borderId="0" xfId="19" applyFont="1" applyFill="1" applyAlignment="1" applyProtection="1">
      <alignment horizontal="center"/>
    </xf>
    <xf numFmtId="0" fontId="3" fillId="0" borderId="37" xfId="19" applyFill="1" applyBorder="1" applyAlignment="1" applyProtection="1">
      <alignment horizontal="center" vertical="center" wrapText="1"/>
    </xf>
    <xf numFmtId="0" fontId="3" fillId="0" borderId="49" xfId="19" applyFill="1" applyBorder="1" applyAlignment="1" applyProtection="1">
      <alignment horizontal="center" vertical="center" wrapText="1"/>
    </xf>
    <xf numFmtId="0" fontId="6" fillId="0" borderId="9" xfId="19" applyFont="1" applyFill="1" applyBorder="1" applyAlignment="1" applyProtection="1">
      <alignment horizontal="center" vertical="center"/>
    </xf>
    <xf numFmtId="0" fontId="6" fillId="0" borderId="51" xfId="19" applyFont="1" applyFill="1" applyBorder="1" applyAlignment="1" applyProtection="1">
      <alignment horizontal="center" vertical="center"/>
    </xf>
    <xf numFmtId="0" fontId="12" fillId="0" borderId="8" xfId="19" applyFont="1" applyBorder="1" applyAlignment="1" applyProtection="1">
      <alignment horizontal="center"/>
    </xf>
    <xf numFmtId="0" fontId="6" fillId="0" borderId="9" xfId="19" applyFont="1" applyBorder="1" applyAlignment="1" applyProtection="1">
      <alignment horizontal="center" vertical="center"/>
    </xf>
    <xf numFmtId="0" fontId="6" fillId="0" borderId="51" xfId="19" applyFont="1" applyBorder="1" applyAlignment="1" applyProtection="1">
      <alignment horizontal="center" vertical="center"/>
    </xf>
    <xf numFmtId="0" fontId="3" fillId="0" borderId="9" xfId="19" applyBorder="1" applyAlignment="1" applyProtection="1">
      <alignment horizontal="center"/>
      <protection locked="0"/>
    </xf>
    <xf numFmtId="0" fontId="3" fillId="0" borderId="51" xfId="19" applyBorder="1" applyAlignment="1" applyProtection="1">
      <alignment horizontal="center"/>
      <protection locked="0"/>
    </xf>
    <xf numFmtId="0" fontId="6" fillId="0" borderId="15" xfId="19" applyFont="1" applyFill="1" applyBorder="1" applyAlignment="1">
      <alignment horizontal="center" vertical="center" wrapText="1"/>
    </xf>
    <xf numFmtId="0" fontId="6" fillId="0" borderId="21" xfId="19" applyFont="1" applyFill="1" applyBorder="1" applyAlignment="1">
      <alignment horizontal="center" vertical="center" wrapText="1"/>
    </xf>
    <xf numFmtId="0" fontId="3" fillId="0" borderId="64" xfId="19" applyFill="1" applyBorder="1" applyAlignment="1">
      <alignment horizontal="center" vertical="center" wrapText="1"/>
    </xf>
    <xf numFmtId="0" fontId="3" fillId="0" borderId="41" xfId="19" applyFill="1" applyBorder="1" applyAlignment="1">
      <alignment horizontal="center" vertical="center" wrapText="1"/>
    </xf>
    <xf numFmtId="49" fontId="3" fillId="2" borderId="3" xfId="19" applyNumberFormat="1" applyFill="1" applyBorder="1" applyAlignment="1" applyProtection="1">
      <protection locked="0"/>
    </xf>
    <xf numFmtId="49" fontId="3" fillId="2" borderId="20" xfId="19" applyNumberFormat="1" applyFill="1" applyBorder="1" applyAlignment="1" applyProtection="1">
      <protection locked="0"/>
    </xf>
    <xf numFmtId="49" fontId="3" fillId="2" borderId="18" xfId="19" applyNumberFormat="1" applyFill="1" applyBorder="1" applyAlignment="1" applyProtection="1">
      <protection locked="0"/>
    </xf>
    <xf numFmtId="49" fontId="3" fillId="2" borderId="19" xfId="19" applyNumberFormat="1" applyFill="1" applyBorder="1" applyAlignment="1" applyProtection="1">
      <protection locked="0"/>
    </xf>
    <xf numFmtId="0" fontId="24" fillId="0" borderId="0" xfId="19" applyFont="1" applyAlignment="1" applyProtection="1">
      <alignment horizontal="center"/>
    </xf>
  </cellXfs>
  <cellStyles count="87">
    <cellStyle name="Comma" xfId="1" builtinId="3"/>
    <cellStyle name="Comma 10" xfId="86"/>
    <cellStyle name="Comma 2" xfId="2"/>
    <cellStyle name="Comma 2 2" xfId="3"/>
    <cellStyle name="Comma 2 2 2" xfId="84"/>
    <cellStyle name="Comma 3" xfId="4"/>
    <cellStyle name="Comma 3 2" xfId="21"/>
    <cellStyle name="Comma 3 3" xfId="53"/>
    <cellStyle name="Comma 4" xfId="5"/>
    <cellStyle name="Comma 4 2" xfId="22"/>
    <cellStyle name="Comma 4 3" xfId="49"/>
    <cellStyle name="Comma 5" xfId="6"/>
    <cellStyle name="Comma 5 2" xfId="23"/>
    <cellStyle name="Comma 5 2 2" xfId="80"/>
    <cellStyle name="Comma 5 3" xfId="45"/>
    <cellStyle name="Comma 5 4" xfId="46"/>
    <cellStyle name="Comma 5 4 2" xfId="79"/>
    <cellStyle name="Comma 5 5" xfId="52"/>
    <cellStyle name="Comma 6" xfId="20"/>
    <cellStyle name="Comma 7" xfId="48"/>
    <cellStyle name="Comma 7 2" xfId="78"/>
    <cellStyle name="Comma 7 3" xfId="43"/>
    <cellStyle name="Comma 8" xfId="44"/>
    <cellStyle name="Comma 9" xfId="24"/>
    <cellStyle name="Currency 2" xfId="7"/>
    <cellStyle name="Currency 2 2" xfId="8"/>
    <cellStyle name="Currency 3" xfId="9"/>
    <cellStyle name="Currency 3 2" xfId="26"/>
    <cellStyle name="Currency 4" xfId="27"/>
    <cellStyle name="Currency 4 2" xfId="54"/>
    <cellStyle name="Currency 4 3" xfId="55"/>
    <cellStyle name="Currency 4 3 2" xfId="47"/>
    <cellStyle name="Currency 4 4" xfId="58"/>
    <cellStyle name="Currency 5" xfId="25"/>
    <cellStyle name="Currency 5 2" xfId="59"/>
    <cellStyle name="Currency 6" xfId="56"/>
    <cellStyle name="Currency 6 2" xfId="51"/>
    <cellStyle name="Currency 7" xfId="50"/>
    <cellStyle name="Currency 8" xfId="28"/>
    <cellStyle name="Hyperlink 2" xfId="29"/>
    <cellStyle name="Hyperlink 2 2" xfId="63"/>
    <cellStyle name="Hyperlink 2 3" xfId="62"/>
    <cellStyle name="Hyperlink 3" xfId="67"/>
    <cellStyle name="Normal" xfId="0" builtinId="0"/>
    <cellStyle name="Normal 2" xfId="10"/>
    <cellStyle name="Normal 2 2" xfId="31"/>
    <cellStyle name="Normal 2 2 2" xfId="32"/>
    <cellStyle name="Normal 2 2 3" xfId="60"/>
    <cellStyle name="Normal 2 2 4" xfId="61"/>
    <cellStyle name="Normal 2 2 4 2" xfId="57"/>
    <cellStyle name="Normal 2 2 5" xfId="64"/>
    <cellStyle name="Normal 2 3" xfId="33"/>
    <cellStyle name="Normal 2 4" xfId="30"/>
    <cellStyle name="Normal 2 5" xfId="19"/>
    <cellStyle name="Normal 2 6" xfId="73"/>
    <cellStyle name="Normal 3" xfId="11"/>
    <cellStyle name="Normal 3 2" xfId="34"/>
    <cellStyle name="Normal 3 2 2" xfId="65"/>
    <cellStyle name="Normal 3 3" xfId="35"/>
    <cellStyle name="Normal 4" xfId="12"/>
    <cellStyle name="Normal 4 2" xfId="36"/>
    <cellStyle name="Normal 4 3" xfId="66"/>
    <cellStyle name="Normal 5" xfId="82"/>
    <cellStyle name="Normal 6" xfId="85"/>
    <cellStyle name="Normal 9" xfId="37"/>
    <cellStyle name="Normal_AFS NEW SHEETS 1997" xfId="68"/>
    <cellStyle name="Normal_Woodbine  AFS New Sheets 1997" xfId="69"/>
    <cellStyle name="Normal_Woodbine Budget 02 Introduction" xfId="38"/>
    <cellStyle name="Percent" xfId="13" builtinId="5"/>
    <cellStyle name="Percent 2" xfId="14"/>
    <cellStyle name="Percent 2 2" xfId="15"/>
    <cellStyle name="Percent 2 3" xfId="71"/>
    <cellStyle name="Percent 3" xfId="16"/>
    <cellStyle name="Percent 3 2" xfId="40"/>
    <cellStyle name="Percent 3 2 2" xfId="72"/>
    <cellStyle name="Percent 3 3" xfId="83"/>
    <cellStyle name="Percent 4" xfId="17"/>
    <cellStyle name="Percent 4 2" xfId="41"/>
    <cellStyle name="Percent 5" xfId="18"/>
    <cellStyle name="Percent 5 2" xfId="42"/>
    <cellStyle name="Percent 5 3" xfId="75"/>
    <cellStyle name="Percent 5 4" xfId="76"/>
    <cellStyle name="Percent 5 4 2" xfId="74"/>
    <cellStyle name="Percent 6" xfId="39"/>
    <cellStyle name="Percent 7" xfId="77"/>
    <cellStyle name="Percent 7 2" xfId="81"/>
    <cellStyle name="Percent 8" xfId="70"/>
  </cellStyles>
  <dxfs count="19">
    <dxf>
      <numFmt numFmtId="33" formatCode="_(* #,##0_);_(* \(#,##0\);_(* &quot;-&quot;_);_(@_)"/>
    </dxf>
    <dxf>
      <numFmt numFmtId="33" formatCode="_(* #,##0_);_(* \(#,##0\);_(* &quot;-&quot;_);_(@_)"/>
    </dxf>
    <dxf>
      <numFmt numFmtId="33" formatCode="_(* #,##0_);_(* \(#,##0\);_(* &quot;-&quot;_);_(@_)"/>
    </dxf>
    <dxf>
      <numFmt numFmtId="33" formatCode="_(* #,##0_);_(* \(#,##0\);_(* &quot;-&quot;_);_(@_)"/>
    </dxf>
    <dxf>
      <numFmt numFmtId="33" formatCode="_(* #,##0_);_(* \(#,##0\);_(* &quot;-&quot;_);_(@_)"/>
    </dxf>
    <dxf>
      <numFmt numFmtId="33" formatCode="_(* #,##0_);_(* \(#,##0\);_(* &quot;-&quot;_);_(@_)"/>
    </dxf>
    <dxf>
      <font>
        <b val="0"/>
        <i val="0"/>
        <strike/>
      </font>
    </dxf>
    <dxf>
      <font>
        <b val="0"/>
        <i val="0"/>
        <strike/>
      </font>
    </dxf>
    <dxf>
      <font>
        <strike/>
      </font>
    </dxf>
    <dxf>
      <font>
        <strike/>
      </font>
    </dxf>
    <dxf>
      <font>
        <strike/>
      </font>
    </dxf>
    <dxf>
      <font>
        <strike/>
      </font>
    </dxf>
    <dxf>
      <font>
        <strike/>
      </font>
    </dxf>
    <dxf>
      <font>
        <strike/>
      </font>
    </dxf>
    <dxf>
      <font>
        <b val="0"/>
        <i val="0"/>
        <strike/>
      </font>
    </dxf>
    <dxf>
      <font>
        <b val="0"/>
        <i val="0"/>
        <strike/>
      </font>
    </dxf>
    <dxf>
      <font>
        <strike/>
      </font>
    </dxf>
    <dxf>
      <font>
        <strike/>
      </font>
    </dxf>
    <dxf>
      <font>
        <strike/>
      </font>
    </dxf>
  </dxfs>
  <tableStyles count="0" defaultTableStyle="TableStyleMedium9"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281" Type="http://schemas.openxmlformats.org/officeDocument/2006/relationships/worksheet" Target="worksheets/sheet281.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50" Type="http://schemas.openxmlformats.org/officeDocument/2006/relationships/worksheet" Target="worksheets/sheet250.xml"/><Relationship Id="rId271" Type="http://schemas.openxmlformats.org/officeDocument/2006/relationships/worksheet" Target="worksheets/sheet271.xml"/><Relationship Id="rId292" Type="http://schemas.openxmlformats.org/officeDocument/2006/relationships/worksheet" Target="worksheets/sheet292.xml"/><Relationship Id="rId306" Type="http://schemas.openxmlformats.org/officeDocument/2006/relationships/worksheet" Target="worksheets/sheet306.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208" Type="http://schemas.openxmlformats.org/officeDocument/2006/relationships/worksheet" Target="worksheets/sheet208.xml"/><Relationship Id="rId229" Type="http://schemas.openxmlformats.org/officeDocument/2006/relationships/worksheet" Target="worksheets/sheet229.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theme" Target="theme/theme1.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styles" Target="styles.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sharedStrings" Target="sharedStrings.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calcChain" Target="calcChain.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microsoft.com/office/2006/relationships/vbaProject" Target="vbaProject.bin"/><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s>
</file>

<file path=xl/ctrlProps/ctrlProp1.xml><?xml version="1.0" encoding="utf-8"?>
<formControlPr xmlns="http://schemas.microsoft.com/office/spreadsheetml/2009/9/main" objectType="Drop" dropLines="20" dropStyle="combo" dx="22" fmlaLink="$D$8" fmlaRange="$U$7:$U$592" noThreeD="1" sel="530" val="523"/>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22860</xdr:colOff>
          <xdr:row>7</xdr:row>
          <xdr:rowOff>7620</xdr:rowOff>
        </xdr:from>
        <xdr:to>
          <xdr:col>4</xdr:col>
          <xdr:colOff>0</xdr:colOff>
          <xdr:row>7</xdr:row>
          <xdr:rowOff>251460</xdr:rowOff>
        </xdr:to>
        <xdr:sp macro="" textlink="">
          <xdr:nvSpPr>
            <xdr:cNvPr id="39937" name="Drop Down 1" hidden="1">
              <a:extLst>
                <a:ext uri="{63B3BB69-23CF-44E3-9099-C40C66FF867C}">
                  <a14:compatExt spid="_x0000_s399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845820</xdr:colOff>
          <xdr:row>39</xdr:row>
          <xdr:rowOff>121920</xdr:rowOff>
        </xdr:from>
        <xdr:to>
          <xdr:col>12</xdr:col>
          <xdr:colOff>38100</xdr:colOff>
          <xdr:row>41</xdr:row>
          <xdr:rowOff>22860</xdr:rowOff>
        </xdr:to>
        <xdr:sp macro="" textlink="">
          <xdr:nvSpPr>
            <xdr:cNvPr id="161794" name="Check Box 2" hidden="1">
              <a:extLst>
                <a:ext uri="{63B3BB69-23CF-44E3-9099-C40C66FF867C}">
                  <a14:compatExt spid="_x0000_s16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j.gov/dca/divisions/dlgs/pdf/FAST%20AFS%20Quick%20User%20Guide.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21.bin"/><Relationship Id="rId4" Type="http://schemas.openxmlformats.org/officeDocument/2006/relationships/ctrlProp" Target="../ctrlProps/ctrlProp2.xml"/></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8.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9.bin"/></Relationships>
</file>

<file path=xl/worksheets/_rels/sheet150.xml.rels><?xml version="1.0" encoding="UTF-8" standalone="yes"?>
<Relationships xmlns="http://schemas.openxmlformats.org/package/2006/relationships"><Relationship Id="rId1" Type="http://schemas.openxmlformats.org/officeDocument/2006/relationships/printerSettings" Target="../printerSettings/printerSettings150.bin"/></Relationships>
</file>

<file path=xl/worksheets/_rels/sheet151.xml.rels><?xml version="1.0" encoding="UTF-8" standalone="yes"?>
<Relationships xmlns="http://schemas.openxmlformats.org/package/2006/relationships"><Relationship Id="rId1" Type="http://schemas.openxmlformats.org/officeDocument/2006/relationships/printerSettings" Target="../printerSettings/printerSettings151.bin"/></Relationships>
</file>

<file path=xl/worksheets/_rels/sheet152.xml.rels><?xml version="1.0" encoding="UTF-8" standalone="yes"?>
<Relationships xmlns="http://schemas.openxmlformats.org/package/2006/relationships"><Relationship Id="rId1" Type="http://schemas.openxmlformats.org/officeDocument/2006/relationships/printerSettings" Target="../printerSettings/printerSettings152.bin"/></Relationships>
</file>

<file path=xl/worksheets/_rels/sheet153.xml.rels><?xml version="1.0" encoding="UTF-8" standalone="yes"?>
<Relationships xmlns="http://schemas.openxmlformats.org/package/2006/relationships"><Relationship Id="rId1" Type="http://schemas.openxmlformats.org/officeDocument/2006/relationships/printerSettings" Target="../printerSettings/printerSettings153.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154.bin"/></Relationships>
</file>

<file path=xl/worksheets/_rels/sheet155.xml.rels><?xml version="1.0" encoding="UTF-8" standalone="yes"?>
<Relationships xmlns="http://schemas.openxmlformats.org/package/2006/relationships"><Relationship Id="rId1" Type="http://schemas.openxmlformats.org/officeDocument/2006/relationships/printerSettings" Target="../printerSettings/printerSettings155.bin"/></Relationships>
</file>

<file path=xl/worksheets/_rels/sheet156.xml.rels><?xml version="1.0" encoding="UTF-8" standalone="yes"?>
<Relationships xmlns="http://schemas.openxmlformats.org/package/2006/relationships"><Relationship Id="rId1" Type="http://schemas.openxmlformats.org/officeDocument/2006/relationships/printerSettings" Target="../printerSettings/printerSettings156.bin"/></Relationships>
</file>

<file path=xl/worksheets/_rels/sheet157.xml.rels><?xml version="1.0" encoding="UTF-8" standalone="yes"?>
<Relationships xmlns="http://schemas.openxmlformats.org/package/2006/relationships"><Relationship Id="rId1" Type="http://schemas.openxmlformats.org/officeDocument/2006/relationships/printerSettings" Target="../printerSettings/printerSettings157.bin"/></Relationships>
</file>

<file path=xl/worksheets/_rels/sheet158.xml.rels><?xml version="1.0" encoding="UTF-8" standalone="yes"?>
<Relationships xmlns="http://schemas.openxmlformats.org/package/2006/relationships"><Relationship Id="rId1" Type="http://schemas.openxmlformats.org/officeDocument/2006/relationships/printerSettings" Target="../printerSettings/printerSettings158.bin"/></Relationships>
</file>

<file path=xl/worksheets/_rels/sheet159.xml.rels><?xml version="1.0" encoding="UTF-8" standalone="yes"?>
<Relationships xmlns="http://schemas.openxmlformats.org/package/2006/relationships"><Relationship Id="rId1" Type="http://schemas.openxmlformats.org/officeDocument/2006/relationships/printerSettings" Target="../printerSettings/printerSettings159.bin"/></Relationships>
</file>

<file path=xl/worksheets/_rels/sheet160.xml.rels><?xml version="1.0" encoding="UTF-8" standalone="yes"?>
<Relationships xmlns="http://schemas.openxmlformats.org/package/2006/relationships"><Relationship Id="rId1" Type="http://schemas.openxmlformats.org/officeDocument/2006/relationships/printerSettings" Target="../printerSettings/printerSettings160.bin"/></Relationships>
</file>

<file path=xl/worksheets/_rels/sheet161.xml.rels><?xml version="1.0" encoding="UTF-8" standalone="yes"?>
<Relationships xmlns="http://schemas.openxmlformats.org/package/2006/relationships"><Relationship Id="rId1" Type="http://schemas.openxmlformats.org/officeDocument/2006/relationships/printerSettings" Target="../printerSettings/printerSettings161.bin"/></Relationships>
</file>

<file path=xl/worksheets/_rels/sheet162.xml.rels><?xml version="1.0" encoding="UTF-8" standalone="yes"?>
<Relationships xmlns="http://schemas.openxmlformats.org/package/2006/relationships"><Relationship Id="rId1" Type="http://schemas.openxmlformats.org/officeDocument/2006/relationships/printerSettings" Target="../printerSettings/printerSettings162.bin"/></Relationships>
</file>

<file path=xl/worksheets/_rels/sheet163.xml.rels><?xml version="1.0" encoding="UTF-8" standalone="yes"?>
<Relationships xmlns="http://schemas.openxmlformats.org/package/2006/relationships"><Relationship Id="rId1" Type="http://schemas.openxmlformats.org/officeDocument/2006/relationships/printerSettings" Target="../printerSettings/printerSettings163.bin"/></Relationships>
</file>

<file path=xl/worksheets/_rels/sheet164.xml.rels><?xml version="1.0" encoding="UTF-8" standalone="yes"?>
<Relationships xmlns="http://schemas.openxmlformats.org/package/2006/relationships"><Relationship Id="rId1" Type="http://schemas.openxmlformats.org/officeDocument/2006/relationships/printerSettings" Target="../printerSettings/printerSettings164.bin"/></Relationships>
</file>

<file path=xl/worksheets/_rels/sheet165.xml.rels><?xml version="1.0" encoding="UTF-8" standalone="yes"?>
<Relationships xmlns="http://schemas.openxmlformats.org/package/2006/relationships"><Relationship Id="rId1" Type="http://schemas.openxmlformats.org/officeDocument/2006/relationships/printerSettings" Target="../printerSettings/printerSettings165.bin"/></Relationships>
</file>

<file path=xl/worksheets/_rels/sheet166.xml.rels><?xml version="1.0" encoding="UTF-8" standalone="yes"?>
<Relationships xmlns="http://schemas.openxmlformats.org/package/2006/relationships"><Relationship Id="rId1" Type="http://schemas.openxmlformats.org/officeDocument/2006/relationships/printerSettings" Target="../printerSettings/printerSettings166.bin"/></Relationships>
</file>

<file path=xl/worksheets/_rels/sheet167.xml.rels><?xml version="1.0" encoding="UTF-8" standalone="yes"?>
<Relationships xmlns="http://schemas.openxmlformats.org/package/2006/relationships"><Relationship Id="rId1" Type="http://schemas.openxmlformats.org/officeDocument/2006/relationships/printerSettings" Target="../printerSettings/printerSettings167.bin"/></Relationships>
</file>

<file path=xl/worksheets/_rels/sheet168.xml.rels><?xml version="1.0" encoding="UTF-8" standalone="yes"?>
<Relationships xmlns="http://schemas.openxmlformats.org/package/2006/relationships"><Relationship Id="rId1" Type="http://schemas.openxmlformats.org/officeDocument/2006/relationships/printerSettings" Target="../printerSettings/printerSettings168.bin"/></Relationships>
</file>

<file path=xl/worksheets/_rels/sheet169.xml.rels><?xml version="1.0" encoding="UTF-8" standalone="yes"?>
<Relationships xmlns="http://schemas.openxmlformats.org/package/2006/relationships"><Relationship Id="rId1" Type="http://schemas.openxmlformats.org/officeDocument/2006/relationships/printerSettings" Target="../printerSettings/printerSettings169.bin"/></Relationships>
</file>

<file path=xl/worksheets/_rels/sheet170.xml.rels><?xml version="1.0" encoding="UTF-8" standalone="yes"?>
<Relationships xmlns="http://schemas.openxmlformats.org/package/2006/relationships"><Relationship Id="rId1" Type="http://schemas.openxmlformats.org/officeDocument/2006/relationships/printerSettings" Target="../printerSettings/printerSettings170.bin"/></Relationships>
</file>

<file path=xl/worksheets/_rels/sheet171.xml.rels><?xml version="1.0" encoding="UTF-8" standalone="yes"?>
<Relationships xmlns="http://schemas.openxmlformats.org/package/2006/relationships"><Relationship Id="rId1" Type="http://schemas.openxmlformats.org/officeDocument/2006/relationships/printerSettings" Target="../printerSettings/printerSettings171.bin"/></Relationships>
</file>

<file path=xl/worksheets/_rels/sheet172.xml.rels><?xml version="1.0" encoding="UTF-8" standalone="yes"?>
<Relationships xmlns="http://schemas.openxmlformats.org/package/2006/relationships"><Relationship Id="rId1" Type="http://schemas.openxmlformats.org/officeDocument/2006/relationships/printerSettings" Target="../printerSettings/printerSettings172.bin"/></Relationships>
</file>

<file path=xl/worksheets/_rels/sheet173.xml.rels><?xml version="1.0" encoding="UTF-8" standalone="yes"?>
<Relationships xmlns="http://schemas.openxmlformats.org/package/2006/relationships"><Relationship Id="rId1" Type="http://schemas.openxmlformats.org/officeDocument/2006/relationships/printerSettings" Target="../printerSettings/printerSettings173.bin"/></Relationships>
</file>

<file path=xl/worksheets/_rels/sheet174.xml.rels><?xml version="1.0" encoding="UTF-8" standalone="yes"?>
<Relationships xmlns="http://schemas.openxmlformats.org/package/2006/relationships"><Relationship Id="rId1" Type="http://schemas.openxmlformats.org/officeDocument/2006/relationships/printerSettings" Target="../printerSettings/printerSettings174.bin"/></Relationships>
</file>

<file path=xl/worksheets/_rels/sheet175.xml.rels><?xml version="1.0" encoding="UTF-8" standalone="yes"?>
<Relationships xmlns="http://schemas.openxmlformats.org/package/2006/relationships"><Relationship Id="rId1" Type="http://schemas.openxmlformats.org/officeDocument/2006/relationships/printerSettings" Target="../printerSettings/printerSettings175.bin"/></Relationships>
</file>

<file path=xl/worksheets/_rels/sheet176.xml.rels><?xml version="1.0" encoding="UTF-8" standalone="yes"?>
<Relationships xmlns="http://schemas.openxmlformats.org/package/2006/relationships"><Relationship Id="rId1" Type="http://schemas.openxmlformats.org/officeDocument/2006/relationships/printerSettings" Target="../printerSettings/printerSettings176.bin"/></Relationships>
</file>

<file path=xl/worksheets/_rels/sheet177.xml.rels><?xml version="1.0" encoding="UTF-8" standalone="yes"?>
<Relationships xmlns="http://schemas.openxmlformats.org/package/2006/relationships"><Relationship Id="rId1" Type="http://schemas.openxmlformats.org/officeDocument/2006/relationships/printerSettings" Target="../printerSettings/printerSettings177.bin"/></Relationships>
</file>

<file path=xl/worksheets/_rels/sheet178.xml.rels><?xml version="1.0" encoding="UTF-8" standalone="yes"?>
<Relationships xmlns="http://schemas.openxmlformats.org/package/2006/relationships"><Relationship Id="rId1" Type="http://schemas.openxmlformats.org/officeDocument/2006/relationships/printerSettings" Target="../printerSettings/printerSettings178.bin"/></Relationships>
</file>

<file path=xl/worksheets/_rels/sheet179.xml.rels><?xml version="1.0" encoding="UTF-8" standalone="yes"?>
<Relationships xmlns="http://schemas.openxmlformats.org/package/2006/relationships"><Relationship Id="rId1" Type="http://schemas.openxmlformats.org/officeDocument/2006/relationships/printerSettings" Target="../printerSettings/printerSettings179.bin"/></Relationships>
</file>

<file path=xl/worksheets/_rels/sheet180.xml.rels><?xml version="1.0" encoding="UTF-8" standalone="yes"?>
<Relationships xmlns="http://schemas.openxmlformats.org/package/2006/relationships"><Relationship Id="rId1" Type="http://schemas.openxmlformats.org/officeDocument/2006/relationships/printerSettings" Target="../printerSettings/printerSettings180.bin"/></Relationships>
</file>

<file path=xl/worksheets/_rels/sheet181.xml.rels><?xml version="1.0" encoding="UTF-8" standalone="yes"?>
<Relationships xmlns="http://schemas.openxmlformats.org/package/2006/relationships"><Relationship Id="rId1" Type="http://schemas.openxmlformats.org/officeDocument/2006/relationships/printerSettings" Target="../printerSettings/printerSettings181.bin"/></Relationships>
</file>

<file path=xl/worksheets/_rels/sheet182.xml.rels><?xml version="1.0" encoding="UTF-8" standalone="yes"?>
<Relationships xmlns="http://schemas.openxmlformats.org/package/2006/relationships"><Relationship Id="rId1" Type="http://schemas.openxmlformats.org/officeDocument/2006/relationships/printerSettings" Target="../printerSettings/printerSettings182.bin"/></Relationships>
</file>

<file path=xl/worksheets/_rels/sheet183.xml.rels><?xml version="1.0" encoding="UTF-8" standalone="yes"?>
<Relationships xmlns="http://schemas.openxmlformats.org/package/2006/relationships"><Relationship Id="rId1" Type="http://schemas.openxmlformats.org/officeDocument/2006/relationships/printerSettings" Target="../printerSettings/printerSettings183.bin"/></Relationships>
</file>

<file path=xl/worksheets/_rels/sheet184.xml.rels><?xml version="1.0" encoding="UTF-8" standalone="yes"?>
<Relationships xmlns="http://schemas.openxmlformats.org/package/2006/relationships"><Relationship Id="rId1" Type="http://schemas.openxmlformats.org/officeDocument/2006/relationships/printerSettings" Target="../printerSettings/printerSettings184.bin"/></Relationships>
</file>

<file path=xl/worksheets/_rels/sheet185.xml.rels><?xml version="1.0" encoding="UTF-8" standalone="yes"?>
<Relationships xmlns="http://schemas.openxmlformats.org/package/2006/relationships"><Relationship Id="rId1" Type="http://schemas.openxmlformats.org/officeDocument/2006/relationships/printerSettings" Target="../printerSettings/printerSettings185.bin"/></Relationships>
</file>

<file path=xl/worksheets/_rels/sheet186.xml.rels><?xml version="1.0" encoding="UTF-8" standalone="yes"?>
<Relationships xmlns="http://schemas.openxmlformats.org/package/2006/relationships"><Relationship Id="rId1" Type="http://schemas.openxmlformats.org/officeDocument/2006/relationships/printerSettings" Target="../printerSettings/printerSettings186.bin"/></Relationships>
</file>

<file path=xl/worksheets/_rels/sheet187.xml.rels><?xml version="1.0" encoding="UTF-8" standalone="yes"?>
<Relationships xmlns="http://schemas.openxmlformats.org/package/2006/relationships"><Relationship Id="rId1" Type="http://schemas.openxmlformats.org/officeDocument/2006/relationships/printerSettings" Target="../printerSettings/printerSettings187.bin"/></Relationships>
</file>

<file path=xl/worksheets/_rels/sheet188.xml.rels><?xml version="1.0" encoding="UTF-8" standalone="yes"?>
<Relationships xmlns="http://schemas.openxmlformats.org/package/2006/relationships"><Relationship Id="rId1" Type="http://schemas.openxmlformats.org/officeDocument/2006/relationships/printerSettings" Target="../printerSettings/printerSettings188.bin"/></Relationships>
</file>

<file path=xl/worksheets/_rels/sheet189.xml.rels><?xml version="1.0" encoding="UTF-8" standalone="yes"?>
<Relationships xmlns="http://schemas.openxmlformats.org/package/2006/relationships"><Relationship Id="rId1" Type="http://schemas.openxmlformats.org/officeDocument/2006/relationships/printerSettings" Target="../printerSettings/printerSettings189.bin"/></Relationships>
</file>

<file path=xl/worksheets/_rels/sheet190.xml.rels><?xml version="1.0" encoding="UTF-8" standalone="yes"?>
<Relationships xmlns="http://schemas.openxmlformats.org/package/2006/relationships"><Relationship Id="rId1" Type="http://schemas.openxmlformats.org/officeDocument/2006/relationships/printerSettings" Target="../printerSettings/printerSettings190.bin"/></Relationships>
</file>

<file path=xl/worksheets/_rels/sheet191.xml.rels><?xml version="1.0" encoding="UTF-8" standalone="yes"?>
<Relationships xmlns="http://schemas.openxmlformats.org/package/2006/relationships"><Relationship Id="rId1" Type="http://schemas.openxmlformats.org/officeDocument/2006/relationships/printerSettings" Target="../printerSettings/printerSettings191.bin"/></Relationships>
</file>

<file path=xl/worksheets/_rels/sheet192.xml.rels><?xml version="1.0" encoding="UTF-8" standalone="yes"?>
<Relationships xmlns="http://schemas.openxmlformats.org/package/2006/relationships"><Relationship Id="rId1" Type="http://schemas.openxmlformats.org/officeDocument/2006/relationships/printerSettings" Target="../printerSettings/printerSettings192.bin"/></Relationships>
</file>

<file path=xl/worksheets/_rels/sheet193.xml.rels><?xml version="1.0" encoding="UTF-8" standalone="yes"?>
<Relationships xmlns="http://schemas.openxmlformats.org/package/2006/relationships"><Relationship Id="rId1" Type="http://schemas.openxmlformats.org/officeDocument/2006/relationships/printerSettings" Target="../printerSettings/printerSettings193.bin"/></Relationships>
</file>

<file path=xl/worksheets/_rels/sheet194.xml.rels><?xml version="1.0" encoding="UTF-8" standalone="yes"?>
<Relationships xmlns="http://schemas.openxmlformats.org/package/2006/relationships"><Relationship Id="rId1" Type="http://schemas.openxmlformats.org/officeDocument/2006/relationships/printerSettings" Target="../printerSettings/printerSettings194.bin"/></Relationships>
</file>

<file path=xl/worksheets/_rels/sheet195.xml.rels><?xml version="1.0" encoding="UTF-8" standalone="yes"?>
<Relationships xmlns="http://schemas.openxmlformats.org/package/2006/relationships"><Relationship Id="rId1" Type="http://schemas.openxmlformats.org/officeDocument/2006/relationships/printerSettings" Target="../printerSettings/printerSettings195.bin"/></Relationships>
</file>

<file path=xl/worksheets/_rels/sheet196.xml.rels><?xml version="1.0" encoding="UTF-8" standalone="yes"?>
<Relationships xmlns="http://schemas.openxmlformats.org/package/2006/relationships"><Relationship Id="rId1" Type="http://schemas.openxmlformats.org/officeDocument/2006/relationships/printerSettings" Target="../printerSettings/printerSettings196.bin"/></Relationships>
</file>

<file path=xl/worksheets/_rels/sheet197.xml.rels><?xml version="1.0" encoding="UTF-8" standalone="yes"?>
<Relationships xmlns="http://schemas.openxmlformats.org/package/2006/relationships"><Relationship Id="rId1" Type="http://schemas.openxmlformats.org/officeDocument/2006/relationships/printerSettings" Target="../printerSettings/printerSettings197.bin"/></Relationships>
</file>

<file path=xl/worksheets/_rels/sheet198.xml.rels><?xml version="1.0" encoding="UTF-8" standalone="yes"?>
<Relationships xmlns="http://schemas.openxmlformats.org/package/2006/relationships"><Relationship Id="rId1" Type="http://schemas.openxmlformats.org/officeDocument/2006/relationships/printerSettings" Target="../printerSettings/printerSettings198.bin"/></Relationships>
</file>

<file path=xl/worksheets/_rels/sheet199.xml.rels><?xml version="1.0" encoding="UTF-8" standalone="yes"?>
<Relationships xmlns="http://schemas.openxmlformats.org/package/2006/relationships"><Relationship Id="rId1" Type="http://schemas.openxmlformats.org/officeDocument/2006/relationships/printerSettings" Target="../printerSettings/printerSettings199.bin"/></Relationships>
</file>

<file path=xl/worksheets/_rels/sheet200.xml.rels><?xml version="1.0" encoding="UTF-8" standalone="yes"?>
<Relationships xmlns="http://schemas.openxmlformats.org/package/2006/relationships"><Relationship Id="rId1" Type="http://schemas.openxmlformats.org/officeDocument/2006/relationships/printerSettings" Target="../printerSettings/printerSettings200.bin"/></Relationships>
</file>

<file path=xl/worksheets/_rels/sheet201.xml.rels><?xml version="1.0" encoding="UTF-8" standalone="yes"?>
<Relationships xmlns="http://schemas.openxmlformats.org/package/2006/relationships"><Relationship Id="rId1" Type="http://schemas.openxmlformats.org/officeDocument/2006/relationships/printerSettings" Target="../printerSettings/printerSettings201.bin"/></Relationships>
</file>

<file path=xl/worksheets/_rels/sheet202.xml.rels><?xml version="1.0" encoding="UTF-8" standalone="yes"?>
<Relationships xmlns="http://schemas.openxmlformats.org/package/2006/relationships"><Relationship Id="rId1" Type="http://schemas.openxmlformats.org/officeDocument/2006/relationships/printerSettings" Target="../printerSettings/printerSettings202.bin"/></Relationships>
</file>

<file path=xl/worksheets/_rels/sheet203.xml.rels><?xml version="1.0" encoding="UTF-8" standalone="yes"?>
<Relationships xmlns="http://schemas.openxmlformats.org/package/2006/relationships"><Relationship Id="rId1" Type="http://schemas.openxmlformats.org/officeDocument/2006/relationships/printerSettings" Target="../printerSettings/printerSettings203.bin"/></Relationships>
</file>

<file path=xl/worksheets/_rels/sheet204.xml.rels><?xml version="1.0" encoding="UTF-8" standalone="yes"?>
<Relationships xmlns="http://schemas.openxmlformats.org/package/2006/relationships"><Relationship Id="rId1" Type="http://schemas.openxmlformats.org/officeDocument/2006/relationships/printerSettings" Target="../printerSettings/printerSettings204.bin"/></Relationships>
</file>

<file path=xl/worksheets/_rels/sheet205.xml.rels><?xml version="1.0" encoding="UTF-8" standalone="yes"?>
<Relationships xmlns="http://schemas.openxmlformats.org/package/2006/relationships"><Relationship Id="rId1" Type="http://schemas.openxmlformats.org/officeDocument/2006/relationships/printerSettings" Target="../printerSettings/printerSettings205.bin"/></Relationships>
</file>

<file path=xl/worksheets/_rels/sheet206.xml.rels><?xml version="1.0" encoding="UTF-8" standalone="yes"?>
<Relationships xmlns="http://schemas.openxmlformats.org/package/2006/relationships"><Relationship Id="rId1" Type="http://schemas.openxmlformats.org/officeDocument/2006/relationships/printerSettings" Target="../printerSettings/printerSettings206.bin"/></Relationships>
</file>

<file path=xl/worksheets/_rels/sheet207.xml.rels><?xml version="1.0" encoding="UTF-8" standalone="yes"?>
<Relationships xmlns="http://schemas.openxmlformats.org/package/2006/relationships"><Relationship Id="rId1" Type="http://schemas.openxmlformats.org/officeDocument/2006/relationships/printerSettings" Target="../printerSettings/printerSettings207.bin"/></Relationships>
</file>

<file path=xl/worksheets/_rels/sheet208.xml.rels><?xml version="1.0" encoding="UTF-8" standalone="yes"?>
<Relationships xmlns="http://schemas.openxmlformats.org/package/2006/relationships"><Relationship Id="rId1" Type="http://schemas.openxmlformats.org/officeDocument/2006/relationships/printerSettings" Target="../printerSettings/printerSettings208.bin"/></Relationships>
</file>

<file path=xl/worksheets/_rels/sheet209.xml.rels><?xml version="1.0" encoding="UTF-8" standalone="yes"?>
<Relationships xmlns="http://schemas.openxmlformats.org/package/2006/relationships"><Relationship Id="rId1" Type="http://schemas.openxmlformats.org/officeDocument/2006/relationships/printerSettings" Target="../printerSettings/printerSettings209.bin"/></Relationships>
</file>

<file path=xl/worksheets/_rels/sheet210.xml.rels><?xml version="1.0" encoding="UTF-8" standalone="yes"?>
<Relationships xmlns="http://schemas.openxmlformats.org/package/2006/relationships"><Relationship Id="rId1" Type="http://schemas.openxmlformats.org/officeDocument/2006/relationships/printerSettings" Target="../printerSettings/printerSettings210.bin"/></Relationships>
</file>

<file path=xl/worksheets/_rels/sheet211.xml.rels><?xml version="1.0" encoding="UTF-8" standalone="yes"?>
<Relationships xmlns="http://schemas.openxmlformats.org/package/2006/relationships"><Relationship Id="rId1" Type="http://schemas.openxmlformats.org/officeDocument/2006/relationships/printerSettings" Target="../printerSettings/printerSettings211.bin"/></Relationships>
</file>

<file path=xl/worksheets/_rels/sheet212.xml.rels><?xml version="1.0" encoding="UTF-8" standalone="yes"?>
<Relationships xmlns="http://schemas.openxmlformats.org/package/2006/relationships"><Relationship Id="rId1" Type="http://schemas.openxmlformats.org/officeDocument/2006/relationships/printerSettings" Target="../printerSettings/printerSettings212.bin"/></Relationships>
</file>

<file path=xl/worksheets/_rels/sheet213.xml.rels><?xml version="1.0" encoding="UTF-8" standalone="yes"?>
<Relationships xmlns="http://schemas.openxmlformats.org/package/2006/relationships"><Relationship Id="rId1" Type="http://schemas.openxmlformats.org/officeDocument/2006/relationships/printerSettings" Target="../printerSettings/printerSettings213.bin"/></Relationships>
</file>

<file path=xl/worksheets/_rels/sheet214.xml.rels><?xml version="1.0" encoding="UTF-8" standalone="yes"?>
<Relationships xmlns="http://schemas.openxmlformats.org/package/2006/relationships"><Relationship Id="rId1" Type="http://schemas.openxmlformats.org/officeDocument/2006/relationships/printerSettings" Target="../printerSettings/printerSettings214.bin"/></Relationships>
</file>

<file path=xl/worksheets/_rels/sheet215.xml.rels><?xml version="1.0" encoding="UTF-8" standalone="yes"?>
<Relationships xmlns="http://schemas.openxmlformats.org/package/2006/relationships"><Relationship Id="rId1" Type="http://schemas.openxmlformats.org/officeDocument/2006/relationships/printerSettings" Target="../printerSettings/printerSettings215.bin"/></Relationships>
</file>

<file path=xl/worksheets/_rels/sheet216.xml.rels><?xml version="1.0" encoding="UTF-8" standalone="yes"?>
<Relationships xmlns="http://schemas.openxmlformats.org/package/2006/relationships"><Relationship Id="rId1" Type="http://schemas.openxmlformats.org/officeDocument/2006/relationships/printerSettings" Target="../printerSettings/printerSettings216.bin"/></Relationships>
</file>

<file path=xl/worksheets/_rels/sheet217.xml.rels><?xml version="1.0" encoding="UTF-8" standalone="yes"?>
<Relationships xmlns="http://schemas.openxmlformats.org/package/2006/relationships"><Relationship Id="rId1" Type="http://schemas.openxmlformats.org/officeDocument/2006/relationships/printerSettings" Target="../printerSettings/printerSettings217.bin"/></Relationships>
</file>

<file path=xl/worksheets/_rels/sheet218.xml.rels><?xml version="1.0" encoding="UTF-8" standalone="yes"?>
<Relationships xmlns="http://schemas.openxmlformats.org/package/2006/relationships"><Relationship Id="rId1" Type="http://schemas.openxmlformats.org/officeDocument/2006/relationships/printerSettings" Target="../printerSettings/printerSettings218.bin"/></Relationships>
</file>

<file path=xl/worksheets/_rels/sheet219.xml.rels><?xml version="1.0" encoding="UTF-8" standalone="yes"?>
<Relationships xmlns="http://schemas.openxmlformats.org/package/2006/relationships"><Relationship Id="rId1" Type="http://schemas.openxmlformats.org/officeDocument/2006/relationships/printerSettings" Target="../printerSettings/printerSettings219.bin"/></Relationships>
</file>

<file path=xl/worksheets/_rels/sheet220.xml.rels><?xml version="1.0" encoding="UTF-8" standalone="yes"?>
<Relationships xmlns="http://schemas.openxmlformats.org/package/2006/relationships"><Relationship Id="rId1" Type="http://schemas.openxmlformats.org/officeDocument/2006/relationships/printerSettings" Target="../printerSettings/printerSettings220.bin"/></Relationships>
</file>

<file path=xl/worksheets/_rels/sheet221.xml.rels><?xml version="1.0" encoding="UTF-8" standalone="yes"?>
<Relationships xmlns="http://schemas.openxmlformats.org/package/2006/relationships"><Relationship Id="rId1" Type="http://schemas.openxmlformats.org/officeDocument/2006/relationships/printerSettings" Target="../printerSettings/printerSettings221.bin"/></Relationships>
</file>

<file path=xl/worksheets/_rels/sheet222.xml.rels><?xml version="1.0" encoding="UTF-8" standalone="yes"?>
<Relationships xmlns="http://schemas.openxmlformats.org/package/2006/relationships"><Relationship Id="rId1" Type="http://schemas.openxmlformats.org/officeDocument/2006/relationships/printerSettings" Target="../printerSettings/printerSettings222.bin"/></Relationships>
</file>

<file path=xl/worksheets/_rels/sheet223.xml.rels><?xml version="1.0" encoding="UTF-8" standalone="yes"?>
<Relationships xmlns="http://schemas.openxmlformats.org/package/2006/relationships"><Relationship Id="rId1" Type="http://schemas.openxmlformats.org/officeDocument/2006/relationships/printerSettings" Target="../printerSettings/printerSettings223.bin"/></Relationships>
</file>

<file path=xl/worksheets/_rels/sheet224.xml.rels><?xml version="1.0" encoding="UTF-8" standalone="yes"?>
<Relationships xmlns="http://schemas.openxmlformats.org/package/2006/relationships"><Relationship Id="rId1" Type="http://schemas.openxmlformats.org/officeDocument/2006/relationships/printerSettings" Target="../printerSettings/printerSettings224.bin"/></Relationships>
</file>

<file path=xl/worksheets/_rels/sheet225.xml.rels><?xml version="1.0" encoding="UTF-8" standalone="yes"?>
<Relationships xmlns="http://schemas.openxmlformats.org/package/2006/relationships"><Relationship Id="rId1" Type="http://schemas.openxmlformats.org/officeDocument/2006/relationships/printerSettings" Target="../printerSettings/printerSettings225.bin"/></Relationships>
</file>

<file path=xl/worksheets/_rels/sheet226.xml.rels><?xml version="1.0" encoding="UTF-8" standalone="yes"?>
<Relationships xmlns="http://schemas.openxmlformats.org/package/2006/relationships"><Relationship Id="rId1" Type="http://schemas.openxmlformats.org/officeDocument/2006/relationships/printerSettings" Target="../printerSettings/printerSettings226.bin"/></Relationships>
</file>

<file path=xl/worksheets/_rels/sheet227.xml.rels><?xml version="1.0" encoding="UTF-8" standalone="yes"?>
<Relationships xmlns="http://schemas.openxmlformats.org/package/2006/relationships"><Relationship Id="rId1" Type="http://schemas.openxmlformats.org/officeDocument/2006/relationships/printerSettings" Target="../printerSettings/printerSettings227.bin"/></Relationships>
</file>

<file path=xl/worksheets/_rels/sheet228.xml.rels><?xml version="1.0" encoding="UTF-8" standalone="yes"?>
<Relationships xmlns="http://schemas.openxmlformats.org/package/2006/relationships"><Relationship Id="rId1" Type="http://schemas.openxmlformats.org/officeDocument/2006/relationships/printerSettings" Target="../printerSettings/printerSettings228.bin"/></Relationships>
</file>

<file path=xl/worksheets/_rels/sheet229.xml.rels><?xml version="1.0" encoding="UTF-8" standalone="yes"?>
<Relationships xmlns="http://schemas.openxmlformats.org/package/2006/relationships"><Relationship Id="rId1" Type="http://schemas.openxmlformats.org/officeDocument/2006/relationships/printerSettings" Target="../printerSettings/printerSettings229.bin"/></Relationships>
</file>

<file path=xl/worksheets/_rels/sheet230.xml.rels><?xml version="1.0" encoding="UTF-8" standalone="yes"?>
<Relationships xmlns="http://schemas.openxmlformats.org/package/2006/relationships"><Relationship Id="rId1" Type="http://schemas.openxmlformats.org/officeDocument/2006/relationships/printerSettings" Target="../printerSettings/printerSettings230.bin"/></Relationships>
</file>

<file path=xl/worksheets/_rels/sheet231.xml.rels><?xml version="1.0" encoding="UTF-8" standalone="yes"?>
<Relationships xmlns="http://schemas.openxmlformats.org/package/2006/relationships"><Relationship Id="rId1" Type="http://schemas.openxmlformats.org/officeDocument/2006/relationships/printerSettings" Target="../printerSettings/printerSettings231.bin"/></Relationships>
</file>

<file path=xl/worksheets/_rels/sheet232.xml.rels><?xml version="1.0" encoding="UTF-8" standalone="yes"?>
<Relationships xmlns="http://schemas.openxmlformats.org/package/2006/relationships"><Relationship Id="rId1" Type="http://schemas.openxmlformats.org/officeDocument/2006/relationships/printerSettings" Target="../printerSettings/printerSettings232.bin"/></Relationships>
</file>

<file path=xl/worksheets/_rels/sheet233.xml.rels><?xml version="1.0" encoding="UTF-8" standalone="yes"?>
<Relationships xmlns="http://schemas.openxmlformats.org/package/2006/relationships"><Relationship Id="rId1" Type="http://schemas.openxmlformats.org/officeDocument/2006/relationships/printerSettings" Target="../printerSettings/printerSettings233.bin"/></Relationships>
</file>

<file path=xl/worksheets/_rels/sheet234.xml.rels><?xml version="1.0" encoding="UTF-8" standalone="yes"?>
<Relationships xmlns="http://schemas.openxmlformats.org/package/2006/relationships"><Relationship Id="rId1" Type="http://schemas.openxmlformats.org/officeDocument/2006/relationships/printerSettings" Target="../printerSettings/printerSettings234.bin"/></Relationships>
</file>

<file path=xl/worksheets/_rels/sheet235.xml.rels><?xml version="1.0" encoding="UTF-8" standalone="yes"?>
<Relationships xmlns="http://schemas.openxmlformats.org/package/2006/relationships"><Relationship Id="rId1" Type="http://schemas.openxmlformats.org/officeDocument/2006/relationships/printerSettings" Target="../printerSettings/printerSettings235.bin"/></Relationships>
</file>

<file path=xl/worksheets/_rels/sheet236.xml.rels><?xml version="1.0" encoding="UTF-8" standalone="yes"?>
<Relationships xmlns="http://schemas.openxmlformats.org/package/2006/relationships"><Relationship Id="rId1" Type="http://schemas.openxmlformats.org/officeDocument/2006/relationships/printerSettings" Target="../printerSettings/printerSettings236.bin"/></Relationships>
</file>

<file path=xl/worksheets/_rels/sheet237.xml.rels><?xml version="1.0" encoding="UTF-8" standalone="yes"?>
<Relationships xmlns="http://schemas.openxmlformats.org/package/2006/relationships"><Relationship Id="rId1" Type="http://schemas.openxmlformats.org/officeDocument/2006/relationships/printerSettings" Target="../printerSettings/printerSettings237.bin"/></Relationships>
</file>

<file path=xl/worksheets/_rels/sheet238.xml.rels><?xml version="1.0" encoding="UTF-8" standalone="yes"?>
<Relationships xmlns="http://schemas.openxmlformats.org/package/2006/relationships"><Relationship Id="rId1" Type="http://schemas.openxmlformats.org/officeDocument/2006/relationships/printerSettings" Target="../printerSettings/printerSettings238.bin"/></Relationships>
</file>

<file path=xl/worksheets/_rels/sheet239.xml.rels><?xml version="1.0" encoding="UTF-8" standalone="yes"?>
<Relationships xmlns="http://schemas.openxmlformats.org/package/2006/relationships"><Relationship Id="rId1" Type="http://schemas.openxmlformats.org/officeDocument/2006/relationships/printerSettings" Target="../printerSettings/printerSettings239.bin"/></Relationships>
</file>

<file path=xl/worksheets/_rels/sheet240.xml.rels><?xml version="1.0" encoding="UTF-8" standalone="yes"?>
<Relationships xmlns="http://schemas.openxmlformats.org/package/2006/relationships"><Relationship Id="rId1" Type="http://schemas.openxmlformats.org/officeDocument/2006/relationships/printerSettings" Target="../printerSettings/printerSettings240.bin"/></Relationships>
</file>

<file path=xl/worksheets/_rels/sheet241.xml.rels><?xml version="1.0" encoding="UTF-8" standalone="yes"?>
<Relationships xmlns="http://schemas.openxmlformats.org/package/2006/relationships"><Relationship Id="rId1" Type="http://schemas.openxmlformats.org/officeDocument/2006/relationships/printerSettings" Target="../printerSettings/printerSettings241.bin"/></Relationships>
</file>

<file path=xl/worksheets/_rels/sheet242.xml.rels><?xml version="1.0" encoding="UTF-8" standalone="yes"?>
<Relationships xmlns="http://schemas.openxmlformats.org/package/2006/relationships"><Relationship Id="rId1" Type="http://schemas.openxmlformats.org/officeDocument/2006/relationships/printerSettings" Target="../printerSettings/printerSettings242.bin"/></Relationships>
</file>

<file path=xl/worksheets/_rels/sheet243.xml.rels><?xml version="1.0" encoding="UTF-8" standalone="yes"?>
<Relationships xmlns="http://schemas.openxmlformats.org/package/2006/relationships"><Relationship Id="rId1" Type="http://schemas.openxmlformats.org/officeDocument/2006/relationships/printerSettings" Target="../printerSettings/printerSettings243.bin"/></Relationships>
</file>

<file path=xl/worksheets/_rels/sheet2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245.xml.rels><?xml version="1.0" encoding="UTF-8" standalone="yes"?>
<Relationships xmlns="http://schemas.openxmlformats.org/package/2006/relationships"><Relationship Id="rId1" Type="http://schemas.openxmlformats.org/officeDocument/2006/relationships/printerSettings" Target="../printerSettings/printerSettings245.bin"/></Relationships>
</file>

<file path=xl/worksheets/_rels/sheet246.xml.rels><?xml version="1.0" encoding="UTF-8" standalone="yes"?>
<Relationships xmlns="http://schemas.openxmlformats.org/package/2006/relationships"><Relationship Id="rId1" Type="http://schemas.openxmlformats.org/officeDocument/2006/relationships/printerSettings" Target="../printerSettings/printerSettings246.bin"/></Relationships>
</file>

<file path=xl/worksheets/_rels/sheet247.xml.rels><?xml version="1.0" encoding="UTF-8" standalone="yes"?>
<Relationships xmlns="http://schemas.openxmlformats.org/package/2006/relationships"><Relationship Id="rId1" Type="http://schemas.openxmlformats.org/officeDocument/2006/relationships/printerSettings" Target="../printerSettings/printerSettings247.bin"/></Relationships>
</file>

<file path=xl/worksheets/_rels/sheet248.xml.rels><?xml version="1.0" encoding="UTF-8" standalone="yes"?>
<Relationships xmlns="http://schemas.openxmlformats.org/package/2006/relationships"><Relationship Id="rId1" Type="http://schemas.openxmlformats.org/officeDocument/2006/relationships/printerSettings" Target="../printerSettings/printerSettings248.bin"/></Relationships>
</file>

<file path=xl/worksheets/_rels/sheet249.xml.rels><?xml version="1.0" encoding="UTF-8" standalone="yes"?>
<Relationships xmlns="http://schemas.openxmlformats.org/package/2006/relationships"><Relationship Id="rId1" Type="http://schemas.openxmlformats.org/officeDocument/2006/relationships/printerSettings" Target="../printerSettings/printerSettings249.bin"/></Relationships>
</file>

<file path=xl/worksheets/_rels/sheet250.xml.rels><?xml version="1.0" encoding="UTF-8" standalone="yes"?>
<Relationships xmlns="http://schemas.openxmlformats.org/package/2006/relationships"><Relationship Id="rId1" Type="http://schemas.openxmlformats.org/officeDocument/2006/relationships/printerSettings" Target="../printerSettings/printerSettings250.bin"/></Relationships>
</file>

<file path=xl/worksheets/_rels/sheet251.xml.rels><?xml version="1.0" encoding="UTF-8" standalone="yes"?>
<Relationships xmlns="http://schemas.openxmlformats.org/package/2006/relationships"><Relationship Id="rId1" Type="http://schemas.openxmlformats.org/officeDocument/2006/relationships/printerSettings" Target="../printerSettings/printerSettings251.bin"/></Relationships>
</file>

<file path=xl/worksheets/_rels/sheet252.xml.rels><?xml version="1.0" encoding="UTF-8" standalone="yes"?>
<Relationships xmlns="http://schemas.openxmlformats.org/package/2006/relationships"><Relationship Id="rId1" Type="http://schemas.openxmlformats.org/officeDocument/2006/relationships/printerSettings" Target="../printerSettings/printerSettings252.bin"/></Relationships>
</file>

<file path=xl/worksheets/_rels/sheet253.xml.rels><?xml version="1.0" encoding="UTF-8" standalone="yes"?>
<Relationships xmlns="http://schemas.openxmlformats.org/package/2006/relationships"><Relationship Id="rId1" Type="http://schemas.openxmlformats.org/officeDocument/2006/relationships/printerSettings" Target="../printerSettings/printerSettings253.bin"/></Relationships>
</file>

<file path=xl/worksheets/_rels/sheet254.xml.rels><?xml version="1.0" encoding="UTF-8" standalone="yes"?>
<Relationships xmlns="http://schemas.openxmlformats.org/package/2006/relationships"><Relationship Id="rId1" Type="http://schemas.openxmlformats.org/officeDocument/2006/relationships/printerSettings" Target="../printerSettings/printerSettings254.bin"/></Relationships>
</file>

<file path=xl/worksheets/_rels/sheet255.xml.rels><?xml version="1.0" encoding="UTF-8" standalone="yes"?>
<Relationships xmlns="http://schemas.openxmlformats.org/package/2006/relationships"><Relationship Id="rId1" Type="http://schemas.openxmlformats.org/officeDocument/2006/relationships/printerSettings" Target="../printerSettings/printerSettings255.bin"/></Relationships>
</file>

<file path=xl/worksheets/_rels/sheet256.xml.rels><?xml version="1.0" encoding="UTF-8" standalone="yes"?>
<Relationships xmlns="http://schemas.openxmlformats.org/package/2006/relationships"><Relationship Id="rId1" Type="http://schemas.openxmlformats.org/officeDocument/2006/relationships/printerSettings" Target="../printerSettings/printerSettings256.bin"/></Relationships>
</file>

<file path=xl/worksheets/_rels/sheet257.xml.rels><?xml version="1.0" encoding="UTF-8" standalone="yes"?>
<Relationships xmlns="http://schemas.openxmlformats.org/package/2006/relationships"><Relationship Id="rId1" Type="http://schemas.openxmlformats.org/officeDocument/2006/relationships/printerSettings" Target="../printerSettings/printerSettings257.bin"/></Relationships>
</file>

<file path=xl/worksheets/_rels/sheet258.xml.rels><?xml version="1.0" encoding="UTF-8" standalone="yes"?>
<Relationships xmlns="http://schemas.openxmlformats.org/package/2006/relationships"><Relationship Id="rId1" Type="http://schemas.openxmlformats.org/officeDocument/2006/relationships/printerSettings" Target="../printerSettings/printerSettings258.bin"/></Relationships>
</file>

<file path=xl/worksheets/_rels/sheet259.xml.rels><?xml version="1.0" encoding="UTF-8" standalone="yes"?>
<Relationships xmlns="http://schemas.openxmlformats.org/package/2006/relationships"><Relationship Id="rId1" Type="http://schemas.openxmlformats.org/officeDocument/2006/relationships/printerSettings" Target="../printerSettings/printerSettings259.bin"/></Relationships>
</file>

<file path=xl/worksheets/_rels/sheet260.xml.rels><?xml version="1.0" encoding="UTF-8" standalone="yes"?>
<Relationships xmlns="http://schemas.openxmlformats.org/package/2006/relationships"><Relationship Id="rId1" Type="http://schemas.openxmlformats.org/officeDocument/2006/relationships/printerSettings" Target="../printerSettings/printerSettings260.bin"/></Relationships>
</file>

<file path=xl/worksheets/_rels/sheet261.xml.rels><?xml version="1.0" encoding="UTF-8" standalone="yes"?>
<Relationships xmlns="http://schemas.openxmlformats.org/package/2006/relationships"><Relationship Id="rId1" Type="http://schemas.openxmlformats.org/officeDocument/2006/relationships/printerSettings" Target="../printerSettings/printerSettings261.bin"/></Relationships>
</file>

<file path=xl/worksheets/_rels/sheet262.xml.rels><?xml version="1.0" encoding="UTF-8" standalone="yes"?>
<Relationships xmlns="http://schemas.openxmlformats.org/package/2006/relationships"><Relationship Id="rId1" Type="http://schemas.openxmlformats.org/officeDocument/2006/relationships/printerSettings" Target="../printerSettings/printerSettings262.bin"/></Relationships>
</file>

<file path=xl/worksheets/_rels/sheet263.xml.rels><?xml version="1.0" encoding="UTF-8" standalone="yes"?>
<Relationships xmlns="http://schemas.openxmlformats.org/package/2006/relationships"><Relationship Id="rId1" Type="http://schemas.openxmlformats.org/officeDocument/2006/relationships/printerSettings" Target="../printerSettings/printerSettings263.bin"/></Relationships>
</file>

<file path=xl/worksheets/_rels/sheet264.xml.rels><?xml version="1.0" encoding="UTF-8" standalone="yes"?>
<Relationships xmlns="http://schemas.openxmlformats.org/package/2006/relationships"><Relationship Id="rId1" Type="http://schemas.openxmlformats.org/officeDocument/2006/relationships/printerSettings" Target="../printerSettings/printerSettings264.bin"/></Relationships>
</file>

<file path=xl/worksheets/_rels/sheet265.xml.rels><?xml version="1.0" encoding="UTF-8" standalone="yes"?>
<Relationships xmlns="http://schemas.openxmlformats.org/package/2006/relationships"><Relationship Id="rId1" Type="http://schemas.openxmlformats.org/officeDocument/2006/relationships/printerSettings" Target="../printerSettings/printerSettings265.bin"/></Relationships>
</file>

<file path=xl/worksheets/_rels/sheet266.xml.rels><?xml version="1.0" encoding="UTF-8" standalone="yes"?>
<Relationships xmlns="http://schemas.openxmlformats.org/package/2006/relationships"><Relationship Id="rId1" Type="http://schemas.openxmlformats.org/officeDocument/2006/relationships/printerSettings" Target="../printerSettings/printerSettings266.bin"/></Relationships>
</file>

<file path=xl/worksheets/_rels/sheet267.xml.rels><?xml version="1.0" encoding="UTF-8" standalone="yes"?>
<Relationships xmlns="http://schemas.openxmlformats.org/package/2006/relationships"><Relationship Id="rId1" Type="http://schemas.openxmlformats.org/officeDocument/2006/relationships/printerSettings" Target="../printerSettings/printerSettings267.bin"/></Relationships>
</file>

<file path=xl/worksheets/_rels/sheet268.xml.rels><?xml version="1.0" encoding="UTF-8" standalone="yes"?>
<Relationships xmlns="http://schemas.openxmlformats.org/package/2006/relationships"><Relationship Id="rId1" Type="http://schemas.openxmlformats.org/officeDocument/2006/relationships/printerSettings" Target="../printerSettings/printerSettings268.bin"/></Relationships>
</file>

<file path=xl/worksheets/_rels/sheet269.xml.rels><?xml version="1.0" encoding="UTF-8" standalone="yes"?>
<Relationships xmlns="http://schemas.openxmlformats.org/package/2006/relationships"><Relationship Id="rId1" Type="http://schemas.openxmlformats.org/officeDocument/2006/relationships/printerSettings" Target="../printerSettings/printerSettings269.bin"/></Relationships>
</file>

<file path=xl/worksheets/_rels/sheet270.xml.rels><?xml version="1.0" encoding="UTF-8" standalone="yes"?>
<Relationships xmlns="http://schemas.openxmlformats.org/package/2006/relationships"><Relationship Id="rId1" Type="http://schemas.openxmlformats.org/officeDocument/2006/relationships/printerSettings" Target="../printerSettings/printerSettings270.bin"/></Relationships>
</file>

<file path=xl/worksheets/_rels/sheet271.xml.rels><?xml version="1.0" encoding="UTF-8" standalone="yes"?>
<Relationships xmlns="http://schemas.openxmlformats.org/package/2006/relationships"><Relationship Id="rId1" Type="http://schemas.openxmlformats.org/officeDocument/2006/relationships/printerSettings" Target="../printerSettings/printerSettings271.bin"/></Relationships>
</file>

<file path=xl/worksheets/_rels/sheet272.xml.rels><?xml version="1.0" encoding="UTF-8" standalone="yes"?>
<Relationships xmlns="http://schemas.openxmlformats.org/package/2006/relationships"><Relationship Id="rId1" Type="http://schemas.openxmlformats.org/officeDocument/2006/relationships/printerSettings" Target="../printerSettings/printerSettings272.bin"/></Relationships>
</file>

<file path=xl/worksheets/_rels/sheet273.xml.rels><?xml version="1.0" encoding="UTF-8" standalone="yes"?>
<Relationships xmlns="http://schemas.openxmlformats.org/package/2006/relationships"><Relationship Id="rId1" Type="http://schemas.openxmlformats.org/officeDocument/2006/relationships/printerSettings" Target="../printerSettings/printerSettings273.bin"/></Relationships>
</file>

<file path=xl/worksheets/_rels/sheet274.xml.rels><?xml version="1.0" encoding="UTF-8" standalone="yes"?>
<Relationships xmlns="http://schemas.openxmlformats.org/package/2006/relationships"><Relationship Id="rId1" Type="http://schemas.openxmlformats.org/officeDocument/2006/relationships/printerSettings" Target="../printerSettings/printerSettings274.bin"/></Relationships>
</file>

<file path=xl/worksheets/_rels/sheet275.xml.rels><?xml version="1.0" encoding="UTF-8" standalone="yes"?>
<Relationships xmlns="http://schemas.openxmlformats.org/package/2006/relationships"><Relationship Id="rId1" Type="http://schemas.openxmlformats.org/officeDocument/2006/relationships/printerSettings" Target="../printerSettings/printerSettings275.bin"/></Relationships>
</file>

<file path=xl/worksheets/_rels/sheet276.xml.rels><?xml version="1.0" encoding="UTF-8" standalone="yes"?>
<Relationships xmlns="http://schemas.openxmlformats.org/package/2006/relationships"><Relationship Id="rId1" Type="http://schemas.openxmlformats.org/officeDocument/2006/relationships/printerSettings" Target="../printerSettings/printerSettings276.bin"/></Relationships>
</file>

<file path=xl/worksheets/_rels/sheet277.xml.rels><?xml version="1.0" encoding="UTF-8" standalone="yes"?>
<Relationships xmlns="http://schemas.openxmlformats.org/package/2006/relationships"><Relationship Id="rId1" Type="http://schemas.openxmlformats.org/officeDocument/2006/relationships/printerSettings" Target="../printerSettings/printerSettings277.bin"/></Relationships>
</file>

<file path=xl/worksheets/_rels/sheet278.xml.rels><?xml version="1.0" encoding="UTF-8" standalone="yes"?>
<Relationships xmlns="http://schemas.openxmlformats.org/package/2006/relationships"><Relationship Id="rId1" Type="http://schemas.openxmlformats.org/officeDocument/2006/relationships/printerSettings" Target="../printerSettings/printerSettings278.bin"/></Relationships>
</file>

<file path=xl/worksheets/_rels/sheet279.xml.rels><?xml version="1.0" encoding="UTF-8" standalone="yes"?>
<Relationships xmlns="http://schemas.openxmlformats.org/package/2006/relationships"><Relationship Id="rId1" Type="http://schemas.openxmlformats.org/officeDocument/2006/relationships/printerSettings" Target="../printerSettings/printerSettings279.bin"/></Relationships>
</file>

<file path=xl/worksheets/_rels/sheet280.xml.rels><?xml version="1.0" encoding="UTF-8" standalone="yes"?>
<Relationships xmlns="http://schemas.openxmlformats.org/package/2006/relationships"><Relationship Id="rId1" Type="http://schemas.openxmlformats.org/officeDocument/2006/relationships/printerSettings" Target="../printerSettings/printerSettings280.bin"/></Relationships>
</file>

<file path=xl/worksheets/_rels/sheet281.xml.rels><?xml version="1.0" encoding="UTF-8" standalone="yes"?>
<Relationships xmlns="http://schemas.openxmlformats.org/package/2006/relationships"><Relationship Id="rId1" Type="http://schemas.openxmlformats.org/officeDocument/2006/relationships/printerSettings" Target="../printerSettings/printerSettings281.bin"/></Relationships>
</file>

<file path=xl/worksheets/_rels/sheet282.xml.rels><?xml version="1.0" encoding="UTF-8" standalone="yes"?>
<Relationships xmlns="http://schemas.openxmlformats.org/package/2006/relationships"><Relationship Id="rId1" Type="http://schemas.openxmlformats.org/officeDocument/2006/relationships/printerSettings" Target="../printerSettings/printerSettings282.bin"/></Relationships>
</file>

<file path=xl/worksheets/_rels/sheet283.xml.rels><?xml version="1.0" encoding="UTF-8" standalone="yes"?>
<Relationships xmlns="http://schemas.openxmlformats.org/package/2006/relationships"><Relationship Id="rId1" Type="http://schemas.openxmlformats.org/officeDocument/2006/relationships/printerSettings" Target="../printerSettings/printerSettings283.bin"/></Relationships>
</file>

<file path=xl/worksheets/_rels/sheet284.xml.rels><?xml version="1.0" encoding="UTF-8" standalone="yes"?>
<Relationships xmlns="http://schemas.openxmlformats.org/package/2006/relationships"><Relationship Id="rId1" Type="http://schemas.openxmlformats.org/officeDocument/2006/relationships/printerSettings" Target="../printerSettings/printerSettings284.bin"/></Relationships>
</file>

<file path=xl/worksheets/_rels/sheet285.xml.rels><?xml version="1.0" encoding="UTF-8" standalone="yes"?>
<Relationships xmlns="http://schemas.openxmlformats.org/package/2006/relationships"><Relationship Id="rId1" Type="http://schemas.openxmlformats.org/officeDocument/2006/relationships/printerSettings" Target="../printerSettings/printerSettings285.bin"/></Relationships>
</file>

<file path=xl/worksheets/_rels/sheet286.xml.rels><?xml version="1.0" encoding="UTF-8" standalone="yes"?>
<Relationships xmlns="http://schemas.openxmlformats.org/package/2006/relationships"><Relationship Id="rId1" Type="http://schemas.openxmlformats.org/officeDocument/2006/relationships/printerSettings" Target="../printerSettings/printerSettings286.bin"/></Relationships>
</file>

<file path=xl/worksheets/_rels/sheet287.xml.rels><?xml version="1.0" encoding="UTF-8" standalone="yes"?>
<Relationships xmlns="http://schemas.openxmlformats.org/package/2006/relationships"><Relationship Id="rId1" Type="http://schemas.openxmlformats.org/officeDocument/2006/relationships/printerSettings" Target="../printerSettings/printerSettings287.bin"/></Relationships>
</file>

<file path=xl/worksheets/_rels/sheet288.xml.rels><?xml version="1.0" encoding="UTF-8" standalone="yes"?>
<Relationships xmlns="http://schemas.openxmlformats.org/package/2006/relationships"><Relationship Id="rId1" Type="http://schemas.openxmlformats.org/officeDocument/2006/relationships/printerSettings" Target="../printerSettings/printerSettings288.bin"/></Relationships>
</file>

<file path=xl/worksheets/_rels/sheet289.xml.rels><?xml version="1.0" encoding="UTF-8" standalone="yes"?>
<Relationships xmlns="http://schemas.openxmlformats.org/package/2006/relationships"><Relationship Id="rId1" Type="http://schemas.openxmlformats.org/officeDocument/2006/relationships/printerSettings" Target="../printerSettings/printerSettings289.bin"/></Relationships>
</file>

<file path=xl/worksheets/_rels/sheet290.xml.rels><?xml version="1.0" encoding="UTF-8" standalone="yes"?>
<Relationships xmlns="http://schemas.openxmlformats.org/package/2006/relationships"><Relationship Id="rId1" Type="http://schemas.openxmlformats.org/officeDocument/2006/relationships/printerSettings" Target="../printerSettings/printerSettings290.bin"/></Relationships>
</file>

<file path=xl/worksheets/_rels/sheet291.xml.rels><?xml version="1.0" encoding="UTF-8" standalone="yes"?>
<Relationships xmlns="http://schemas.openxmlformats.org/package/2006/relationships"><Relationship Id="rId1" Type="http://schemas.openxmlformats.org/officeDocument/2006/relationships/printerSettings" Target="../printerSettings/printerSettings291.bin"/></Relationships>
</file>

<file path=xl/worksheets/_rels/sheet292.xml.rels><?xml version="1.0" encoding="UTF-8" standalone="yes"?>
<Relationships xmlns="http://schemas.openxmlformats.org/package/2006/relationships"><Relationship Id="rId1" Type="http://schemas.openxmlformats.org/officeDocument/2006/relationships/printerSettings" Target="../printerSettings/printerSettings292.bin"/></Relationships>
</file>

<file path=xl/worksheets/_rels/sheet293.xml.rels><?xml version="1.0" encoding="UTF-8" standalone="yes"?>
<Relationships xmlns="http://schemas.openxmlformats.org/package/2006/relationships"><Relationship Id="rId1" Type="http://schemas.openxmlformats.org/officeDocument/2006/relationships/printerSettings" Target="../printerSettings/printerSettings293.bin"/></Relationships>
</file>

<file path=xl/worksheets/_rels/sheet294.xml.rels><?xml version="1.0" encoding="UTF-8" standalone="yes"?>
<Relationships xmlns="http://schemas.openxmlformats.org/package/2006/relationships"><Relationship Id="rId1" Type="http://schemas.openxmlformats.org/officeDocument/2006/relationships/printerSettings" Target="../printerSettings/printerSettings294.bin"/></Relationships>
</file>

<file path=xl/worksheets/_rels/sheet295.xml.rels><?xml version="1.0" encoding="UTF-8" standalone="yes"?>
<Relationships xmlns="http://schemas.openxmlformats.org/package/2006/relationships"><Relationship Id="rId1" Type="http://schemas.openxmlformats.org/officeDocument/2006/relationships/printerSettings" Target="../printerSettings/printerSettings295.bin"/></Relationships>
</file>

<file path=xl/worksheets/_rels/sheet296.xml.rels><?xml version="1.0" encoding="UTF-8" standalone="yes"?>
<Relationships xmlns="http://schemas.openxmlformats.org/package/2006/relationships"><Relationship Id="rId1" Type="http://schemas.openxmlformats.org/officeDocument/2006/relationships/printerSettings" Target="../printerSettings/printerSettings296.bin"/></Relationships>
</file>

<file path=xl/worksheets/_rels/sheet297.xml.rels><?xml version="1.0" encoding="UTF-8" standalone="yes"?>
<Relationships xmlns="http://schemas.openxmlformats.org/package/2006/relationships"><Relationship Id="rId1" Type="http://schemas.openxmlformats.org/officeDocument/2006/relationships/printerSettings" Target="../printerSettings/printerSettings297.bin"/></Relationships>
</file>

<file path=xl/worksheets/_rels/sheet298.xml.rels><?xml version="1.0" encoding="UTF-8" standalone="yes"?>
<Relationships xmlns="http://schemas.openxmlformats.org/package/2006/relationships"><Relationship Id="rId1" Type="http://schemas.openxmlformats.org/officeDocument/2006/relationships/printerSettings" Target="../printerSettings/printerSettings298.bin"/></Relationships>
</file>

<file path=xl/worksheets/_rels/sheet299.xml.rels><?xml version="1.0" encoding="UTF-8" standalone="yes"?>
<Relationships xmlns="http://schemas.openxmlformats.org/package/2006/relationships"><Relationship Id="rId1" Type="http://schemas.openxmlformats.org/officeDocument/2006/relationships/printerSettings" Target="../printerSettings/printerSettings299.bin"/></Relationships>
</file>

<file path=xl/worksheets/_rels/sheet300.xml.rels><?xml version="1.0" encoding="UTF-8" standalone="yes"?>
<Relationships xmlns="http://schemas.openxmlformats.org/package/2006/relationships"><Relationship Id="rId1" Type="http://schemas.openxmlformats.org/officeDocument/2006/relationships/printerSettings" Target="../printerSettings/printerSettings300.bin"/></Relationships>
</file>

<file path=xl/worksheets/_rels/sheet301.xml.rels><?xml version="1.0" encoding="UTF-8" standalone="yes"?>
<Relationships xmlns="http://schemas.openxmlformats.org/package/2006/relationships"><Relationship Id="rId1" Type="http://schemas.openxmlformats.org/officeDocument/2006/relationships/printerSettings" Target="../printerSettings/printerSettings301.bin"/></Relationships>
</file>

<file path=xl/worksheets/_rels/sheet302.xml.rels><?xml version="1.0" encoding="UTF-8" standalone="yes"?>
<Relationships xmlns="http://schemas.openxmlformats.org/package/2006/relationships"><Relationship Id="rId1" Type="http://schemas.openxmlformats.org/officeDocument/2006/relationships/printerSettings" Target="../printerSettings/printerSettings302.bin"/></Relationships>
</file>

<file path=xl/worksheets/_rels/sheet303.xml.rels><?xml version="1.0" encoding="UTF-8" standalone="yes"?>
<Relationships xmlns="http://schemas.openxmlformats.org/package/2006/relationships"><Relationship Id="rId1" Type="http://schemas.openxmlformats.org/officeDocument/2006/relationships/printerSettings" Target="../printerSettings/printerSettings303.bin"/></Relationships>
</file>

<file path=xl/worksheets/_rels/sheet304.xml.rels><?xml version="1.0" encoding="UTF-8" standalone="yes"?>
<Relationships xmlns="http://schemas.openxmlformats.org/package/2006/relationships"><Relationship Id="rId1" Type="http://schemas.openxmlformats.org/officeDocument/2006/relationships/printerSettings" Target="../printerSettings/printerSettings304.bin"/></Relationships>
</file>

<file path=xl/worksheets/_rels/sheet305.xml.rels><?xml version="1.0" encoding="UTF-8" standalone="yes"?>
<Relationships xmlns="http://schemas.openxmlformats.org/package/2006/relationships"><Relationship Id="rId1" Type="http://schemas.openxmlformats.org/officeDocument/2006/relationships/printerSettings" Target="../printerSettings/printerSettings305.bin"/></Relationships>
</file>

<file path=xl/worksheets/_rels/sheet306.xml.rels><?xml version="1.0" encoding="UTF-8" standalone="yes"?>
<Relationships xmlns="http://schemas.openxmlformats.org/package/2006/relationships"><Relationship Id="rId1" Type="http://schemas.openxmlformats.org/officeDocument/2006/relationships/printerSettings" Target="../printerSettings/printerSettings30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5"/>
  <sheetViews>
    <sheetView zoomScaleNormal="100" workbookViewId="0">
      <selection activeCell="G10" sqref="G10"/>
    </sheetView>
  </sheetViews>
  <sheetFormatPr defaultColWidth="9.109375" defaultRowHeight="14.4"/>
  <cols>
    <col min="1" max="1" width="4" style="886" bestFit="1" customWidth="1"/>
    <col min="2" max="2" width="97" style="886" customWidth="1"/>
    <col min="3" max="3" width="5.6640625" style="886" customWidth="1"/>
    <col min="4" max="4" width="25.44140625" style="886" bestFit="1" customWidth="1"/>
    <col min="5" max="16384" width="9.109375" style="886"/>
  </cols>
  <sheetData>
    <row r="1" spans="1:4" s="883" customFormat="1" ht="21">
      <c r="A1" s="893"/>
      <c r="B1" s="884" t="s">
        <v>3399</v>
      </c>
      <c r="D1" s="1423"/>
    </row>
    <row r="2" spans="1:4">
      <c r="A2" s="894"/>
      <c r="B2" s="885"/>
    </row>
    <row r="3" spans="1:4" s="890" customFormat="1" ht="34.5" customHeight="1">
      <c r="A3" s="887" t="s">
        <v>3400</v>
      </c>
      <c r="B3" s="888" t="s">
        <v>3491</v>
      </c>
      <c r="C3" s="889"/>
    </row>
    <row r="4" spans="1:4" ht="16.5" customHeight="1">
      <c r="A4" s="887" t="s">
        <v>3401</v>
      </c>
      <c r="B4" s="891" t="s">
        <v>3493</v>
      </c>
      <c r="C4" s="891"/>
    </row>
    <row r="5" spans="1:4" ht="16.8">
      <c r="A5" s="887" t="s">
        <v>3402</v>
      </c>
      <c r="B5" s="892" t="s">
        <v>3403</v>
      </c>
      <c r="C5" s="889"/>
    </row>
    <row r="6" spans="1:4" ht="16.8">
      <c r="A6" s="887" t="s">
        <v>3404</v>
      </c>
      <c r="B6" s="892" t="s">
        <v>3405</v>
      </c>
      <c r="C6" s="888"/>
    </row>
    <row r="7" spans="1:4" ht="16.8">
      <c r="A7" s="887" t="s">
        <v>3406</v>
      </c>
      <c r="B7" s="1603" t="s">
        <v>3492</v>
      </c>
      <c r="C7" s="888"/>
    </row>
    <row r="8" spans="1:4" ht="67.2">
      <c r="A8" s="887" t="s">
        <v>3407</v>
      </c>
      <c r="B8" s="888" t="s">
        <v>3624</v>
      </c>
      <c r="C8" s="888"/>
    </row>
    <row r="9" spans="1:4" ht="16.8">
      <c r="A9" s="887" t="s">
        <v>3408</v>
      </c>
      <c r="B9" s="888" t="s">
        <v>3608</v>
      </c>
      <c r="C9" s="888"/>
    </row>
    <row r="10" spans="1:4" ht="50.4">
      <c r="A10" s="887" t="s">
        <v>3409</v>
      </c>
      <c r="B10" s="888" t="s">
        <v>3647</v>
      </c>
      <c r="C10" s="888"/>
    </row>
    <row r="11" spans="1:4" ht="33.6">
      <c r="A11" s="887" t="s">
        <v>3410</v>
      </c>
      <c r="B11" s="888" t="s">
        <v>3609</v>
      </c>
    </row>
    <row r="12" spans="1:4" ht="33.6">
      <c r="A12" s="1480" t="s">
        <v>3532</v>
      </c>
      <c r="B12" s="1479" t="s">
        <v>3610</v>
      </c>
    </row>
    <row r="13" spans="1:4" ht="67.2">
      <c r="A13" s="1480" t="s">
        <v>3539</v>
      </c>
      <c r="B13" s="888" t="s">
        <v>3625</v>
      </c>
    </row>
    <row r="14" spans="1:4" ht="16.8">
      <c r="B14" s="1478" t="s">
        <v>3504</v>
      </c>
    </row>
    <row r="15" spans="1:4">
      <c r="B15" s="1579" t="s">
        <v>3505</v>
      </c>
    </row>
  </sheetData>
  <sheetProtection algorithmName="SHA-512" hashValue="dxgASxd2YJ+AuMQ3nUyVBQNrNxl/OVTvZW1LUwEg18GLIBZ6YzY6TdQXYdmUX4dB1c7pTaA39As7Shf6FarE7w==" saltValue="LPTYwPb/4iAlyt7nWvPLZQ==" spinCount="100000" sheet="1" objects="1" scenarios="1"/>
  <hyperlinks>
    <hyperlink ref="B15" r:id="rId1" display="https://www.nj.gov/dca/divisions/dlgs/pdf/FAST AFS Quick User Guide.pdf"/>
  </hyperlinks>
  <pageMargins left="0.25" right="0.25" top="0.75" bottom="0.75" header="0.3" footer="0.3"/>
  <pageSetup paperSize="5" fitToWidth="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B1:P87"/>
  <sheetViews>
    <sheetView workbookViewId="0">
      <selection activeCell="B14" sqref="B14"/>
    </sheetView>
  </sheetViews>
  <sheetFormatPr defaultRowHeight="13.2"/>
  <cols>
    <col min="1" max="2" width="4.6640625" customWidth="1"/>
    <col min="3" max="3" width="4.5546875" customWidth="1"/>
    <col min="4" max="4" width="4.6640625" customWidth="1"/>
  </cols>
  <sheetData>
    <row r="1" spans="2:13" ht="6" customHeight="1"/>
    <row r="2" spans="2:13" ht="18" customHeight="1">
      <c r="B2" s="1619" t="s">
        <v>836</v>
      </c>
      <c r="C2" s="1619"/>
      <c r="D2" s="1619"/>
      <c r="E2" s="1619"/>
      <c r="F2" s="1619"/>
      <c r="G2" s="1619"/>
      <c r="H2" s="1619"/>
      <c r="I2" s="1619"/>
      <c r="J2" s="1619"/>
      <c r="K2" s="1619"/>
      <c r="L2" s="1619"/>
      <c r="M2" s="1619"/>
    </row>
    <row r="3" spans="2:13" ht="18" customHeight="1">
      <c r="B3" s="1619" t="str">
        <f>"ANNUAL  FINANCIAL  STATEMENT  OF   "&amp;TEXT('KEY INPUTS'!D34,"0")</f>
        <v>ANNUAL  FINANCIAL  STATEMENT  OF   2021</v>
      </c>
      <c r="C3" s="1619"/>
      <c r="D3" s="1619"/>
      <c r="E3" s="1619"/>
      <c r="F3" s="1619"/>
      <c r="G3" s="1619"/>
      <c r="H3" s="1619"/>
      <c r="I3" s="1619"/>
      <c r="J3" s="1619"/>
      <c r="K3" s="1619"/>
      <c r="L3" s="1619"/>
      <c r="M3" s="1619"/>
    </row>
    <row r="5" spans="2:13" ht="11.25" customHeight="1">
      <c r="B5" s="98"/>
      <c r="C5" s="98" t="s">
        <v>504</v>
      </c>
    </row>
    <row r="6" spans="2:13" ht="11.25" customHeight="1">
      <c r="B6" s="98" t="s">
        <v>837</v>
      </c>
      <c r="C6" s="98"/>
    </row>
    <row r="7" spans="2:13" ht="11.25" customHeight="1">
      <c r="B7" s="98" t="s">
        <v>838</v>
      </c>
      <c r="C7" s="98"/>
    </row>
    <row r="8" spans="2:13" ht="6" customHeight="1"/>
    <row r="9" spans="2:13" ht="11.25" customHeight="1">
      <c r="B9" s="98"/>
      <c r="C9" s="98" t="s">
        <v>839</v>
      </c>
    </row>
    <row r="10" spans="2:13" ht="11.25" customHeight="1">
      <c r="B10" s="98" t="s">
        <v>840</v>
      </c>
      <c r="C10" s="98"/>
    </row>
    <row r="11" spans="2:13" ht="11.25" customHeight="1">
      <c r="B11" s="98" t="s">
        <v>841</v>
      </c>
      <c r="C11" s="98"/>
    </row>
    <row r="12" spans="2:13" ht="6" customHeight="1"/>
    <row r="13" spans="2:13" ht="11.25" customHeight="1">
      <c r="B13" s="98"/>
      <c r="C13" s="98" t="s">
        <v>711</v>
      </c>
    </row>
    <row r="14" spans="2:13" ht="11.25" customHeight="1">
      <c r="B14" s="98" t="s">
        <v>712</v>
      </c>
      <c r="C14" s="98"/>
    </row>
    <row r="15" spans="2:13" ht="8.25" customHeight="1"/>
    <row r="16" spans="2:13" ht="8.25" customHeight="1"/>
    <row r="17" spans="2:16" ht="13.5" customHeight="1">
      <c r="B17" s="1620" t="s">
        <v>713</v>
      </c>
      <c r="C17" s="1620"/>
      <c r="D17" s="1620"/>
      <c r="E17" s="1620"/>
      <c r="F17" s="1620"/>
      <c r="G17" s="1620"/>
      <c r="H17" s="1620"/>
      <c r="I17" s="1620"/>
      <c r="J17" s="1620"/>
      <c r="K17" s="1620"/>
      <c r="L17" s="1620"/>
      <c r="M17" s="1620"/>
    </row>
    <row r="18" spans="2:16" ht="4.5" customHeight="1"/>
    <row r="19" spans="2:16" ht="10.5" customHeight="1">
      <c r="B19" s="189" t="s">
        <v>714</v>
      </c>
      <c r="C19" s="189"/>
      <c r="D19" s="98" t="s">
        <v>715</v>
      </c>
    </row>
    <row r="20" spans="2:16" ht="10.5" customHeight="1">
      <c r="B20" s="189" t="s">
        <v>717</v>
      </c>
      <c r="C20" s="189"/>
      <c r="D20" s="98" t="s">
        <v>505</v>
      </c>
    </row>
    <row r="21" spans="2:16" ht="10.5" customHeight="1">
      <c r="B21" s="189" t="s">
        <v>716</v>
      </c>
      <c r="C21" s="189"/>
      <c r="D21" s="98" t="s">
        <v>506</v>
      </c>
    </row>
    <row r="22" spans="2:16" ht="10.5" customHeight="1">
      <c r="B22" s="189" t="s">
        <v>293</v>
      </c>
      <c r="C22" s="189"/>
      <c r="D22" s="98" t="s">
        <v>507</v>
      </c>
    </row>
    <row r="23" spans="2:16" ht="10.5" customHeight="1">
      <c r="B23" s="189" t="s">
        <v>3189</v>
      </c>
      <c r="C23" s="189"/>
      <c r="D23" s="98" t="s">
        <v>508</v>
      </c>
    </row>
    <row r="24" spans="2:16" ht="10.5" customHeight="1">
      <c r="B24" s="189" t="s">
        <v>295</v>
      </c>
      <c r="C24" s="189"/>
      <c r="D24" s="98" t="s">
        <v>509</v>
      </c>
      <c r="P24" s="273"/>
    </row>
    <row r="25" spans="2:16" ht="10.5" customHeight="1">
      <c r="B25" s="189" t="s">
        <v>296</v>
      </c>
      <c r="C25" s="189"/>
      <c r="D25" s="98" t="s">
        <v>510</v>
      </c>
    </row>
    <row r="26" spans="2:16" ht="10.5" customHeight="1">
      <c r="B26" s="189" t="s">
        <v>63</v>
      </c>
      <c r="C26" s="189"/>
      <c r="D26" s="98" t="s">
        <v>65</v>
      </c>
    </row>
    <row r="27" spans="2:16" ht="10.5" customHeight="1">
      <c r="B27" s="189" t="s">
        <v>718</v>
      </c>
      <c r="C27" s="189"/>
      <c r="D27" s="98" t="s">
        <v>485</v>
      </c>
    </row>
    <row r="28" spans="2:16" ht="10.5" customHeight="1">
      <c r="B28" s="189" t="s">
        <v>298</v>
      </c>
      <c r="C28" s="189"/>
      <c r="D28" s="98" t="s">
        <v>189</v>
      </c>
    </row>
    <row r="29" spans="2:16" ht="10.5" customHeight="1">
      <c r="B29" s="189" t="s">
        <v>384</v>
      </c>
      <c r="C29" s="189"/>
      <c r="D29" s="98" t="s">
        <v>107</v>
      </c>
    </row>
    <row r="30" spans="2:16" ht="10.5" customHeight="1">
      <c r="B30" s="189" t="s">
        <v>719</v>
      </c>
      <c r="C30" s="189"/>
      <c r="D30" s="98" t="s">
        <v>108</v>
      </c>
    </row>
    <row r="31" spans="2:16" ht="10.5" customHeight="1">
      <c r="B31" s="189" t="s">
        <v>386</v>
      </c>
      <c r="C31" s="189"/>
      <c r="D31" s="98" t="s">
        <v>468</v>
      </c>
    </row>
    <row r="32" spans="2:16" ht="10.5" customHeight="1">
      <c r="B32" s="189" t="s">
        <v>720</v>
      </c>
      <c r="C32" s="189"/>
      <c r="D32" s="98" t="s">
        <v>469</v>
      </c>
    </row>
    <row r="33" spans="2:4" ht="10.5" customHeight="1">
      <c r="B33" s="189" t="s">
        <v>225</v>
      </c>
      <c r="C33" s="189"/>
      <c r="D33" s="98" t="s">
        <v>470</v>
      </c>
    </row>
    <row r="34" spans="2:4" ht="10.5" customHeight="1">
      <c r="B34" s="189" t="s">
        <v>226</v>
      </c>
      <c r="C34" s="189"/>
      <c r="D34" s="98" t="s">
        <v>447</v>
      </c>
    </row>
    <row r="35" spans="2:4" ht="10.5" customHeight="1">
      <c r="B35" s="189" t="s">
        <v>565</v>
      </c>
      <c r="C35" s="189"/>
      <c r="D35" s="98" t="s">
        <v>471</v>
      </c>
    </row>
    <row r="36" spans="2:4" ht="10.5" customHeight="1">
      <c r="B36" s="189" t="s">
        <v>494</v>
      </c>
      <c r="C36" s="189"/>
      <c r="D36" s="98" t="s">
        <v>472</v>
      </c>
    </row>
    <row r="37" spans="2:4" ht="10.5" customHeight="1">
      <c r="B37" s="189" t="s">
        <v>387</v>
      </c>
      <c r="C37" s="189"/>
      <c r="D37" s="98" t="s">
        <v>473</v>
      </c>
    </row>
    <row r="38" spans="2:4" ht="10.5" customHeight="1">
      <c r="B38" s="189" t="s">
        <v>498</v>
      </c>
      <c r="C38" s="189"/>
      <c r="D38" s="98" t="s">
        <v>474</v>
      </c>
    </row>
    <row r="39" spans="2:4" ht="10.5" customHeight="1">
      <c r="B39" s="189" t="s">
        <v>858</v>
      </c>
      <c r="C39" s="189"/>
      <c r="D39" s="98" t="s">
        <v>475</v>
      </c>
    </row>
    <row r="40" spans="2:4" ht="10.5" customHeight="1">
      <c r="B40" s="189" t="s">
        <v>858</v>
      </c>
      <c r="C40" s="189"/>
      <c r="D40" s="98" t="s">
        <v>476</v>
      </c>
    </row>
    <row r="41" spans="2:4" ht="10.5" customHeight="1">
      <c r="B41" s="189" t="s">
        <v>859</v>
      </c>
      <c r="C41" s="189"/>
      <c r="D41" s="98" t="str">
        <f>"Results of "&amp;TEXT('KEY INPUTS'!D34,"0")&amp;" Operation-Current Fund"</f>
        <v>Results of 2021 Operation-Current Fund</v>
      </c>
    </row>
    <row r="42" spans="2:4" ht="10.5" customHeight="1">
      <c r="B42" s="189" t="s">
        <v>862</v>
      </c>
      <c r="C42" s="189"/>
      <c r="D42" s="98" t="s">
        <v>477</v>
      </c>
    </row>
    <row r="43" spans="2:4" ht="10.5" customHeight="1">
      <c r="B43" s="189" t="s">
        <v>863</v>
      </c>
      <c r="C43" s="189"/>
      <c r="D43" s="98" t="s">
        <v>478</v>
      </c>
    </row>
    <row r="44" spans="2:4" ht="10.5" customHeight="1">
      <c r="B44" s="189" t="s">
        <v>864</v>
      </c>
      <c r="C44" s="189"/>
      <c r="D44" s="98" t="s">
        <v>563</v>
      </c>
    </row>
    <row r="45" spans="2:4" ht="10.5" customHeight="1">
      <c r="B45" s="189" t="s">
        <v>388</v>
      </c>
      <c r="C45" s="189"/>
      <c r="D45" s="98" t="str">
        <f>"Accelerated Tax Sale/Tax Levy Sale Chapter 99 To Calculate Underlying Tax Collection Rate for "&amp;TEXT('KEY INPUTS'!D34,"0")</f>
        <v>Accelerated Tax Sale/Tax Levy Sale Chapter 99 To Calculate Underlying Tax Collection Rate for 2021</v>
      </c>
    </row>
    <row r="46" spans="2:4" ht="10.5" customHeight="1">
      <c r="B46" s="189" t="s">
        <v>865</v>
      </c>
      <c r="C46" s="189"/>
      <c r="D46" s="98" t="s">
        <v>564</v>
      </c>
    </row>
    <row r="47" spans="2:4" ht="10.5" customHeight="1">
      <c r="B47" s="189" t="s">
        <v>866</v>
      </c>
      <c r="C47" s="189"/>
      <c r="D47" s="98" t="s">
        <v>164</v>
      </c>
    </row>
    <row r="48" spans="2:4" ht="10.5" customHeight="1">
      <c r="B48" s="189" t="s">
        <v>389</v>
      </c>
      <c r="C48" s="189"/>
      <c r="D48" s="98" t="s">
        <v>182</v>
      </c>
    </row>
    <row r="49" spans="2:10" ht="10.5" customHeight="1">
      <c r="B49" s="189" t="s">
        <v>390</v>
      </c>
      <c r="C49" s="189"/>
      <c r="D49" s="98" t="s">
        <v>183</v>
      </c>
    </row>
    <row r="50" spans="2:10" ht="10.5" customHeight="1">
      <c r="B50" s="189"/>
      <c r="C50" s="189"/>
      <c r="D50" s="98" t="s">
        <v>184</v>
      </c>
    </row>
    <row r="51" spans="2:10" ht="10.5" customHeight="1">
      <c r="B51" s="189" t="s">
        <v>391</v>
      </c>
      <c r="C51" s="189"/>
      <c r="D51" s="98" t="s">
        <v>185</v>
      </c>
    </row>
    <row r="52" spans="2:10" ht="10.5" customHeight="1">
      <c r="B52" s="189" t="s">
        <v>392</v>
      </c>
      <c r="C52" s="189"/>
      <c r="D52" s="98" t="s">
        <v>186</v>
      </c>
    </row>
    <row r="53" spans="2:10" ht="10.5" customHeight="1">
      <c r="B53" s="189" t="s">
        <v>393</v>
      </c>
      <c r="C53" s="189"/>
      <c r="D53" s="98" t="s">
        <v>187</v>
      </c>
      <c r="E53" s="98"/>
      <c r="F53" s="98"/>
      <c r="G53" s="98"/>
      <c r="H53" s="98"/>
      <c r="I53" s="98"/>
      <c r="J53" s="98"/>
    </row>
    <row r="54" spans="2:10" ht="10.5" customHeight="1">
      <c r="B54" s="189" t="s">
        <v>394</v>
      </c>
      <c r="C54" s="189"/>
      <c r="D54" s="98" t="s">
        <v>188</v>
      </c>
      <c r="E54" s="98"/>
      <c r="F54" s="98"/>
      <c r="G54" s="98"/>
      <c r="H54" s="98"/>
      <c r="I54" s="98"/>
      <c r="J54" s="98"/>
    </row>
    <row r="55" spans="2:10" ht="10.5" customHeight="1">
      <c r="B55" s="189"/>
      <c r="C55" s="189"/>
      <c r="D55" s="98" t="s">
        <v>579</v>
      </c>
      <c r="E55" s="98"/>
      <c r="F55" s="98"/>
      <c r="G55" s="98"/>
      <c r="H55" s="98"/>
      <c r="I55" s="98"/>
      <c r="J55" s="98"/>
    </row>
    <row r="56" spans="2:10" ht="10.5" customHeight="1">
      <c r="B56" s="189"/>
      <c r="C56" s="189"/>
      <c r="D56" s="98" t="s">
        <v>709</v>
      </c>
      <c r="E56" s="98"/>
      <c r="F56" s="98"/>
      <c r="G56" s="98"/>
      <c r="H56" s="98"/>
      <c r="I56" s="98"/>
      <c r="J56" s="98"/>
    </row>
    <row r="57" spans="2:10" ht="10.5" customHeight="1">
      <c r="B57" s="189" t="s">
        <v>395</v>
      </c>
      <c r="C57" s="189"/>
      <c r="D57" s="98" t="s">
        <v>403</v>
      </c>
      <c r="E57" s="98"/>
      <c r="F57" s="98"/>
      <c r="G57" s="98"/>
      <c r="H57" s="98"/>
      <c r="I57" s="98"/>
      <c r="J57" s="98"/>
    </row>
    <row r="58" spans="2:10" ht="10.5" customHeight="1">
      <c r="B58" s="189" t="s">
        <v>667</v>
      </c>
      <c r="C58" s="189"/>
      <c r="D58" s="98" t="s">
        <v>574</v>
      </c>
      <c r="E58" s="98"/>
      <c r="F58" s="98"/>
      <c r="G58" s="98"/>
      <c r="H58" s="98"/>
      <c r="I58" s="98"/>
      <c r="J58" s="98"/>
    </row>
    <row r="59" spans="2:10" ht="10.5" customHeight="1">
      <c r="B59" s="189" t="s">
        <v>396</v>
      </c>
      <c r="C59" s="189"/>
      <c r="D59" s="98" t="s">
        <v>575</v>
      </c>
      <c r="E59" s="98"/>
      <c r="F59" s="98"/>
      <c r="G59" s="98"/>
      <c r="H59" s="98"/>
      <c r="I59" s="98"/>
      <c r="J59" s="98"/>
    </row>
    <row r="60" spans="2:10" ht="10.5" customHeight="1">
      <c r="B60" s="189" t="s">
        <v>397</v>
      </c>
      <c r="C60" s="189"/>
      <c r="D60" s="98" t="s">
        <v>576</v>
      </c>
      <c r="E60" s="98"/>
      <c r="F60" s="98"/>
      <c r="G60" s="98"/>
      <c r="H60" s="98"/>
      <c r="I60" s="98"/>
      <c r="J60" s="98"/>
    </row>
    <row r="61" spans="2:10" ht="10.5" customHeight="1">
      <c r="B61" s="189" t="s">
        <v>66</v>
      </c>
      <c r="C61" s="189"/>
      <c r="D61" s="98" t="s">
        <v>67</v>
      </c>
      <c r="E61" s="98"/>
      <c r="F61" s="98"/>
      <c r="G61" s="98"/>
      <c r="H61" s="98"/>
      <c r="I61" s="98"/>
      <c r="J61" s="98"/>
    </row>
    <row r="62" spans="2:10" ht="10.5" customHeight="1">
      <c r="B62" s="189" t="s">
        <v>398</v>
      </c>
      <c r="C62" s="189"/>
      <c r="D62" s="98" t="s">
        <v>577</v>
      </c>
      <c r="E62" s="98"/>
      <c r="F62" s="98"/>
      <c r="G62" s="98"/>
      <c r="H62" s="98"/>
      <c r="I62" s="98"/>
      <c r="J62" s="98"/>
    </row>
    <row r="63" spans="2:10" ht="10.5" customHeight="1">
      <c r="B63" s="189" t="s">
        <v>399</v>
      </c>
      <c r="C63" s="189"/>
      <c r="D63" s="98" t="s">
        <v>578</v>
      </c>
      <c r="E63" s="98"/>
      <c r="F63" s="98"/>
      <c r="G63" s="98"/>
      <c r="H63" s="98"/>
      <c r="I63" s="98"/>
      <c r="J63" s="98"/>
    </row>
    <row r="64" spans="2:10" ht="10.5" customHeight="1">
      <c r="B64" s="189" t="s">
        <v>400</v>
      </c>
      <c r="C64" s="189"/>
      <c r="D64" s="98" t="s">
        <v>204</v>
      </c>
      <c r="E64" s="98"/>
      <c r="F64" s="98"/>
      <c r="G64" s="98"/>
      <c r="H64" s="98"/>
      <c r="I64" s="98"/>
      <c r="J64" s="98"/>
    </row>
    <row r="65" spans="2:13" ht="10.5" customHeight="1">
      <c r="B65" s="189" t="s">
        <v>400</v>
      </c>
      <c r="C65" s="189"/>
      <c r="D65" s="98" t="str">
        <f>"Capital Improvements Authorized in  "&amp;TEXT('KEY INPUTS'!D34,"0")</f>
        <v>Capital Improvements Authorized in  2021</v>
      </c>
      <c r="E65" s="98"/>
      <c r="F65" s="98"/>
      <c r="G65" s="98"/>
      <c r="H65" s="98"/>
      <c r="I65" s="98"/>
      <c r="J65" s="98"/>
    </row>
    <row r="66" spans="2:13" ht="10.5" customHeight="1">
      <c r="B66" s="189" t="s">
        <v>401</v>
      </c>
      <c r="C66" s="189"/>
      <c r="D66" s="98" t="s">
        <v>580</v>
      </c>
      <c r="E66" s="98"/>
      <c r="F66" s="98"/>
      <c r="G66" s="98"/>
      <c r="H66" s="98"/>
      <c r="I66" s="98"/>
      <c r="J66" s="98"/>
    </row>
    <row r="67" spans="2:13" ht="10.5" customHeight="1">
      <c r="B67" s="189" t="s">
        <v>402</v>
      </c>
      <c r="C67" s="189"/>
      <c r="D67" s="98" t="s">
        <v>581</v>
      </c>
      <c r="E67" s="98"/>
      <c r="F67" s="98"/>
      <c r="G67" s="98"/>
      <c r="H67" s="98"/>
      <c r="I67" s="98"/>
      <c r="J67" s="98"/>
    </row>
    <row r="68" spans="2:13">
      <c r="B68" s="189"/>
      <c r="C68" s="189"/>
    </row>
    <row r="69" spans="2:13">
      <c r="B69" s="1621" t="s">
        <v>31</v>
      </c>
      <c r="C69" s="1621"/>
      <c r="D69" s="1621"/>
      <c r="E69" s="1621"/>
      <c r="F69" s="1621"/>
      <c r="G69" s="1621"/>
      <c r="H69" s="1621"/>
      <c r="I69" s="1621"/>
      <c r="J69" s="1621"/>
      <c r="K69" s="1621"/>
      <c r="L69" s="1621"/>
      <c r="M69" s="1621"/>
    </row>
    <row r="70" spans="2:13" ht="10.5" customHeight="1">
      <c r="B70" s="158" t="s">
        <v>404</v>
      </c>
      <c r="C70" s="158"/>
      <c r="D70" s="158" t="s">
        <v>30</v>
      </c>
      <c r="E70" s="205"/>
      <c r="F70" s="191"/>
      <c r="G70" s="191"/>
      <c r="H70" s="191"/>
      <c r="I70" s="191"/>
      <c r="J70" s="191"/>
      <c r="K70" s="191"/>
      <c r="L70" s="191"/>
      <c r="M70" s="191"/>
    </row>
    <row r="71" spans="2:13" ht="10.5" customHeight="1">
      <c r="B71" s="158" t="s">
        <v>406</v>
      </c>
      <c r="C71" s="158"/>
      <c r="D71" s="158" t="s">
        <v>582</v>
      </c>
      <c r="E71" s="205"/>
      <c r="F71" s="191"/>
      <c r="G71" s="191"/>
      <c r="H71" s="191"/>
      <c r="I71" s="191"/>
      <c r="J71" s="191"/>
      <c r="K71" s="191"/>
      <c r="L71" s="191"/>
      <c r="M71" s="191"/>
    </row>
    <row r="72" spans="2:13" ht="10.5" customHeight="1">
      <c r="B72" s="158" t="s">
        <v>407</v>
      </c>
      <c r="C72" s="158"/>
      <c r="D72" s="158" t="s">
        <v>583</v>
      </c>
      <c r="E72" s="205"/>
      <c r="F72" s="191"/>
      <c r="G72" s="191"/>
      <c r="H72" s="191"/>
      <c r="I72" s="191"/>
      <c r="J72" s="191"/>
      <c r="K72" s="191"/>
      <c r="L72" s="191"/>
      <c r="M72" s="191"/>
    </row>
    <row r="73" spans="2:13" ht="10.5" customHeight="1">
      <c r="B73" s="158" t="s">
        <v>408</v>
      </c>
      <c r="C73" s="158"/>
      <c r="D73" s="158" t="s">
        <v>584</v>
      </c>
      <c r="E73" s="205"/>
      <c r="F73" s="191"/>
      <c r="G73" s="191"/>
      <c r="H73" s="191"/>
      <c r="I73" s="191"/>
      <c r="J73" s="191"/>
      <c r="K73" s="191"/>
      <c r="L73" s="191"/>
      <c r="M73" s="191"/>
    </row>
    <row r="74" spans="2:13" ht="10.5" customHeight="1">
      <c r="B74" s="158" t="s">
        <v>410</v>
      </c>
      <c r="C74" s="158"/>
      <c r="D74" s="158" t="s">
        <v>585</v>
      </c>
      <c r="E74" s="205"/>
      <c r="F74" s="191"/>
      <c r="G74" s="191"/>
      <c r="H74" s="191"/>
      <c r="I74" s="191"/>
      <c r="J74" s="191"/>
      <c r="K74" s="191"/>
      <c r="L74" s="191"/>
      <c r="M74" s="191"/>
    </row>
    <row r="75" spans="2:13" ht="10.5" customHeight="1">
      <c r="B75" s="158" t="s">
        <v>409</v>
      </c>
      <c r="C75" s="158"/>
      <c r="D75" s="294" t="str">
        <f>TEXT('KEY INPUTS'!D34,"0")&amp;" Utility Operations"</f>
        <v>2021 Utility Operations</v>
      </c>
      <c r="E75" s="205"/>
      <c r="F75" s="191"/>
      <c r="G75" s="191"/>
      <c r="H75" s="191"/>
      <c r="I75" s="191"/>
      <c r="J75" s="191"/>
      <c r="K75" s="191"/>
      <c r="L75" s="191"/>
      <c r="M75" s="191"/>
    </row>
    <row r="76" spans="2:13" ht="10.5" customHeight="1">
      <c r="B76" s="158" t="s">
        <v>411</v>
      </c>
      <c r="C76" s="158"/>
      <c r="D76" s="158" t="s">
        <v>49</v>
      </c>
      <c r="E76" s="205"/>
      <c r="F76" s="191"/>
      <c r="G76" s="191"/>
      <c r="H76" s="191"/>
      <c r="I76" s="191"/>
      <c r="J76" s="191"/>
      <c r="K76" s="191"/>
      <c r="L76" s="191"/>
      <c r="M76" s="191"/>
    </row>
    <row r="77" spans="2:13" ht="10.5" customHeight="1">
      <c r="B77" s="158" t="s">
        <v>412</v>
      </c>
      <c r="C77" s="158"/>
      <c r="D77" s="158" t="s">
        <v>50</v>
      </c>
      <c r="E77" s="205"/>
      <c r="F77" s="191"/>
      <c r="G77" s="191"/>
      <c r="H77" s="191"/>
      <c r="I77" s="191"/>
      <c r="J77" s="191"/>
      <c r="K77" s="191"/>
      <c r="L77" s="191"/>
      <c r="M77" s="191"/>
    </row>
    <row r="78" spans="2:13" ht="10.5" customHeight="1">
      <c r="B78" s="158" t="s">
        <v>23</v>
      </c>
      <c r="C78" s="158"/>
      <c r="D78" s="158" t="s">
        <v>51</v>
      </c>
      <c r="E78" s="205"/>
      <c r="F78" s="191"/>
      <c r="G78" s="191"/>
      <c r="H78" s="191"/>
      <c r="I78" s="191"/>
      <c r="J78" s="191"/>
      <c r="K78" s="191"/>
      <c r="L78" s="191"/>
      <c r="M78" s="191"/>
    </row>
    <row r="79" spans="2:13" ht="10.5" customHeight="1">
      <c r="B79" s="158" t="s">
        <v>24</v>
      </c>
      <c r="C79" s="158"/>
      <c r="D79" s="158" t="s">
        <v>52</v>
      </c>
      <c r="E79" s="205"/>
      <c r="F79" s="191"/>
      <c r="G79" s="191"/>
      <c r="H79" s="191"/>
      <c r="I79" s="191"/>
      <c r="J79" s="191"/>
      <c r="K79" s="191"/>
      <c r="L79" s="191"/>
      <c r="M79" s="191"/>
    </row>
    <row r="80" spans="2:13" ht="10.5" customHeight="1">
      <c r="B80" s="158" t="s">
        <v>668</v>
      </c>
      <c r="C80" s="158"/>
      <c r="D80" s="158" t="s">
        <v>669</v>
      </c>
      <c r="E80" s="205"/>
      <c r="F80" s="191"/>
      <c r="G80" s="191"/>
      <c r="H80" s="191"/>
      <c r="I80" s="191"/>
      <c r="J80" s="191"/>
      <c r="K80" s="191"/>
      <c r="L80" s="191"/>
      <c r="M80" s="191"/>
    </row>
    <row r="81" spans="2:13" ht="10.5" customHeight="1">
      <c r="B81" s="158" t="s">
        <v>25</v>
      </c>
      <c r="C81" s="158"/>
      <c r="D81" s="158" t="s">
        <v>586</v>
      </c>
      <c r="E81" s="205"/>
      <c r="F81" s="191"/>
      <c r="G81" s="191"/>
      <c r="H81" s="191"/>
      <c r="I81" s="191"/>
      <c r="J81" s="191"/>
      <c r="K81" s="191"/>
      <c r="L81" s="191"/>
      <c r="M81" s="191"/>
    </row>
    <row r="82" spans="2:13" ht="10.5" customHeight="1">
      <c r="B82" s="158" t="s">
        <v>26</v>
      </c>
      <c r="C82" s="158"/>
      <c r="D82" s="158" t="s">
        <v>587</v>
      </c>
      <c r="E82" s="205"/>
      <c r="F82" s="191"/>
      <c r="G82" s="191"/>
      <c r="H82" s="191"/>
      <c r="I82" s="191"/>
      <c r="J82" s="191"/>
      <c r="K82" s="191"/>
      <c r="L82" s="191"/>
      <c r="M82" s="191"/>
    </row>
    <row r="83" spans="2:13" ht="10.5" customHeight="1">
      <c r="B83" s="158" t="s">
        <v>68</v>
      </c>
      <c r="C83" s="158"/>
      <c r="D83" s="158" t="s">
        <v>69</v>
      </c>
      <c r="E83" s="205"/>
      <c r="F83" s="191"/>
      <c r="G83" s="191"/>
      <c r="H83" s="191"/>
      <c r="I83" s="191"/>
      <c r="J83" s="191"/>
      <c r="K83" s="191"/>
      <c r="L83" s="191"/>
      <c r="M83" s="191"/>
    </row>
    <row r="84" spans="2:13" ht="10.5" customHeight="1">
      <c r="B84" s="158" t="s">
        <v>27</v>
      </c>
      <c r="C84" s="158"/>
      <c r="D84" s="158" t="s">
        <v>588</v>
      </c>
      <c r="E84" s="205"/>
      <c r="F84" s="191"/>
      <c r="G84" s="191"/>
      <c r="H84" s="191"/>
      <c r="I84" s="191"/>
      <c r="J84" s="191"/>
      <c r="K84" s="191"/>
      <c r="L84" s="191"/>
      <c r="M84" s="191"/>
    </row>
    <row r="85" spans="2:13" ht="10.5" customHeight="1">
      <c r="B85" s="190" t="s">
        <v>28</v>
      </c>
      <c r="C85" s="190"/>
      <c r="D85" s="190" t="s">
        <v>589</v>
      </c>
      <c r="E85" s="206"/>
      <c r="F85" s="192"/>
      <c r="G85" s="192"/>
      <c r="H85" s="192"/>
      <c r="I85" s="192"/>
      <c r="J85" s="192"/>
      <c r="K85" s="192"/>
      <c r="L85" s="192"/>
      <c r="M85" s="192"/>
    </row>
    <row r="86" spans="2:13" ht="10.5" customHeight="1">
      <c r="B86" s="190" t="s">
        <v>29</v>
      </c>
      <c r="C86" s="190"/>
      <c r="D86" s="190" t="str">
        <f>"Utility Capital Improvements Authorized in "&amp;TEXT('KEY INPUTS'!D34,"0")&amp;"; Utility Capital Surplus"</f>
        <v>Utility Capital Improvements Authorized in 2021; Utility Capital Surplus</v>
      </c>
      <c r="E86" s="206"/>
      <c r="F86" s="192"/>
      <c r="G86" s="192"/>
      <c r="H86" s="192"/>
      <c r="I86" s="192"/>
      <c r="J86" s="192"/>
      <c r="K86" s="192"/>
      <c r="L86" s="192"/>
      <c r="M86" s="192"/>
    </row>
    <row r="87" spans="2:13" ht="13.8">
      <c r="B87" s="1618" t="s">
        <v>405</v>
      </c>
      <c r="C87" s="1618"/>
      <c r="D87" s="1618"/>
      <c r="E87" s="1618"/>
      <c r="F87" s="1618"/>
      <c r="G87" s="1618"/>
      <c r="H87" s="1618"/>
      <c r="I87" s="1618"/>
      <c r="J87" s="1618"/>
      <c r="K87" s="1618"/>
      <c r="L87" s="1618"/>
      <c r="M87" s="1618"/>
    </row>
  </sheetData>
  <mergeCells count="5">
    <mergeCell ref="B87:M87"/>
    <mergeCell ref="B2:M2"/>
    <mergeCell ref="B3:M3"/>
    <mergeCell ref="B17:M17"/>
    <mergeCell ref="B69:M69"/>
  </mergeCells>
  <phoneticPr fontId="0" type="noConversion"/>
  <pageMargins left="0.25" right="0.25" top="0.5" bottom="0.5" header="0.25" footer="0.25"/>
  <pageSetup paperSize="5" scale="9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C00000"/>
  </sheetPr>
  <dimension ref="A1:AB592"/>
  <sheetViews>
    <sheetView topLeftCell="C46" zoomScaleNormal="100" workbookViewId="0">
      <selection activeCell="D54" sqref="D54"/>
    </sheetView>
  </sheetViews>
  <sheetFormatPr defaultRowHeight="13.2"/>
  <cols>
    <col min="1" max="2" width="4.6640625" hidden="1" customWidth="1"/>
    <col min="3" max="3" width="28.88671875" bestFit="1" customWidth="1"/>
    <col min="4" max="4" width="54.109375" customWidth="1"/>
    <col min="5" max="5" width="10.88671875" bestFit="1" customWidth="1"/>
    <col min="6" max="6" width="55.5546875" customWidth="1"/>
    <col min="8" max="8" width="54.109375" customWidth="1"/>
    <col min="17" max="18" width="9.109375" hidden="1" customWidth="1"/>
    <col min="19" max="19" width="27" hidden="1" customWidth="1"/>
    <col min="20" max="20" width="21.5546875" hidden="1" customWidth="1"/>
    <col min="21" max="21" width="34.6640625" hidden="1" customWidth="1"/>
    <col min="22" max="22" width="29.44140625" hidden="1" customWidth="1"/>
    <col min="23" max="23" width="13.109375" hidden="1" customWidth="1"/>
    <col min="24" max="24" width="19" hidden="1" customWidth="1"/>
    <col min="25" max="25" width="28.33203125" style="309" hidden="1" customWidth="1"/>
    <col min="26" max="26" width="20.5546875" hidden="1" customWidth="1"/>
    <col min="27" max="27" width="22.88671875" hidden="1" customWidth="1"/>
  </cols>
  <sheetData>
    <row r="1" spans="3:28" ht="13.8" thickBot="1"/>
    <row r="2" spans="3:28" ht="18" thickBot="1">
      <c r="C2" s="1628" t="s">
        <v>898</v>
      </c>
      <c r="D2" s="1629"/>
      <c r="E2" s="1629"/>
      <c r="F2" s="1630"/>
    </row>
    <row r="3" spans="3:28" ht="16.2" thickBot="1">
      <c r="C3" s="1625" t="s">
        <v>3649</v>
      </c>
      <c r="D3" s="1626"/>
      <c r="E3" s="1626"/>
      <c r="F3" s="1627"/>
      <c r="AB3" s="1417" t="s">
        <v>3487</v>
      </c>
    </row>
    <row r="4" spans="3:28">
      <c r="C4" s="171"/>
      <c r="D4" s="274"/>
      <c r="E4" s="274"/>
      <c r="F4" s="172"/>
    </row>
    <row r="5" spans="3:28" ht="13.5" customHeight="1" thickBot="1">
      <c r="C5" s="1561"/>
      <c r="D5" s="274"/>
      <c r="E5" s="274"/>
      <c r="F5" s="172"/>
    </row>
    <row r="6" spans="3:28" ht="13.8" thickBot="1">
      <c r="C6" s="1562" t="s">
        <v>3586</v>
      </c>
      <c r="D6" s="1622" t="s">
        <v>684</v>
      </c>
      <c r="E6" s="1623"/>
      <c r="F6" s="1597" t="s">
        <v>3588</v>
      </c>
      <c r="R6" s="311" t="s">
        <v>3102</v>
      </c>
      <c r="S6" s="114" t="s">
        <v>2584</v>
      </c>
      <c r="T6" s="114" t="s">
        <v>347</v>
      </c>
      <c r="U6" s="114" t="s">
        <v>2583</v>
      </c>
      <c r="V6" s="114" t="s">
        <v>685</v>
      </c>
      <c r="W6" s="114" t="s">
        <v>2586</v>
      </c>
      <c r="X6" s="114" t="s">
        <v>2585</v>
      </c>
      <c r="Y6" s="114" t="s">
        <v>3130</v>
      </c>
      <c r="Z6" s="114" t="s">
        <v>687</v>
      </c>
      <c r="AA6" s="114" t="s">
        <v>3131</v>
      </c>
    </row>
    <row r="7" spans="3:28" ht="14.4" thickBot="1">
      <c r="C7" s="171"/>
      <c r="D7" s="274"/>
      <c r="E7" s="274"/>
      <c r="F7" s="1560" t="s">
        <v>346</v>
      </c>
      <c r="Q7" s="362">
        <v>1</v>
      </c>
      <c r="R7" s="897" t="s">
        <v>3543</v>
      </c>
      <c r="S7" s="363" t="s">
        <v>342</v>
      </c>
      <c r="T7" s="364" t="s">
        <v>343</v>
      </c>
      <c r="U7" s="362" t="s">
        <v>3589</v>
      </c>
      <c r="V7" s="362" t="s">
        <v>3590</v>
      </c>
      <c r="W7" s="363" t="s">
        <v>342</v>
      </c>
      <c r="X7" s="311"/>
      <c r="Y7" s="311"/>
      <c r="Z7" s="309"/>
      <c r="AA7" s="367"/>
    </row>
    <row r="8" spans="3:28" s="309" customFormat="1" ht="20.25" customHeight="1">
      <c r="C8" s="1567" t="s">
        <v>897</v>
      </c>
      <c r="D8" s="1507">
        <v>530</v>
      </c>
      <c r="E8" s="1605" t="s">
        <v>3648</v>
      </c>
      <c r="F8" s="172"/>
      <c r="Q8" s="362">
        <v>2</v>
      </c>
      <c r="R8" s="363" t="s">
        <v>899</v>
      </c>
      <c r="S8" s="363" t="s">
        <v>900</v>
      </c>
      <c r="T8" s="364" t="s">
        <v>901</v>
      </c>
      <c r="U8" s="362" t="s">
        <v>902</v>
      </c>
      <c r="V8" s="362" t="s">
        <v>900</v>
      </c>
      <c r="W8" s="363" t="s">
        <v>2835</v>
      </c>
      <c r="X8" s="311" t="s">
        <v>3089</v>
      </c>
      <c r="Y8" s="311" t="s">
        <v>3125</v>
      </c>
      <c r="Z8" t="s">
        <v>3106</v>
      </c>
      <c r="AA8" s="367">
        <v>18210</v>
      </c>
    </row>
    <row r="9" spans="3:28" ht="13.8">
      <c r="C9" s="1493" t="s">
        <v>3593</v>
      </c>
      <c r="D9" s="1508" t="str">
        <f>UPPER(VLOOKUP($D$8,$Q$7:$X$592,8,FALSE)&amp;" Of "&amp;VLOOKUP($D$8,$Q$7:$X$592,7,FALSE))</f>
        <v>BOROUGH OF WENONAH</v>
      </c>
      <c r="E9" s="248"/>
      <c r="F9" s="172"/>
      <c r="Q9" s="362">
        <f>Q8+1</f>
        <v>3</v>
      </c>
      <c r="R9" s="363" t="s">
        <v>903</v>
      </c>
      <c r="S9" s="363" t="s">
        <v>904</v>
      </c>
      <c r="T9" s="364" t="s">
        <v>905</v>
      </c>
      <c r="U9" s="362" t="s">
        <v>906</v>
      </c>
      <c r="V9" s="362" t="s">
        <v>3034</v>
      </c>
      <c r="W9" s="363" t="s">
        <v>3034</v>
      </c>
      <c r="X9" s="311" t="s">
        <v>3091</v>
      </c>
      <c r="Y9" s="311" t="s">
        <v>3125</v>
      </c>
      <c r="Z9" s="309" t="s">
        <v>3107</v>
      </c>
      <c r="AA9" s="367">
        <v>8411</v>
      </c>
    </row>
    <row r="10" spans="3:28" ht="13.8">
      <c r="C10" s="1493" t="s">
        <v>3432</v>
      </c>
      <c r="D10" s="1509" t="str">
        <f>UPPER(VLOOKUP($D$8,$Q$7:$X$592,4,FALSE))</f>
        <v>GLOUCESTER</v>
      </c>
      <c r="E10" s="248"/>
      <c r="F10" s="172"/>
      <c r="Q10" s="362">
        <f t="shared" ref="Q10:Q72" si="0">Q9+1</f>
        <v>4</v>
      </c>
      <c r="R10" s="363" t="s">
        <v>3096</v>
      </c>
      <c r="S10" s="363" t="s">
        <v>3098</v>
      </c>
      <c r="T10" s="364" t="s">
        <v>1026</v>
      </c>
      <c r="U10" s="362" t="str">
        <f>S10&amp;", "&amp;T10&amp;" County"</f>
        <v>Alexandria Township, Hunterdon County</v>
      </c>
      <c r="V10" s="362" t="s">
        <v>3098</v>
      </c>
      <c r="W10" s="363" t="s">
        <v>3100</v>
      </c>
      <c r="X10" s="311" t="s">
        <v>3089</v>
      </c>
      <c r="Y10" s="311" t="s">
        <v>3126</v>
      </c>
      <c r="Z10" s="309" t="s">
        <v>3108</v>
      </c>
      <c r="AA10" s="367">
        <v>4938</v>
      </c>
    </row>
    <row r="11" spans="3:28" ht="13.8">
      <c r="C11" s="1493" t="s">
        <v>3433</v>
      </c>
      <c r="D11" s="1509" t="str">
        <f>UPPER(VLOOKUP($D$8,$Q$7:$X$592,7,FALSE))</f>
        <v>WENONAH</v>
      </c>
      <c r="E11" s="248"/>
      <c r="F11" s="172"/>
      <c r="Q11" s="362">
        <f t="shared" si="0"/>
        <v>5</v>
      </c>
      <c r="R11" s="363" t="s">
        <v>3097</v>
      </c>
      <c r="S11" s="363" t="s">
        <v>3099</v>
      </c>
      <c r="T11" s="364" t="s">
        <v>923</v>
      </c>
      <c r="U11" s="362" t="str">
        <f>S11&amp;", "&amp;T11&amp;" County"</f>
        <v>Allamuchy Township, Warren County</v>
      </c>
      <c r="V11" s="362" t="s">
        <v>3099</v>
      </c>
      <c r="W11" s="363" t="s">
        <v>3101</v>
      </c>
      <c r="X11" s="311" t="s">
        <v>3089</v>
      </c>
      <c r="Y11" s="311" t="s">
        <v>3125</v>
      </c>
      <c r="Z11" s="309" t="s">
        <v>3109</v>
      </c>
      <c r="AA11" s="367">
        <v>4323</v>
      </c>
    </row>
    <row r="12" spans="3:28" ht="13.8">
      <c r="C12" s="1558" t="s">
        <v>686</v>
      </c>
      <c r="D12" s="1509" t="str">
        <f>UPPER(VLOOKUP($D$8,$Q$7:$X$592,8,FALSE))</f>
        <v>BOROUGH</v>
      </c>
      <c r="E12" s="248"/>
      <c r="F12" s="172"/>
      <c r="Q12" s="362">
        <f t="shared" si="0"/>
        <v>6</v>
      </c>
      <c r="R12" s="363" t="s">
        <v>907</v>
      </c>
      <c r="S12" s="363" t="s">
        <v>908</v>
      </c>
      <c r="T12" s="364" t="s">
        <v>909</v>
      </c>
      <c r="U12" s="362" t="s">
        <v>910</v>
      </c>
      <c r="V12" s="362" t="s">
        <v>2587</v>
      </c>
      <c r="W12" s="363" t="s">
        <v>2587</v>
      </c>
      <c r="X12" s="311" t="s">
        <v>3090</v>
      </c>
      <c r="Y12" s="311" t="s">
        <v>3125</v>
      </c>
      <c r="Z12" s="309" t="s">
        <v>3106</v>
      </c>
      <c r="AA12" s="367">
        <v>6505</v>
      </c>
    </row>
    <row r="13" spans="3:28" ht="13.8">
      <c r="C13" s="1558" t="s">
        <v>834</v>
      </c>
      <c r="D13" s="368" t="s">
        <v>3650</v>
      </c>
      <c r="E13" s="248"/>
      <c r="F13" s="172"/>
      <c r="Q13" s="362">
        <f t="shared" si="0"/>
        <v>7</v>
      </c>
      <c r="R13" s="363" t="s">
        <v>911</v>
      </c>
      <c r="S13" s="363" t="s">
        <v>912</v>
      </c>
      <c r="T13" s="364" t="s">
        <v>901</v>
      </c>
      <c r="U13" s="362" t="s">
        <v>913</v>
      </c>
      <c r="V13" s="362" t="s">
        <v>2588</v>
      </c>
      <c r="W13" s="363" t="s">
        <v>2588</v>
      </c>
      <c r="X13" s="311" t="s">
        <v>3090</v>
      </c>
      <c r="Y13" s="311" t="s">
        <v>3127</v>
      </c>
      <c r="Z13" s="309" t="s">
        <v>3110</v>
      </c>
      <c r="AA13" s="367">
        <v>496</v>
      </c>
    </row>
    <row r="14" spans="3:28" ht="14.4" thickBot="1">
      <c r="C14" s="1568" t="s">
        <v>687</v>
      </c>
      <c r="D14" s="1510" t="str">
        <f>UPPER(VLOOKUP($D$8,$Q$7:$Z$592,9,FALSE))</f>
        <v>COUNCIL MEMBERS</v>
      </c>
      <c r="E14" s="248"/>
      <c r="F14" s="172"/>
      <c r="Q14" s="362">
        <f t="shared" si="0"/>
        <v>8</v>
      </c>
      <c r="R14" s="363" t="s">
        <v>914</v>
      </c>
      <c r="S14" s="363" t="s">
        <v>915</v>
      </c>
      <c r="T14" s="364" t="s">
        <v>901</v>
      </c>
      <c r="U14" s="362" t="s">
        <v>916</v>
      </c>
      <c r="V14" s="362" t="s">
        <v>2589</v>
      </c>
      <c r="W14" s="363" t="s">
        <v>2589</v>
      </c>
      <c r="X14" s="311" t="s">
        <v>3090</v>
      </c>
      <c r="Y14" s="311" t="s">
        <v>3125</v>
      </c>
      <c r="Z14" s="309" t="s">
        <v>3106</v>
      </c>
      <c r="AA14" s="367">
        <v>1828</v>
      </c>
    </row>
    <row r="15" spans="3:28" ht="14.4" thickBot="1">
      <c r="C15" s="171"/>
      <c r="D15" s="274"/>
      <c r="E15" s="274"/>
      <c r="F15" s="172"/>
      <c r="Q15" s="362">
        <f t="shared" si="0"/>
        <v>9</v>
      </c>
      <c r="R15" s="363" t="s">
        <v>917</v>
      </c>
      <c r="S15" s="363" t="s">
        <v>918</v>
      </c>
      <c r="T15" s="364" t="s">
        <v>919</v>
      </c>
      <c r="U15" s="362" t="s">
        <v>920</v>
      </c>
      <c r="V15" s="362" t="s">
        <v>918</v>
      </c>
      <c r="W15" s="363" t="s">
        <v>2836</v>
      </c>
      <c r="X15" s="311" t="s">
        <v>3089</v>
      </c>
      <c r="Y15" s="311" t="s">
        <v>3126</v>
      </c>
      <c r="Z15" s="309" t="s">
        <v>3108</v>
      </c>
      <c r="AA15" s="367">
        <v>3467</v>
      </c>
    </row>
    <row r="16" spans="3:28" ht="13.8">
      <c r="C16" s="1569" t="s">
        <v>54</v>
      </c>
      <c r="D16" s="368" t="s">
        <v>3651</v>
      </c>
      <c r="E16" s="248"/>
      <c r="F16" s="172"/>
      <c r="Q16" s="362">
        <f t="shared" si="0"/>
        <v>10</v>
      </c>
      <c r="R16" s="363" t="s">
        <v>921</v>
      </c>
      <c r="S16" s="363" t="s">
        <v>922</v>
      </c>
      <c r="T16" s="364" t="s">
        <v>923</v>
      </c>
      <c r="U16" s="362" t="s">
        <v>924</v>
      </c>
      <c r="V16" s="362" t="s">
        <v>2590</v>
      </c>
      <c r="W16" s="363" t="s">
        <v>2590</v>
      </c>
      <c r="X16" s="311" t="s">
        <v>3090</v>
      </c>
      <c r="Y16" s="311" t="s">
        <v>3125</v>
      </c>
      <c r="Z16" s="309" t="s">
        <v>3106</v>
      </c>
      <c r="AA16" s="367">
        <v>2369</v>
      </c>
    </row>
    <row r="17" spans="3:27" ht="13.8">
      <c r="C17" s="1558" t="s">
        <v>54</v>
      </c>
      <c r="D17" s="368" t="s">
        <v>3652</v>
      </c>
      <c r="E17" s="248"/>
      <c r="F17" s="172"/>
      <c r="Q17" s="362">
        <f t="shared" si="0"/>
        <v>11</v>
      </c>
      <c r="R17" s="363" t="s">
        <v>925</v>
      </c>
      <c r="S17" s="363" t="s">
        <v>926</v>
      </c>
      <c r="T17" s="364" t="s">
        <v>909</v>
      </c>
      <c r="U17" s="362" t="s">
        <v>927</v>
      </c>
      <c r="V17" s="362" t="s">
        <v>2591</v>
      </c>
      <c r="W17" s="363" t="s">
        <v>2591</v>
      </c>
      <c r="X17" s="311" t="s">
        <v>3090</v>
      </c>
      <c r="Y17" s="311" t="s">
        <v>3125</v>
      </c>
      <c r="Z17" s="309" t="s">
        <v>3106</v>
      </c>
      <c r="AA17" s="367">
        <v>1849</v>
      </c>
    </row>
    <row r="18" spans="3:27" ht="13.8">
      <c r="C18" s="1558" t="s">
        <v>688</v>
      </c>
      <c r="D18" s="368" t="s">
        <v>3653</v>
      </c>
      <c r="E18" s="248"/>
      <c r="F18" s="172"/>
      <c r="Q18" s="362">
        <f t="shared" si="0"/>
        <v>12</v>
      </c>
      <c r="R18" s="363" t="s">
        <v>928</v>
      </c>
      <c r="S18" s="363" t="s">
        <v>929</v>
      </c>
      <c r="T18" s="364" t="s">
        <v>930</v>
      </c>
      <c r="U18" s="362" t="s">
        <v>931</v>
      </c>
      <c r="V18" s="362" t="s">
        <v>2592</v>
      </c>
      <c r="W18" s="363" t="s">
        <v>2592</v>
      </c>
      <c r="X18" s="311" t="s">
        <v>3090</v>
      </c>
      <c r="Y18" s="311" t="s">
        <v>3125</v>
      </c>
      <c r="Z18" s="309" t="s">
        <v>3106</v>
      </c>
      <c r="AA18" s="367">
        <v>606</v>
      </c>
    </row>
    <row r="19" spans="3:27" ht="14.4" thickBot="1">
      <c r="C19" s="1568" t="s">
        <v>689</v>
      </c>
      <c r="D19" s="368" t="s">
        <v>3654</v>
      </c>
      <c r="E19" s="274"/>
      <c r="F19" s="172"/>
      <c r="Q19" s="362">
        <f t="shared" si="0"/>
        <v>13</v>
      </c>
      <c r="R19" s="363" t="s">
        <v>932</v>
      </c>
      <c r="S19" s="363" t="s">
        <v>933</v>
      </c>
      <c r="T19" s="364" t="s">
        <v>930</v>
      </c>
      <c r="U19" s="362" t="s">
        <v>934</v>
      </c>
      <c r="V19" s="362" t="s">
        <v>933</v>
      </c>
      <c r="W19" s="363" t="s">
        <v>2592</v>
      </c>
      <c r="X19" s="311" t="s">
        <v>3089</v>
      </c>
      <c r="Y19" s="311" t="s">
        <v>3126</v>
      </c>
      <c r="Z19" s="309" t="s">
        <v>3111</v>
      </c>
      <c r="AA19" s="367">
        <v>6319</v>
      </c>
    </row>
    <row r="20" spans="3:27" ht="14.4" thickBot="1">
      <c r="C20" s="171"/>
      <c r="D20" s="274"/>
      <c r="E20" s="1525" t="s">
        <v>896</v>
      </c>
      <c r="F20" s="172"/>
      <c r="Q20" s="362">
        <f t="shared" si="0"/>
        <v>14</v>
      </c>
      <c r="R20" s="363" t="s">
        <v>935</v>
      </c>
      <c r="S20" s="363" t="s">
        <v>936</v>
      </c>
      <c r="T20" s="364" t="s">
        <v>901</v>
      </c>
      <c r="U20" s="362" t="s">
        <v>937</v>
      </c>
      <c r="V20" s="362" t="s">
        <v>3035</v>
      </c>
      <c r="W20" s="363" t="s">
        <v>3035</v>
      </c>
      <c r="X20" s="311" t="s">
        <v>3091</v>
      </c>
      <c r="Y20" s="311" t="s">
        <v>3125</v>
      </c>
      <c r="Z20" s="309" t="s">
        <v>3112</v>
      </c>
      <c r="AA20" s="367">
        <v>16116</v>
      </c>
    </row>
    <row r="21" spans="3:27" ht="13.8">
      <c r="C21" s="1569" t="s">
        <v>124</v>
      </c>
      <c r="D21" s="368" t="s">
        <v>3655</v>
      </c>
      <c r="E21" s="1613" t="s">
        <v>3656</v>
      </c>
      <c r="F21" s="172"/>
      <c r="Q21" s="362">
        <f t="shared" si="0"/>
        <v>15</v>
      </c>
      <c r="R21" s="363" t="s">
        <v>938</v>
      </c>
      <c r="S21" s="365" t="s">
        <v>939</v>
      </c>
      <c r="T21" s="364" t="s">
        <v>905</v>
      </c>
      <c r="U21" s="362" t="s">
        <v>940</v>
      </c>
      <c r="V21" s="362" t="s">
        <v>3084</v>
      </c>
      <c r="W21" s="365" t="s">
        <v>3084</v>
      </c>
      <c r="X21" s="311" t="s">
        <v>3091</v>
      </c>
      <c r="Y21" s="311" t="s">
        <v>3125</v>
      </c>
      <c r="Z21" s="309" t="s">
        <v>3113</v>
      </c>
      <c r="AA21" s="367">
        <v>39558</v>
      </c>
    </row>
    <row r="22" spans="3:27" ht="13.8">
      <c r="C22" s="1558" t="s">
        <v>833</v>
      </c>
      <c r="D22" s="368"/>
      <c r="E22" s="1511"/>
      <c r="F22" s="1557" t="s">
        <v>3264</v>
      </c>
      <c r="Q22" s="362">
        <f t="shared" si="0"/>
        <v>16</v>
      </c>
      <c r="R22" s="363" t="s">
        <v>941</v>
      </c>
      <c r="S22" s="363" t="s">
        <v>942</v>
      </c>
      <c r="T22" s="364" t="s">
        <v>901</v>
      </c>
      <c r="U22" s="362" t="s">
        <v>943</v>
      </c>
      <c r="V22" s="362" t="s">
        <v>2593</v>
      </c>
      <c r="W22" s="363" t="s">
        <v>2593</v>
      </c>
      <c r="X22" s="311" t="s">
        <v>3090</v>
      </c>
      <c r="Y22" s="311" t="s">
        <v>3125</v>
      </c>
      <c r="Z22" s="309" t="s">
        <v>3106</v>
      </c>
      <c r="AA22" s="367">
        <v>4385</v>
      </c>
    </row>
    <row r="23" spans="3:27" ht="14.4" thickBot="1">
      <c r="C23" s="1568" t="s">
        <v>835</v>
      </c>
      <c r="D23" s="1512">
        <v>44561</v>
      </c>
      <c r="E23" s="1513"/>
      <c r="F23" s="172"/>
      <c r="Q23" s="362">
        <f t="shared" si="0"/>
        <v>17</v>
      </c>
      <c r="R23" s="363" t="s">
        <v>944</v>
      </c>
      <c r="S23" s="363" t="s">
        <v>945</v>
      </c>
      <c r="T23" s="364" t="s">
        <v>946</v>
      </c>
      <c r="U23" s="362" t="s">
        <v>947</v>
      </c>
      <c r="V23" s="362" t="s">
        <v>2594</v>
      </c>
      <c r="W23" s="363" t="s">
        <v>2594</v>
      </c>
      <c r="X23" s="311" t="s">
        <v>3090</v>
      </c>
      <c r="Y23" s="311" t="s">
        <v>3127</v>
      </c>
      <c r="Z23" s="309" t="s">
        <v>3110</v>
      </c>
      <c r="AA23" s="367">
        <v>8819</v>
      </c>
    </row>
    <row r="24" spans="3:27" ht="14.4" thickBot="1">
      <c r="C24" s="171"/>
      <c r="D24" s="274"/>
      <c r="E24" s="274"/>
      <c r="F24" s="172"/>
      <c r="Q24" s="362">
        <f t="shared" si="0"/>
        <v>18</v>
      </c>
      <c r="R24" s="363" t="s">
        <v>948</v>
      </c>
      <c r="S24" s="363" t="s">
        <v>949</v>
      </c>
      <c r="T24" s="364" t="s">
        <v>946</v>
      </c>
      <c r="U24" s="362" t="s">
        <v>950</v>
      </c>
      <c r="V24" s="362" t="s">
        <v>2595</v>
      </c>
      <c r="W24" s="363" t="s">
        <v>2595</v>
      </c>
      <c r="X24" s="311" t="s">
        <v>3090</v>
      </c>
      <c r="Y24" s="311" t="s">
        <v>3125</v>
      </c>
      <c r="Z24" s="309" t="s">
        <v>3106</v>
      </c>
      <c r="AA24" s="367">
        <v>1023</v>
      </c>
    </row>
    <row r="25" spans="3:27" ht="13.8">
      <c r="C25" s="1514" t="s">
        <v>880</v>
      </c>
      <c r="D25" s="1515" t="str">
        <f>"Balance - January 1, "&amp;D34</f>
        <v>Balance - January 1, 2021</v>
      </c>
      <c r="E25" s="248"/>
      <c r="F25" s="1539" t="str">
        <f>"Balance - July 1, "&amp;D34&amp;""</f>
        <v>Balance - July 1, 2021</v>
      </c>
      <c r="Q25" s="362">
        <f t="shared" si="0"/>
        <v>19</v>
      </c>
      <c r="R25" s="363" t="s">
        <v>951</v>
      </c>
      <c r="S25" s="363" t="s">
        <v>952</v>
      </c>
      <c r="T25" s="364" t="s">
        <v>953</v>
      </c>
      <c r="U25" s="362" t="s">
        <v>954</v>
      </c>
      <c r="V25" s="362" t="s">
        <v>2596</v>
      </c>
      <c r="W25" s="363" t="s">
        <v>2596</v>
      </c>
      <c r="X25" s="311" t="s">
        <v>3090</v>
      </c>
      <c r="Y25" s="311" t="s">
        <v>3125</v>
      </c>
      <c r="Z25" s="309" t="s">
        <v>3114</v>
      </c>
      <c r="AA25" s="367">
        <v>1334</v>
      </c>
    </row>
    <row r="26" spans="3:27" ht="13.8">
      <c r="C26" s="1516"/>
      <c r="D26" s="1517" t="str">
        <f>"Balance - December 31, "&amp;D34</f>
        <v>Balance - December 31, 2021</v>
      </c>
      <c r="E26" s="248"/>
      <c r="F26" s="1505" t="str">
        <f>"Balance - June 30, "&amp;D33&amp;""</f>
        <v>Balance - June 30, 2022</v>
      </c>
      <c r="Q26" s="362">
        <f t="shared" si="0"/>
        <v>20</v>
      </c>
      <c r="R26" s="363" t="s">
        <v>955</v>
      </c>
      <c r="S26" s="363" t="s">
        <v>956</v>
      </c>
      <c r="T26" s="364" t="s">
        <v>901</v>
      </c>
      <c r="U26" s="362" t="s">
        <v>957</v>
      </c>
      <c r="V26" s="362" t="s">
        <v>2597</v>
      </c>
      <c r="W26" s="363" t="s">
        <v>2597</v>
      </c>
      <c r="X26" s="311" t="s">
        <v>3090</v>
      </c>
      <c r="Y26" s="311" t="s">
        <v>3127</v>
      </c>
      <c r="Z26" s="309" t="s">
        <v>3110</v>
      </c>
      <c r="AA26" s="367">
        <v>1901</v>
      </c>
    </row>
    <row r="27" spans="3:27" ht="13.8">
      <c r="C27" s="1516"/>
      <c r="D27" s="1517" t="str">
        <f>"Outstanding - January 1, "&amp;D34</f>
        <v>Outstanding - January 1, 2021</v>
      </c>
      <c r="E27" s="248"/>
      <c r="F27" s="1505" t="str">
        <f>"Outstanding - July 1, "&amp;D34&amp;""</f>
        <v>Outstanding - July 1, 2021</v>
      </c>
      <c r="Q27" s="362">
        <f t="shared" si="0"/>
        <v>21</v>
      </c>
      <c r="R27" s="363" t="s">
        <v>958</v>
      </c>
      <c r="S27" s="363" t="s">
        <v>959</v>
      </c>
      <c r="T27" s="364" t="s">
        <v>960</v>
      </c>
      <c r="U27" s="362" t="s">
        <v>961</v>
      </c>
      <c r="V27" s="362" t="s">
        <v>2598</v>
      </c>
      <c r="W27" s="363" t="s">
        <v>2598</v>
      </c>
      <c r="X27" s="311" t="s">
        <v>3090</v>
      </c>
      <c r="Y27" s="311" t="s">
        <v>3125</v>
      </c>
      <c r="Z27" s="309" t="s">
        <v>3106</v>
      </c>
      <c r="AA27" s="367">
        <v>574</v>
      </c>
    </row>
    <row r="28" spans="3:27" ht="13.8">
      <c r="C28" s="1516"/>
      <c r="D28" s="1517" t="str">
        <f>"Outstanding - December 31, "&amp;D34</f>
        <v>Outstanding - December 31, 2021</v>
      </c>
      <c r="E28" s="274"/>
      <c r="F28" s="1505" t="str">
        <f>"Outstanding - June 30, "&amp;D33&amp;""</f>
        <v>Outstanding - June 30, 2022</v>
      </c>
      <c r="Q28" s="362">
        <f t="shared" si="0"/>
        <v>22</v>
      </c>
      <c r="R28" s="363" t="s">
        <v>962</v>
      </c>
      <c r="S28" s="363" t="s">
        <v>963</v>
      </c>
      <c r="T28" s="364" t="s">
        <v>960</v>
      </c>
      <c r="U28" s="362" t="s">
        <v>964</v>
      </c>
      <c r="V28" s="362" t="s">
        <v>963</v>
      </c>
      <c r="W28" s="363" t="s">
        <v>2837</v>
      </c>
      <c r="X28" s="311" t="s">
        <v>3089</v>
      </c>
      <c r="Y28" s="311" t="s">
        <v>3126</v>
      </c>
      <c r="Z28" s="309" t="s">
        <v>3111</v>
      </c>
      <c r="AA28" s="367">
        <v>20936</v>
      </c>
    </row>
    <row r="29" spans="3:27" ht="13.8">
      <c r="C29" s="1516" t="s">
        <v>881</v>
      </c>
      <c r="D29" s="1563">
        <f>DATE(D34,12,31)</f>
        <v>44561</v>
      </c>
      <c r="E29" s="274"/>
      <c r="F29" s="1565">
        <f>DATE(D33,6,30)</f>
        <v>44742</v>
      </c>
      <c r="Q29" s="362">
        <f t="shared" si="0"/>
        <v>23</v>
      </c>
      <c r="R29" s="363" t="s">
        <v>965</v>
      </c>
      <c r="S29" s="363" t="s">
        <v>966</v>
      </c>
      <c r="T29" s="364" t="s">
        <v>946</v>
      </c>
      <c r="U29" s="362" t="s">
        <v>967</v>
      </c>
      <c r="V29" s="362" t="s">
        <v>2599</v>
      </c>
      <c r="W29" s="363" t="s">
        <v>2599</v>
      </c>
      <c r="X29" s="311" t="s">
        <v>3090</v>
      </c>
      <c r="Y29" s="311" t="s">
        <v>3125</v>
      </c>
      <c r="Z29" s="309" t="s">
        <v>3106</v>
      </c>
      <c r="AA29" s="367">
        <v>6983</v>
      </c>
    </row>
    <row r="30" spans="3:27" ht="14.4" thickBot="1">
      <c r="C30" s="1518" t="s">
        <v>3177</v>
      </c>
      <c r="D30" s="1564">
        <f>DATE(D33,12,31)</f>
        <v>44926</v>
      </c>
      <c r="E30" s="274"/>
      <c r="F30" s="1566">
        <f>DATE(D33+1,6,30)</f>
        <v>45107</v>
      </c>
      <c r="Q30" s="362">
        <f t="shared" si="0"/>
        <v>24</v>
      </c>
      <c r="R30" s="363" t="s">
        <v>968</v>
      </c>
      <c r="S30" s="363" t="s">
        <v>969</v>
      </c>
      <c r="T30" s="364" t="s">
        <v>970</v>
      </c>
      <c r="U30" s="362" t="s">
        <v>971</v>
      </c>
      <c r="V30" s="362" t="s">
        <v>969</v>
      </c>
      <c r="W30" s="363" t="s">
        <v>2838</v>
      </c>
      <c r="X30" s="311" t="s">
        <v>3089</v>
      </c>
      <c r="Y30" s="311" t="s">
        <v>3127</v>
      </c>
      <c r="Z30" s="309" t="s">
        <v>3110</v>
      </c>
      <c r="AA30" s="367">
        <v>1443</v>
      </c>
    </row>
    <row r="31" spans="3:27" ht="13.8">
      <c r="C31" s="171"/>
      <c r="D31" s="274"/>
      <c r="E31" s="274"/>
      <c r="F31" s="172"/>
      <c r="Q31" s="362">
        <f t="shared" si="0"/>
        <v>25</v>
      </c>
      <c r="R31" s="363" t="s">
        <v>972</v>
      </c>
      <c r="S31" s="363" t="s">
        <v>973</v>
      </c>
      <c r="T31" s="364" t="s">
        <v>960</v>
      </c>
      <c r="U31" s="362" t="s">
        <v>974</v>
      </c>
      <c r="V31" s="362" t="s">
        <v>2600</v>
      </c>
      <c r="W31" s="363" t="s">
        <v>2600</v>
      </c>
      <c r="X31" s="311" t="s">
        <v>3090</v>
      </c>
      <c r="Y31" s="311" t="s">
        <v>3125</v>
      </c>
      <c r="Z31" s="309" t="s">
        <v>3106</v>
      </c>
      <c r="AA31" s="367">
        <v>968</v>
      </c>
    </row>
    <row r="32" spans="3:27" ht="14.4" thickBot="1">
      <c r="C32" s="171"/>
      <c r="D32" s="274"/>
      <c r="E32" s="274"/>
      <c r="F32" s="172"/>
      <c r="Q32" s="362">
        <f t="shared" si="0"/>
        <v>26</v>
      </c>
      <c r="R32" s="363" t="s">
        <v>975</v>
      </c>
      <c r="S32" s="363" t="s">
        <v>976</v>
      </c>
      <c r="T32" s="364" t="s">
        <v>977</v>
      </c>
      <c r="U32" s="362" t="s">
        <v>978</v>
      </c>
      <c r="V32" s="362" t="s">
        <v>3036</v>
      </c>
      <c r="W32" s="363" t="s">
        <v>3036</v>
      </c>
      <c r="X32" s="311" t="s">
        <v>3091</v>
      </c>
      <c r="Y32" s="311" t="s">
        <v>3125</v>
      </c>
      <c r="Z32" s="309" t="s">
        <v>3114</v>
      </c>
      <c r="AA32" s="367">
        <v>63024</v>
      </c>
    </row>
    <row r="33" spans="3:27" ht="13.8">
      <c r="C33" s="1514" t="s">
        <v>876</v>
      </c>
      <c r="D33" s="1519">
        <v>2022</v>
      </c>
      <c r="E33" s="274"/>
      <c r="F33" s="172"/>
      <c r="Q33" s="362">
        <f t="shared" si="0"/>
        <v>27</v>
      </c>
      <c r="R33" s="363" t="s">
        <v>979</v>
      </c>
      <c r="S33" s="363" t="s">
        <v>980</v>
      </c>
      <c r="T33" s="364" t="s">
        <v>960</v>
      </c>
      <c r="U33" s="362" t="s">
        <v>981</v>
      </c>
      <c r="V33" s="362" t="s">
        <v>2601</v>
      </c>
      <c r="W33" s="363" t="s">
        <v>2601</v>
      </c>
      <c r="X33" s="311" t="s">
        <v>3090</v>
      </c>
      <c r="Y33" s="311" t="s">
        <v>3125</v>
      </c>
      <c r="Z33" s="309" t="s">
        <v>3112</v>
      </c>
      <c r="AA33" s="367">
        <v>1170</v>
      </c>
    </row>
    <row r="34" spans="3:27" ht="13.8">
      <c r="C34" s="1516" t="s">
        <v>877</v>
      </c>
      <c r="D34" s="1520">
        <f>D33-1</f>
        <v>2021</v>
      </c>
      <c r="E34" s="274"/>
      <c r="F34" s="172"/>
      <c r="Q34" s="362">
        <f t="shared" si="0"/>
        <v>28</v>
      </c>
      <c r="R34" s="363" t="s">
        <v>982</v>
      </c>
      <c r="S34" s="363" t="s">
        <v>983</v>
      </c>
      <c r="T34" s="364" t="s">
        <v>960</v>
      </c>
      <c r="U34" s="362" t="s">
        <v>984</v>
      </c>
      <c r="V34" s="362" t="s">
        <v>2602</v>
      </c>
      <c r="W34" s="363" t="s">
        <v>2602</v>
      </c>
      <c r="X34" s="311" t="s">
        <v>3090</v>
      </c>
      <c r="Y34" s="311" t="s">
        <v>3125</v>
      </c>
      <c r="Z34" s="309" t="s">
        <v>3106</v>
      </c>
      <c r="AA34" s="367">
        <v>11045</v>
      </c>
    </row>
    <row r="35" spans="3:27" ht="14.4" thickBot="1">
      <c r="C35" s="1518" t="s">
        <v>878</v>
      </c>
      <c r="D35" s="1521">
        <f>D34-1</f>
        <v>2020</v>
      </c>
      <c r="E35" s="274"/>
      <c r="F35" s="172"/>
      <c r="Q35" s="362">
        <f t="shared" si="0"/>
        <v>29</v>
      </c>
      <c r="R35" s="363" t="s">
        <v>985</v>
      </c>
      <c r="S35" s="363" t="s">
        <v>986</v>
      </c>
      <c r="T35" s="364" t="s">
        <v>987</v>
      </c>
      <c r="U35" s="362" t="s">
        <v>988</v>
      </c>
      <c r="V35" s="362" t="s">
        <v>986</v>
      </c>
      <c r="W35" s="363" t="s">
        <v>2839</v>
      </c>
      <c r="X35" s="311" t="s">
        <v>3089</v>
      </c>
      <c r="Y35" s="311" t="s">
        <v>3126</v>
      </c>
      <c r="Z35" s="309" t="s">
        <v>3111</v>
      </c>
      <c r="AA35" s="367">
        <v>8165</v>
      </c>
    </row>
    <row r="36" spans="3:27" ht="14.4" thickBot="1">
      <c r="C36" s="171"/>
      <c r="D36" s="274"/>
      <c r="E36" s="274"/>
      <c r="F36" s="172"/>
      <c r="Q36" s="362">
        <f t="shared" si="0"/>
        <v>30</v>
      </c>
      <c r="R36" s="363" t="s">
        <v>989</v>
      </c>
      <c r="S36" s="363" t="s">
        <v>990</v>
      </c>
      <c r="T36" s="364" t="s">
        <v>991</v>
      </c>
      <c r="U36" s="362" t="s">
        <v>992</v>
      </c>
      <c r="V36" s="362" t="s">
        <v>990</v>
      </c>
      <c r="W36" s="363" t="s">
        <v>2840</v>
      </c>
      <c r="X36" s="311" t="s">
        <v>3089</v>
      </c>
      <c r="Y36" s="311" t="s">
        <v>3125</v>
      </c>
      <c r="Z36" s="309" t="s">
        <v>3115</v>
      </c>
      <c r="AA36" s="367">
        <v>35926</v>
      </c>
    </row>
    <row r="37" spans="3:27" ht="13.8">
      <c r="C37" s="1498" t="s">
        <v>3592</v>
      </c>
      <c r="D37" s="1522">
        <f>VLOOKUP(D8,$Q$7:$AA$592,11,FALSE)</f>
        <v>2278</v>
      </c>
      <c r="E37" s="274"/>
      <c r="F37" s="172"/>
      <c r="Q37" s="362">
        <f t="shared" si="0"/>
        <v>31</v>
      </c>
      <c r="R37" s="363" t="s">
        <v>993</v>
      </c>
      <c r="S37" s="363" t="s">
        <v>994</v>
      </c>
      <c r="T37" s="364" t="s">
        <v>946</v>
      </c>
      <c r="U37" s="362" t="s">
        <v>995</v>
      </c>
      <c r="V37" s="362" t="s">
        <v>2603</v>
      </c>
      <c r="W37" s="363" t="s">
        <v>2603</v>
      </c>
      <c r="X37" s="311" t="s">
        <v>3090</v>
      </c>
      <c r="Y37" s="311" t="s">
        <v>3125</v>
      </c>
      <c r="Z37" s="309" t="s">
        <v>3106</v>
      </c>
      <c r="AA37" s="367">
        <v>11583</v>
      </c>
    </row>
    <row r="38" spans="3:27" ht="13.8">
      <c r="C38" s="1494" t="str">
        <f>"Net Valuation Taxable "&amp;D34</f>
        <v>Net Valuation Taxable 2021</v>
      </c>
      <c r="D38" s="1523">
        <v>218135500</v>
      </c>
      <c r="E38" s="274"/>
      <c r="F38" s="172"/>
      <c r="Q38" s="362">
        <f t="shared" si="0"/>
        <v>32</v>
      </c>
      <c r="R38" s="363" t="s">
        <v>996</v>
      </c>
      <c r="S38" s="363" t="s">
        <v>997</v>
      </c>
      <c r="T38" s="364" t="s">
        <v>901</v>
      </c>
      <c r="U38" s="362" t="s">
        <v>998</v>
      </c>
      <c r="V38" s="362" t="s">
        <v>2604</v>
      </c>
      <c r="W38" s="363" t="s">
        <v>2604</v>
      </c>
      <c r="X38" s="311" t="s">
        <v>3090</v>
      </c>
      <c r="Y38" s="311" t="s">
        <v>3125</v>
      </c>
      <c r="Z38" s="309" t="s">
        <v>3109</v>
      </c>
      <c r="AA38" s="367">
        <v>5794</v>
      </c>
    </row>
    <row r="39" spans="3:27" ht="14.4" thickBot="1">
      <c r="C39" s="1495" t="s">
        <v>879</v>
      </c>
      <c r="D39" s="1524" t="str">
        <f>VLOOKUP($D$8,$Q$7:$R$592,2,FALSE)</f>
        <v>0819</v>
      </c>
      <c r="E39" s="274"/>
      <c r="F39" s="172"/>
      <c r="Q39" s="362">
        <f t="shared" si="0"/>
        <v>33</v>
      </c>
      <c r="R39" s="363" t="s">
        <v>999</v>
      </c>
      <c r="S39" s="363" t="s">
        <v>1000</v>
      </c>
      <c r="T39" s="364" t="s">
        <v>923</v>
      </c>
      <c r="U39" s="362" t="s">
        <v>1001</v>
      </c>
      <c r="V39" s="362" t="s">
        <v>3073</v>
      </c>
      <c r="W39" s="363" t="s">
        <v>3073</v>
      </c>
      <c r="X39" s="311" t="s">
        <v>2584</v>
      </c>
      <c r="Y39" s="311" t="s">
        <v>3125</v>
      </c>
      <c r="Z39" s="309" t="s">
        <v>3106</v>
      </c>
      <c r="AA39" s="367">
        <v>2681</v>
      </c>
    </row>
    <row r="40" spans="3:27" s="309" customFormat="1" ht="14.4" thickBot="1">
      <c r="C40" s="1494"/>
      <c r="D40" s="1490"/>
      <c r="E40" s="274"/>
      <c r="F40" s="172"/>
      <c r="H40" s="274"/>
      <c r="Q40" s="362">
        <f t="shared" si="0"/>
        <v>34</v>
      </c>
      <c r="R40" s="363" t="s">
        <v>1002</v>
      </c>
      <c r="S40" s="363" t="s">
        <v>1003</v>
      </c>
      <c r="T40" s="364" t="s">
        <v>909</v>
      </c>
      <c r="U40" s="362" t="s">
        <v>1004</v>
      </c>
      <c r="V40" s="362" t="s">
        <v>2605</v>
      </c>
      <c r="W40" s="363" t="s">
        <v>2605</v>
      </c>
      <c r="X40" s="311" t="s">
        <v>3090</v>
      </c>
      <c r="Y40" s="311" t="s">
        <v>3125</v>
      </c>
      <c r="Z40" s="309" t="s">
        <v>3106</v>
      </c>
      <c r="AA40" s="367">
        <v>26764</v>
      </c>
    </row>
    <row r="41" spans="3:27" s="309" customFormat="1" ht="14.4" thickBot="1">
      <c r="C41" s="1500" t="s">
        <v>3591</v>
      </c>
      <c r="D41" s="1499" t="s">
        <v>3545</v>
      </c>
      <c r="E41" s="274"/>
      <c r="F41" s="1500" t="s">
        <v>3546</v>
      </c>
      <c r="H41" s="1491"/>
      <c r="Q41" s="362">
        <f>Q40+1</f>
        <v>35</v>
      </c>
      <c r="R41" s="363" t="s">
        <v>1005</v>
      </c>
      <c r="S41" s="363" t="s">
        <v>1006</v>
      </c>
      <c r="T41" s="364" t="s">
        <v>1007</v>
      </c>
      <c r="U41" s="362" t="s">
        <v>1008</v>
      </c>
      <c r="V41" s="362" t="s">
        <v>1006</v>
      </c>
      <c r="W41" s="363" t="s">
        <v>2841</v>
      </c>
      <c r="X41" s="311" t="s">
        <v>3089</v>
      </c>
      <c r="Y41" s="311" t="s">
        <v>3125</v>
      </c>
      <c r="Z41" s="309" t="s">
        <v>3106</v>
      </c>
      <c r="AA41" s="367">
        <v>13183</v>
      </c>
    </row>
    <row r="42" spans="3:27" ht="14.4" thickBot="1">
      <c r="C42" s="1542" t="s">
        <v>3585</v>
      </c>
      <c r="D42" s="1501" t="str">
        <f>"ANNUAL FINANCIAL STATEMENT FOR THE YEAR "&amp;D34&amp;""</f>
        <v>ANNUAL FINANCIAL STATEMENT FOR THE YEAR 2021</v>
      </c>
      <c r="E42" s="274"/>
      <c r="F42" s="1505" t="str">
        <f>"ANNUAL FINANCIAL STATEMENT FOR THE YEAR "&amp;D33&amp;""</f>
        <v>ANNUAL FINANCIAL STATEMENT FOR THE YEAR 2022</v>
      </c>
      <c r="H42" s="274"/>
      <c r="Q42" s="362">
        <f t="shared" si="0"/>
        <v>36</v>
      </c>
      <c r="R42" s="363" t="s">
        <v>1009</v>
      </c>
      <c r="S42" s="363" t="s">
        <v>1010</v>
      </c>
      <c r="T42" s="364" t="s">
        <v>960</v>
      </c>
      <c r="U42" s="362" t="s">
        <v>1011</v>
      </c>
      <c r="V42" s="362" t="s">
        <v>1010</v>
      </c>
      <c r="W42" s="363" t="s">
        <v>2842</v>
      </c>
      <c r="X42" s="311" t="s">
        <v>3089</v>
      </c>
      <c r="Y42" s="311" t="s">
        <v>3125</v>
      </c>
      <c r="Z42" s="309" t="s">
        <v>3107</v>
      </c>
      <c r="AA42" s="367">
        <v>41255</v>
      </c>
    </row>
    <row r="43" spans="3:27" ht="13.8">
      <c r="C43" s="1558"/>
      <c r="D43" s="1502" t="str">
        <f>"COUNTIES - JANUARY  26, "&amp;D33&amp;""</f>
        <v>COUNTIES - JANUARY  26, 2022</v>
      </c>
      <c r="E43" s="274"/>
      <c r="F43" s="1505"/>
      <c r="H43" s="274"/>
      <c r="Q43" s="362">
        <f t="shared" si="0"/>
        <v>37</v>
      </c>
      <c r="R43" s="363" t="s">
        <v>1012</v>
      </c>
      <c r="S43" s="363" t="s">
        <v>1013</v>
      </c>
      <c r="T43" s="364" t="s">
        <v>946</v>
      </c>
      <c r="U43" s="362" t="s">
        <v>1014</v>
      </c>
      <c r="V43" s="362" t="s">
        <v>2606</v>
      </c>
      <c r="W43" s="363" t="s">
        <v>2606</v>
      </c>
      <c r="X43" s="311" t="s">
        <v>3090</v>
      </c>
      <c r="Y43" s="311" t="s">
        <v>3125</v>
      </c>
      <c r="Z43" s="309" t="s">
        <v>3106</v>
      </c>
      <c r="AA43" s="367">
        <v>7588</v>
      </c>
    </row>
    <row r="44" spans="3:27" ht="13.8">
      <c r="C44" s="1558"/>
      <c r="D44" s="1502" t="str">
        <f>"MUNICIPALITIES - FEBRUARY 10, "&amp;D33</f>
        <v>MUNICIPALITIES - FEBRUARY 10, 2022</v>
      </c>
      <c r="E44" s="274"/>
      <c r="F44" s="1506" t="str">
        <f>"MUNICIPALITIES - AUGUST 10, "&amp;D33&amp;""</f>
        <v>MUNICIPALITIES - AUGUST 10, 2022</v>
      </c>
      <c r="H44" s="274"/>
      <c r="Q44" s="362">
        <f t="shared" si="0"/>
        <v>38</v>
      </c>
      <c r="R44" s="363" t="s">
        <v>1015</v>
      </c>
      <c r="S44" s="363" t="s">
        <v>1016</v>
      </c>
      <c r="T44" s="364" t="s">
        <v>946</v>
      </c>
      <c r="U44" s="362" t="s">
        <v>1017</v>
      </c>
      <c r="V44" s="362" t="s">
        <v>1016</v>
      </c>
      <c r="W44" s="363" t="s">
        <v>2606</v>
      </c>
      <c r="X44" s="311" t="s">
        <v>3089</v>
      </c>
      <c r="Y44" s="311" t="s">
        <v>3125</v>
      </c>
      <c r="Z44" s="309" t="s">
        <v>3109</v>
      </c>
      <c r="AA44" s="367">
        <v>5357</v>
      </c>
    </row>
    <row r="45" spans="3:27" ht="13.8">
      <c r="C45" s="1558"/>
      <c r="D45" s="1502" t="str">
        <f>"AS  AT  DECEMBER  31, "&amp;D34</f>
        <v>AS  AT  DECEMBER  31, 2021</v>
      </c>
      <c r="E45" s="274"/>
      <c r="F45" s="1505" t="str">
        <f>"AS  AT  JUNE 30, "&amp;D33&amp;""</f>
        <v>AS  AT  JUNE 30, 2022</v>
      </c>
      <c r="H45" s="274"/>
      <c r="Q45" s="362">
        <f t="shared" si="0"/>
        <v>39</v>
      </c>
      <c r="R45" s="363" t="s">
        <v>1018</v>
      </c>
      <c r="S45" s="363" t="s">
        <v>1019</v>
      </c>
      <c r="T45" s="364" t="s">
        <v>987</v>
      </c>
      <c r="U45" s="362" t="s">
        <v>1020</v>
      </c>
      <c r="V45" s="362" t="s">
        <v>1019</v>
      </c>
      <c r="W45" s="363" t="s">
        <v>2843</v>
      </c>
      <c r="X45" s="311" t="s">
        <v>3089</v>
      </c>
      <c r="Y45" s="311" t="s">
        <v>3126</v>
      </c>
      <c r="Z45" s="309" t="s">
        <v>3111</v>
      </c>
      <c r="AA45" s="367">
        <v>26652</v>
      </c>
    </row>
    <row r="46" spans="3:27" ht="13.8">
      <c r="C46" s="171"/>
      <c r="D46" s="1502" t="str">
        <f>"Dec. 31, "&amp;D35</f>
        <v>Dec. 31, 2020</v>
      </c>
      <c r="E46" s="274"/>
      <c r="F46" s="1505" t="str">
        <f>"June 30, "&amp;D34&amp;""</f>
        <v>June 30, 2021</v>
      </c>
      <c r="H46" s="274"/>
      <c r="Q46" s="362">
        <f t="shared" si="0"/>
        <v>40</v>
      </c>
      <c r="R46" s="363" t="s">
        <v>1021</v>
      </c>
      <c r="S46" s="363" t="s">
        <v>1022</v>
      </c>
      <c r="T46" s="364" t="s">
        <v>987</v>
      </c>
      <c r="U46" s="362" t="s">
        <v>1023</v>
      </c>
      <c r="V46" s="362" t="s">
        <v>2607</v>
      </c>
      <c r="W46" s="363" t="s">
        <v>2607</v>
      </c>
      <c r="X46" s="311" t="s">
        <v>3090</v>
      </c>
      <c r="Y46" s="311" t="s">
        <v>3125</v>
      </c>
      <c r="Z46" s="309" t="s">
        <v>3106</v>
      </c>
      <c r="AA46" s="367">
        <v>7707</v>
      </c>
    </row>
    <row r="47" spans="3:27" ht="13.8">
      <c r="C47" s="171"/>
      <c r="D47" s="1502" t="str">
        <f>"Dec. 31, "&amp;D34</f>
        <v>Dec. 31, 2021</v>
      </c>
      <c r="E47" s="274"/>
      <c r="F47" s="1505" t="str">
        <f>"June 30, "&amp;D33&amp;""</f>
        <v>June 30, 2022</v>
      </c>
      <c r="H47" s="274"/>
      <c r="Q47" s="362">
        <f t="shared" si="0"/>
        <v>41</v>
      </c>
      <c r="R47" s="363" t="s">
        <v>1024</v>
      </c>
      <c r="S47" s="363" t="s">
        <v>1025</v>
      </c>
      <c r="T47" s="364" t="s">
        <v>1026</v>
      </c>
      <c r="U47" s="362" t="s">
        <v>1027</v>
      </c>
      <c r="V47" s="362" t="s">
        <v>1025</v>
      </c>
      <c r="W47" s="363" t="s">
        <v>2844</v>
      </c>
      <c r="X47" s="311" t="s">
        <v>3089</v>
      </c>
      <c r="Y47" s="311" t="s">
        <v>3126</v>
      </c>
      <c r="Z47" s="309" t="s">
        <v>3111</v>
      </c>
      <c r="AA47" s="367">
        <v>3979</v>
      </c>
    </row>
    <row r="48" spans="3:27" ht="13.8">
      <c r="C48" s="171"/>
      <c r="D48" s="1502" t="str">
        <f>"Jan. 1, "&amp;D34</f>
        <v>Jan. 1, 2021</v>
      </c>
      <c r="E48" s="274"/>
      <c r="F48" s="1505" t="str">
        <f>"July 1, "&amp;D34&amp;""</f>
        <v>July 1, 2021</v>
      </c>
      <c r="G48" s="265"/>
      <c r="H48" s="274"/>
      <c r="Q48" s="362">
        <f t="shared" si="0"/>
        <v>42</v>
      </c>
      <c r="R48" s="363" t="s">
        <v>1028</v>
      </c>
      <c r="S48" s="363" t="s">
        <v>1029</v>
      </c>
      <c r="T48" s="364" t="s">
        <v>970</v>
      </c>
      <c r="U48" s="362" t="s">
        <v>1030</v>
      </c>
      <c r="V48" s="362" t="s">
        <v>3037</v>
      </c>
      <c r="W48" s="363" t="s">
        <v>3037</v>
      </c>
      <c r="X48" s="311" t="s">
        <v>3091</v>
      </c>
      <c r="Y48" s="311" t="s">
        <v>3125</v>
      </c>
      <c r="Z48" s="309" t="s">
        <v>3113</v>
      </c>
      <c r="AA48" s="367">
        <v>2577</v>
      </c>
    </row>
    <row r="49" spans="3:27" ht="13.8">
      <c r="C49" s="171"/>
      <c r="D49" s="1503" t="str">
        <f>"YEAR - "&amp;D35</f>
        <v>YEAR - 2020</v>
      </c>
      <c r="E49" s="274"/>
      <c r="F49" s="1503" t="str">
        <f>"YEAR - "&amp;D35</f>
        <v>YEAR - 2020</v>
      </c>
      <c r="G49" s="265"/>
      <c r="H49" s="350"/>
      <c r="Q49" s="362">
        <f t="shared" si="0"/>
        <v>43</v>
      </c>
      <c r="R49" s="363" t="s">
        <v>1031</v>
      </c>
      <c r="S49" s="363" t="s">
        <v>1032</v>
      </c>
      <c r="T49" s="364" t="s">
        <v>923</v>
      </c>
      <c r="U49" s="362" t="s">
        <v>1033</v>
      </c>
      <c r="V49" s="362" t="s">
        <v>1032</v>
      </c>
      <c r="W49" s="363" t="s">
        <v>2845</v>
      </c>
      <c r="X49" s="311" t="s">
        <v>3089</v>
      </c>
      <c r="Y49" s="311" t="s">
        <v>3126</v>
      </c>
      <c r="Z49" s="309" t="s">
        <v>3111</v>
      </c>
      <c r="AA49" s="367">
        <v>5967</v>
      </c>
    </row>
    <row r="50" spans="3:27" ht="14.4" thickBot="1">
      <c r="C50" s="171"/>
      <c r="D50" s="1504" t="str">
        <f>"YEAR - "&amp;D34</f>
        <v>YEAR - 2021</v>
      </c>
      <c r="E50" s="274"/>
      <c r="F50" s="1504" t="str">
        <f>"YEAR - "&amp;D34</f>
        <v>YEAR - 2021</v>
      </c>
      <c r="H50" s="274"/>
      <c r="Q50" s="362">
        <f t="shared" si="0"/>
        <v>44</v>
      </c>
      <c r="R50" s="363" t="s">
        <v>1034</v>
      </c>
      <c r="S50" s="363" t="s">
        <v>1035</v>
      </c>
      <c r="T50" s="364" t="s">
        <v>991</v>
      </c>
      <c r="U50" s="362" t="s">
        <v>1036</v>
      </c>
      <c r="V50" s="362" t="s">
        <v>1035</v>
      </c>
      <c r="W50" s="363" t="s">
        <v>2846</v>
      </c>
      <c r="X50" s="311" t="s">
        <v>3089</v>
      </c>
      <c r="Y50" s="311" t="s">
        <v>3125</v>
      </c>
      <c r="Z50" s="309" t="s">
        <v>3106</v>
      </c>
      <c r="AA50" s="367">
        <v>47315</v>
      </c>
    </row>
    <row r="51" spans="3:27" ht="14.4" thickBot="1">
      <c r="C51" s="171"/>
      <c r="D51" s="274"/>
      <c r="E51" s="274"/>
      <c r="F51" s="172"/>
      <c r="H51" s="274"/>
      <c r="Q51" s="362">
        <f>Q50+1</f>
        <v>45</v>
      </c>
      <c r="R51" s="363" t="s">
        <v>1037</v>
      </c>
      <c r="S51" s="363" t="s">
        <v>1038</v>
      </c>
      <c r="T51" s="364" t="s">
        <v>1039</v>
      </c>
      <c r="U51" s="362" t="s">
        <v>1040</v>
      </c>
      <c r="V51" s="362" t="s">
        <v>2608</v>
      </c>
      <c r="W51" s="363" t="s">
        <v>2608</v>
      </c>
      <c r="X51" s="311" t="s">
        <v>3090</v>
      </c>
      <c r="Y51" s="311" t="s">
        <v>3125</v>
      </c>
      <c r="Z51" s="309" t="s">
        <v>3106</v>
      </c>
      <c r="AA51" s="367">
        <v>7656</v>
      </c>
    </row>
    <row r="52" spans="3:27" s="309" customFormat="1" ht="14.4" thickBot="1">
      <c r="C52" s="168"/>
      <c r="D52" s="1497" t="s">
        <v>3587</v>
      </c>
      <c r="E52" s="1528">
        <v>1</v>
      </c>
      <c r="F52" s="1574" t="s">
        <v>3596</v>
      </c>
      <c r="H52" s="274"/>
      <c r="Q52" s="362">
        <f>Q51+1</f>
        <v>46</v>
      </c>
      <c r="R52" s="363" t="s">
        <v>1041</v>
      </c>
      <c r="S52" s="363" t="s">
        <v>1042</v>
      </c>
      <c r="T52" s="364" t="s">
        <v>1026</v>
      </c>
      <c r="U52" s="362" t="s">
        <v>1043</v>
      </c>
      <c r="V52" s="362" t="s">
        <v>2609</v>
      </c>
      <c r="W52" s="363" t="s">
        <v>2609</v>
      </c>
      <c r="X52" s="311" t="s">
        <v>3090</v>
      </c>
      <c r="Y52" s="311" t="s">
        <v>3125</v>
      </c>
      <c r="Z52" s="309" t="s">
        <v>3106</v>
      </c>
      <c r="AA52" s="367">
        <v>870</v>
      </c>
    </row>
    <row r="53" spans="3:27" s="309" customFormat="1" ht="14.4" thickBot="1">
      <c r="C53" s="1498"/>
      <c r="D53" s="1496" t="s">
        <v>3544</v>
      </c>
      <c r="E53" s="1529"/>
      <c r="F53" s="1559"/>
      <c r="G53" s="1489"/>
      <c r="H53" s="1492"/>
      <c r="Q53" s="362">
        <f t="shared" si="0"/>
        <v>47</v>
      </c>
      <c r="R53" s="363" t="s">
        <v>1044</v>
      </c>
      <c r="S53" s="363" t="s">
        <v>1045</v>
      </c>
      <c r="T53" s="364" t="s">
        <v>909</v>
      </c>
      <c r="U53" s="362" t="s">
        <v>1046</v>
      </c>
      <c r="V53" s="362" t="s">
        <v>2610</v>
      </c>
      <c r="W53" s="363" t="s">
        <v>2610</v>
      </c>
      <c r="X53" s="311" t="s">
        <v>3090</v>
      </c>
      <c r="Y53" s="311" t="s">
        <v>3125</v>
      </c>
      <c r="Z53" s="309" t="s">
        <v>3106</v>
      </c>
      <c r="AA53" s="367">
        <v>8187</v>
      </c>
    </row>
    <row r="54" spans="3:27" ht="13.8">
      <c r="C54" s="1570" t="s">
        <v>3389</v>
      </c>
      <c r="D54" s="1614" t="s">
        <v>3657</v>
      </c>
      <c r="E54" s="171"/>
      <c r="F54" s="172"/>
      <c r="H54" s="274"/>
      <c r="Q54" s="362">
        <f t="shared" si="0"/>
        <v>48</v>
      </c>
      <c r="R54" s="363" t="s">
        <v>1047</v>
      </c>
      <c r="S54" s="363" t="s">
        <v>1048</v>
      </c>
      <c r="T54" s="364" t="s">
        <v>1049</v>
      </c>
      <c r="U54" s="362" t="s">
        <v>1050</v>
      </c>
      <c r="V54" s="362" t="s">
        <v>2847</v>
      </c>
      <c r="W54" s="363" t="s">
        <v>2847</v>
      </c>
      <c r="X54" s="311" t="s">
        <v>2584</v>
      </c>
      <c r="Y54" s="311" t="s">
        <v>3128</v>
      </c>
      <c r="Z54" s="309" t="s">
        <v>3116</v>
      </c>
      <c r="AA54" s="367">
        <v>8347</v>
      </c>
    </row>
    <row r="55" spans="3:27" ht="13.8">
      <c r="C55" s="1570" t="s">
        <v>3390</v>
      </c>
      <c r="D55" s="1526"/>
      <c r="E55" s="171"/>
      <c r="F55" s="172"/>
      <c r="Q55" s="362">
        <f t="shared" si="0"/>
        <v>49</v>
      </c>
      <c r="R55" s="363" t="s">
        <v>1051</v>
      </c>
      <c r="S55" s="363" t="s">
        <v>1052</v>
      </c>
      <c r="T55" s="364" t="s">
        <v>1049</v>
      </c>
      <c r="U55" s="362" t="s">
        <v>1053</v>
      </c>
      <c r="V55" s="362" t="s">
        <v>1052</v>
      </c>
      <c r="W55" s="363" t="s">
        <v>2847</v>
      </c>
      <c r="X55" s="311" t="s">
        <v>3089</v>
      </c>
      <c r="Y55" s="311" t="s">
        <v>3126</v>
      </c>
      <c r="Z55" s="309" t="s">
        <v>3111</v>
      </c>
      <c r="AA55" s="367">
        <v>4263</v>
      </c>
    </row>
    <row r="56" spans="3:27" ht="13.8">
      <c r="C56" s="1570" t="s">
        <v>3391</v>
      </c>
      <c r="D56" s="1526"/>
      <c r="E56" s="171"/>
      <c r="F56" s="172"/>
      <c r="Q56" s="362">
        <f t="shared" si="0"/>
        <v>50</v>
      </c>
      <c r="R56" s="363" t="s">
        <v>1054</v>
      </c>
      <c r="S56" s="363" t="s">
        <v>1055</v>
      </c>
      <c r="T56" s="364" t="s">
        <v>970</v>
      </c>
      <c r="U56" s="362" t="s">
        <v>1056</v>
      </c>
      <c r="V56" s="362" t="s">
        <v>2848</v>
      </c>
      <c r="W56" s="363" t="s">
        <v>2848</v>
      </c>
      <c r="X56" s="311" t="s">
        <v>3091</v>
      </c>
      <c r="Y56" s="311" t="s">
        <v>3127</v>
      </c>
      <c r="Z56" s="309" t="s">
        <v>3110</v>
      </c>
      <c r="AA56" s="367">
        <v>3924</v>
      </c>
    </row>
    <row r="57" spans="3:27" ht="13.8">
      <c r="C57" s="1570" t="s">
        <v>3392</v>
      </c>
      <c r="D57" s="1526"/>
      <c r="E57" s="171"/>
      <c r="F57" s="172"/>
      <c r="Q57" s="362">
        <f t="shared" si="0"/>
        <v>51</v>
      </c>
      <c r="R57" s="363" t="s">
        <v>1057</v>
      </c>
      <c r="S57" s="363" t="s">
        <v>1058</v>
      </c>
      <c r="T57" s="364" t="s">
        <v>970</v>
      </c>
      <c r="U57" s="362" t="s">
        <v>1059</v>
      </c>
      <c r="V57" s="362" t="s">
        <v>1058</v>
      </c>
      <c r="W57" s="363" t="s">
        <v>2848</v>
      </c>
      <c r="X57" s="311" t="s">
        <v>3089</v>
      </c>
      <c r="Y57" s="311" t="s">
        <v>3126</v>
      </c>
      <c r="Z57" s="309" t="s">
        <v>3111</v>
      </c>
      <c r="AA57" s="367">
        <v>11367</v>
      </c>
    </row>
    <row r="58" spans="3:27" ht="13.8">
      <c r="C58" s="1570" t="s">
        <v>3393</v>
      </c>
      <c r="D58" s="1526"/>
      <c r="E58" s="171"/>
      <c r="F58" s="172"/>
      <c r="Q58" s="362">
        <f t="shared" si="0"/>
        <v>52</v>
      </c>
      <c r="R58" s="363" t="s">
        <v>1060</v>
      </c>
      <c r="S58" s="363" t="s">
        <v>1061</v>
      </c>
      <c r="T58" s="364" t="s">
        <v>987</v>
      </c>
      <c r="U58" s="362" t="s">
        <v>1062</v>
      </c>
      <c r="V58" s="362" t="s">
        <v>2611</v>
      </c>
      <c r="W58" s="363" t="s">
        <v>2611</v>
      </c>
      <c r="X58" s="311" t="s">
        <v>3090</v>
      </c>
      <c r="Y58" s="311" t="s">
        <v>3125</v>
      </c>
      <c r="Z58" s="309" t="s">
        <v>3106</v>
      </c>
      <c r="AA58" s="367">
        <v>10402</v>
      </c>
    </row>
    <row r="59" spans="3:27" ht="14.4" thickBot="1">
      <c r="C59" s="1571" t="s">
        <v>3394</v>
      </c>
      <c r="D59" s="1527"/>
      <c r="E59" s="171"/>
      <c r="F59" s="172"/>
      <c r="Q59" s="362">
        <f t="shared" si="0"/>
        <v>53</v>
      </c>
      <c r="R59" s="363" t="s">
        <v>1063</v>
      </c>
      <c r="S59" s="363" t="s">
        <v>1064</v>
      </c>
      <c r="T59" s="364" t="s">
        <v>901</v>
      </c>
      <c r="U59" s="362" t="s">
        <v>1065</v>
      </c>
      <c r="V59" s="362" t="s">
        <v>2612</v>
      </c>
      <c r="W59" s="363" t="s">
        <v>2612</v>
      </c>
      <c r="X59" s="311" t="s">
        <v>3090</v>
      </c>
      <c r="Y59" s="311" t="s">
        <v>3125</v>
      </c>
      <c r="Z59" s="309" t="s">
        <v>3109</v>
      </c>
      <c r="AA59" s="367">
        <v>4298</v>
      </c>
    </row>
    <row r="60" spans="3:27" ht="14.4" thickBot="1">
      <c r="C60" s="171"/>
      <c r="D60" s="274"/>
      <c r="E60" s="274"/>
      <c r="F60" s="172"/>
      <c r="Q60" s="362">
        <f t="shared" si="0"/>
        <v>54</v>
      </c>
      <c r="R60" s="363" t="s">
        <v>1066</v>
      </c>
      <c r="S60" s="363" t="s">
        <v>1067</v>
      </c>
      <c r="T60" s="364" t="s">
        <v>930</v>
      </c>
      <c r="U60" s="362" t="s">
        <v>1068</v>
      </c>
      <c r="V60" s="362" t="s">
        <v>2613</v>
      </c>
      <c r="W60" s="363" t="s">
        <v>2613</v>
      </c>
      <c r="X60" s="311" t="s">
        <v>3090</v>
      </c>
      <c r="Y60" s="311" t="s">
        <v>3125</v>
      </c>
      <c r="Z60" s="309" t="s">
        <v>3106</v>
      </c>
      <c r="AA60" s="367">
        <v>841</v>
      </c>
    </row>
    <row r="61" spans="3:27" ht="14.4" thickBot="1">
      <c r="C61" s="171"/>
      <c r="D61" s="1622" t="s">
        <v>3594</v>
      </c>
      <c r="E61" s="1624"/>
      <c r="F61" s="1604" t="s">
        <v>3646</v>
      </c>
      <c r="Q61" s="362">
        <f t="shared" si="0"/>
        <v>55</v>
      </c>
      <c r="R61" s="363" t="s">
        <v>1069</v>
      </c>
      <c r="S61" s="363" t="s">
        <v>1070</v>
      </c>
      <c r="T61" s="364" t="s">
        <v>960</v>
      </c>
      <c r="U61" s="362" t="s">
        <v>1071</v>
      </c>
      <c r="V61" s="362" t="s">
        <v>1070</v>
      </c>
      <c r="W61" s="363" t="s">
        <v>2849</v>
      </c>
      <c r="X61" s="311" t="s">
        <v>3089</v>
      </c>
      <c r="Y61" s="311" t="s">
        <v>3125</v>
      </c>
      <c r="Z61" s="309" t="s">
        <v>3107</v>
      </c>
      <c r="AA61" s="367">
        <v>75072</v>
      </c>
    </row>
    <row r="62" spans="3:27" s="309" customFormat="1" ht="13.8">
      <c r="C62" s="171"/>
      <c r="D62" s="1577" t="s">
        <v>3547</v>
      </c>
      <c r="E62" s="1530" t="s">
        <v>3558</v>
      </c>
      <c r="F62" s="1578" t="s">
        <v>3597</v>
      </c>
      <c r="Q62" s="362">
        <f t="shared" si="0"/>
        <v>56</v>
      </c>
      <c r="R62" s="363" t="s">
        <v>1072</v>
      </c>
      <c r="S62" s="363" t="s">
        <v>1073</v>
      </c>
      <c r="T62" s="364" t="s">
        <v>1074</v>
      </c>
      <c r="U62" s="362" t="s">
        <v>1075</v>
      </c>
      <c r="V62" s="362" t="s">
        <v>3038</v>
      </c>
      <c r="W62" s="363" t="s">
        <v>3038</v>
      </c>
      <c r="X62" s="311" t="s">
        <v>3091</v>
      </c>
      <c r="Y62" s="311" t="s">
        <v>3125</v>
      </c>
      <c r="Z62" s="309" t="s">
        <v>3114</v>
      </c>
      <c r="AA62" s="367">
        <v>25349</v>
      </c>
    </row>
    <row r="63" spans="3:27" ht="13.8">
      <c r="C63" s="1493"/>
      <c r="D63" s="1493" t="s">
        <v>3548</v>
      </c>
      <c r="E63" s="1531" t="s">
        <v>3558</v>
      </c>
      <c r="F63" s="1573" t="s">
        <v>3598</v>
      </c>
      <c r="Q63" s="362">
        <f t="shared" si="0"/>
        <v>57</v>
      </c>
      <c r="R63" s="363" t="s">
        <v>1076</v>
      </c>
      <c r="S63" s="363" t="s">
        <v>1077</v>
      </c>
      <c r="T63" s="364" t="s">
        <v>987</v>
      </c>
      <c r="U63" s="362" t="s">
        <v>1078</v>
      </c>
      <c r="V63" s="362" t="s">
        <v>1077</v>
      </c>
      <c r="W63" s="363" t="s">
        <v>2850</v>
      </c>
      <c r="X63" s="311" t="s">
        <v>3089</v>
      </c>
      <c r="Y63" s="311" t="s">
        <v>3125</v>
      </c>
      <c r="Z63" s="309" t="s">
        <v>3114</v>
      </c>
      <c r="AA63" s="367">
        <v>44464</v>
      </c>
    </row>
    <row r="64" spans="3:27" ht="13.8">
      <c r="C64" s="1493"/>
      <c r="D64" s="1493" t="s">
        <v>3549</v>
      </c>
      <c r="E64" s="1531" t="s">
        <v>3558</v>
      </c>
      <c r="F64" s="1573" t="s">
        <v>3599</v>
      </c>
      <c r="Q64" s="362">
        <f t="shared" si="0"/>
        <v>58</v>
      </c>
      <c r="R64" s="363" t="s">
        <v>1079</v>
      </c>
      <c r="S64" s="363" t="s">
        <v>1080</v>
      </c>
      <c r="T64" s="364" t="s">
        <v>901</v>
      </c>
      <c r="U64" s="362" t="s">
        <v>1081</v>
      </c>
      <c r="V64" s="362" t="s">
        <v>2614</v>
      </c>
      <c r="W64" s="363" t="s">
        <v>2614</v>
      </c>
      <c r="X64" s="311" t="s">
        <v>3090</v>
      </c>
      <c r="Y64" s="311" t="s">
        <v>3125</v>
      </c>
      <c r="Z64" s="309" t="s">
        <v>3106</v>
      </c>
      <c r="AA64" s="367">
        <v>4774</v>
      </c>
    </row>
    <row r="65" spans="3:27" ht="13.8">
      <c r="C65" s="1493"/>
      <c r="D65" s="1493" t="s">
        <v>3550</v>
      </c>
      <c r="E65" s="1531" t="s">
        <v>3558</v>
      </c>
      <c r="F65" s="1573" t="s">
        <v>3600</v>
      </c>
      <c r="Q65" s="362">
        <f t="shared" si="0"/>
        <v>59</v>
      </c>
      <c r="R65" s="363" t="s">
        <v>1082</v>
      </c>
      <c r="S65" s="363" t="s">
        <v>1083</v>
      </c>
      <c r="T65" s="364" t="s">
        <v>905</v>
      </c>
      <c r="U65" s="362" t="s">
        <v>1084</v>
      </c>
      <c r="V65" s="362" t="s">
        <v>3039</v>
      </c>
      <c r="W65" s="363" t="s">
        <v>3039</v>
      </c>
      <c r="X65" s="311" t="s">
        <v>3091</v>
      </c>
      <c r="Y65" s="311" t="s">
        <v>3125</v>
      </c>
      <c r="Z65" s="309" t="s">
        <v>3115</v>
      </c>
      <c r="AA65" s="367">
        <v>9450</v>
      </c>
    </row>
    <row r="66" spans="3:27" ht="13.8">
      <c r="C66" s="1493"/>
      <c r="D66" s="1493" t="s">
        <v>3551</v>
      </c>
      <c r="E66" s="1531" t="s">
        <v>3558</v>
      </c>
      <c r="F66" s="1573" t="s">
        <v>3601</v>
      </c>
      <c r="Q66" s="362">
        <f t="shared" si="0"/>
        <v>60</v>
      </c>
      <c r="R66" s="363" t="s">
        <v>1085</v>
      </c>
      <c r="S66" s="363" t="s">
        <v>1086</v>
      </c>
      <c r="T66" s="364" t="s">
        <v>946</v>
      </c>
      <c r="U66" s="362" t="s">
        <v>1087</v>
      </c>
      <c r="V66" s="362" t="s">
        <v>2615</v>
      </c>
      <c r="W66" s="363" t="s">
        <v>2615</v>
      </c>
      <c r="X66" s="311" t="s">
        <v>3090</v>
      </c>
      <c r="Y66" s="311" t="s">
        <v>3125</v>
      </c>
      <c r="Z66" s="309" t="s">
        <v>3106</v>
      </c>
      <c r="AA66" s="367">
        <v>1955</v>
      </c>
    </row>
    <row r="67" spans="3:27" ht="13.8">
      <c r="C67" s="1493"/>
      <c r="D67" s="1493" t="s">
        <v>3552</v>
      </c>
      <c r="E67" s="1531" t="s">
        <v>3558</v>
      </c>
      <c r="F67" s="1573" t="s">
        <v>3644</v>
      </c>
      <c r="Q67" s="362">
        <f t="shared" si="0"/>
        <v>61</v>
      </c>
      <c r="R67" s="363" t="s">
        <v>1088</v>
      </c>
      <c r="S67" s="363" t="s">
        <v>1089</v>
      </c>
      <c r="T67" s="364" t="s">
        <v>905</v>
      </c>
      <c r="U67" s="362" t="s">
        <v>1090</v>
      </c>
      <c r="V67" s="362" t="s">
        <v>2616</v>
      </c>
      <c r="W67" s="363" t="s">
        <v>2616</v>
      </c>
      <c r="X67" s="311" t="s">
        <v>3090</v>
      </c>
      <c r="Y67" s="311" t="s">
        <v>3125</v>
      </c>
      <c r="Z67" s="309" t="s">
        <v>3106</v>
      </c>
      <c r="AA67" s="367">
        <v>4603</v>
      </c>
    </row>
    <row r="68" spans="3:27" ht="13.8">
      <c r="C68" s="1493"/>
      <c r="D68" s="1493" t="s">
        <v>3553</v>
      </c>
      <c r="E68" s="1531" t="s">
        <v>3558</v>
      </c>
      <c r="F68" s="1573" t="s">
        <v>3602</v>
      </c>
      <c r="Q68" s="362">
        <f t="shared" si="0"/>
        <v>62</v>
      </c>
      <c r="R68" s="363" t="s">
        <v>1091</v>
      </c>
      <c r="S68" s="363" t="s">
        <v>1092</v>
      </c>
      <c r="T68" s="364" t="s">
        <v>905</v>
      </c>
      <c r="U68" s="362" t="s">
        <v>1093</v>
      </c>
      <c r="V68" s="362" t="s">
        <v>1092</v>
      </c>
      <c r="W68" s="363" t="s">
        <v>2851</v>
      </c>
      <c r="X68" s="311" t="s">
        <v>3089</v>
      </c>
      <c r="Y68" s="311" t="s">
        <v>3126</v>
      </c>
      <c r="Z68" s="309" t="s">
        <v>3111</v>
      </c>
      <c r="AA68" s="367">
        <v>7570</v>
      </c>
    </row>
    <row r="69" spans="3:27" ht="13.8">
      <c r="C69" s="1493"/>
      <c r="D69" s="1493" t="s">
        <v>3554</v>
      </c>
      <c r="E69" s="1531" t="s">
        <v>3558</v>
      </c>
      <c r="F69" s="1573" t="s">
        <v>3643</v>
      </c>
      <c r="Q69" s="362">
        <f t="shared" si="0"/>
        <v>63</v>
      </c>
      <c r="R69" s="363" t="s">
        <v>1094</v>
      </c>
      <c r="S69" s="363" t="s">
        <v>1095</v>
      </c>
      <c r="T69" s="364" t="s">
        <v>970</v>
      </c>
      <c r="U69" s="362" t="s">
        <v>1096</v>
      </c>
      <c r="V69" s="362" t="s">
        <v>970</v>
      </c>
      <c r="W69" s="363" t="s">
        <v>970</v>
      </c>
      <c r="X69" s="311" t="s">
        <v>3091</v>
      </c>
      <c r="Y69" s="311" t="s">
        <v>3125</v>
      </c>
      <c r="Z69" s="309" t="s">
        <v>3107</v>
      </c>
      <c r="AA69" s="367">
        <v>9920</v>
      </c>
    </row>
    <row r="70" spans="3:27" ht="13.8">
      <c r="C70" s="1493"/>
      <c r="D70" s="1493" t="s">
        <v>3555</v>
      </c>
      <c r="E70" s="1531" t="s">
        <v>3558</v>
      </c>
      <c r="F70" s="1573" t="s">
        <v>3603</v>
      </c>
      <c r="Q70" s="362">
        <f t="shared" si="0"/>
        <v>64</v>
      </c>
      <c r="R70" s="363" t="s">
        <v>1097</v>
      </c>
      <c r="S70" s="363" t="s">
        <v>1098</v>
      </c>
      <c r="T70" s="364" t="s">
        <v>970</v>
      </c>
      <c r="U70" s="362" t="s">
        <v>1099</v>
      </c>
      <c r="V70" s="362" t="s">
        <v>1098</v>
      </c>
      <c r="W70" s="363" t="s">
        <v>970</v>
      </c>
      <c r="X70" s="311" t="s">
        <v>3089</v>
      </c>
      <c r="Y70" s="311" t="s">
        <v>3125</v>
      </c>
      <c r="Z70" s="309" t="s">
        <v>3107</v>
      </c>
      <c r="AA70" s="367">
        <v>22594</v>
      </c>
    </row>
    <row r="71" spans="3:27" ht="14.4" thickBot="1">
      <c r="C71" s="176"/>
      <c r="D71" s="1495" t="s">
        <v>3607</v>
      </c>
      <c r="E71" s="1532" t="s">
        <v>3558</v>
      </c>
      <c r="F71" s="1576" t="s">
        <v>3620</v>
      </c>
      <c r="Q71" s="362">
        <f t="shared" si="0"/>
        <v>65</v>
      </c>
      <c r="R71" s="363" t="s">
        <v>1100</v>
      </c>
      <c r="S71" s="363" t="s">
        <v>1101</v>
      </c>
      <c r="T71" s="364" t="s">
        <v>1049</v>
      </c>
      <c r="U71" s="362" t="s">
        <v>1102</v>
      </c>
      <c r="V71" s="362" t="s">
        <v>2617</v>
      </c>
      <c r="W71" s="363" t="s">
        <v>2617</v>
      </c>
      <c r="X71" s="311" t="s">
        <v>3090</v>
      </c>
      <c r="Y71" s="311" t="s">
        <v>3125</v>
      </c>
      <c r="Z71" s="309" t="s">
        <v>3106</v>
      </c>
      <c r="AA71" s="367">
        <v>7539</v>
      </c>
    </row>
    <row r="72" spans="3:27" ht="13.8">
      <c r="Q72" s="362">
        <f t="shared" si="0"/>
        <v>66</v>
      </c>
      <c r="R72" s="363" t="s">
        <v>1103</v>
      </c>
      <c r="S72" s="363" t="s">
        <v>1104</v>
      </c>
      <c r="T72" s="364" t="s">
        <v>930</v>
      </c>
      <c r="U72" s="362" t="s">
        <v>1105</v>
      </c>
      <c r="V72" s="362" t="s">
        <v>1104</v>
      </c>
      <c r="W72" s="363" t="s">
        <v>2852</v>
      </c>
      <c r="X72" s="311" t="s">
        <v>3089</v>
      </c>
      <c r="Y72" s="311" t="s">
        <v>3125</v>
      </c>
      <c r="Z72" s="309" t="s">
        <v>3109</v>
      </c>
      <c r="AA72" s="367">
        <v>8350</v>
      </c>
    </row>
    <row r="73" spans="3:27" ht="13.8">
      <c r="Q73" s="362">
        <f t="shared" ref="Q73:Q136" si="1">Q72+1</f>
        <v>67</v>
      </c>
      <c r="R73" s="363" t="s">
        <v>1106</v>
      </c>
      <c r="S73" s="363" t="s">
        <v>3506</v>
      </c>
      <c r="T73" s="364" t="s">
        <v>991</v>
      </c>
      <c r="U73" s="362" t="s">
        <v>3507</v>
      </c>
      <c r="V73" s="362" t="s">
        <v>3506</v>
      </c>
      <c r="W73" s="363" t="s">
        <v>2853</v>
      </c>
      <c r="X73" s="311" t="s">
        <v>3090</v>
      </c>
      <c r="Y73" s="311" t="s">
        <v>3125</v>
      </c>
      <c r="Z73" s="309" t="s">
        <v>3106</v>
      </c>
      <c r="AA73" s="367">
        <v>7822</v>
      </c>
    </row>
    <row r="74" spans="3:27" ht="13.8">
      <c r="Q74" s="362">
        <f t="shared" si="1"/>
        <v>68</v>
      </c>
      <c r="R74" s="363" t="s">
        <v>1107</v>
      </c>
      <c r="S74" s="363" t="s">
        <v>1108</v>
      </c>
      <c r="T74" s="364" t="s">
        <v>1026</v>
      </c>
      <c r="U74" s="362" t="s">
        <v>1109</v>
      </c>
      <c r="V74" s="362" t="s">
        <v>2618</v>
      </c>
      <c r="W74" s="363" t="s">
        <v>2618</v>
      </c>
      <c r="X74" s="311" t="s">
        <v>3090</v>
      </c>
      <c r="Y74" s="311" t="s">
        <v>3125</v>
      </c>
      <c r="Z74" s="309" t="s">
        <v>3106</v>
      </c>
      <c r="AA74" s="367">
        <v>1076</v>
      </c>
    </row>
    <row r="75" spans="3:27" ht="13.8">
      <c r="Q75" s="362">
        <f t="shared" si="1"/>
        <v>69</v>
      </c>
      <c r="R75" s="363" t="s">
        <v>1110</v>
      </c>
      <c r="S75" s="363" t="s">
        <v>1111</v>
      </c>
      <c r="T75" s="364" t="s">
        <v>946</v>
      </c>
      <c r="U75" s="362" t="s">
        <v>1112</v>
      </c>
      <c r="V75" s="362" t="s">
        <v>946</v>
      </c>
      <c r="W75" s="363" t="s">
        <v>946</v>
      </c>
      <c r="X75" s="311" t="s">
        <v>3091</v>
      </c>
      <c r="Y75" s="311" t="s">
        <v>3125</v>
      </c>
      <c r="Z75" s="309" t="s">
        <v>3107</v>
      </c>
      <c r="AA75" s="367">
        <v>77344</v>
      </c>
    </row>
    <row r="76" spans="3:27" ht="13.8">
      <c r="Q76" s="362">
        <f t="shared" si="1"/>
        <v>70</v>
      </c>
      <c r="R76" s="363" t="s">
        <v>1113</v>
      </c>
      <c r="S76" s="363" t="s">
        <v>1114</v>
      </c>
      <c r="T76" s="364" t="s">
        <v>953</v>
      </c>
      <c r="U76" s="362" t="s">
        <v>1115</v>
      </c>
      <c r="V76" s="362" t="s">
        <v>953</v>
      </c>
      <c r="W76" s="363" t="s">
        <v>953</v>
      </c>
      <c r="X76" s="311" t="s">
        <v>3091</v>
      </c>
      <c r="Y76" s="311" t="s">
        <v>3125</v>
      </c>
      <c r="Z76" s="309" t="s">
        <v>3112</v>
      </c>
      <c r="AA76" s="367">
        <v>3607</v>
      </c>
    </row>
    <row r="77" spans="3:27" ht="13.8">
      <c r="Q77" s="362">
        <f t="shared" si="1"/>
        <v>71</v>
      </c>
      <c r="R77" s="363" t="s">
        <v>1116</v>
      </c>
      <c r="S77" s="363" t="s">
        <v>1117</v>
      </c>
      <c r="T77" s="364" t="s">
        <v>953</v>
      </c>
      <c r="U77" s="362" t="s">
        <v>1118</v>
      </c>
      <c r="V77" s="362" t="s">
        <v>2619</v>
      </c>
      <c r="W77" s="363" t="s">
        <v>2619</v>
      </c>
      <c r="X77" s="311" t="s">
        <v>3090</v>
      </c>
      <c r="Y77" s="311" t="s">
        <v>3127</v>
      </c>
      <c r="Z77" s="309" t="s">
        <v>3110</v>
      </c>
      <c r="AA77" s="367">
        <v>291</v>
      </c>
    </row>
    <row r="78" spans="3:27" ht="13.8">
      <c r="Q78" s="362">
        <f t="shared" si="1"/>
        <v>72</v>
      </c>
      <c r="R78" s="363" t="s">
        <v>1119</v>
      </c>
      <c r="S78" s="363" t="s">
        <v>1120</v>
      </c>
      <c r="T78" s="364" t="s">
        <v>909</v>
      </c>
      <c r="U78" s="362" t="s">
        <v>1121</v>
      </c>
      <c r="V78" s="362" t="s">
        <v>2620</v>
      </c>
      <c r="W78" s="363" t="s">
        <v>2620</v>
      </c>
      <c r="X78" s="311" t="s">
        <v>3090</v>
      </c>
      <c r="Y78" s="311" t="s">
        <v>3125</v>
      </c>
      <c r="Z78" s="309" t="s">
        <v>3106</v>
      </c>
      <c r="AA78" s="367">
        <v>6127</v>
      </c>
    </row>
    <row r="79" spans="3:27" ht="13.8">
      <c r="Q79" s="362">
        <f t="shared" si="1"/>
        <v>73</v>
      </c>
      <c r="R79" s="363" t="s">
        <v>1122</v>
      </c>
      <c r="S79" s="363" t="s">
        <v>1123</v>
      </c>
      <c r="T79" s="364" t="s">
        <v>919</v>
      </c>
      <c r="U79" s="362" t="s">
        <v>1124</v>
      </c>
      <c r="V79" s="362" t="s">
        <v>1123</v>
      </c>
      <c r="W79" s="363" t="s">
        <v>2854</v>
      </c>
      <c r="X79" s="311" t="s">
        <v>3089</v>
      </c>
      <c r="Y79" s="311" t="s">
        <v>3126</v>
      </c>
      <c r="Z79" s="309" t="s">
        <v>3111</v>
      </c>
      <c r="AA79" s="367">
        <v>8049</v>
      </c>
    </row>
    <row r="80" spans="3:27" ht="13.8">
      <c r="Q80" s="362">
        <f t="shared" si="1"/>
        <v>74</v>
      </c>
      <c r="R80" s="363" t="s">
        <v>1125</v>
      </c>
      <c r="S80" s="363" t="s">
        <v>1126</v>
      </c>
      <c r="T80" s="364" t="s">
        <v>1127</v>
      </c>
      <c r="U80" s="362" t="s">
        <v>1128</v>
      </c>
      <c r="V80" s="362" t="s">
        <v>2621</v>
      </c>
      <c r="W80" s="363" t="s">
        <v>2621</v>
      </c>
      <c r="X80" s="311" t="s">
        <v>3090</v>
      </c>
      <c r="Y80" s="311" t="s">
        <v>3125</v>
      </c>
      <c r="Z80" s="309" t="s">
        <v>3106</v>
      </c>
      <c r="AA80" s="367">
        <v>22844</v>
      </c>
    </row>
    <row r="81" spans="17:27" ht="13.8">
      <c r="Q81" s="362">
        <f t="shared" si="1"/>
        <v>75</v>
      </c>
      <c r="R81" s="363" t="s">
        <v>1129</v>
      </c>
      <c r="S81" s="363" t="s">
        <v>1130</v>
      </c>
      <c r="T81" s="364" t="s">
        <v>991</v>
      </c>
      <c r="U81" s="362" t="s">
        <v>1131</v>
      </c>
      <c r="V81" s="362" t="s">
        <v>1130</v>
      </c>
      <c r="W81" s="363" t="s">
        <v>2855</v>
      </c>
      <c r="X81" s="311" t="s">
        <v>3089</v>
      </c>
      <c r="Y81" s="311" t="s">
        <v>3125</v>
      </c>
      <c r="Z81" s="309" t="s">
        <v>3112</v>
      </c>
      <c r="AA81" s="367">
        <v>12411</v>
      </c>
    </row>
    <row r="82" spans="17:27" ht="13.8">
      <c r="Q82" s="362">
        <f t="shared" si="1"/>
        <v>76</v>
      </c>
      <c r="R82" s="363" t="s">
        <v>1132</v>
      </c>
      <c r="S82" s="363" t="s">
        <v>1133</v>
      </c>
      <c r="T82" s="364" t="s">
        <v>1049</v>
      </c>
      <c r="U82" s="362" t="s">
        <v>1134</v>
      </c>
      <c r="V82" s="362" t="s">
        <v>2622</v>
      </c>
      <c r="W82" s="363" t="s">
        <v>2622</v>
      </c>
      <c r="X82" s="311" t="s">
        <v>3090</v>
      </c>
      <c r="Y82" s="311" t="s">
        <v>3125</v>
      </c>
      <c r="Z82" s="309" t="s">
        <v>3106</v>
      </c>
      <c r="AA82" s="367">
        <v>8962</v>
      </c>
    </row>
    <row r="83" spans="17:27" ht="13.8">
      <c r="Q83" s="362">
        <f t="shared" si="1"/>
        <v>77</v>
      </c>
      <c r="R83" s="363" t="s">
        <v>1135</v>
      </c>
      <c r="S83" s="363" t="s">
        <v>1136</v>
      </c>
      <c r="T83" s="364" t="s">
        <v>1049</v>
      </c>
      <c r="U83" s="362" t="s">
        <v>1137</v>
      </c>
      <c r="V83" s="362" t="s">
        <v>1136</v>
      </c>
      <c r="W83" s="363" t="s">
        <v>2622</v>
      </c>
      <c r="X83" s="311" t="s">
        <v>3089</v>
      </c>
      <c r="Y83" s="311" t="s">
        <v>3126</v>
      </c>
      <c r="Z83" s="309" t="s">
        <v>3111</v>
      </c>
      <c r="AA83" s="367">
        <v>10452</v>
      </c>
    </row>
    <row r="84" spans="17:27" ht="13.8">
      <c r="Q84" s="362">
        <f t="shared" si="1"/>
        <v>78</v>
      </c>
      <c r="R84" s="363" t="s">
        <v>1138</v>
      </c>
      <c r="S84" s="363" t="s">
        <v>1139</v>
      </c>
      <c r="T84" s="364" t="s">
        <v>946</v>
      </c>
      <c r="U84" s="362" t="s">
        <v>1140</v>
      </c>
      <c r="V84" s="362" t="s">
        <v>1139</v>
      </c>
      <c r="W84" s="363" t="s">
        <v>2856</v>
      </c>
      <c r="X84" s="311" t="s">
        <v>3089</v>
      </c>
      <c r="Y84" s="311" t="s">
        <v>3125</v>
      </c>
      <c r="Z84" s="309" t="s">
        <v>3107</v>
      </c>
      <c r="AA84" s="367">
        <v>71045</v>
      </c>
    </row>
    <row r="85" spans="17:27" ht="13.8">
      <c r="Q85" s="362">
        <f t="shared" si="1"/>
        <v>79</v>
      </c>
      <c r="R85" s="363" t="s">
        <v>1141</v>
      </c>
      <c r="S85" s="363" t="s">
        <v>1142</v>
      </c>
      <c r="T85" s="364" t="s">
        <v>946</v>
      </c>
      <c r="U85" s="362" t="s">
        <v>1143</v>
      </c>
      <c r="V85" s="362" t="s">
        <v>2623</v>
      </c>
      <c r="W85" s="363" t="s">
        <v>2623</v>
      </c>
      <c r="X85" s="311" t="s">
        <v>3090</v>
      </c>
      <c r="Y85" s="311" t="s">
        <v>3125</v>
      </c>
      <c r="Z85" s="309" t="s">
        <v>3106</v>
      </c>
      <c r="AA85" s="367">
        <v>1634</v>
      </c>
    </row>
    <row r="86" spans="17:27" ht="13.8">
      <c r="Q86" s="362">
        <f t="shared" si="1"/>
        <v>80</v>
      </c>
      <c r="R86" s="363" t="s">
        <v>1144</v>
      </c>
      <c r="S86" s="363" t="s">
        <v>1145</v>
      </c>
      <c r="T86" s="364" t="s">
        <v>1049</v>
      </c>
      <c r="U86" s="362" t="s">
        <v>1146</v>
      </c>
      <c r="V86" s="362" t="s">
        <v>2624</v>
      </c>
      <c r="W86" s="363" t="s">
        <v>2624</v>
      </c>
      <c r="X86" s="311" t="s">
        <v>3090</v>
      </c>
      <c r="Y86" s="311" t="s">
        <v>3125</v>
      </c>
      <c r="Z86" s="309" t="s">
        <v>3106</v>
      </c>
      <c r="AA86" s="367">
        <v>1649</v>
      </c>
    </row>
    <row r="87" spans="17:27" ht="13.8">
      <c r="Q87" s="362">
        <f t="shared" si="1"/>
        <v>81</v>
      </c>
      <c r="R87" s="363" t="s">
        <v>1147</v>
      </c>
      <c r="S87" s="363" t="s">
        <v>1148</v>
      </c>
      <c r="T87" s="364" t="s">
        <v>1049</v>
      </c>
      <c r="U87" s="362" t="s">
        <v>1149</v>
      </c>
      <c r="V87" s="362" t="s">
        <v>1148</v>
      </c>
      <c r="W87" s="363" t="s">
        <v>2624</v>
      </c>
      <c r="X87" s="311" t="s">
        <v>3089</v>
      </c>
      <c r="Y87" s="311" t="s">
        <v>3125</v>
      </c>
      <c r="Z87" s="309" t="s">
        <v>3109</v>
      </c>
      <c r="AA87" s="367">
        <v>7838</v>
      </c>
    </row>
    <row r="88" spans="17:27" ht="13.8">
      <c r="Q88" s="362">
        <f t="shared" si="1"/>
        <v>82</v>
      </c>
      <c r="R88" s="363" t="s">
        <v>1150</v>
      </c>
      <c r="S88" s="363" t="s">
        <v>1151</v>
      </c>
      <c r="T88" s="364" t="s">
        <v>970</v>
      </c>
      <c r="U88" s="362" t="s">
        <v>1152</v>
      </c>
      <c r="V88" s="362" t="s">
        <v>1151</v>
      </c>
      <c r="W88" s="363" t="s">
        <v>2857</v>
      </c>
      <c r="X88" s="311" t="s">
        <v>3089</v>
      </c>
      <c r="Y88" s="311" t="s">
        <v>3126</v>
      </c>
      <c r="Z88" s="309" t="s">
        <v>3108</v>
      </c>
      <c r="AA88" s="367">
        <v>7699</v>
      </c>
    </row>
    <row r="89" spans="17:27" ht="13.8">
      <c r="Q89" s="362">
        <f t="shared" si="1"/>
        <v>83</v>
      </c>
      <c r="R89" s="363" t="s">
        <v>1153</v>
      </c>
      <c r="S89" s="363" t="s">
        <v>1154</v>
      </c>
      <c r="T89" s="364" t="s">
        <v>970</v>
      </c>
      <c r="U89" s="362" t="s">
        <v>1155</v>
      </c>
      <c r="V89" s="362" t="s">
        <v>1154</v>
      </c>
      <c r="W89" s="363" t="s">
        <v>2858</v>
      </c>
      <c r="X89" s="311" t="s">
        <v>3089</v>
      </c>
      <c r="Y89" s="311" t="s">
        <v>3126</v>
      </c>
      <c r="Z89" s="309" t="s">
        <v>3111</v>
      </c>
      <c r="AA89" s="367">
        <v>15569</v>
      </c>
    </row>
    <row r="90" spans="17:27" ht="13.8">
      <c r="Q90" s="362">
        <f t="shared" si="1"/>
        <v>84</v>
      </c>
      <c r="R90" s="363" t="s">
        <v>1156</v>
      </c>
      <c r="S90" s="363" t="s">
        <v>1157</v>
      </c>
      <c r="T90" s="364" t="s">
        <v>1007</v>
      </c>
      <c r="U90" s="362" t="s">
        <v>1158</v>
      </c>
      <c r="V90" s="362" t="s">
        <v>1157</v>
      </c>
      <c r="W90" s="363" t="s">
        <v>2859</v>
      </c>
      <c r="X90" s="311" t="s">
        <v>3089</v>
      </c>
      <c r="Y90" s="311" t="s">
        <v>3125</v>
      </c>
      <c r="Z90" s="309" t="s">
        <v>3106</v>
      </c>
      <c r="AA90" s="367">
        <v>14756</v>
      </c>
    </row>
    <row r="91" spans="17:27" ht="13.8">
      <c r="Q91" s="362">
        <f t="shared" si="1"/>
        <v>85</v>
      </c>
      <c r="R91" s="363" t="s">
        <v>1159</v>
      </c>
      <c r="S91" s="363" t="s">
        <v>1160</v>
      </c>
      <c r="T91" s="364" t="s">
        <v>1161</v>
      </c>
      <c r="U91" s="362" t="s">
        <v>1162</v>
      </c>
      <c r="V91" s="362" t="s">
        <v>2625</v>
      </c>
      <c r="W91" s="363" t="s">
        <v>2625</v>
      </c>
      <c r="X91" s="311" t="s">
        <v>3090</v>
      </c>
      <c r="Y91" s="311" t="s">
        <v>3125</v>
      </c>
      <c r="Z91" s="309" t="s">
        <v>3106</v>
      </c>
      <c r="AA91" s="367">
        <v>8179</v>
      </c>
    </row>
    <row r="92" spans="17:27" ht="13.8">
      <c r="Q92" s="362">
        <f t="shared" si="1"/>
        <v>86</v>
      </c>
      <c r="R92" s="363" t="s">
        <v>1163</v>
      </c>
      <c r="S92" s="363" t="s">
        <v>1164</v>
      </c>
      <c r="T92" s="364" t="s">
        <v>946</v>
      </c>
      <c r="U92" s="362" t="s">
        <v>1165</v>
      </c>
      <c r="V92" s="362" t="s">
        <v>2626</v>
      </c>
      <c r="W92" s="363" t="s">
        <v>2626</v>
      </c>
      <c r="X92" s="311" t="s">
        <v>3090</v>
      </c>
      <c r="Y92" s="311" t="s">
        <v>3125</v>
      </c>
      <c r="Z92" s="309" t="s">
        <v>3106</v>
      </c>
      <c r="AA92" s="367">
        <v>5000</v>
      </c>
    </row>
    <row r="93" spans="17:27" ht="13.8">
      <c r="Q93" s="362">
        <f t="shared" si="1"/>
        <v>87</v>
      </c>
      <c r="R93" s="363" t="s">
        <v>1166</v>
      </c>
      <c r="S93" s="363" t="s">
        <v>1167</v>
      </c>
      <c r="T93" s="364" t="s">
        <v>909</v>
      </c>
      <c r="U93" s="362" t="s">
        <v>1168</v>
      </c>
      <c r="V93" s="362" t="s">
        <v>2627</v>
      </c>
      <c r="W93" s="363" t="s">
        <v>2627</v>
      </c>
      <c r="X93" s="311" t="s">
        <v>3090</v>
      </c>
      <c r="Y93" s="311" t="s">
        <v>3125</v>
      </c>
      <c r="Z93" s="309" t="s">
        <v>3106</v>
      </c>
      <c r="AA93" s="367">
        <v>23594</v>
      </c>
    </row>
    <row r="94" spans="17:27" ht="13.8">
      <c r="Q94" s="362">
        <f t="shared" si="1"/>
        <v>88</v>
      </c>
      <c r="R94" s="363" t="s">
        <v>1169</v>
      </c>
      <c r="S94" s="363" t="s">
        <v>1170</v>
      </c>
      <c r="T94" s="364" t="s">
        <v>1039</v>
      </c>
      <c r="U94" s="362" t="s">
        <v>1171</v>
      </c>
      <c r="V94" s="362" t="s">
        <v>3040</v>
      </c>
      <c r="W94" s="363" t="s">
        <v>3040</v>
      </c>
      <c r="X94" s="311" t="s">
        <v>3091</v>
      </c>
      <c r="Y94" s="311" t="s">
        <v>3125</v>
      </c>
      <c r="Z94" s="309" t="s">
        <v>3115</v>
      </c>
      <c r="AA94" s="367">
        <v>84136</v>
      </c>
    </row>
    <row r="95" spans="17:27" ht="13.8">
      <c r="Q95" s="362">
        <f t="shared" si="1"/>
        <v>89</v>
      </c>
      <c r="R95" s="363" t="s">
        <v>1172</v>
      </c>
      <c r="S95" s="363" t="s">
        <v>1173</v>
      </c>
      <c r="T95" s="364" t="s">
        <v>1026</v>
      </c>
      <c r="U95" s="362" t="s">
        <v>1174</v>
      </c>
      <c r="V95" s="362" t="s">
        <v>2860</v>
      </c>
      <c r="W95" s="363" t="s">
        <v>2860</v>
      </c>
      <c r="X95" s="311" t="s">
        <v>2584</v>
      </c>
      <c r="Y95" s="311" t="s">
        <v>3125</v>
      </c>
      <c r="Z95" s="309" t="s">
        <v>3106</v>
      </c>
      <c r="AA95" s="367">
        <v>2719</v>
      </c>
    </row>
    <row r="96" spans="17:27" ht="13.8">
      <c r="Q96" s="362">
        <f t="shared" si="1"/>
        <v>90</v>
      </c>
      <c r="R96" s="363" t="s">
        <v>1175</v>
      </c>
      <c r="S96" s="363" t="s">
        <v>1176</v>
      </c>
      <c r="T96" s="364" t="s">
        <v>1026</v>
      </c>
      <c r="U96" s="362" t="s">
        <v>1177</v>
      </c>
      <c r="V96" s="362" t="s">
        <v>1176</v>
      </c>
      <c r="W96" s="363" t="s">
        <v>2860</v>
      </c>
      <c r="X96" s="311" t="s">
        <v>3089</v>
      </c>
      <c r="Y96" s="311" t="s">
        <v>3125</v>
      </c>
      <c r="Z96" s="309" t="s">
        <v>3109</v>
      </c>
      <c r="AA96" s="367">
        <v>13478</v>
      </c>
    </row>
    <row r="97" spans="17:27" ht="13.8">
      <c r="Q97" s="362">
        <f t="shared" si="1"/>
        <v>91</v>
      </c>
      <c r="R97" s="363" t="s">
        <v>1178</v>
      </c>
      <c r="S97" s="363" t="s">
        <v>1179</v>
      </c>
      <c r="T97" s="364" t="s">
        <v>909</v>
      </c>
      <c r="U97" s="362" t="s">
        <v>1180</v>
      </c>
      <c r="V97" s="362" t="s">
        <v>2628</v>
      </c>
      <c r="W97" s="363" t="s">
        <v>2628</v>
      </c>
      <c r="X97" s="311" t="s">
        <v>3090</v>
      </c>
      <c r="Y97" s="311" t="s">
        <v>3125</v>
      </c>
      <c r="Z97" s="309" t="s">
        <v>3106</v>
      </c>
      <c r="AA97" s="367">
        <v>8373</v>
      </c>
    </row>
    <row r="98" spans="17:27" ht="13.8">
      <c r="Q98" s="362">
        <f t="shared" si="1"/>
        <v>92</v>
      </c>
      <c r="R98" s="363" t="s">
        <v>1181</v>
      </c>
      <c r="S98" s="363" t="s">
        <v>1182</v>
      </c>
      <c r="T98" s="364" t="s">
        <v>946</v>
      </c>
      <c r="U98" s="362" t="s">
        <v>1183</v>
      </c>
      <c r="V98" s="362" t="s">
        <v>2629</v>
      </c>
      <c r="W98" s="363" t="s">
        <v>2629</v>
      </c>
      <c r="X98" s="311" t="s">
        <v>3090</v>
      </c>
      <c r="Y98" s="311" t="s">
        <v>3127</v>
      </c>
      <c r="Z98" s="309" t="s">
        <v>3110</v>
      </c>
      <c r="AA98" s="367">
        <v>13926</v>
      </c>
    </row>
    <row r="99" spans="17:27" ht="13.8">
      <c r="Q99" s="362">
        <f t="shared" si="1"/>
        <v>93</v>
      </c>
      <c r="R99" s="363" t="s">
        <v>1184</v>
      </c>
      <c r="S99" s="363" t="s">
        <v>1185</v>
      </c>
      <c r="T99" s="364" t="s">
        <v>901</v>
      </c>
      <c r="U99" s="362" t="s">
        <v>1186</v>
      </c>
      <c r="V99" s="362" t="s">
        <v>1185</v>
      </c>
      <c r="W99" s="363" t="s">
        <v>2861</v>
      </c>
      <c r="X99" s="311" t="s">
        <v>3089</v>
      </c>
      <c r="Y99" s="311" t="s">
        <v>3126</v>
      </c>
      <c r="Z99" s="309" t="s">
        <v>3111</v>
      </c>
      <c r="AA99" s="367">
        <v>10142</v>
      </c>
    </row>
    <row r="100" spans="17:27" ht="13.8">
      <c r="Q100" s="362">
        <f t="shared" si="1"/>
        <v>94</v>
      </c>
      <c r="R100" s="363" t="s">
        <v>1187</v>
      </c>
      <c r="S100" s="363" t="s">
        <v>1188</v>
      </c>
      <c r="T100" s="364" t="s">
        <v>1074</v>
      </c>
      <c r="U100" s="362" t="s">
        <v>1189</v>
      </c>
      <c r="V100" s="362" t="s">
        <v>1188</v>
      </c>
      <c r="W100" s="363" t="s">
        <v>2862</v>
      </c>
      <c r="X100" s="311" t="s">
        <v>3089</v>
      </c>
      <c r="Y100" s="311" t="s">
        <v>3126</v>
      </c>
      <c r="Z100" s="309" t="s">
        <v>3108</v>
      </c>
      <c r="AA100" s="367">
        <v>5178</v>
      </c>
    </row>
    <row r="101" spans="17:27" ht="13.8">
      <c r="Q101" s="362">
        <f t="shared" si="1"/>
        <v>95</v>
      </c>
      <c r="R101" s="363" t="s">
        <v>1190</v>
      </c>
      <c r="S101" s="363" t="s">
        <v>1191</v>
      </c>
      <c r="T101" s="364" t="s">
        <v>905</v>
      </c>
      <c r="U101" s="362" t="s">
        <v>1192</v>
      </c>
      <c r="V101" s="362" t="s">
        <v>1191</v>
      </c>
      <c r="W101" s="363" t="s">
        <v>1191</v>
      </c>
      <c r="X101" s="311" t="s">
        <v>3091</v>
      </c>
      <c r="Y101" s="311" t="s">
        <v>3125</v>
      </c>
      <c r="Z101" s="309" t="s">
        <v>3117</v>
      </c>
      <c r="AA101" s="367">
        <v>492</v>
      </c>
    </row>
    <row r="102" spans="17:27" ht="13.8">
      <c r="Q102" s="362">
        <f t="shared" si="1"/>
        <v>96</v>
      </c>
      <c r="R102" s="363" t="s">
        <v>1193</v>
      </c>
      <c r="S102" s="363" t="s">
        <v>1194</v>
      </c>
      <c r="T102" s="364" t="s">
        <v>1127</v>
      </c>
      <c r="U102" s="362" t="s">
        <v>1195</v>
      </c>
      <c r="V102" s="362" t="s">
        <v>1194</v>
      </c>
      <c r="W102" s="363" t="s">
        <v>2863</v>
      </c>
      <c r="X102" s="311" t="s">
        <v>3089</v>
      </c>
      <c r="Y102" s="311" t="s">
        <v>3126</v>
      </c>
      <c r="Z102" s="309" t="s">
        <v>3111</v>
      </c>
      <c r="AA102" s="367">
        <v>3857</v>
      </c>
    </row>
    <row r="103" spans="17:27" ht="13.8">
      <c r="Q103" s="362">
        <f t="shared" si="1"/>
        <v>97</v>
      </c>
      <c r="R103" s="363" t="s">
        <v>1196</v>
      </c>
      <c r="S103" s="363" t="s">
        <v>1197</v>
      </c>
      <c r="T103" s="364" t="s">
        <v>1007</v>
      </c>
      <c r="U103" s="362" t="s">
        <v>1198</v>
      </c>
      <c r="V103" s="362" t="s">
        <v>1197</v>
      </c>
      <c r="W103" s="363" t="s">
        <v>2864</v>
      </c>
      <c r="X103" s="311" t="s">
        <v>3089</v>
      </c>
      <c r="Y103" s="311" t="s">
        <v>3126</v>
      </c>
      <c r="Z103" s="309" t="s">
        <v>3111</v>
      </c>
      <c r="AA103" s="367">
        <v>22625</v>
      </c>
    </row>
    <row r="104" spans="17:27" ht="13.8">
      <c r="Q104" s="362">
        <f t="shared" si="1"/>
        <v>98</v>
      </c>
      <c r="R104" s="363" t="s">
        <v>1199</v>
      </c>
      <c r="S104" s="363" t="s">
        <v>1200</v>
      </c>
      <c r="T104" s="364" t="s">
        <v>909</v>
      </c>
      <c r="U104" s="362" t="s">
        <v>1201</v>
      </c>
      <c r="V104" s="362" t="s">
        <v>2630</v>
      </c>
      <c r="W104" s="363" t="s">
        <v>2630</v>
      </c>
      <c r="X104" s="311" t="s">
        <v>3090</v>
      </c>
      <c r="Y104" s="311" t="s">
        <v>3125</v>
      </c>
      <c r="Z104" s="309" t="s">
        <v>3106</v>
      </c>
      <c r="AA104" s="367">
        <v>8573</v>
      </c>
    </row>
    <row r="105" spans="17:27" ht="13.8">
      <c r="Q105" s="362">
        <f t="shared" si="1"/>
        <v>99</v>
      </c>
      <c r="R105" s="363" t="s">
        <v>1202</v>
      </c>
      <c r="S105" s="363" t="s">
        <v>1203</v>
      </c>
      <c r="T105" s="364" t="s">
        <v>901</v>
      </c>
      <c r="U105" s="362" t="s">
        <v>1204</v>
      </c>
      <c r="V105" s="362" t="s">
        <v>2631</v>
      </c>
      <c r="W105" s="363" t="s">
        <v>2631</v>
      </c>
      <c r="X105" s="311" t="s">
        <v>3090</v>
      </c>
      <c r="Y105" s="311" t="s">
        <v>3127</v>
      </c>
      <c r="Z105" s="309" t="s">
        <v>3110</v>
      </c>
      <c r="AA105" s="367">
        <v>750</v>
      </c>
    </row>
    <row r="106" spans="17:27" ht="13.8">
      <c r="Q106" s="362">
        <f t="shared" si="1"/>
        <v>100</v>
      </c>
      <c r="R106" s="363" t="s">
        <v>1205</v>
      </c>
      <c r="S106" s="363" t="s">
        <v>1206</v>
      </c>
      <c r="T106" s="364" t="s">
        <v>1074</v>
      </c>
      <c r="U106" s="362" t="s">
        <v>1207</v>
      </c>
      <c r="V106" s="362" t="s">
        <v>1206</v>
      </c>
      <c r="W106" s="363" t="s">
        <v>2865</v>
      </c>
      <c r="X106" s="311" t="s">
        <v>3089</v>
      </c>
      <c r="Y106" s="311" t="s">
        <v>3126</v>
      </c>
      <c r="Z106" s="309" t="s">
        <v>3111</v>
      </c>
      <c r="AA106" s="367">
        <v>3119</v>
      </c>
    </row>
    <row r="107" spans="17:27" ht="13.8">
      <c r="Q107" s="362">
        <f t="shared" si="1"/>
        <v>101</v>
      </c>
      <c r="R107" s="363" t="s">
        <v>1208</v>
      </c>
      <c r="S107" s="363" t="s">
        <v>1209</v>
      </c>
      <c r="T107" s="364" t="s">
        <v>970</v>
      </c>
      <c r="U107" s="362" t="s">
        <v>1210</v>
      </c>
      <c r="V107" s="362" t="s">
        <v>1209</v>
      </c>
      <c r="W107" s="363" t="s">
        <v>2866</v>
      </c>
      <c r="X107" s="311" t="s">
        <v>3089</v>
      </c>
      <c r="Y107" s="311" t="s">
        <v>3126</v>
      </c>
      <c r="Z107" s="309" t="s">
        <v>3111</v>
      </c>
      <c r="AA107" s="367">
        <v>4283</v>
      </c>
    </row>
    <row r="108" spans="17:27" ht="13.8">
      <c r="Q108" s="362">
        <f t="shared" si="1"/>
        <v>102</v>
      </c>
      <c r="R108" s="363" t="s">
        <v>1211</v>
      </c>
      <c r="S108" s="363" t="s">
        <v>1212</v>
      </c>
      <c r="T108" s="364" t="s">
        <v>1026</v>
      </c>
      <c r="U108" s="362" t="s">
        <v>1213</v>
      </c>
      <c r="V108" s="362" t="s">
        <v>1212</v>
      </c>
      <c r="W108" s="363" t="s">
        <v>2867</v>
      </c>
      <c r="X108" s="311" t="s">
        <v>3089</v>
      </c>
      <c r="Y108" s="311" t="s">
        <v>3126</v>
      </c>
      <c r="Z108" s="309" t="s">
        <v>3111</v>
      </c>
      <c r="AA108" s="367">
        <v>4563</v>
      </c>
    </row>
    <row r="109" spans="17:27" ht="13.8">
      <c r="Q109" s="362">
        <f t="shared" si="1"/>
        <v>103</v>
      </c>
      <c r="R109" s="363" t="s">
        <v>1214</v>
      </c>
      <c r="S109" s="363" t="s">
        <v>1215</v>
      </c>
      <c r="T109" s="364" t="s">
        <v>970</v>
      </c>
      <c r="U109" s="362" t="s">
        <v>1216</v>
      </c>
      <c r="V109" s="362" t="s">
        <v>1215</v>
      </c>
      <c r="W109" s="363" t="s">
        <v>2868</v>
      </c>
      <c r="X109" s="311" t="s">
        <v>3089</v>
      </c>
      <c r="Y109" s="311" t="s">
        <v>3125</v>
      </c>
      <c r="Z109" s="309" t="s">
        <v>3114</v>
      </c>
      <c r="AA109" s="367">
        <v>16896</v>
      </c>
    </row>
    <row r="110" spans="17:27" ht="13.8">
      <c r="Q110" s="362">
        <f t="shared" si="1"/>
        <v>104</v>
      </c>
      <c r="R110" s="363" t="s">
        <v>1217</v>
      </c>
      <c r="S110" s="363" t="s">
        <v>1218</v>
      </c>
      <c r="T110" s="364" t="s">
        <v>909</v>
      </c>
      <c r="U110" s="362" t="s">
        <v>1219</v>
      </c>
      <c r="V110" s="362" t="s">
        <v>2632</v>
      </c>
      <c r="W110" s="363" t="s">
        <v>2632</v>
      </c>
      <c r="X110" s="311" t="s">
        <v>3090</v>
      </c>
      <c r="Y110" s="311" t="s">
        <v>3125</v>
      </c>
      <c r="Z110" s="309" t="s">
        <v>3106</v>
      </c>
      <c r="AA110" s="367">
        <v>4881</v>
      </c>
    </row>
    <row r="111" spans="17:27" ht="13.8">
      <c r="Q111" s="362">
        <f t="shared" si="1"/>
        <v>105</v>
      </c>
      <c r="R111" s="363" t="s">
        <v>1220</v>
      </c>
      <c r="S111" s="363" t="s">
        <v>1221</v>
      </c>
      <c r="T111" s="364" t="s">
        <v>953</v>
      </c>
      <c r="U111" s="362" t="s">
        <v>1222</v>
      </c>
      <c r="V111" s="362" t="s">
        <v>1221</v>
      </c>
      <c r="W111" s="363" t="s">
        <v>2869</v>
      </c>
      <c r="X111" s="311" t="s">
        <v>3089</v>
      </c>
      <c r="Y111" s="311" t="s">
        <v>3126</v>
      </c>
      <c r="Z111" s="309" t="s">
        <v>3111</v>
      </c>
      <c r="AA111" s="367">
        <v>6467</v>
      </c>
    </row>
    <row r="112" spans="17:27" ht="13.8">
      <c r="Q112" s="362">
        <f t="shared" si="1"/>
        <v>106</v>
      </c>
      <c r="R112" s="363" t="s">
        <v>1223</v>
      </c>
      <c r="S112" s="363" t="s">
        <v>1224</v>
      </c>
      <c r="T112" s="364" t="s">
        <v>1049</v>
      </c>
      <c r="U112" s="362" t="s">
        <v>1225</v>
      </c>
      <c r="V112" s="362" t="s">
        <v>1224</v>
      </c>
      <c r="W112" s="363" t="s">
        <v>2870</v>
      </c>
      <c r="X112" s="311" t="s">
        <v>3089</v>
      </c>
      <c r="Y112" s="311" t="s">
        <v>3125</v>
      </c>
      <c r="Z112" s="309" t="s">
        <v>3107</v>
      </c>
      <c r="AA112" s="367">
        <v>16635</v>
      </c>
    </row>
    <row r="113" spans="17:27" ht="13.8">
      <c r="Q113" s="362">
        <f t="shared" si="1"/>
        <v>107</v>
      </c>
      <c r="R113" s="363" t="s">
        <v>1226</v>
      </c>
      <c r="S113" s="363" t="s">
        <v>1227</v>
      </c>
      <c r="T113" s="364" t="s">
        <v>1161</v>
      </c>
      <c r="U113" s="362" t="s">
        <v>1228</v>
      </c>
      <c r="V113" s="362" t="s">
        <v>1227</v>
      </c>
      <c r="W113" s="363" t="s">
        <v>2871</v>
      </c>
      <c r="X113" s="311" t="s">
        <v>3089</v>
      </c>
      <c r="Y113" s="311" t="s">
        <v>3125</v>
      </c>
      <c r="Z113" s="309" t="s">
        <v>3115</v>
      </c>
      <c r="AA113" s="367">
        <v>30561</v>
      </c>
    </row>
    <row r="114" spans="17:27" ht="13.8">
      <c r="Q114" s="362">
        <f t="shared" si="1"/>
        <v>108</v>
      </c>
      <c r="R114" s="363" t="s">
        <v>1229</v>
      </c>
      <c r="S114" s="363" t="s">
        <v>1230</v>
      </c>
      <c r="T114" s="364" t="s">
        <v>1049</v>
      </c>
      <c r="U114" s="362" t="s">
        <v>1231</v>
      </c>
      <c r="V114" s="362" t="s">
        <v>3074</v>
      </c>
      <c r="W114" s="363" t="s">
        <v>3074</v>
      </c>
      <c r="X114" s="311" t="s">
        <v>2584</v>
      </c>
      <c r="Y114" s="311" t="s">
        <v>3128</v>
      </c>
      <c r="Z114" s="309" t="s">
        <v>3116</v>
      </c>
      <c r="AA114" s="367">
        <v>18157</v>
      </c>
    </row>
    <row r="115" spans="17:27" ht="13.8">
      <c r="Q115" s="362">
        <f t="shared" si="1"/>
        <v>109</v>
      </c>
      <c r="R115" s="363" t="s">
        <v>1232</v>
      </c>
      <c r="S115" s="363" t="s">
        <v>1233</v>
      </c>
      <c r="T115" s="364" t="s">
        <v>1074</v>
      </c>
      <c r="U115" s="362" t="s">
        <v>1234</v>
      </c>
      <c r="V115" s="362" t="s">
        <v>1233</v>
      </c>
      <c r="W115" s="363" t="s">
        <v>2872</v>
      </c>
      <c r="X115" s="311" t="s">
        <v>3089</v>
      </c>
      <c r="Y115" s="311" t="s">
        <v>3126</v>
      </c>
      <c r="Z115" s="309" t="s">
        <v>3108</v>
      </c>
      <c r="AA115" s="367">
        <v>1585</v>
      </c>
    </row>
    <row r="116" spans="17:27" ht="13.8">
      <c r="Q116" s="362">
        <f t="shared" si="1"/>
        <v>110</v>
      </c>
      <c r="R116" s="363" t="s">
        <v>1235</v>
      </c>
      <c r="S116" s="363" t="s">
        <v>1236</v>
      </c>
      <c r="T116" s="364" t="s">
        <v>909</v>
      </c>
      <c r="U116" s="362" t="s">
        <v>1237</v>
      </c>
      <c r="V116" s="362" t="s">
        <v>2633</v>
      </c>
      <c r="W116" s="363" t="s">
        <v>2633</v>
      </c>
      <c r="X116" s="311" t="s">
        <v>3090</v>
      </c>
      <c r="Y116" s="311" t="s">
        <v>3125</v>
      </c>
      <c r="Z116" s="309" t="s">
        <v>3106</v>
      </c>
      <c r="AA116" s="367">
        <v>17479</v>
      </c>
    </row>
    <row r="117" spans="17:27" ht="13.8">
      <c r="Q117" s="362">
        <f t="shared" si="1"/>
        <v>111</v>
      </c>
      <c r="R117" s="363" t="s">
        <v>1238</v>
      </c>
      <c r="S117" s="363" t="s">
        <v>1239</v>
      </c>
      <c r="T117" s="364" t="s">
        <v>1127</v>
      </c>
      <c r="U117" s="362" t="s">
        <v>1240</v>
      </c>
      <c r="V117" s="362" t="s">
        <v>2634</v>
      </c>
      <c r="W117" s="363" t="s">
        <v>2634</v>
      </c>
      <c r="X117" s="311" t="s">
        <v>3090</v>
      </c>
      <c r="Y117" s="311" t="s">
        <v>3125</v>
      </c>
      <c r="Z117" s="309" t="s">
        <v>3106</v>
      </c>
      <c r="AA117" s="367">
        <v>7227</v>
      </c>
    </row>
    <row r="118" spans="17:27" ht="13.8">
      <c r="Q118" s="362">
        <f t="shared" si="1"/>
        <v>112</v>
      </c>
      <c r="R118" s="363" t="s">
        <v>1241</v>
      </c>
      <c r="S118" s="363" t="s">
        <v>1242</v>
      </c>
      <c r="T118" s="364" t="s">
        <v>960</v>
      </c>
      <c r="U118" s="362" t="s">
        <v>1243</v>
      </c>
      <c r="V118" s="362" t="s">
        <v>1242</v>
      </c>
      <c r="W118" s="363" t="s">
        <v>2873</v>
      </c>
      <c r="X118" s="311" t="s">
        <v>3089</v>
      </c>
      <c r="Y118" s="311" t="s">
        <v>3126</v>
      </c>
      <c r="Z118" s="309" t="s">
        <v>3108</v>
      </c>
      <c r="AA118" s="367">
        <v>1603</v>
      </c>
    </row>
    <row r="119" spans="17:27" ht="13.8">
      <c r="Q119" s="362">
        <f t="shared" si="1"/>
        <v>113</v>
      </c>
      <c r="R119" s="363" t="s">
        <v>1244</v>
      </c>
      <c r="S119" s="363" t="s">
        <v>1245</v>
      </c>
      <c r="T119" s="364" t="s">
        <v>1026</v>
      </c>
      <c r="U119" s="362" t="s">
        <v>1246</v>
      </c>
      <c r="V119" s="362" t="s">
        <v>1245</v>
      </c>
      <c r="W119" s="363" t="s">
        <v>2874</v>
      </c>
      <c r="X119" s="311" t="s">
        <v>3089</v>
      </c>
      <c r="Y119" s="311" t="s">
        <v>3126</v>
      </c>
      <c r="Z119" s="309" t="s">
        <v>3111</v>
      </c>
      <c r="AA119" s="367">
        <v>4013</v>
      </c>
    </row>
    <row r="120" spans="17:27" ht="13.8">
      <c r="Q120" s="362">
        <f t="shared" si="1"/>
        <v>114</v>
      </c>
      <c r="R120" s="363" t="s">
        <v>1247</v>
      </c>
      <c r="S120" s="363" t="s">
        <v>1248</v>
      </c>
      <c r="T120" s="364" t="s">
        <v>1127</v>
      </c>
      <c r="U120" s="362" t="s">
        <v>1249</v>
      </c>
      <c r="V120" s="362" t="s">
        <v>1248</v>
      </c>
      <c r="W120" s="363" t="s">
        <v>2875</v>
      </c>
      <c r="X120" s="311" t="s">
        <v>3089</v>
      </c>
      <c r="Y120" s="311" t="s">
        <v>3125</v>
      </c>
      <c r="Z120" s="309" t="s">
        <v>3114</v>
      </c>
      <c r="AA120" s="367">
        <v>47512</v>
      </c>
    </row>
    <row r="121" spans="17:27" ht="13.8">
      <c r="Q121" s="362">
        <f t="shared" si="1"/>
        <v>115</v>
      </c>
      <c r="R121" s="363" t="s">
        <v>1250</v>
      </c>
      <c r="S121" s="363" t="s">
        <v>1251</v>
      </c>
      <c r="T121" s="364" t="s">
        <v>1161</v>
      </c>
      <c r="U121" s="362" t="s">
        <v>1252</v>
      </c>
      <c r="V121" s="362" t="s">
        <v>1251</v>
      </c>
      <c r="W121" s="363" t="s">
        <v>2876</v>
      </c>
      <c r="X121" s="311" t="s">
        <v>3089</v>
      </c>
      <c r="Y121" s="311" t="s">
        <v>3126</v>
      </c>
      <c r="Z121" s="309" t="s">
        <v>3111</v>
      </c>
      <c r="AA121" s="367">
        <v>9555</v>
      </c>
    </row>
    <row r="122" spans="17:27" ht="13.8">
      <c r="Q122" s="362">
        <f t="shared" si="1"/>
        <v>116</v>
      </c>
      <c r="R122" s="363" t="s">
        <v>1253</v>
      </c>
      <c r="S122" s="363" t="s">
        <v>1254</v>
      </c>
      <c r="T122" s="364" t="s">
        <v>1049</v>
      </c>
      <c r="U122" s="362" t="s">
        <v>1255</v>
      </c>
      <c r="V122" s="362" t="s">
        <v>1254</v>
      </c>
      <c r="W122" s="363" t="s">
        <v>2877</v>
      </c>
      <c r="X122" s="311" t="s">
        <v>3089</v>
      </c>
      <c r="Y122" s="311" t="s">
        <v>3125</v>
      </c>
      <c r="Z122" s="309" t="s">
        <v>3109</v>
      </c>
      <c r="AA122" s="367">
        <v>11157</v>
      </c>
    </row>
    <row r="123" spans="17:27" ht="13.8">
      <c r="Q123" s="362">
        <f t="shared" si="1"/>
        <v>117</v>
      </c>
      <c r="R123" s="363" t="s">
        <v>1256</v>
      </c>
      <c r="S123" s="363" t="s">
        <v>1257</v>
      </c>
      <c r="T123" s="364" t="s">
        <v>977</v>
      </c>
      <c r="U123" s="362" t="s">
        <v>1258</v>
      </c>
      <c r="V123" s="362" t="s">
        <v>2635</v>
      </c>
      <c r="W123" s="363" t="s">
        <v>2635</v>
      </c>
      <c r="X123" s="311" t="s">
        <v>3090</v>
      </c>
      <c r="Y123" s="311" t="s">
        <v>3125</v>
      </c>
      <c r="Z123" s="309" t="s">
        <v>3106</v>
      </c>
      <c r="AA123" s="367">
        <v>2406</v>
      </c>
    </row>
    <row r="124" spans="17:27" ht="13.8">
      <c r="Q124" s="362">
        <f t="shared" si="1"/>
        <v>118</v>
      </c>
      <c r="R124" s="363" t="s">
        <v>1259</v>
      </c>
      <c r="S124" s="363" t="s">
        <v>1260</v>
      </c>
      <c r="T124" s="364" t="s">
        <v>991</v>
      </c>
      <c r="U124" s="362" t="s">
        <v>1261</v>
      </c>
      <c r="V124" s="362" t="s">
        <v>3041</v>
      </c>
      <c r="W124" s="363" t="s">
        <v>3041</v>
      </c>
      <c r="X124" s="311" t="s">
        <v>3091</v>
      </c>
      <c r="Y124" s="311" t="s">
        <v>3125</v>
      </c>
      <c r="Z124" s="309" t="s">
        <v>3118</v>
      </c>
      <c r="AA124" s="367">
        <v>64270</v>
      </c>
    </row>
    <row r="125" spans="17:27" ht="13.8">
      <c r="Q125" s="362">
        <f t="shared" si="1"/>
        <v>119</v>
      </c>
      <c r="R125" s="363" t="s">
        <v>1262</v>
      </c>
      <c r="S125" s="363" t="s">
        <v>1263</v>
      </c>
      <c r="T125" s="364" t="s">
        <v>909</v>
      </c>
      <c r="U125" s="362" t="s">
        <v>1264</v>
      </c>
      <c r="V125" s="362" t="s">
        <v>2636</v>
      </c>
      <c r="W125" s="363" t="s">
        <v>2636</v>
      </c>
      <c r="X125" s="311" t="s">
        <v>3090</v>
      </c>
      <c r="Y125" s="311" t="s">
        <v>3125</v>
      </c>
      <c r="Z125" s="309" t="s">
        <v>3106</v>
      </c>
      <c r="AA125" s="367">
        <v>8913</v>
      </c>
    </row>
    <row r="126" spans="17:27" ht="13.8">
      <c r="Q126" s="362">
        <f t="shared" si="1"/>
        <v>120</v>
      </c>
      <c r="R126" s="363" t="s">
        <v>1265</v>
      </c>
      <c r="S126" s="363" t="s">
        <v>1266</v>
      </c>
      <c r="T126" s="364" t="s">
        <v>1267</v>
      </c>
      <c r="U126" s="362" t="s">
        <v>1268</v>
      </c>
      <c r="V126" s="362" t="s">
        <v>1266</v>
      </c>
      <c r="W126" s="363" t="s">
        <v>2878</v>
      </c>
      <c r="X126" s="311" t="s">
        <v>3089</v>
      </c>
      <c r="Y126" s="311" t="s">
        <v>3125</v>
      </c>
      <c r="Z126" s="309" t="s">
        <v>3115</v>
      </c>
      <c r="AA126" s="367">
        <v>27190</v>
      </c>
    </row>
    <row r="127" spans="17:27" ht="13.8">
      <c r="Q127" s="362">
        <f t="shared" si="1"/>
        <v>121</v>
      </c>
      <c r="R127" s="363" t="s">
        <v>1269</v>
      </c>
      <c r="S127" s="363" t="s">
        <v>1270</v>
      </c>
      <c r="T127" s="364" t="s">
        <v>970</v>
      </c>
      <c r="U127" s="362" t="s">
        <v>1271</v>
      </c>
      <c r="V127" s="362" t="s">
        <v>1270</v>
      </c>
      <c r="W127" s="363" t="s">
        <v>2879</v>
      </c>
      <c r="X127" s="311" t="s">
        <v>3089</v>
      </c>
      <c r="Y127" s="311" t="s">
        <v>3125</v>
      </c>
      <c r="Z127" s="309" t="s">
        <v>3112</v>
      </c>
      <c r="AA127" s="367">
        <v>6069</v>
      </c>
    </row>
    <row r="128" spans="17:27" ht="13.8">
      <c r="Q128" s="362">
        <f t="shared" si="1"/>
        <v>122</v>
      </c>
      <c r="R128" s="363" t="s">
        <v>1272</v>
      </c>
      <c r="S128" s="363" t="s">
        <v>1273</v>
      </c>
      <c r="T128" s="364" t="s">
        <v>901</v>
      </c>
      <c r="U128" s="362" t="s">
        <v>1274</v>
      </c>
      <c r="V128" s="362" t="s">
        <v>2637</v>
      </c>
      <c r="W128" s="363" t="s">
        <v>2637</v>
      </c>
      <c r="X128" s="311" t="s">
        <v>3090</v>
      </c>
      <c r="Y128" s="311" t="s">
        <v>3125</v>
      </c>
      <c r="Z128" s="309" t="s">
        <v>3106</v>
      </c>
      <c r="AA128" s="367">
        <v>12709</v>
      </c>
    </row>
    <row r="129" spans="17:27" ht="13.8">
      <c r="Q129" s="362">
        <f t="shared" si="1"/>
        <v>123</v>
      </c>
      <c r="R129" s="363" t="s">
        <v>1275</v>
      </c>
      <c r="S129" s="363" t="s">
        <v>1276</v>
      </c>
      <c r="T129" s="364" t="s">
        <v>909</v>
      </c>
      <c r="U129" s="362" t="s">
        <v>1277</v>
      </c>
      <c r="V129" s="362" t="s">
        <v>2638</v>
      </c>
      <c r="W129" s="363" t="s">
        <v>2638</v>
      </c>
      <c r="X129" s="311" t="s">
        <v>3090</v>
      </c>
      <c r="Y129" s="311" t="s">
        <v>3125</v>
      </c>
      <c r="Z129" s="309" t="s">
        <v>3106</v>
      </c>
      <c r="AA129" s="367">
        <v>11513</v>
      </c>
    </row>
    <row r="130" spans="17:27" ht="13.8">
      <c r="Q130" s="362">
        <f t="shared" si="1"/>
        <v>124</v>
      </c>
      <c r="R130" s="363" t="s">
        <v>1278</v>
      </c>
      <c r="S130" s="363" t="s">
        <v>1279</v>
      </c>
      <c r="T130" s="364" t="s">
        <v>970</v>
      </c>
      <c r="U130" s="362" t="s">
        <v>1280</v>
      </c>
      <c r="V130" s="362" t="s">
        <v>1279</v>
      </c>
      <c r="W130" s="363" t="s">
        <v>2880</v>
      </c>
      <c r="X130" s="311" t="s">
        <v>3089</v>
      </c>
      <c r="Y130" s="311" t="s">
        <v>3126</v>
      </c>
      <c r="Z130" s="309" t="s">
        <v>3111</v>
      </c>
      <c r="AA130" s="367">
        <v>8881</v>
      </c>
    </row>
    <row r="131" spans="17:27" ht="13.8">
      <c r="Q131" s="362">
        <f t="shared" si="1"/>
        <v>125</v>
      </c>
      <c r="R131" s="363" t="s">
        <v>1281</v>
      </c>
      <c r="S131" s="363" t="s">
        <v>1282</v>
      </c>
      <c r="T131" s="364" t="s">
        <v>1127</v>
      </c>
      <c r="U131" s="362" t="s">
        <v>1283</v>
      </c>
      <c r="V131" s="362" t="s">
        <v>1282</v>
      </c>
      <c r="W131" s="363" t="s">
        <v>2881</v>
      </c>
      <c r="X131" s="311" t="s">
        <v>3089</v>
      </c>
      <c r="Y131" s="311" t="s">
        <v>3125</v>
      </c>
      <c r="Z131" s="309" t="s">
        <v>3107</v>
      </c>
      <c r="AA131" s="367">
        <v>99967</v>
      </c>
    </row>
    <row r="132" spans="17:27" ht="13.8">
      <c r="Q132" s="362">
        <f t="shared" si="1"/>
        <v>126</v>
      </c>
      <c r="R132" s="363" t="s">
        <v>1284</v>
      </c>
      <c r="S132" s="363" t="s">
        <v>1285</v>
      </c>
      <c r="T132" s="364" t="s">
        <v>905</v>
      </c>
      <c r="U132" s="362" t="s">
        <v>1286</v>
      </c>
      <c r="V132" s="362" t="s">
        <v>1285</v>
      </c>
      <c r="W132" s="363" t="s">
        <v>1285</v>
      </c>
      <c r="X132" s="311" t="s">
        <v>3091</v>
      </c>
      <c r="Y132" s="311" t="s">
        <v>3125</v>
      </c>
      <c r="Z132" s="309" t="s">
        <v>3113</v>
      </c>
      <c r="AA132" s="367">
        <v>4243</v>
      </c>
    </row>
    <row r="133" spans="17:27" ht="13.8">
      <c r="Q133" s="362">
        <f t="shared" si="1"/>
        <v>127</v>
      </c>
      <c r="R133" s="363" t="s">
        <v>1287</v>
      </c>
      <c r="S133" s="363" t="s">
        <v>1288</v>
      </c>
      <c r="T133" s="364" t="s">
        <v>905</v>
      </c>
      <c r="U133" s="362" t="s">
        <v>1289</v>
      </c>
      <c r="V133" s="362" t="s">
        <v>1288</v>
      </c>
      <c r="W133" s="363" t="s">
        <v>2882</v>
      </c>
      <c r="X133" s="311" t="s">
        <v>3089</v>
      </c>
      <c r="Y133" s="311" t="s">
        <v>3126</v>
      </c>
      <c r="Z133" s="309" t="s">
        <v>3111</v>
      </c>
      <c r="AA133" s="367">
        <v>43323</v>
      </c>
    </row>
    <row r="134" spans="17:27" ht="13.8">
      <c r="Q134" s="362">
        <f t="shared" si="1"/>
        <v>128</v>
      </c>
      <c r="R134" s="363" t="s">
        <v>1290</v>
      </c>
      <c r="S134" s="363" t="s">
        <v>1291</v>
      </c>
      <c r="T134" s="364" t="s">
        <v>1007</v>
      </c>
      <c r="U134" s="362" t="s">
        <v>1292</v>
      </c>
      <c r="V134" s="362" t="s">
        <v>3042</v>
      </c>
      <c r="W134" s="363" t="s">
        <v>3042</v>
      </c>
      <c r="X134" s="311" t="s">
        <v>3091</v>
      </c>
      <c r="Y134" s="311" t="s">
        <v>3125</v>
      </c>
      <c r="Z134" s="309" t="s">
        <v>3113</v>
      </c>
      <c r="AA134" s="367">
        <v>124969</v>
      </c>
    </row>
    <row r="135" spans="17:27" ht="13.8">
      <c r="Q135" s="362">
        <f t="shared" si="1"/>
        <v>129</v>
      </c>
      <c r="R135" s="363" t="s">
        <v>1293</v>
      </c>
      <c r="S135" s="363" t="s">
        <v>1294</v>
      </c>
      <c r="T135" s="364" t="s">
        <v>1161</v>
      </c>
      <c r="U135" s="362" t="s">
        <v>1295</v>
      </c>
      <c r="V135" s="362" t="s">
        <v>1294</v>
      </c>
      <c r="W135" s="363" t="s">
        <v>2883</v>
      </c>
      <c r="X135" s="311" t="s">
        <v>3089</v>
      </c>
      <c r="Y135" s="311" t="s">
        <v>3126</v>
      </c>
      <c r="Z135" s="309" t="s">
        <v>3111</v>
      </c>
      <c r="AA135" s="367">
        <v>4216</v>
      </c>
    </row>
    <row r="136" spans="17:27" ht="13.8">
      <c r="Q136" s="362">
        <f t="shared" si="1"/>
        <v>130</v>
      </c>
      <c r="R136" s="363" t="s">
        <v>1296</v>
      </c>
      <c r="S136" s="363" t="s">
        <v>1297</v>
      </c>
      <c r="T136" s="364" t="s">
        <v>919</v>
      </c>
      <c r="U136" s="362" t="s">
        <v>1298</v>
      </c>
      <c r="V136" s="362" t="s">
        <v>2639</v>
      </c>
      <c r="W136" s="363" t="s">
        <v>2639</v>
      </c>
      <c r="X136" s="311" t="s">
        <v>3090</v>
      </c>
      <c r="Y136" s="311" t="s">
        <v>3125</v>
      </c>
      <c r="Z136" s="309" t="s">
        <v>3106</v>
      </c>
      <c r="AA136" s="367">
        <v>1395</v>
      </c>
    </row>
    <row r="137" spans="17:27" ht="13.8">
      <c r="Q137" s="362">
        <f t="shared" ref="Q137:Q200" si="2">Q136+1</f>
        <v>131</v>
      </c>
      <c r="R137" s="363" t="s">
        <v>1299</v>
      </c>
      <c r="S137" s="363" t="s">
        <v>1300</v>
      </c>
      <c r="T137" s="364" t="s">
        <v>909</v>
      </c>
      <c r="U137" s="362" t="s">
        <v>1301</v>
      </c>
      <c r="V137" s="362" t="s">
        <v>2640</v>
      </c>
      <c r="W137" s="363" t="s">
        <v>2640</v>
      </c>
      <c r="X137" s="311" t="s">
        <v>3090</v>
      </c>
      <c r="Y137" s="311" t="s">
        <v>3125</v>
      </c>
      <c r="Z137" s="309" t="s">
        <v>3106</v>
      </c>
      <c r="AA137" s="367">
        <v>19403</v>
      </c>
    </row>
    <row r="138" spans="17:27" ht="13.8">
      <c r="Q138" s="362">
        <f t="shared" si="2"/>
        <v>132</v>
      </c>
      <c r="R138" s="363" t="s">
        <v>1302</v>
      </c>
      <c r="S138" s="363" t="s">
        <v>1303</v>
      </c>
      <c r="T138" s="364" t="s">
        <v>919</v>
      </c>
      <c r="U138" s="362" t="s">
        <v>1304</v>
      </c>
      <c r="V138" s="362" t="s">
        <v>1303</v>
      </c>
      <c r="W138" s="363" t="s">
        <v>2884</v>
      </c>
      <c r="X138" s="311" t="s">
        <v>3089</v>
      </c>
      <c r="Y138" s="311" t="s">
        <v>3126</v>
      </c>
      <c r="Z138" s="309" t="s">
        <v>3108</v>
      </c>
      <c r="AA138" s="367">
        <v>1036</v>
      </c>
    </row>
    <row r="139" spans="17:27" ht="13.8">
      <c r="Q139" s="362">
        <f t="shared" si="2"/>
        <v>133</v>
      </c>
      <c r="R139" s="363" t="s">
        <v>1305</v>
      </c>
      <c r="S139" s="363" t="s">
        <v>1306</v>
      </c>
      <c r="T139" s="364" t="s">
        <v>909</v>
      </c>
      <c r="U139" s="362" t="s">
        <v>1307</v>
      </c>
      <c r="V139" s="362" t="s">
        <v>2641</v>
      </c>
      <c r="W139" s="363" t="s">
        <v>2641</v>
      </c>
      <c r="X139" s="311" t="s">
        <v>3090</v>
      </c>
      <c r="Y139" s="311" t="s">
        <v>3125</v>
      </c>
      <c r="Z139" s="309" t="s">
        <v>3106</v>
      </c>
      <c r="AA139" s="367">
        <v>7401</v>
      </c>
    </row>
    <row r="140" spans="17:27" ht="13.8">
      <c r="Q140" s="362">
        <f t="shared" si="2"/>
        <v>134</v>
      </c>
      <c r="R140" s="363" t="s">
        <v>1308</v>
      </c>
      <c r="S140" s="363" t="s">
        <v>1309</v>
      </c>
      <c r="T140" s="364" t="s">
        <v>909</v>
      </c>
      <c r="U140" s="362" t="s">
        <v>1310</v>
      </c>
      <c r="V140" s="362" t="s">
        <v>3043</v>
      </c>
      <c r="W140" s="363" t="s">
        <v>3043</v>
      </c>
      <c r="X140" s="311" t="s">
        <v>3091</v>
      </c>
      <c r="Y140" s="311" t="s">
        <v>3125</v>
      </c>
      <c r="Z140" s="309" t="s">
        <v>3114</v>
      </c>
      <c r="AA140" s="367">
        <v>27147</v>
      </c>
    </row>
    <row r="141" spans="17:27" ht="13.8">
      <c r="Q141" s="362">
        <f t="shared" si="2"/>
        <v>135</v>
      </c>
      <c r="R141" s="363" t="s">
        <v>1311</v>
      </c>
      <c r="S141" s="363" t="s">
        <v>1312</v>
      </c>
      <c r="T141" s="364" t="s">
        <v>909</v>
      </c>
      <c r="U141" s="362" t="s">
        <v>1313</v>
      </c>
      <c r="V141" s="362" t="s">
        <v>2642</v>
      </c>
      <c r="W141" s="363" t="s">
        <v>2642</v>
      </c>
      <c r="X141" s="311" t="s">
        <v>3090</v>
      </c>
      <c r="Y141" s="311" t="s">
        <v>3125</v>
      </c>
      <c r="Z141" s="309" t="s">
        <v>3106</v>
      </c>
      <c r="AA141" s="367">
        <v>5281</v>
      </c>
    </row>
    <row r="142" spans="17:27" ht="13.8">
      <c r="Q142" s="362">
        <f t="shared" si="2"/>
        <v>136</v>
      </c>
      <c r="R142" s="363" t="s">
        <v>1314</v>
      </c>
      <c r="S142" s="363" t="s">
        <v>1315</v>
      </c>
      <c r="T142" s="364" t="s">
        <v>901</v>
      </c>
      <c r="U142" s="362" t="s">
        <v>1316</v>
      </c>
      <c r="V142" s="362" t="s">
        <v>2643</v>
      </c>
      <c r="W142" s="363" t="s">
        <v>2643</v>
      </c>
      <c r="X142" s="311" t="s">
        <v>3090</v>
      </c>
      <c r="Y142" s="311" t="s">
        <v>3125</v>
      </c>
      <c r="Z142" s="309" t="s">
        <v>3106</v>
      </c>
      <c r="AA142" s="367">
        <v>1847</v>
      </c>
    </row>
    <row r="143" spans="17:27" ht="13.8">
      <c r="Q143" s="362">
        <f t="shared" si="2"/>
        <v>137</v>
      </c>
      <c r="R143" s="363" t="s">
        <v>1317</v>
      </c>
      <c r="S143" s="363" t="s">
        <v>1318</v>
      </c>
      <c r="T143" s="364" t="s">
        <v>991</v>
      </c>
      <c r="U143" s="362" t="s">
        <v>1319</v>
      </c>
      <c r="V143" s="362" t="s">
        <v>1318</v>
      </c>
      <c r="W143" s="363" t="s">
        <v>2885</v>
      </c>
      <c r="X143" s="311" t="s">
        <v>3089</v>
      </c>
      <c r="Y143" s="311" t="s">
        <v>3125</v>
      </c>
      <c r="Z143" s="309" t="s">
        <v>3106</v>
      </c>
      <c r="AA143" s="367">
        <v>2113</v>
      </c>
    </row>
    <row r="144" spans="17:27" ht="13.8">
      <c r="Q144" s="362">
        <f t="shared" si="2"/>
        <v>138</v>
      </c>
      <c r="R144" s="363" t="s">
        <v>1320</v>
      </c>
      <c r="S144" s="363" t="s">
        <v>1321</v>
      </c>
      <c r="T144" s="364" t="s">
        <v>905</v>
      </c>
      <c r="U144" s="362" t="s">
        <v>1322</v>
      </c>
      <c r="V144" s="362" t="s">
        <v>3044</v>
      </c>
      <c r="W144" s="363" t="s">
        <v>3044</v>
      </c>
      <c r="X144" s="311" t="s">
        <v>3091</v>
      </c>
      <c r="Y144" s="311" t="s">
        <v>3125</v>
      </c>
      <c r="Z144" s="309" t="s">
        <v>3112</v>
      </c>
      <c r="AA144" s="367">
        <v>1735</v>
      </c>
    </row>
    <row r="145" spans="17:27" ht="13.8">
      <c r="Q145" s="362">
        <f t="shared" si="2"/>
        <v>139</v>
      </c>
      <c r="R145" s="363" t="s">
        <v>1323</v>
      </c>
      <c r="S145" s="363" t="s">
        <v>1324</v>
      </c>
      <c r="T145" s="364" t="s">
        <v>970</v>
      </c>
      <c r="U145" s="362" t="s">
        <v>1325</v>
      </c>
      <c r="V145" s="362" t="s">
        <v>1324</v>
      </c>
      <c r="W145" s="363" t="s">
        <v>2886</v>
      </c>
      <c r="X145" s="311" t="s">
        <v>3089</v>
      </c>
      <c r="Y145" s="311" t="s">
        <v>3125</v>
      </c>
      <c r="Z145" s="309" t="s">
        <v>3109</v>
      </c>
      <c r="AA145" s="367">
        <v>45538</v>
      </c>
    </row>
    <row r="146" spans="17:27" ht="13.8">
      <c r="Q146" s="362">
        <f t="shared" si="2"/>
        <v>140</v>
      </c>
      <c r="R146" s="363" t="s">
        <v>1326</v>
      </c>
      <c r="S146" s="363" t="s">
        <v>1327</v>
      </c>
      <c r="T146" s="364" t="s">
        <v>1267</v>
      </c>
      <c r="U146" s="362" t="s">
        <v>1328</v>
      </c>
      <c r="V146" s="362" t="s">
        <v>1327</v>
      </c>
      <c r="W146" s="363" t="s">
        <v>2887</v>
      </c>
      <c r="X146" s="311" t="s">
        <v>3089</v>
      </c>
      <c r="Y146" s="311" t="s">
        <v>3125</v>
      </c>
      <c r="Z146" s="309" t="s">
        <v>3114</v>
      </c>
      <c r="AA146" s="367">
        <v>35790</v>
      </c>
    </row>
    <row r="147" spans="17:27" ht="13.8">
      <c r="Q147" s="362">
        <f t="shared" si="2"/>
        <v>141</v>
      </c>
      <c r="R147" s="363" t="s">
        <v>1329</v>
      </c>
      <c r="S147" s="363" t="s">
        <v>1330</v>
      </c>
      <c r="T147" s="364" t="s">
        <v>901</v>
      </c>
      <c r="U147" s="362" t="s">
        <v>1331</v>
      </c>
      <c r="V147" s="362" t="s">
        <v>2644</v>
      </c>
      <c r="W147" s="363" t="s">
        <v>2644</v>
      </c>
      <c r="X147" s="311" t="s">
        <v>3090</v>
      </c>
      <c r="Y147" s="311" t="s">
        <v>3125</v>
      </c>
      <c r="Z147" s="309" t="s">
        <v>3106</v>
      </c>
      <c r="AA147" s="367">
        <v>6121</v>
      </c>
    </row>
    <row r="148" spans="17:27" ht="13.8">
      <c r="Q148" s="362">
        <f t="shared" si="2"/>
        <v>142</v>
      </c>
      <c r="R148" s="363" t="s">
        <v>1332</v>
      </c>
      <c r="S148" s="363" t="s">
        <v>1333</v>
      </c>
      <c r="T148" s="364" t="s">
        <v>909</v>
      </c>
      <c r="U148" s="362" t="s">
        <v>1334</v>
      </c>
      <c r="V148" s="362" t="s">
        <v>2645</v>
      </c>
      <c r="W148" s="363" t="s">
        <v>2645</v>
      </c>
      <c r="X148" s="311" t="s">
        <v>3090</v>
      </c>
      <c r="Y148" s="311" t="s">
        <v>3125</v>
      </c>
      <c r="Z148" s="309" t="s">
        <v>3112</v>
      </c>
      <c r="AA148" s="367">
        <v>32457</v>
      </c>
    </row>
    <row r="149" spans="17:27" ht="13.8">
      <c r="Q149" s="362">
        <f t="shared" si="2"/>
        <v>143</v>
      </c>
      <c r="R149" s="363" t="s">
        <v>1335</v>
      </c>
      <c r="S149" s="365" t="s">
        <v>1336</v>
      </c>
      <c r="T149" s="364" t="s">
        <v>1074</v>
      </c>
      <c r="U149" s="362" t="s">
        <v>1337</v>
      </c>
      <c r="V149" s="362" t="s">
        <v>1336</v>
      </c>
      <c r="W149" s="365" t="s">
        <v>2888</v>
      </c>
      <c r="X149" s="311" t="s">
        <v>3089</v>
      </c>
      <c r="Y149" s="311" t="s">
        <v>3126</v>
      </c>
      <c r="Z149" s="309" t="s">
        <v>3111</v>
      </c>
      <c r="AA149" s="367">
        <v>6295</v>
      </c>
    </row>
    <row r="150" spans="17:27" ht="13.8">
      <c r="Q150" s="362">
        <f t="shared" si="2"/>
        <v>144</v>
      </c>
      <c r="R150" s="363" t="s">
        <v>1338</v>
      </c>
      <c r="S150" s="365" t="s">
        <v>1336</v>
      </c>
      <c r="T150" s="364" t="s">
        <v>991</v>
      </c>
      <c r="U150" s="362" t="s">
        <v>1339</v>
      </c>
      <c r="V150" s="362" t="s">
        <v>1336</v>
      </c>
      <c r="W150" s="365" t="s">
        <v>2888</v>
      </c>
      <c r="X150" s="311" t="s">
        <v>3089</v>
      </c>
      <c r="Y150" s="311" t="s">
        <v>3125</v>
      </c>
      <c r="Z150" s="309" t="s">
        <v>3109</v>
      </c>
      <c r="AA150" s="367">
        <v>7466</v>
      </c>
    </row>
    <row r="151" spans="17:27" ht="13.8">
      <c r="Q151" s="362">
        <f t="shared" si="2"/>
        <v>145</v>
      </c>
      <c r="R151" s="363" t="s">
        <v>1340</v>
      </c>
      <c r="S151" s="363" t="s">
        <v>1341</v>
      </c>
      <c r="T151" s="364" t="s">
        <v>909</v>
      </c>
      <c r="U151" s="362" t="s">
        <v>1342</v>
      </c>
      <c r="V151" s="362" t="s">
        <v>2646</v>
      </c>
      <c r="W151" s="363" t="s">
        <v>2646</v>
      </c>
      <c r="X151" s="311" t="s">
        <v>3090</v>
      </c>
      <c r="Y151" s="311" t="s">
        <v>3125</v>
      </c>
      <c r="Z151" s="309" t="s">
        <v>3106</v>
      </c>
      <c r="AA151" s="367">
        <v>13835</v>
      </c>
    </row>
    <row r="152" spans="17:27" ht="13.8">
      <c r="Q152" s="362">
        <f t="shared" si="2"/>
        <v>146</v>
      </c>
      <c r="R152" s="363" t="s">
        <v>1343</v>
      </c>
      <c r="S152" s="363" t="s">
        <v>1344</v>
      </c>
      <c r="T152" s="364" t="s">
        <v>1007</v>
      </c>
      <c r="U152" s="362" t="s">
        <v>1345</v>
      </c>
      <c r="V152" s="362" t="s">
        <v>2647</v>
      </c>
      <c r="W152" s="363" t="s">
        <v>2647</v>
      </c>
      <c r="X152" s="311" t="s">
        <v>3090</v>
      </c>
      <c r="Y152" s="311" t="s">
        <v>3125</v>
      </c>
      <c r="Z152" s="309" t="s">
        <v>3106</v>
      </c>
      <c r="AA152" s="367">
        <v>7318</v>
      </c>
    </row>
    <row r="153" spans="17:27" ht="13.8">
      <c r="Q153" s="362">
        <f t="shared" si="2"/>
        <v>147</v>
      </c>
      <c r="R153" s="363" t="s">
        <v>1346</v>
      </c>
      <c r="S153" s="363" t="s">
        <v>1347</v>
      </c>
      <c r="T153" s="364" t="s">
        <v>987</v>
      </c>
      <c r="U153" s="362" t="s">
        <v>1348</v>
      </c>
      <c r="V153" s="362" t="s">
        <v>2648</v>
      </c>
      <c r="W153" s="363" t="s">
        <v>2648</v>
      </c>
      <c r="X153" s="311" t="s">
        <v>3090</v>
      </c>
      <c r="Y153" s="311" t="s">
        <v>3125</v>
      </c>
      <c r="Z153" s="309" t="s">
        <v>3106</v>
      </c>
      <c r="AA153" s="367">
        <v>919</v>
      </c>
    </row>
    <row r="154" spans="17:27" ht="13.8">
      <c r="Q154" s="362">
        <f t="shared" si="2"/>
        <v>148</v>
      </c>
      <c r="R154" s="363" t="s">
        <v>1349</v>
      </c>
      <c r="S154" s="363" t="s">
        <v>1350</v>
      </c>
      <c r="T154" s="364" t="s">
        <v>901</v>
      </c>
      <c r="U154" s="362" t="s">
        <v>1351</v>
      </c>
      <c r="V154" s="362" t="s">
        <v>2649</v>
      </c>
      <c r="W154" s="363" t="s">
        <v>2649</v>
      </c>
      <c r="X154" s="311" t="s">
        <v>3090</v>
      </c>
      <c r="Y154" s="311" t="s">
        <v>3125</v>
      </c>
      <c r="Z154" s="309" t="s">
        <v>3106</v>
      </c>
      <c r="AA154" s="367">
        <v>1329</v>
      </c>
    </row>
    <row r="155" spans="17:27" ht="13.8">
      <c r="Q155" s="362">
        <f t="shared" si="2"/>
        <v>149</v>
      </c>
      <c r="R155" s="363" t="s">
        <v>1352</v>
      </c>
      <c r="S155" s="363" t="s">
        <v>1353</v>
      </c>
      <c r="T155" s="364" t="s">
        <v>970</v>
      </c>
      <c r="U155" s="362" t="s">
        <v>1354</v>
      </c>
      <c r="V155" s="362" t="s">
        <v>2650</v>
      </c>
      <c r="W155" s="363" t="s">
        <v>2650</v>
      </c>
      <c r="X155" s="311" t="s">
        <v>3090</v>
      </c>
      <c r="Y155" s="311" t="s">
        <v>3125</v>
      </c>
      <c r="Z155" s="309" t="s">
        <v>3106</v>
      </c>
      <c r="AA155" s="367">
        <v>540</v>
      </c>
    </row>
    <row r="156" spans="17:27" ht="13.8">
      <c r="Q156" s="362">
        <f t="shared" si="2"/>
        <v>150</v>
      </c>
      <c r="R156" s="363" t="s">
        <v>1355</v>
      </c>
      <c r="S156" s="363" t="s">
        <v>1356</v>
      </c>
      <c r="T156" s="364" t="s">
        <v>1026</v>
      </c>
      <c r="U156" s="362" t="s">
        <v>1357</v>
      </c>
      <c r="V156" s="362" t="s">
        <v>2651</v>
      </c>
      <c r="W156" s="363" t="s">
        <v>2651</v>
      </c>
      <c r="X156" s="311" t="s">
        <v>3090</v>
      </c>
      <c r="Y156" s="311" t="s">
        <v>3125</v>
      </c>
      <c r="Z156" s="309" t="s">
        <v>3106</v>
      </c>
      <c r="AA156" s="367">
        <v>4581</v>
      </c>
    </row>
    <row r="157" spans="17:27" ht="13.8">
      <c r="Q157" s="362">
        <f t="shared" si="2"/>
        <v>151</v>
      </c>
      <c r="R157" s="363" t="s">
        <v>1358</v>
      </c>
      <c r="S157" s="363" t="s">
        <v>1359</v>
      </c>
      <c r="T157" s="364" t="s">
        <v>970</v>
      </c>
      <c r="U157" s="362" t="s">
        <v>1360</v>
      </c>
      <c r="V157" s="362" t="s">
        <v>1359</v>
      </c>
      <c r="W157" s="363" t="s">
        <v>2889</v>
      </c>
      <c r="X157" s="311" t="s">
        <v>3089</v>
      </c>
      <c r="Y157" s="311" t="s">
        <v>3125</v>
      </c>
      <c r="Z157" s="309" t="s">
        <v>3114</v>
      </c>
      <c r="AA157" s="367">
        <v>12109</v>
      </c>
    </row>
    <row r="158" spans="17:27" ht="13.8">
      <c r="Q158" s="362">
        <f t="shared" si="2"/>
        <v>152</v>
      </c>
      <c r="R158" s="363" t="s">
        <v>1361</v>
      </c>
      <c r="S158" s="363" t="s">
        <v>1362</v>
      </c>
      <c r="T158" s="364" t="s">
        <v>1049</v>
      </c>
      <c r="U158" s="362" t="s">
        <v>1363</v>
      </c>
      <c r="V158" s="362" t="s">
        <v>2652</v>
      </c>
      <c r="W158" s="363" t="s">
        <v>2652</v>
      </c>
      <c r="X158" s="311" t="s">
        <v>3090</v>
      </c>
      <c r="Y158" s="311" t="s">
        <v>3125</v>
      </c>
      <c r="Z158" s="309" t="s">
        <v>3106</v>
      </c>
      <c r="AA158" s="367">
        <v>11696</v>
      </c>
    </row>
    <row r="159" spans="17:27" ht="13.8">
      <c r="Q159" s="362">
        <f t="shared" si="2"/>
        <v>153</v>
      </c>
      <c r="R159" s="363" t="s">
        <v>1364</v>
      </c>
      <c r="S159" s="363" t="s">
        <v>1365</v>
      </c>
      <c r="T159" s="364" t="s">
        <v>905</v>
      </c>
      <c r="U159" s="362" t="s">
        <v>1366</v>
      </c>
      <c r="V159" s="362" t="s">
        <v>2653</v>
      </c>
      <c r="W159" s="363" t="s">
        <v>2653</v>
      </c>
      <c r="X159" s="311" t="s">
        <v>3090</v>
      </c>
      <c r="Y159" s="311" t="s">
        <v>3125</v>
      </c>
      <c r="Z159" s="309" t="s">
        <v>3106</v>
      </c>
      <c r="AA159" s="367">
        <v>1885</v>
      </c>
    </row>
    <row r="160" spans="17:27" ht="13.8">
      <c r="Q160" s="362">
        <f t="shared" si="2"/>
        <v>154</v>
      </c>
      <c r="R160" s="363" t="s">
        <v>1367</v>
      </c>
      <c r="S160" s="363" t="s">
        <v>1368</v>
      </c>
      <c r="T160" s="364" t="s">
        <v>909</v>
      </c>
      <c r="U160" s="362" t="s">
        <v>1369</v>
      </c>
      <c r="V160" s="362" t="s">
        <v>2654</v>
      </c>
      <c r="W160" s="363" t="s">
        <v>2654</v>
      </c>
      <c r="X160" s="311" t="s">
        <v>3090</v>
      </c>
      <c r="Y160" s="311" t="s">
        <v>3125</v>
      </c>
      <c r="Z160" s="309" t="s">
        <v>3106</v>
      </c>
      <c r="AA160" s="367">
        <v>35345</v>
      </c>
    </row>
    <row r="161" spans="17:27" ht="13.8">
      <c r="Q161" s="362">
        <f t="shared" si="2"/>
        <v>155</v>
      </c>
      <c r="R161" s="363" t="s">
        <v>1370</v>
      </c>
      <c r="S161" s="363" t="s">
        <v>1371</v>
      </c>
      <c r="T161" s="364" t="s">
        <v>930</v>
      </c>
      <c r="U161" s="362" t="s">
        <v>1372</v>
      </c>
      <c r="V161" s="362" t="s">
        <v>1371</v>
      </c>
      <c r="W161" s="363" t="s">
        <v>2890</v>
      </c>
      <c r="X161" s="311" t="s">
        <v>3089</v>
      </c>
      <c r="Y161" s="311" t="s">
        <v>3126</v>
      </c>
      <c r="Z161" s="309" t="s">
        <v>3108</v>
      </c>
      <c r="AA161" s="367">
        <v>5565</v>
      </c>
    </row>
    <row r="162" spans="17:27" ht="13.8">
      <c r="Q162" s="362">
        <f t="shared" si="2"/>
        <v>156</v>
      </c>
      <c r="R162" s="363" t="s">
        <v>1373</v>
      </c>
      <c r="S162" s="363" t="s">
        <v>1374</v>
      </c>
      <c r="T162" s="364" t="s">
        <v>930</v>
      </c>
      <c r="U162" s="362" t="s">
        <v>1375</v>
      </c>
      <c r="V162" s="362" t="s">
        <v>2655</v>
      </c>
      <c r="W162" s="363" t="s">
        <v>2655</v>
      </c>
      <c r="X162" s="311" t="s">
        <v>3090</v>
      </c>
      <c r="Y162" s="311" t="s">
        <v>3125</v>
      </c>
      <c r="Z162" s="309" t="s">
        <v>3106</v>
      </c>
      <c r="AA162" s="367">
        <v>5045</v>
      </c>
    </row>
    <row r="163" spans="17:27" ht="13.8">
      <c r="Q163" s="362">
        <f t="shared" si="2"/>
        <v>157</v>
      </c>
      <c r="R163" s="363" t="s">
        <v>1376</v>
      </c>
      <c r="S163" s="363" t="s">
        <v>1377</v>
      </c>
      <c r="T163" s="364" t="s">
        <v>909</v>
      </c>
      <c r="U163" s="362" t="s">
        <v>1378</v>
      </c>
      <c r="V163" s="362" t="s">
        <v>2656</v>
      </c>
      <c r="W163" s="363" t="s">
        <v>2656</v>
      </c>
      <c r="X163" s="311" t="s">
        <v>3090</v>
      </c>
      <c r="Y163" s="311" t="s">
        <v>3125</v>
      </c>
      <c r="Z163" s="309" t="s">
        <v>3106</v>
      </c>
      <c r="AA163" s="367">
        <v>10590</v>
      </c>
    </row>
    <row r="164" spans="17:27" ht="13.8">
      <c r="Q164" s="362">
        <f t="shared" si="2"/>
        <v>158</v>
      </c>
      <c r="R164" s="363" t="s">
        <v>1379</v>
      </c>
      <c r="S164" s="363" t="s">
        <v>1380</v>
      </c>
      <c r="T164" s="364" t="s">
        <v>1161</v>
      </c>
      <c r="U164" s="362" t="s">
        <v>1381</v>
      </c>
      <c r="V164" s="362" t="s">
        <v>1380</v>
      </c>
      <c r="W164" s="363" t="s">
        <v>2655</v>
      </c>
      <c r="X164" s="311" t="s">
        <v>3089</v>
      </c>
      <c r="Y164" s="311" t="s">
        <v>3126</v>
      </c>
      <c r="Z164" s="309" t="s">
        <v>3111</v>
      </c>
      <c r="AA164" s="367">
        <v>16820</v>
      </c>
    </row>
    <row r="165" spans="17:27" ht="13.8">
      <c r="Q165" s="362">
        <f t="shared" si="2"/>
        <v>159</v>
      </c>
      <c r="R165" s="363" t="s">
        <v>1382</v>
      </c>
      <c r="S165" s="363" t="s">
        <v>1380</v>
      </c>
      <c r="T165" s="364" t="s">
        <v>1026</v>
      </c>
      <c r="U165" s="362" t="s">
        <v>1383</v>
      </c>
      <c r="V165" s="362" t="s">
        <v>1380</v>
      </c>
      <c r="W165" s="363" t="s">
        <v>2655</v>
      </c>
      <c r="X165" s="311" t="s">
        <v>3089</v>
      </c>
      <c r="Y165" s="311" t="s">
        <v>3126</v>
      </c>
      <c r="Z165" s="309" t="s">
        <v>3111</v>
      </c>
      <c r="AA165" s="367">
        <v>3195</v>
      </c>
    </row>
    <row r="166" spans="17:27" ht="13.8">
      <c r="Q166" s="362">
        <f t="shared" si="2"/>
        <v>160</v>
      </c>
      <c r="R166" s="363" t="s">
        <v>1384</v>
      </c>
      <c r="S166" s="363" t="s">
        <v>1380</v>
      </c>
      <c r="T166" s="364" t="s">
        <v>987</v>
      </c>
      <c r="U166" s="362" t="s">
        <v>1385</v>
      </c>
      <c r="V166" s="362" t="s">
        <v>1380</v>
      </c>
      <c r="W166" s="363" t="s">
        <v>2655</v>
      </c>
      <c r="X166" s="311" t="s">
        <v>3089</v>
      </c>
      <c r="Y166" s="311" t="s">
        <v>3125</v>
      </c>
      <c r="Z166" s="309" t="s">
        <v>3119</v>
      </c>
      <c r="AA166" s="367">
        <v>62300</v>
      </c>
    </row>
    <row r="167" spans="17:27" ht="13.8">
      <c r="Q167" s="362">
        <f t="shared" si="2"/>
        <v>161</v>
      </c>
      <c r="R167" s="363" t="s">
        <v>1386</v>
      </c>
      <c r="S167" s="363" t="s">
        <v>1380</v>
      </c>
      <c r="T167" s="364" t="s">
        <v>923</v>
      </c>
      <c r="U167" s="362" t="s">
        <v>1387</v>
      </c>
      <c r="V167" s="362" t="s">
        <v>1380</v>
      </c>
      <c r="W167" s="363" t="s">
        <v>2655</v>
      </c>
      <c r="X167" s="311" t="s">
        <v>3089</v>
      </c>
      <c r="Y167" s="311" t="s">
        <v>3126</v>
      </c>
      <c r="Z167" s="309" t="s">
        <v>3111</v>
      </c>
      <c r="AA167" s="367">
        <v>3176</v>
      </c>
    </row>
    <row r="168" spans="17:27" ht="13.8">
      <c r="Q168" s="362">
        <f t="shared" si="2"/>
        <v>162</v>
      </c>
      <c r="R168" s="363" t="s">
        <v>1388</v>
      </c>
      <c r="S168" s="363" t="s">
        <v>1389</v>
      </c>
      <c r="T168" s="364" t="s">
        <v>930</v>
      </c>
      <c r="U168" s="362" t="s">
        <v>1390</v>
      </c>
      <c r="V168" s="362" t="s">
        <v>1389</v>
      </c>
      <c r="W168" s="363" t="s">
        <v>2891</v>
      </c>
      <c r="X168" s="311" t="s">
        <v>3089</v>
      </c>
      <c r="Y168" s="311" t="s">
        <v>3126</v>
      </c>
      <c r="Z168" s="309" t="s">
        <v>3111</v>
      </c>
      <c r="AA168" s="367">
        <v>3437</v>
      </c>
    </row>
    <row r="169" spans="17:27" ht="13.8">
      <c r="Q169" s="362">
        <f t="shared" si="2"/>
        <v>163</v>
      </c>
      <c r="R169" s="363" t="s">
        <v>1391</v>
      </c>
      <c r="S169" s="363" t="s">
        <v>1392</v>
      </c>
      <c r="T169" s="364" t="s">
        <v>901</v>
      </c>
      <c r="U169" s="362" t="s">
        <v>1393</v>
      </c>
      <c r="V169" s="362" t="s">
        <v>2657</v>
      </c>
      <c r="W169" s="363" t="s">
        <v>2657</v>
      </c>
      <c r="X169" s="311" t="s">
        <v>3090</v>
      </c>
      <c r="Y169" s="311" t="s">
        <v>3125</v>
      </c>
      <c r="Z169" s="309" t="s">
        <v>3106</v>
      </c>
      <c r="AA169" s="367">
        <v>12052</v>
      </c>
    </row>
    <row r="170" spans="17:27" ht="13.8">
      <c r="Q170" s="362">
        <f t="shared" si="2"/>
        <v>164</v>
      </c>
      <c r="R170" s="363" t="s">
        <v>1394</v>
      </c>
      <c r="S170" s="363" t="s">
        <v>1395</v>
      </c>
      <c r="T170" s="364" t="s">
        <v>901</v>
      </c>
      <c r="U170" s="362" t="s">
        <v>1396</v>
      </c>
      <c r="V170" s="362" t="s">
        <v>1395</v>
      </c>
      <c r="W170" s="363" t="s">
        <v>2657</v>
      </c>
      <c r="X170" s="311" t="s">
        <v>3089</v>
      </c>
      <c r="Y170" s="311" t="s">
        <v>3126</v>
      </c>
      <c r="Z170" s="309" t="s">
        <v>3111</v>
      </c>
      <c r="AA170" s="367">
        <v>36184</v>
      </c>
    </row>
    <row r="171" spans="17:27" ht="13.8">
      <c r="Q171" s="362">
        <f t="shared" si="2"/>
        <v>165</v>
      </c>
      <c r="R171" s="363" t="s">
        <v>1397</v>
      </c>
      <c r="S171" s="363" t="s">
        <v>1398</v>
      </c>
      <c r="T171" s="364" t="s">
        <v>923</v>
      </c>
      <c r="U171" s="362" t="s">
        <v>1399</v>
      </c>
      <c r="V171" s="362" t="s">
        <v>1398</v>
      </c>
      <c r="W171" s="363" t="s">
        <v>2892</v>
      </c>
      <c r="X171" s="311" t="s">
        <v>3089</v>
      </c>
      <c r="Y171" s="311" t="s">
        <v>3126</v>
      </c>
      <c r="Z171" s="309" t="s">
        <v>3108</v>
      </c>
      <c r="AA171" s="367">
        <v>2230</v>
      </c>
    </row>
    <row r="172" spans="17:27" ht="13.8">
      <c r="Q172" s="362">
        <f t="shared" si="2"/>
        <v>166</v>
      </c>
      <c r="R172" s="363" t="s">
        <v>1400</v>
      </c>
      <c r="S172" s="363" t="s">
        <v>1401</v>
      </c>
      <c r="T172" s="364" t="s">
        <v>1026</v>
      </c>
      <c r="U172" s="362" t="s">
        <v>1402</v>
      </c>
      <c r="V172" s="362" t="s">
        <v>2658</v>
      </c>
      <c r="W172" s="363" t="s">
        <v>2658</v>
      </c>
      <c r="X172" s="311" t="s">
        <v>3090</v>
      </c>
      <c r="Y172" s="311" t="s">
        <v>3125</v>
      </c>
      <c r="Z172" s="309" t="s">
        <v>3106</v>
      </c>
      <c r="AA172" s="367">
        <v>1373</v>
      </c>
    </row>
    <row r="173" spans="17:27" ht="13.8">
      <c r="Q173" s="362">
        <f t="shared" si="2"/>
        <v>167</v>
      </c>
      <c r="R173" s="363" t="s">
        <v>1403</v>
      </c>
      <c r="S173" s="363" t="s">
        <v>1404</v>
      </c>
      <c r="T173" s="364" t="s">
        <v>905</v>
      </c>
      <c r="U173" s="362" t="s">
        <v>1405</v>
      </c>
      <c r="V173" s="362" t="s">
        <v>1404</v>
      </c>
      <c r="W173" s="363" t="s">
        <v>2893</v>
      </c>
      <c r="X173" s="311" t="s">
        <v>3089</v>
      </c>
      <c r="Y173" s="311" t="s">
        <v>3125</v>
      </c>
      <c r="Z173" s="309" t="s">
        <v>3115</v>
      </c>
      <c r="AA173" s="367">
        <v>37349</v>
      </c>
    </row>
    <row r="174" spans="17:27" ht="13.8">
      <c r="Q174" s="362">
        <f t="shared" si="2"/>
        <v>168</v>
      </c>
      <c r="R174" s="363" t="s">
        <v>1406</v>
      </c>
      <c r="S174" s="363" t="s">
        <v>1407</v>
      </c>
      <c r="T174" s="364" t="s">
        <v>909</v>
      </c>
      <c r="U174" s="362" t="s">
        <v>1408</v>
      </c>
      <c r="V174" s="362" t="s">
        <v>3045</v>
      </c>
      <c r="W174" s="363" t="s">
        <v>3045</v>
      </c>
      <c r="X174" s="311" t="s">
        <v>3091</v>
      </c>
      <c r="Y174" s="311" t="s">
        <v>3125</v>
      </c>
      <c r="Z174" s="309" t="s">
        <v>3112</v>
      </c>
      <c r="AA174" s="367">
        <v>30487</v>
      </c>
    </row>
    <row r="175" spans="17:27" ht="13.8">
      <c r="Q175" s="362">
        <f t="shared" si="2"/>
        <v>169</v>
      </c>
      <c r="R175" s="363" t="s">
        <v>1409</v>
      </c>
      <c r="S175" s="363" t="s">
        <v>1410</v>
      </c>
      <c r="T175" s="364" t="s">
        <v>1007</v>
      </c>
      <c r="U175" s="362" t="s">
        <v>1411</v>
      </c>
      <c r="V175" s="362" t="s">
        <v>2659</v>
      </c>
      <c r="W175" s="363" t="s">
        <v>2659</v>
      </c>
      <c r="X175" s="311" t="s">
        <v>3090</v>
      </c>
      <c r="Y175" s="311" t="s">
        <v>3125</v>
      </c>
      <c r="Z175" s="309" t="s">
        <v>3106</v>
      </c>
      <c r="AA175" s="367">
        <v>4226</v>
      </c>
    </row>
    <row r="176" spans="17:27" ht="13.8">
      <c r="Q176" s="362">
        <f t="shared" si="2"/>
        <v>170</v>
      </c>
      <c r="R176" s="363" t="s">
        <v>1412</v>
      </c>
      <c r="S176" s="363" t="s">
        <v>1413</v>
      </c>
      <c r="T176" s="364" t="s">
        <v>946</v>
      </c>
      <c r="U176" s="362" t="s">
        <v>1414</v>
      </c>
      <c r="V176" s="362" t="s">
        <v>2660</v>
      </c>
      <c r="W176" s="363" t="s">
        <v>2660</v>
      </c>
      <c r="X176" s="311" t="s">
        <v>3090</v>
      </c>
      <c r="Y176" s="311" t="s">
        <v>3125</v>
      </c>
      <c r="Z176" s="309" t="s">
        <v>3106</v>
      </c>
      <c r="AA176" s="367">
        <v>2274</v>
      </c>
    </row>
    <row r="177" spans="17:27" ht="13.8">
      <c r="Q177" s="362">
        <f t="shared" si="2"/>
        <v>171</v>
      </c>
      <c r="R177" s="363" t="s">
        <v>1415</v>
      </c>
      <c r="S177" s="363" t="s">
        <v>1416</v>
      </c>
      <c r="T177" s="364" t="s">
        <v>1161</v>
      </c>
      <c r="U177" s="362" t="s">
        <v>1417</v>
      </c>
      <c r="V177" s="362" t="s">
        <v>2661</v>
      </c>
      <c r="W177" s="363" t="s">
        <v>2661</v>
      </c>
      <c r="X177" s="311" t="s">
        <v>3090</v>
      </c>
      <c r="Y177" s="311" t="s">
        <v>3125</v>
      </c>
      <c r="Z177" s="309" t="s">
        <v>3106</v>
      </c>
      <c r="AA177" s="367">
        <v>18579</v>
      </c>
    </row>
    <row r="178" spans="17:27" ht="13.8">
      <c r="Q178" s="362">
        <f t="shared" si="2"/>
        <v>172</v>
      </c>
      <c r="R178" s="363" t="s">
        <v>1418</v>
      </c>
      <c r="S178" s="363" t="s">
        <v>1419</v>
      </c>
      <c r="T178" s="364" t="s">
        <v>1026</v>
      </c>
      <c r="U178" s="362" t="s">
        <v>1420</v>
      </c>
      <c r="V178" s="362" t="s">
        <v>2662</v>
      </c>
      <c r="W178" s="363" t="s">
        <v>2662</v>
      </c>
      <c r="X178" s="311" t="s">
        <v>3090</v>
      </c>
      <c r="Y178" s="311" t="s">
        <v>3125</v>
      </c>
      <c r="Z178" s="309" t="s">
        <v>3106</v>
      </c>
      <c r="AA178" s="367">
        <v>1704</v>
      </c>
    </row>
    <row r="179" spans="17:27" ht="13.8">
      <c r="Q179" s="362">
        <f t="shared" si="2"/>
        <v>173</v>
      </c>
      <c r="R179" s="363" t="s">
        <v>1421</v>
      </c>
      <c r="S179" s="363" t="s">
        <v>1422</v>
      </c>
      <c r="T179" s="364" t="s">
        <v>991</v>
      </c>
      <c r="U179" s="362" t="s">
        <v>1423</v>
      </c>
      <c r="V179" s="362" t="s">
        <v>2663</v>
      </c>
      <c r="W179" s="363" t="s">
        <v>2663</v>
      </c>
      <c r="X179" s="311" t="s">
        <v>3090</v>
      </c>
      <c r="Y179" s="311" t="s">
        <v>3125</v>
      </c>
      <c r="Z179" s="309" t="s">
        <v>3106</v>
      </c>
      <c r="AA179" s="367">
        <v>7527</v>
      </c>
    </row>
    <row r="180" spans="17:27" ht="13.8">
      <c r="Q180" s="362">
        <f t="shared" si="2"/>
        <v>174</v>
      </c>
      <c r="R180" s="363" t="s">
        <v>1424</v>
      </c>
      <c r="S180" s="363" t="s">
        <v>1425</v>
      </c>
      <c r="T180" s="364" t="s">
        <v>909</v>
      </c>
      <c r="U180" s="362" t="s">
        <v>1426</v>
      </c>
      <c r="V180" s="362" t="s">
        <v>2664</v>
      </c>
      <c r="W180" s="363" t="s">
        <v>2664</v>
      </c>
      <c r="X180" s="311" t="s">
        <v>3090</v>
      </c>
      <c r="Y180" s="311" t="s">
        <v>3125</v>
      </c>
      <c r="Z180" s="309" t="s">
        <v>3106</v>
      </c>
      <c r="AA180" s="367">
        <v>11601</v>
      </c>
    </row>
    <row r="181" spans="17:27" ht="13.8">
      <c r="Q181" s="362">
        <f t="shared" si="2"/>
        <v>175</v>
      </c>
      <c r="R181" s="363" t="s">
        <v>1427</v>
      </c>
      <c r="S181" s="363" t="s">
        <v>1428</v>
      </c>
      <c r="T181" s="364" t="s">
        <v>946</v>
      </c>
      <c r="U181" s="362" t="s">
        <v>1429</v>
      </c>
      <c r="V181" s="362" t="s">
        <v>3085</v>
      </c>
      <c r="W181" s="363" t="s">
        <v>3085</v>
      </c>
      <c r="X181" s="311" t="s">
        <v>3091</v>
      </c>
      <c r="Y181" s="311" t="s">
        <v>3125</v>
      </c>
      <c r="Z181" s="309" t="s">
        <v>3106</v>
      </c>
      <c r="AA181" s="367">
        <v>11456</v>
      </c>
    </row>
    <row r="182" spans="17:27" ht="13.8">
      <c r="Q182" s="362">
        <f t="shared" si="2"/>
        <v>176</v>
      </c>
      <c r="R182" s="363" t="s">
        <v>1430</v>
      </c>
      <c r="S182" s="363" t="s">
        <v>1431</v>
      </c>
      <c r="T182" s="364" t="s">
        <v>946</v>
      </c>
      <c r="U182" s="362" t="s">
        <v>1432</v>
      </c>
      <c r="V182" s="362" t="s">
        <v>1431</v>
      </c>
      <c r="W182" s="363" t="s">
        <v>1161</v>
      </c>
      <c r="X182" s="311" t="s">
        <v>3089</v>
      </c>
      <c r="Y182" s="311" t="s">
        <v>3125</v>
      </c>
      <c r="Z182" s="309" t="s">
        <v>3107</v>
      </c>
      <c r="AA182" s="367">
        <v>64634</v>
      </c>
    </row>
    <row r="183" spans="17:27" ht="13.8">
      <c r="Q183" s="362">
        <f t="shared" si="2"/>
        <v>177</v>
      </c>
      <c r="R183" s="363" t="s">
        <v>1433</v>
      </c>
      <c r="S183" s="363" t="s">
        <v>1434</v>
      </c>
      <c r="T183" s="364" t="s">
        <v>987</v>
      </c>
      <c r="U183" s="362" t="s">
        <v>1435</v>
      </c>
      <c r="V183" s="362" t="s">
        <v>1434</v>
      </c>
      <c r="W183" s="363" t="s">
        <v>2894</v>
      </c>
      <c r="X183" s="311" t="s">
        <v>3089</v>
      </c>
      <c r="Y183" s="311" t="s">
        <v>3126</v>
      </c>
      <c r="Z183" s="309" t="s">
        <v>3111</v>
      </c>
      <c r="AA183" s="367">
        <v>7203</v>
      </c>
    </row>
    <row r="184" spans="17:27" ht="13.8">
      <c r="Q184" s="362">
        <f t="shared" si="2"/>
        <v>178</v>
      </c>
      <c r="R184" s="363" t="s">
        <v>1436</v>
      </c>
      <c r="S184" s="363" t="s">
        <v>1437</v>
      </c>
      <c r="T184" s="364" t="s">
        <v>930</v>
      </c>
      <c r="U184" s="362" t="s">
        <v>1438</v>
      </c>
      <c r="V184" s="362" t="s">
        <v>1437</v>
      </c>
      <c r="W184" s="363" t="s">
        <v>2895</v>
      </c>
      <c r="X184" s="311" t="s">
        <v>3089</v>
      </c>
      <c r="Y184" s="311" t="s">
        <v>3126</v>
      </c>
      <c r="Z184" s="309" t="s">
        <v>3111</v>
      </c>
      <c r="AA184" s="367">
        <v>3601</v>
      </c>
    </row>
    <row r="185" spans="17:27" ht="13.8">
      <c r="Q185" s="362">
        <f t="shared" si="2"/>
        <v>179</v>
      </c>
      <c r="R185" s="363" t="s">
        <v>1439</v>
      </c>
      <c r="S185" s="363" t="s">
        <v>1440</v>
      </c>
      <c r="T185" s="364" t="s">
        <v>1074</v>
      </c>
      <c r="U185" s="362" t="s">
        <v>1441</v>
      </c>
      <c r="V185" s="362" t="s">
        <v>1440</v>
      </c>
      <c r="W185" s="363" t="s">
        <v>2896</v>
      </c>
      <c r="X185" s="311" t="s">
        <v>3089</v>
      </c>
      <c r="Y185" s="311" t="s">
        <v>3126</v>
      </c>
      <c r="Z185" s="309" t="s">
        <v>3108</v>
      </c>
      <c r="AA185" s="367">
        <v>804</v>
      </c>
    </row>
    <row r="186" spans="17:27" ht="13.8">
      <c r="Q186" s="362">
        <f t="shared" si="2"/>
        <v>180</v>
      </c>
      <c r="R186" s="363" t="s">
        <v>1442</v>
      </c>
      <c r="S186" s="363" t="s">
        <v>1440</v>
      </c>
      <c r="T186" s="364" t="s">
        <v>1161</v>
      </c>
      <c r="U186" s="362" t="s">
        <v>1443</v>
      </c>
      <c r="V186" s="362" t="s">
        <v>1440</v>
      </c>
      <c r="W186" s="363" t="s">
        <v>2896</v>
      </c>
      <c r="X186" s="311" t="s">
        <v>3089</v>
      </c>
      <c r="Y186" s="311" t="s">
        <v>3125</v>
      </c>
      <c r="Z186" s="309" t="s">
        <v>3109</v>
      </c>
      <c r="AA186" s="367">
        <v>4899</v>
      </c>
    </row>
    <row r="187" spans="17:27" ht="13.8">
      <c r="Q187" s="362">
        <f t="shared" si="2"/>
        <v>181</v>
      </c>
      <c r="R187" s="363" t="s">
        <v>1444</v>
      </c>
      <c r="S187" s="363" t="s">
        <v>1440</v>
      </c>
      <c r="T187" s="364" t="s">
        <v>923</v>
      </c>
      <c r="U187" s="362" t="s">
        <v>1445</v>
      </c>
      <c r="V187" s="362" t="s">
        <v>1440</v>
      </c>
      <c r="W187" s="363" t="s">
        <v>2896</v>
      </c>
      <c r="X187" s="311" t="s">
        <v>3089</v>
      </c>
      <c r="Y187" s="311" t="s">
        <v>3126</v>
      </c>
      <c r="Z187" s="309" t="s">
        <v>3111</v>
      </c>
      <c r="AA187" s="367">
        <v>5712</v>
      </c>
    </row>
    <row r="188" spans="17:27" ht="13.8">
      <c r="Q188" s="362">
        <f t="shared" si="2"/>
        <v>182</v>
      </c>
      <c r="R188" s="363" t="s">
        <v>1446</v>
      </c>
      <c r="S188" s="363" t="s">
        <v>1447</v>
      </c>
      <c r="T188" s="364" t="s">
        <v>977</v>
      </c>
      <c r="U188" s="362" t="s">
        <v>1448</v>
      </c>
      <c r="V188" s="362" t="s">
        <v>3075</v>
      </c>
      <c r="W188" s="363" t="s">
        <v>3075</v>
      </c>
      <c r="X188" s="311" t="s">
        <v>2584</v>
      </c>
      <c r="Y188" s="311" t="s">
        <v>3125</v>
      </c>
      <c r="Z188" s="309" t="s">
        <v>3114</v>
      </c>
      <c r="AA188" s="367">
        <v>11176</v>
      </c>
    </row>
    <row r="189" spans="17:27" ht="13.8">
      <c r="Q189" s="362">
        <f t="shared" si="2"/>
        <v>183</v>
      </c>
      <c r="R189" s="363" t="s">
        <v>1449</v>
      </c>
      <c r="S189" s="363" t="s">
        <v>1450</v>
      </c>
      <c r="T189" s="364" t="s">
        <v>909</v>
      </c>
      <c r="U189" s="362" t="s">
        <v>1451</v>
      </c>
      <c r="V189" s="362" t="s">
        <v>3046</v>
      </c>
      <c r="W189" s="363" t="s">
        <v>3046</v>
      </c>
      <c r="X189" s="311" t="s">
        <v>3091</v>
      </c>
      <c r="Y189" s="311" t="s">
        <v>3125</v>
      </c>
      <c r="Z189" s="309" t="s">
        <v>3112</v>
      </c>
      <c r="AA189" s="367">
        <v>43010</v>
      </c>
    </row>
    <row r="190" spans="17:27" ht="13.8">
      <c r="Q190" s="362">
        <f t="shared" si="2"/>
        <v>184</v>
      </c>
      <c r="R190" s="363" t="s">
        <v>1452</v>
      </c>
      <c r="S190" s="363" t="s">
        <v>1453</v>
      </c>
      <c r="T190" s="364" t="s">
        <v>923</v>
      </c>
      <c r="U190" s="362" t="s">
        <v>1454</v>
      </c>
      <c r="V190" s="362" t="s">
        <v>3076</v>
      </c>
      <c r="W190" s="363" t="s">
        <v>3076</v>
      </c>
      <c r="X190" s="311" t="s">
        <v>2584</v>
      </c>
      <c r="Y190" s="311" t="s">
        <v>3125</v>
      </c>
      <c r="Z190" s="309" t="s">
        <v>3106</v>
      </c>
      <c r="AA190" s="367">
        <v>9724</v>
      </c>
    </row>
    <row r="191" spans="17:27" ht="13.8">
      <c r="Q191" s="362">
        <f t="shared" si="2"/>
        <v>185</v>
      </c>
      <c r="R191" s="363" t="s">
        <v>1455</v>
      </c>
      <c r="S191" s="363" t="s">
        <v>1456</v>
      </c>
      <c r="T191" s="364" t="s">
        <v>946</v>
      </c>
      <c r="U191" s="362" t="s">
        <v>1457</v>
      </c>
      <c r="V191" s="362" t="s">
        <v>2665</v>
      </c>
      <c r="W191" s="363" t="s">
        <v>2665</v>
      </c>
      <c r="X191" s="311" t="s">
        <v>3090</v>
      </c>
      <c r="Y191" s="311" t="s">
        <v>3125</v>
      </c>
      <c r="Z191" s="309" t="s">
        <v>3106</v>
      </c>
      <c r="AA191" s="367">
        <v>7473</v>
      </c>
    </row>
    <row r="192" spans="17:27" ht="13.8">
      <c r="Q192" s="362">
        <f t="shared" si="2"/>
        <v>186</v>
      </c>
      <c r="R192" s="363" t="s">
        <v>1458</v>
      </c>
      <c r="S192" s="363" t="s">
        <v>1459</v>
      </c>
      <c r="T192" s="364" t="s">
        <v>946</v>
      </c>
      <c r="U192" s="362" t="s">
        <v>1460</v>
      </c>
      <c r="V192" s="362" t="s">
        <v>1459</v>
      </c>
      <c r="W192" s="363" t="s">
        <v>2897</v>
      </c>
      <c r="X192" s="311" t="s">
        <v>3089</v>
      </c>
      <c r="Y192" s="311" t="s">
        <v>3127</v>
      </c>
      <c r="Z192" s="309" t="s">
        <v>3110</v>
      </c>
      <c r="AA192" s="367">
        <v>14707</v>
      </c>
    </row>
    <row r="193" spans="17:27" ht="13.8">
      <c r="Q193" s="362">
        <f t="shared" si="2"/>
        <v>187</v>
      </c>
      <c r="R193" s="363" t="s">
        <v>1461</v>
      </c>
      <c r="S193" s="363" t="s">
        <v>1462</v>
      </c>
      <c r="T193" s="364" t="s">
        <v>946</v>
      </c>
      <c r="U193" s="362" t="s">
        <v>1463</v>
      </c>
      <c r="V193" s="362" t="s">
        <v>2666</v>
      </c>
      <c r="W193" s="363" t="s">
        <v>2666</v>
      </c>
      <c r="X193" s="311" t="s">
        <v>3090</v>
      </c>
      <c r="Y193" s="311" t="s">
        <v>3127</v>
      </c>
      <c r="Z193" s="309" t="s">
        <v>3110</v>
      </c>
      <c r="AA193" s="367">
        <v>11593</v>
      </c>
    </row>
    <row r="194" spans="17:27" ht="13.8">
      <c r="Q194" s="362">
        <f t="shared" si="2"/>
        <v>188</v>
      </c>
      <c r="R194" s="363" t="s">
        <v>1464</v>
      </c>
      <c r="S194" s="363" t="s">
        <v>1465</v>
      </c>
      <c r="T194" s="364" t="s">
        <v>970</v>
      </c>
      <c r="U194" s="362" t="s">
        <v>1466</v>
      </c>
      <c r="V194" s="362" t="s">
        <v>1465</v>
      </c>
      <c r="W194" s="363" t="s">
        <v>2898</v>
      </c>
      <c r="X194" s="311" t="s">
        <v>3089</v>
      </c>
      <c r="Y194" s="311" t="s">
        <v>3126</v>
      </c>
      <c r="Z194" s="309" t="s">
        <v>3111</v>
      </c>
      <c r="AA194" s="367">
        <v>6110</v>
      </c>
    </row>
    <row r="195" spans="17:27" ht="13.8">
      <c r="Q195" s="362">
        <f t="shared" si="2"/>
        <v>189</v>
      </c>
      <c r="R195" s="363" t="s">
        <v>1467</v>
      </c>
      <c r="S195" s="363" t="s">
        <v>1468</v>
      </c>
      <c r="T195" s="364" t="s">
        <v>1039</v>
      </c>
      <c r="U195" s="362" t="s">
        <v>1469</v>
      </c>
      <c r="V195" s="362" t="s">
        <v>2667</v>
      </c>
      <c r="W195" s="363" t="s">
        <v>2667</v>
      </c>
      <c r="X195" s="311" t="s">
        <v>3090</v>
      </c>
      <c r="Y195" s="311" t="s">
        <v>3125</v>
      </c>
      <c r="Z195" s="309" t="s">
        <v>3106</v>
      </c>
      <c r="AA195" s="367">
        <v>8318</v>
      </c>
    </row>
    <row r="196" spans="17:27" ht="13.8">
      <c r="Q196" s="362">
        <f t="shared" si="2"/>
        <v>190</v>
      </c>
      <c r="R196" s="363" t="s">
        <v>1470</v>
      </c>
      <c r="S196" s="363" t="s">
        <v>1471</v>
      </c>
      <c r="T196" s="364" t="s">
        <v>930</v>
      </c>
      <c r="U196" s="362" t="s">
        <v>1472</v>
      </c>
      <c r="V196" s="362" t="s">
        <v>2668</v>
      </c>
      <c r="W196" s="363" t="s">
        <v>2668</v>
      </c>
      <c r="X196" s="311" t="s">
        <v>3090</v>
      </c>
      <c r="Y196" s="311" t="s">
        <v>3125</v>
      </c>
      <c r="Z196" s="309" t="s">
        <v>3106</v>
      </c>
      <c r="AA196" s="367">
        <v>3277</v>
      </c>
    </row>
    <row r="197" spans="17:27" ht="13.8">
      <c r="Q197" s="362">
        <f t="shared" si="2"/>
        <v>191</v>
      </c>
      <c r="R197" s="363" t="s">
        <v>1473</v>
      </c>
      <c r="S197" s="363" t="s">
        <v>1474</v>
      </c>
      <c r="T197" s="364" t="s">
        <v>905</v>
      </c>
      <c r="U197" s="362" t="s">
        <v>1475</v>
      </c>
      <c r="V197" s="362" t="s">
        <v>1474</v>
      </c>
      <c r="W197" s="363" t="s">
        <v>2899</v>
      </c>
      <c r="X197" s="311" t="s">
        <v>3089</v>
      </c>
      <c r="Y197" s="311" t="s">
        <v>3126</v>
      </c>
      <c r="Z197" s="309" t="s">
        <v>3111</v>
      </c>
      <c r="AA197" s="367">
        <v>26503</v>
      </c>
    </row>
    <row r="198" spans="17:27" ht="13.8">
      <c r="Q198" s="362">
        <f t="shared" si="2"/>
        <v>192</v>
      </c>
      <c r="R198" s="363" t="s">
        <v>1476</v>
      </c>
      <c r="S198" s="363" t="s">
        <v>1474</v>
      </c>
      <c r="T198" s="364" t="s">
        <v>1267</v>
      </c>
      <c r="U198" s="362" t="s">
        <v>1477</v>
      </c>
      <c r="V198" s="362" t="s">
        <v>1474</v>
      </c>
      <c r="W198" s="363" t="s">
        <v>2899</v>
      </c>
      <c r="X198" s="311" t="s">
        <v>3089</v>
      </c>
      <c r="Y198" s="311" t="s">
        <v>3125</v>
      </c>
      <c r="Z198" s="309" t="s">
        <v>3114</v>
      </c>
      <c r="AA198" s="367">
        <v>88464</v>
      </c>
    </row>
    <row r="199" spans="17:27" ht="13.8">
      <c r="Q199" s="362">
        <f t="shared" si="2"/>
        <v>193</v>
      </c>
      <c r="R199" s="363" t="s">
        <v>1478</v>
      </c>
      <c r="S199" s="363" t="s">
        <v>1479</v>
      </c>
      <c r="T199" s="364" t="s">
        <v>905</v>
      </c>
      <c r="U199" s="362" t="s">
        <v>1480</v>
      </c>
      <c r="V199" s="362" t="s">
        <v>1479</v>
      </c>
      <c r="W199" s="363" t="s">
        <v>2900</v>
      </c>
      <c r="X199" s="311" t="s">
        <v>3089</v>
      </c>
      <c r="Y199" s="311" t="s">
        <v>3125</v>
      </c>
      <c r="Z199" s="309" t="s">
        <v>3106</v>
      </c>
      <c r="AA199" s="367">
        <v>14791</v>
      </c>
    </row>
    <row r="200" spans="17:27" ht="13.8">
      <c r="Q200" s="362">
        <f t="shared" si="2"/>
        <v>194</v>
      </c>
      <c r="R200" s="363" t="s">
        <v>1481</v>
      </c>
      <c r="S200" s="363" t="s">
        <v>1482</v>
      </c>
      <c r="T200" s="364" t="s">
        <v>1026</v>
      </c>
      <c r="U200" s="362" t="s">
        <v>1483</v>
      </c>
      <c r="V200" s="362" t="s">
        <v>2669</v>
      </c>
      <c r="W200" s="363" t="s">
        <v>2669</v>
      </c>
      <c r="X200" s="311" t="s">
        <v>3090</v>
      </c>
      <c r="Y200" s="311" t="s">
        <v>3125</v>
      </c>
      <c r="Z200" s="309" t="s">
        <v>3106</v>
      </c>
      <c r="AA200" s="367">
        <v>1401</v>
      </c>
    </row>
    <row r="201" spans="17:27" ht="13.8">
      <c r="Q201" s="362">
        <f t="shared" ref="Q201:Q264" si="3">Q200+1</f>
        <v>195</v>
      </c>
      <c r="R201" s="363" t="s">
        <v>1484</v>
      </c>
      <c r="S201" s="363" t="s">
        <v>1485</v>
      </c>
      <c r="T201" s="364" t="s">
        <v>930</v>
      </c>
      <c r="U201" s="362" t="s">
        <v>1486</v>
      </c>
      <c r="V201" s="362" t="s">
        <v>1485</v>
      </c>
      <c r="W201" s="363" t="s">
        <v>2669</v>
      </c>
      <c r="X201" s="311" t="s">
        <v>3089</v>
      </c>
      <c r="Y201" s="311" t="s">
        <v>3126</v>
      </c>
      <c r="Z201" s="309" t="s">
        <v>3111</v>
      </c>
      <c r="AA201" s="367">
        <v>5196</v>
      </c>
    </row>
    <row r="202" spans="17:27" ht="13.8">
      <c r="Q202" s="362">
        <f t="shared" si="3"/>
        <v>196</v>
      </c>
      <c r="R202" s="363" t="s">
        <v>1487</v>
      </c>
      <c r="S202" s="363" t="s">
        <v>1488</v>
      </c>
      <c r="T202" s="364" t="s">
        <v>1049</v>
      </c>
      <c r="U202" s="362" t="s">
        <v>1489</v>
      </c>
      <c r="V202" s="362" t="s">
        <v>1488</v>
      </c>
      <c r="W202" s="363" t="s">
        <v>2901</v>
      </c>
      <c r="X202" s="311" t="s">
        <v>3089</v>
      </c>
      <c r="Y202" s="311" t="s">
        <v>3126</v>
      </c>
      <c r="Z202" s="309" t="s">
        <v>3111</v>
      </c>
      <c r="AA202" s="367">
        <v>13712</v>
      </c>
    </row>
    <row r="203" spans="17:27" ht="13.8">
      <c r="Q203" s="362">
        <f t="shared" si="3"/>
        <v>197</v>
      </c>
      <c r="R203" s="363" t="s">
        <v>1490</v>
      </c>
      <c r="S203" s="363" t="s">
        <v>1491</v>
      </c>
      <c r="T203" s="364" t="s">
        <v>1049</v>
      </c>
      <c r="U203" s="362" t="s">
        <v>1492</v>
      </c>
      <c r="V203" s="362" t="s">
        <v>1491</v>
      </c>
      <c r="W203" s="363" t="s">
        <v>2902</v>
      </c>
      <c r="X203" s="311" t="s">
        <v>3089</v>
      </c>
      <c r="Y203" s="311" t="s">
        <v>3126</v>
      </c>
      <c r="Z203" s="309" t="s">
        <v>3111</v>
      </c>
      <c r="AA203" s="367">
        <v>3838</v>
      </c>
    </row>
    <row r="204" spans="17:27" ht="13.8">
      <c r="Q204" s="362">
        <f t="shared" si="3"/>
        <v>198</v>
      </c>
      <c r="R204" s="363" t="s">
        <v>1493</v>
      </c>
      <c r="S204" s="363" t="s">
        <v>1494</v>
      </c>
      <c r="T204" s="364" t="s">
        <v>923</v>
      </c>
      <c r="U204" s="362" t="s">
        <v>1495</v>
      </c>
      <c r="V204" s="362" t="s">
        <v>1494</v>
      </c>
      <c r="W204" s="363" t="s">
        <v>2903</v>
      </c>
      <c r="X204" s="311" t="s">
        <v>3089</v>
      </c>
      <c r="Y204" s="311" t="s">
        <v>3126</v>
      </c>
      <c r="Z204" s="309" t="s">
        <v>3108</v>
      </c>
      <c r="AA204" s="367">
        <v>1696</v>
      </c>
    </row>
    <row r="205" spans="17:27" ht="13.8">
      <c r="Q205" s="362">
        <f t="shared" si="3"/>
        <v>199</v>
      </c>
      <c r="R205" s="363" t="s">
        <v>1496</v>
      </c>
      <c r="S205" s="363" t="s">
        <v>1497</v>
      </c>
      <c r="T205" s="364" t="s">
        <v>930</v>
      </c>
      <c r="U205" s="362" t="s">
        <v>1498</v>
      </c>
      <c r="V205" s="362" t="s">
        <v>1497</v>
      </c>
      <c r="W205" s="363" t="s">
        <v>2904</v>
      </c>
      <c r="X205" s="311" t="s">
        <v>3089</v>
      </c>
      <c r="Y205" s="311" t="s">
        <v>3125</v>
      </c>
      <c r="Z205" s="309" t="s">
        <v>3112</v>
      </c>
      <c r="AA205" s="367">
        <v>8213</v>
      </c>
    </row>
    <row r="206" spans="17:27" ht="13.8">
      <c r="Q206" s="362">
        <f t="shared" si="3"/>
        <v>200</v>
      </c>
      <c r="R206" s="363" t="s">
        <v>1499</v>
      </c>
      <c r="S206" s="363" t="s">
        <v>1500</v>
      </c>
      <c r="T206" s="364" t="s">
        <v>923</v>
      </c>
      <c r="U206" s="362" t="s">
        <v>1501</v>
      </c>
      <c r="V206" s="362" t="s">
        <v>1500</v>
      </c>
      <c r="W206" s="363" t="s">
        <v>2905</v>
      </c>
      <c r="X206" s="311" t="s">
        <v>3089</v>
      </c>
      <c r="Y206" s="311" t="s">
        <v>3126</v>
      </c>
      <c r="Z206" s="309" t="s">
        <v>3108</v>
      </c>
      <c r="AA206" s="367">
        <v>2667</v>
      </c>
    </row>
    <row r="207" spans="17:27" ht="13.8">
      <c r="Q207" s="362">
        <f t="shared" si="3"/>
        <v>201</v>
      </c>
      <c r="R207" s="363" t="s">
        <v>1502</v>
      </c>
      <c r="S207" s="363" t="s">
        <v>1503</v>
      </c>
      <c r="T207" s="364" t="s">
        <v>909</v>
      </c>
      <c r="U207" s="362" t="s">
        <v>1504</v>
      </c>
      <c r="V207" s="362" t="s">
        <v>2670</v>
      </c>
      <c r="W207" s="363" t="s">
        <v>2670</v>
      </c>
      <c r="X207" s="311" t="s">
        <v>3090</v>
      </c>
      <c r="Y207" s="311" t="s">
        <v>3125</v>
      </c>
      <c r="Z207" s="309" t="s">
        <v>3106</v>
      </c>
      <c r="AA207" s="367">
        <v>4664</v>
      </c>
    </row>
    <row r="208" spans="17:27" ht="13.8">
      <c r="Q208" s="362">
        <f t="shared" si="3"/>
        <v>202</v>
      </c>
      <c r="R208" s="363" t="s">
        <v>1505</v>
      </c>
      <c r="S208" s="363" t="s">
        <v>1506</v>
      </c>
      <c r="T208" s="364" t="s">
        <v>977</v>
      </c>
      <c r="U208" s="362" t="s">
        <v>1507</v>
      </c>
      <c r="V208" s="362" t="s">
        <v>2906</v>
      </c>
      <c r="W208" s="363" t="s">
        <v>2906</v>
      </c>
      <c r="X208" s="311" t="s">
        <v>2584</v>
      </c>
      <c r="Y208" s="311" t="s">
        <v>3125</v>
      </c>
      <c r="Z208" s="309" t="s">
        <v>3119</v>
      </c>
      <c r="AA208" s="367">
        <v>13620</v>
      </c>
    </row>
    <row r="209" spans="17:27" ht="13.8">
      <c r="Q209" s="362">
        <f t="shared" si="3"/>
        <v>203</v>
      </c>
      <c r="R209" s="363" t="s">
        <v>1508</v>
      </c>
      <c r="S209" s="363" t="s">
        <v>1509</v>
      </c>
      <c r="T209" s="364" t="s">
        <v>1161</v>
      </c>
      <c r="U209" s="362" t="s">
        <v>1510</v>
      </c>
      <c r="V209" s="362" t="s">
        <v>1509</v>
      </c>
      <c r="W209" s="363" t="s">
        <v>2906</v>
      </c>
      <c r="X209" s="311" t="s">
        <v>3089</v>
      </c>
      <c r="Y209" s="311" t="s">
        <v>3126</v>
      </c>
      <c r="Z209" s="309" t="s">
        <v>3111</v>
      </c>
      <c r="AA209" s="367">
        <v>12417</v>
      </c>
    </row>
    <row r="210" spans="17:27" ht="13.8">
      <c r="Q210" s="362">
        <f t="shared" si="3"/>
        <v>204</v>
      </c>
      <c r="R210" s="363" t="s">
        <v>1511</v>
      </c>
      <c r="S210" s="363" t="s">
        <v>1512</v>
      </c>
      <c r="T210" s="364" t="s">
        <v>960</v>
      </c>
      <c r="U210" s="362" t="s">
        <v>1513</v>
      </c>
      <c r="V210" s="362" t="s">
        <v>2671</v>
      </c>
      <c r="W210" s="363" t="s">
        <v>2671</v>
      </c>
      <c r="X210" s="311" t="s">
        <v>3090</v>
      </c>
      <c r="Y210" s="311" t="s">
        <v>3127</v>
      </c>
      <c r="Z210" s="309" t="s">
        <v>3110</v>
      </c>
      <c r="AA210" s="367">
        <v>337</v>
      </c>
    </row>
    <row r="211" spans="17:27" ht="13.8">
      <c r="Q211" s="362">
        <f t="shared" si="3"/>
        <v>205</v>
      </c>
      <c r="R211" s="363" t="s">
        <v>1514</v>
      </c>
      <c r="S211" s="363" t="s">
        <v>1515</v>
      </c>
      <c r="T211" s="364" t="s">
        <v>909</v>
      </c>
      <c r="U211" s="362" t="s">
        <v>1516</v>
      </c>
      <c r="V211" s="362" t="s">
        <v>2672</v>
      </c>
      <c r="W211" s="363" t="s">
        <v>2672</v>
      </c>
      <c r="X211" s="311" t="s">
        <v>3090</v>
      </c>
      <c r="Y211" s="311" t="s">
        <v>3125</v>
      </c>
      <c r="Z211" s="309" t="s">
        <v>3106</v>
      </c>
      <c r="AA211" s="367">
        <v>11842</v>
      </c>
    </row>
    <row r="212" spans="17:27" ht="13.8">
      <c r="Q212" s="362">
        <f t="shared" si="3"/>
        <v>206</v>
      </c>
      <c r="R212" s="363" t="s">
        <v>1517</v>
      </c>
      <c r="S212" s="363" t="s">
        <v>1518</v>
      </c>
      <c r="T212" s="364" t="s">
        <v>909</v>
      </c>
      <c r="U212" s="362" t="s">
        <v>1519</v>
      </c>
      <c r="V212" s="362" t="s">
        <v>2673</v>
      </c>
      <c r="W212" s="363" t="s">
        <v>2673</v>
      </c>
      <c r="X212" s="311" t="s">
        <v>3090</v>
      </c>
      <c r="Y212" s="311" t="s">
        <v>3125</v>
      </c>
      <c r="Z212" s="309" t="s">
        <v>3106</v>
      </c>
      <c r="AA212" s="367">
        <v>3382</v>
      </c>
    </row>
    <row r="213" spans="17:27" ht="13.8">
      <c r="Q213" s="362">
        <f t="shared" si="3"/>
        <v>207</v>
      </c>
      <c r="R213" s="363" t="s">
        <v>1520</v>
      </c>
      <c r="S213" s="363" t="s">
        <v>1521</v>
      </c>
      <c r="T213" s="364" t="s">
        <v>1039</v>
      </c>
      <c r="U213" s="362" t="s">
        <v>1522</v>
      </c>
      <c r="V213" s="362" t="s">
        <v>2674</v>
      </c>
      <c r="W213" s="363" t="s">
        <v>2674</v>
      </c>
      <c r="X213" s="311" t="s">
        <v>3090</v>
      </c>
      <c r="Y213" s="311" t="s">
        <v>3125</v>
      </c>
      <c r="Z213" s="309" t="s">
        <v>3107</v>
      </c>
      <c r="AA213" s="367">
        <v>18791</v>
      </c>
    </row>
    <row r="214" spans="17:27" ht="13.8">
      <c r="Q214" s="362">
        <f t="shared" si="3"/>
        <v>208</v>
      </c>
      <c r="R214" s="363" t="s">
        <v>1523</v>
      </c>
      <c r="S214" s="363" t="s">
        <v>1524</v>
      </c>
      <c r="T214" s="364" t="s">
        <v>901</v>
      </c>
      <c r="U214" s="362" t="s">
        <v>1525</v>
      </c>
      <c r="V214" s="362" t="s">
        <v>1524</v>
      </c>
      <c r="W214" s="363" t="s">
        <v>2907</v>
      </c>
      <c r="X214" s="311" t="s">
        <v>3089</v>
      </c>
      <c r="Y214" s="311" t="s">
        <v>3126</v>
      </c>
      <c r="Z214" s="309" t="s">
        <v>3111</v>
      </c>
      <c r="AA214" s="367">
        <v>20334</v>
      </c>
    </row>
    <row r="215" spans="17:27" ht="13.8">
      <c r="Q215" s="362">
        <f t="shared" si="3"/>
        <v>209</v>
      </c>
      <c r="R215" s="363" t="s">
        <v>1526</v>
      </c>
      <c r="S215" s="363" t="s">
        <v>1527</v>
      </c>
      <c r="T215" s="364" t="s">
        <v>1127</v>
      </c>
      <c r="U215" s="362" t="s">
        <v>1528</v>
      </c>
      <c r="V215" s="362" t="s">
        <v>2675</v>
      </c>
      <c r="W215" s="363" t="s">
        <v>2675</v>
      </c>
      <c r="X215" s="311" t="s">
        <v>3090</v>
      </c>
      <c r="Y215" s="311" t="s">
        <v>3125</v>
      </c>
      <c r="Z215" s="309" t="s">
        <v>3106</v>
      </c>
      <c r="AA215" s="367">
        <v>2178</v>
      </c>
    </row>
    <row r="216" spans="17:27" ht="13.8">
      <c r="Q216" s="362">
        <f t="shared" si="3"/>
        <v>210</v>
      </c>
      <c r="R216" s="363" t="s">
        <v>1529</v>
      </c>
      <c r="S216" s="363" t="s">
        <v>1530</v>
      </c>
      <c r="T216" s="364" t="s">
        <v>1026</v>
      </c>
      <c r="U216" s="362" t="s">
        <v>1531</v>
      </c>
      <c r="V216" s="362" t="s">
        <v>2676</v>
      </c>
      <c r="W216" s="363" t="s">
        <v>2676</v>
      </c>
      <c r="X216" s="311" t="s">
        <v>3090</v>
      </c>
      <c r="Y216" s="311" t="s">
        <v>3125</v>
      </c>
      <c r="Z216" s="309" t="s">
        <v>3106</v>
      </c>
      <c r="AA216" s="367">
        <v>3648</v>
      </c>
    </row>
    <row r="217" spans="17:27" ht="13.8">
      <c r="Q217" s="362">
        <f t="shared" si="3"/>
        <v>211</v>
      </c>
      <c r="R217" s="363" t="s">
        <v>1532</v>
      </c>
      <c r="S217" s="363" t="s">
        <v>1533</v>
      </c>
      <c r="T217" s="364" t="s">
        <v>1127</v>
      </c>
      <c r="U217" s="362" t="s">
        <v>1534</v>
      </c>
      <c r="V217" s="362" t="s">
        <v>2677</v>
      </c>
      <c r="W217" s="363" t="s">
        <v>2677</v>
      </c>
      <c r="X217" s="311" t="s">
        <v>3090</v>
      </c>
      <c r="Y217" s="311" t="s">
        <v>3125</v>
      </c>
      <c r="Z217" s="309" t="s">
        <v>3106</v>
      </c>
      <c r="AA217" s="367">
        <v>13982</v>
      </c>
    </row>
    <row r="218" spans="17:27" ht="13.8">
      <c r="Q218" s="362">
        <f t="shared" si="3"/>
        <v>212</v>
      </c>
      <c r="R218" s="363" t="s">
        <v>1535</v>
      </c>
      <c r="S218" s="363" t="s">
        <v>1536</v>
      </c>
      <c r="T218" s="364" t="s">
        <v>901</v>
      </c>
      <c r="U218" s="362" t="s">
        <v>1537</v>
      </c>
      <c r="V218" s="362" t="s">
        <v>2678</v>
      </c>
      <c r="W218" s="363" t="s">
        <v>2678</v>
      </c>
      <c r="X218" s="311" t="s">
        <v>3090</v>
      </c>
      <c r="Y218" s="311" t="s">
        <v>3125</v>
      </c>
      <c r="Z218" s="309" t="s">
        <v>3109</v>
      </c>
      <c r="AA218" s="367">
        <v>5005</v>
      </c>
    </row>
    <row r="219" spans="17:27" ht="13.8">
      <c r="Q219" s="362">
        <f t="shared" si="3"/>
        <v>213</v>
      </c>
      <c r="R219" s="363" t="s">
        <v>1538</v>
      </c>
      <c r="S219" s="363" t="s">
        <v>1539</v>
      </c>
      <c r="T219" s="364" t="s">
        <v>1267</v>
      </c>
      <c r="U219" s="362" t="s">
        <v>1540</v>
      </c>
      <c r="V219" s="362" t="s">
        <v>2679</v>
      </c>
      <c r="W219" s="363" t="s">
        <v>2679</v>
      </c>
      <c r="X219" s="311" t="s">
        <v>3090</v>
      </c>
      <c r="Y219" s="311" t="s">
        <v>3125</v>
      </c>
      <c r="Z219" s="309" t="s">
        <v>3106</v>
      </c>
      <c r="AA219" s="367">
        <v>5494</v>
      </c>
    </row>
    <row r="220" spans="17:27" ht="13.8">
      <c r="Q220" s="362">
        <f t="shared" si="3"/>
        <v>214</v>
      </c>
      <c r="R220" s="363" t="s">
        <v>1541</v>
      </c>
      <c r="S220" s="363" t="s">
        <v>1542</v>
      </c>
      <c r="T220" s="364" t="s">
        <v>987</v>
      </c>
      <c r="U220" s="362" t="s">
        <v>1543</v>
      </c>
      <c r="V220" s="362" t="s">
        <v>1542</v>
      </c>
      <c r="W220" s="363" t="s">
        <v>2908</v>
      </c>
      <c r="X220" s="311" t="s">
        <v>3089</v>
      </c>
      <c r="Y220" s="311" t="s">
        <v>3126</v>
      </c>
      <c r="Z220" s="309" t="s">
        <v>3111</v>
      </c>
      <c r="AA220" s="367">
        <v>38303</v>
      </c>
    </row>
    <row r="221" spans="17:27" ht="13.8">
      <c r="Q221" s="362">
        <f t="shared" si="3"/>
        <v>215</v>
      </c>
      <c r="R221" s="363" t="s">
        <v>1544</v>
      </c>
      <c r="S221" s="363" t="s">
        <v>1545</v>
      </c>
      <c r="T221" s="364" t="s">
        <v>909</v>
      </c>
      <c r="U221" s="362" t="s">
        <v>1546</v>
      </c>
      <c r="V221" s="362" t="s">
        <v>2680</v>
      </c>
      <c r="W221" s="363" t="s">
        <v>2680</v>
      </c>
      <c r="X221" s="311" t="s">
        <v>3090</v>
      </c>
      <c r="Y221" s="311" t="s">
        <v>3125</v>
      </c>
      <c r="Z221" s="309" t="s">
        <v>3106</v>
      </c>
      <c r="AA221" s="367">
        <v>10219</v>
      </c>
    </row>
    <row r="222" spans="17:27" ht="13.8">
      <c r="Q222" s="362">
        <f t="shared" si="3"/>
        <v>216</v>
      </c>
      <c r="R222" s="363" t="s">
        <v>1547</v>
      </c>
      <c r="S222" s="363" t="s">
        <v>1548</v>
      </c>
      <c r="T222" s="364" t="s">
        <v>1007</v>
      </c>
      <c r="U222" s="362" t="s">
        <v>1549</v>
      </c>
      <c r="V222" s="362" t="s">
        <v>1548</v>
      </c>
      <c r="W222" s="363" t="s">
        <v>2909</v>
      </c>
      <c r="X222" s="311" t="s">
        <v>3089</v>
      </c>
      <c r="Y222" s="311" t="s">
        <v>3125</v>
      </c>
      <c r="Z222" s="309" t="s">
        <v>3107</v>
      </c>
      <c r="AA222" s="367">
        <v>21404</v>
      </c>
    </row>
    <row r="223" spans="17:27" ht="13.8">
      <c r="Q223" s="362">
        <f t="shared" si="3"/>
        <v>217</v>
      </c>
      <c r="R223" s="363" t="s">
        <v>1550</v>
      </c>
      <c r="S223" s="363" t="s">
        <v>1551</v>
      </c>
      <c r="T223" s="364" t="s">
        <v>946</v>
      </c>
      <c r="U223" s="362" t="s">
        <v>1552</v>
      </c>
      <c r="V223" s="362" t="s">
        <v>2681</v>
      </c>
      <c r="W223" s="363" t="s">
        <v>2681</v>
      </c>
      <c r="X223" s="311" t="s">
        <v>3090</v>
      </c>
      <c r="Y223" s="311" t="s">
        <v>3125</v>
      </c>
      <c r="Z223" s="309" t="s">
        <v>3106</v>
      </c>
      <c r="AA223" s="367">
        <v>870</v>
      </c>
    </row>
    <row r="224" spans="17:27" ht="13.8">
      <c r="Q224" s="362">
        <f t="shared" si="3"/>
        <v>218</v>
      </c>
      <c r="R224" s="363" t="s">
        <v>1553</v>
      </c>
      <c r="S224" s="363" t="s">
        <v>1554</v>
      </c>
      <c r="T224" s="364" t="s">
        <v>977</v>
      </c>
      <c r="U224" s="362" t="s">
        <v>1555</v>
      </c>
      <c r="V224" s="362" t="s">
        <v>3047</v>
      </c>
      <c r="W224" s="363" t="s">
        <v>3047</v>
      </c>
      <c r="X224" s="311" t="s">
        <v>3091</v>
      </c>
      <c r="Y224" s="311" t="s">
        <v>3125</v>
      </c>
      <c r="Z224" s="309" t="s">
        <v>3113</v>
      </c>
      <c r="AA224" s="367">
        <v>50005</v>
      </c>
    </row>
    <row r="225" spans="17:27" ht="13.8">
      <c r="Q225" s="362">
        <f t="shared" si="3"/>
        <v>219</v>
      </c>
      <c r="R225" s="363" t="s">
        <v>1556</v>
      </c>
      <c r="S225" s="363" t="s">
        <v>1557</v>
      </c>
      <c r="T225" s="364" t="s">
        <v>909</v>
      </c>
      <c r="U225" s="362" t="s">
        <v>1558</v>
      </c>
      <c r="V225" s="362" t="s">
        <v>2682</v>
      </c>
      <c r="W225" s="363" t="s">
        <v>2682</v>
      </c>
      <c r="X225" s="311" t="s">
        <v>3090</v>
      </c>
      <c r="Y225" s="311" t="s">
        <v>3125</v>
      </c>
      <c r="Z225" s="309" t="s">
        <v>3106</v>
      </c>
      <c r="AA225" s="367">
        <v>4078</v>
      </c>
    </row>
    <row r="226" spans="17:27" ht="13.8">
      <c r="Q226" s="362">
        <f t="shared" si="3"/>
        <v>220</v>
      </c>
      <c r="R226" s="363" t="s">
        <v>1559</v>
      </c>
      <c r="S226" s="363" t="s">
        <v>1560</v>
      </c>
      <c r="T226" s="364" t="s">
        <v>1026</v>
      </c>
      <c r="U226" s="362" t="s">
        <v>1561</v>
      </c>
      <c r="V226" s="362" t="s">
        <v>1560</v>
      </c>
      <c r="W226" s="363" t="s">
        <v>2910</v>
      </c>
      <c r="X226" s="311" t="s">
        <v>3089</v>
      </c>
      <c r="Y226" s="311" t="s">
        <v>3126</v>
      </c>
      <c r="Z226" s="309" t="s">
        <v>3111</v>
      </c>
      <c r="AA226" s="367">
        <v>5291</v>
      </c>
    </row>
    <row r="227" spans="17:27" ht="13.8">
      <c r="Q227" s="362">
        <f t="shared" si="3"/>
        <v>221</v>
      </c>
      <c r="R227" s="363" t="s">
        <v>1562</v>
      </c>
      <c r="S227" s="363" t="s">
        <v>1563</v>
      </c>
      <c r="T227" s="364" t="s">
        <v>901</v>
      </c>
      <c r="U227" s="362" t="s">
        <v>1564</v>
      </c>
      <c r="V227" s="362" t="s">
        <v>1563</v>
      </c>
      <c r="W227" s="363" t="s">
        <v>2911</v>
      </c>
      <c r="X227" s="311" t="s">
        <v>3089</v>
      </c>
      <c r="Y227" s="311" t="s">
        <v>3126</v>
      </c>
      <c r="Z227" s="309" t="s">
        <v>3111</v>
      </c>
      <c r="AA227" s="367">
        <v>16773</v>
      </c>
    </row>
    <row r="228" spans="17:27" ht="13.8">
      <c r="Q228" s="362">
        <f t="shared" si="3"/>
        <v>222</v>
      </c>
      <c r="R228" s="363" t="s">
        <v>1565</v>
      </c>
      <c r="S228" s="363" t="s">
        <v>1566</v>
      </c>
      <c r="T228" s="364" t="s">
        <v>930</v>
      </c>
      <c r="U228" s="362" t="s">
        <v>1567</v>
      </c>
      <c r="V228" s="362" t="s">
        <v>2683</v>
      </c>
      <c r="W228" s="363" t="s">
        <v>2683</v>
      </c>
      <c r="X228" s="311" t="s">
        <v>3090</v>
      </c>
      <c r="Y228" s="311" t="s">
        <v>3125</v>
      </c>
      <c r="Z228" s="309" t="s">
        <v>3106</v>
      </c>
      <c r="AA228" s="367">
        <v>15147</v>
      </c>
    </row>
    <row r="229" spans="17:27" ht="13.8">
      <c r="Q229" s="362">
        <f t="shared" si="3"/>
        <v>223</v>
      </c>
      <c r="R229" s="363" t="s">
        <v>1568</v>
      </c>
      <c r="S229" s="363" t="s">
        <v>1569</v>
      </c>
      <c r="T229" s="364" t="s">
        <v>923</v>
      </c>
      <c r="U229" s="362" t="s">
        <v>1570</v>
      </c>
      <c r="V229" s="362" t="s">
        <v>1569</v>
      </c>
      <c r="W229" s="363" t="s">
        <v>2912</v>
      </c>
      <c r="X229" s="311" t="s">
        <v>3089</v>
      </c>
      <c r="Y229" s="311" t="s">
        <v>3126</v>
      </c>
      <c r="Z229" s="309" t="s">
        <v>3108</v>
      </c>
      <c r="AA229" s="367">
        <v>1952</v>
      </c>
    </row>
    <row r="230" spans="17:27" ht="13.8">
      <c r="Q230" s="362">
        <f t="shared" si="3"/>
        <v>224</v>
      </c>
      <c r="R230" s="363" t="s">
        <v>1571</v>
      </c>
      <c r="S230" s="363" t="s">
        <v>1572</v>
      </c>
      <c r="T230" s="364" t="s">
        <v>1267</v>
      </c>
      <c r="U230" s="362" t="s">
        <v>1573</v>
      </c>
      <c r="V230" s="362" t="s">
        <v>2684</v>
      </c>
      <c r="W230" s="363" t="s">
        <v>2684</v>
      </c>
      <c r="X230" s="311" t="s">
        <v>3090</v>
      </c>
      <c r="Y230" s="311" t="s">
        <v>3125</v>
      </c>
      <c r="Z230" s="309" t="s">
        <v>3106</v>
      </c>
      <c r="AA230" s="367">
        <v>1922</v>
      </c>
    </row>
    <row r="231" spans="17:27" ht="13.8">
      <c r="Q231" s="362">
        <f t="shared" si="3"/>
        <v>225</v>
      </c>
      <c r="R231" s="363" t="s">
        <v>1574</v>
      </c>
      <c r="S231" s="363" t="s">
        <v>1575</v>
      </c>
      <c r="T231" s="364" t="s">
        <v>1074</v>
      </c>
      <c r="U231" s="362" t="s">
        <v>1576</v>
      </c>
      <c r="V231" s="362" t="s">
        <v>1575</v>
      </c>
      <c r="W231" s="363" t="s">
        <v>2684</v>
      </c>
      <c r="X231" s="311" t="s">
        <v>3089</v>
      </c>
      <c r="Y231" s="311" t="s">
        <v>3126</v>
      </c>
      <c r="Z231" s="309" t="s">
        <v>3111</v>
      </c>
      <c r="AA231" s="367">
        <v>4571</v>
      </c>
    </row>
    <row r="232" spans="17:27" ht="13.8">
      <c r="Q232" s="362">
        <f t="shared" si="3"/>
        <v>226</v>
      </c>
      <c r="R232" s="363" t="s">
        <v>1577</v>
      </c>
      <c r="S232" s="363" t="s">
        <v>1575</v>
      </c>
      <c r="T232" s="364" t="s">
        <v>1267</v>
      </c>
      <c r="U232" s="362" t="s">
        <v>1578</v>
      </c>
      <c r="V232" s="362" t="s">
        <v>1575</v>
      </c>
      <c r="W232" s="363" t="s">
        <v>2684</v>
      </c>
      <c r="X232" s="311" t="s">
        <v>3089</v>
      </c>
      <c r="Y232" s="311" t="s">
        <v>3126</v>
      </c>
      <c r="Z232" s="309" t="s">
        <v>3111</v>
      </c>
      <c r="AA232" s="367">
        <v>17304</v>
      </c>
    </row>
    <row r="233" spans="17:27" ht="13.8">
      <c r="Q233" s="362">
        <f t="shared" si="3"/>
        <v>227</v>
      </c>
      <c r="R233" s="363" t="s">
        <v>1579</v>
      </c>
      <c r="S233" s="363" t="s">
        <v>1580</v>
      </c>
      <c r="T233" s="364" t="s">
        <v>901</v>
      </c>
      <c r="U233" s="362" t="s">
        <v>1581</v>
      </c>
      <c r="V233" s="362" t="s">
        <v>1580</v>
      </c>
      <c r="W233" s="363" t="s">
        <v>2913</v>
      </c>
      <c r="X233" s="311" t="s">
        <v>3089</v>
      </c>
      <c r="Y233" s="311" t="s">
        <v>3125</v>
      </c>
      <c r="Z233" s="309" t="s">
        <v>3109</v>
      </c>
      <c r="AA233" s="367">
        <v>51075</v>
      </c>
    </row>
    <row r="234" spans="17:27" ht="13.8">
      <c r="Q234" s="362">
        <f t="shared" si="3"/>
        <v>228</v>
      </c>
      <c r="R234" s="363" t="s">
        <v>1582</v>
      </c>
      <c r="S234" s="363" t="s">
        <v>1583</v>
      </c>
      <c r="T234" s="364" t="s">
        <v>923</v>
      </c>
      <c r="U234" s="362" t="s">
        <v>1584</v>
      </c>
      <c r="V234" s="362" t="s">
        <v>1583</v>
      </c>
      <c r="W234" s="363" t="s">
        <v>2914</v>
      </c>
      <c r="X234" s="311" t="s">
        <v>3089</v>
      </c>
      <c r="Y234" s="311" t="s">
        <v>3126</v>
      </c>
      <c r="Z234" s="309" t="s">
        <v>3111</v>
      </c>
      <c r="AA234" s="367">
        <v>5662</v>
      </c>
    </row>
    <row r="235" spans="17:27" ht="13.8">
      <c r="Q235" s="362">
        <f t="shared" si="3"/>
        <v>229</v>
      </c>
      <c r="R235" s="363" t="s">
        <v>1585</v>
      </c>
      <c r="S235" s="363" t="s">
        <v>1586</v>
      </c>
      <c r="T235" s="364" t="s">
        <v>901</v>
      </c>
      <c r="U235" s="362" t="s">
        <v>1587</v>
      </c>
      <c r="V235" s="362" t="s">
        <v>2685</v>
      </c>
      <c r="W235" s="363" t="s">
        <v>2685</v>
      </c>
      <c r="X235" s="311" t="s">
        <v>3090</v>
      </c>
      <c r="Y235" s="311" t="s">
        <v>3125</v>
      </c>
      <c r="Z235" s="309" t="s">
        <v>3106</v>
      </c>
      <c r="AA235" s="367">
        <v>820</v>
      </c>
    </row>
    <row r="236" spans="17:27" ht="13.8">
      <c r="Q236" s="362">
        <f t="shared" si="3"/>
        <v>230</v>
      </c>
      <c r="R236" s="363" t="s">
        <v>1588</v>
      </c>
      <c r="S236" s="363" t="s">
        <v>1589</v>
      </c>
      <c r="T236" s="364" t="s">
        <v>991</v>
      </c>
      <c r="U236" s="362" t="s">
        <v>1590</v>
      </c>
      <c r="V236" s="362" t="s">
        <v>1589</v>
      </c>
      <c r="W236" s="363" t="s">
        <v>2915</v>
      </c>
      <c r="X236" s="311" t="s">
        <v>3089</v>
      </c>
      <c r="Y236" s="311" t="s">
        <v>3125</v>
      </c>
      <c r="Z236" s="309" t="s">
        <v>3106</v>
      </c>
      <c r="AA236" s="367">
        <v>53926</v>
      </c>
    </row>
    <row r="237" spans="17:27" ht="13.8">
      <c r="Q237" s="362">
        <f t="shared" si="3"/>
        <v>231</v>
      </c>
      <c r="R237" s="363" t="s">
        <v>1591</v>
      </c>
      <c r="S237" s="363" t="s">
        <v>1592</v>
      </c>
      <c r="T237" s="364" t="s">
        <v>960</v>
      </c>
      <c r="U237" s="362" t="s">
        <v>1593</v>
      </c>
      <c r="V237" s="362" t="s">
        <v>2686</v>
      </c>
      <c r="W237" s="363" t="s">
        <v>2686</v>
      </c>
      <c r="X237" s="311" t="s">
        <v>3090</v>
      </c>
      <c r="Y237" s="311" t="s">
        <v>3125</v>
      </c>
      <c r="Z237" s="309" t="s">
        <v>3106</v>
      </c>
      <c r="AA237" s="367">
        <v>1673</v>
      </c>
    </row>
    <row r="238" spans="17:27" ht="13.8">
      <c r="Q238" s="362">
        <f t="shared" si="3"/>
        <v>232</v>
      </c>
      <c r="R238" s="363" t="s">
        <v>1594</v>
      </c>
      <c r="S238" s="363" t="s">
        <v>1595</v>
      </c>
      <c r="T238" s="364" t="s">
        <v>960</v>
      </c>
      <c r="U238" s="362" t="s">
        <v>1596</v>
      </c>
      <c r="V238" s="362" t="s">
        <v>1595</v>
      </c>
      <c r="W238" s="363" t="s">
        <v>2916</v>
      </c>
      <c r="X238" s="311" t="s">
        <v>3089</v>
      </c>
      <c r="Y238" s="311" t="s">
        <v>3126</v>
      </c>
      <c r="Z238" s="309" t="s">
        <v>3111</v>
      </c>
      <c r="AA238" s="367">
        <v>54856</v>
      </c>
    </row>
    <row r="239" spans="17:27" ht="13.8">
      <c r="Q239" s="362">
        <f t="shared" si="3"/>
        <v>233</v>
      </c>
      <c r="R239" s="363" t="s">
        <v>1597</v>
      </c>
      <c r="S239" s="363" t="s">
        <v>1598</v>
      </c>
      <c r="T239" s="364" t="s">
        <v>1127</v>
      </c>
      <c r="U239" s="362" t="s">
        <v>1599</v>
      </c>
      <c r="V239" s="362" t="s">
        <v>2687</v>
      </c>
      <c r="W239" s="363" t="s">
        <v>2687</v>
      </c>
      <c r="X239" s="311" t="s">
        <v>3090</v>
      </c>
      <c r="Y239" s="311" t="s">
        <v>3125</v>
      </c>
      <c r="Z239" s="309" t="s">
        <v>3106</v>
      </c>
      <c r="AA239" s="367">
        <v>5915</v>
      </c>
    </row>
    <row r="240" spans="17:27" ht="13.8">
      <c r="Q240" s="362">
        <f t="shared" si="3"/>
        <v>234</v>
      </c>
      <c r="R240" s="363" t="s">
        <v>1600</v>
      </c>
      <c r="S240" s="363" t="s">
        <v>1601</v>
      </c>
      <c r="T240" s="364" t="s">
        <v>1049</v>
      </c>
      <c r="U240" s="362" t="s">
        <v>1602</v>
      </c>
      <c r="V240" s="362" t="s">
        <v>1601</v>
      </c>
      <c r="W240" s="363" t="s">
        <v>2917</v>
      </c>
      <c r="X240" s="311" t="s">
        <v>3089</v>
      </c>
      <c r="Y240" s="311" t="s">
        <v>3125</v>
      </c>
      <c r="Z240" s="309" t="s">
        <v>3114</v>
      </c>
      <c r="AA240" s="367">
        <v>21314</v>
      </c>
    </row>
    <row r="241" spans="17:27" ht="13.8">
      <c r="Q241" s="362">
        <f t="shared" si="3"/>
        <v>235</v>
      </c>
      <c r="R241" s="363" t="s">
        <v>1603</v>
      </c>
      <c r="S241" s="363" t="s">
        <v>1604</v>
      </c>
      <c r="T241" s="364" t="s">
        <v>977</v>
      </c>
      <c r="U241" s="362" t="s">
        <v>1605</v>
      </c>
      <c r="V241" s="362" t="s">
        <v>3086</v>
      </c>
      <c r="W241" s="363" t="s">
        <v>3086</v>
      </c>
      <c r="X241" s="311" t="s">
        <v>3091</v>
      </c>
      <c r="Y241" s="311" t="s">
        <v>3125</v>
      </c>
      <c r="Z241" s="309" t="s">
        <v>3113</v>
      </c>
      <c r="AA241" s="367">
        <v>247597</v>
      </c>
    </row>
    <row r="242" spans="17:27" ht="13.8">
      <c r="Q242" s="362">
        <f t="shared" si="3"/>
        <v>236</v>
      </c>
      <c r="R242" s="363" t="s">
        <v>1606</v>
      </c>
      <c r="S242" s="363" t="s">
        <v>1607</v>
      </c>
      <c r="T242" s="364" t="s">
        <v>901</v>
      </c>
      <c r="U242" s="362" t="s">
        <v>1608</v>
      </c>
      <c r="V242" s="362" t="s">
        <v>2688</v>
      </c>
      <c r="W242" s="363" t="s">
        <v>2688</v>
      </c>
      <c r="X242" s="311" t="s">
        <v>3090</v>
      </c>
      <c r="Y242" s="311" t="s">
        <v>3125</v>
      </c>
      <c r="Z242" s="309" t="s">
        <v>3112</v>
      </c>
      <c r="AA242" s="367">
        <v>10105</v>
      </c>
    </row>
    <row r="243" spans="17:27" ht="13.8">
      <c r="Q243" s="362">
        <f t="shared" si="3"/>
        <v>237</v>
      </c>
      <c r="R243" s="363" t="s">
        <v>1609</v>
      </c>
      <c r="S243" s="363" t="s">
        <v>1610</v>
      </c>
      <c r="T243" s="364" t="s">
        <v>977</v>
      </c>
      <c r="U243" s="362" t="s">
        <v>1611</v>
      </c>
      <c r="V243" s="362" t="s">
        <v>3077</v>
      </c>
      <c r="W243" s="363" t="s">
        <v>3077</v>
      </c>
      <c r="X243" s="311" t="s">
        <v>2584</v>
      </c>
      <c r="Y243" s="311" t="s">
        <v>3125</v>
      </c>
      <c r="Z243" s="309" t="s">
        <v>3119</v>
      </c>
      <c r="AA243" s="367">
        <v>40684</v>
      </c>
    </row>
    <row r="244" spans="17:27" ht="13.8">
      <c r="Q244" s="362">
        <f t="shared" si="3"/>
        <v>238</v>
      </c>
      <c r="R244" s="363" t="s">
        <v>1612</v>
      </c>
      <c r="S244" s="363" t="s">
        <v>1613</v>
      </c>
      <c r="T244" s="364" t="s">
        <v>1007</v>
      </c>
      <c r="U244" s="362" t="s">
        <v>1614</v>
      </c>
      <c r="V244" s="362" t="s">
        <v>2689</v>
      </c>
      <c r="W244" s="363" t="s">
        <v>2689</v>
      </c>
      <c r="X244" s="311" t="s">
        <v>3090</v>
      </c>
      <c r="Y244" s="311" t="s">
        <v>3125</v>
      </c>
      <c r="Z244" s="309" t="s">
        <v>3106</v>
      </c>
      <c r="AA244" s="367">
        <v>7914</v>
      </c>
    </row>
    <row r="245" spans="17:27" ht="13.8">
      <c r="Q245" s="362">
        <f t="shared" si="3"/>
        <v>239</v>
      </c>
      <c r="R245" s="363" t="s">
        <v>1615</v>
      </c>
      <c r="S245" s="363" t="s">
        <v>1616</v>
      </c>
      <c r="T245" s="364" t="s">
        <v>901</v>
      </c>
      <c r="U245" s="362" t="s">
        <v>1617</v>
      </c>
      <c r="V245" s="362" t="s">
        <v>2690</v>
      </c>
      <c r="W245" s="363" t="s">
        <v>2690</v>
      </c>
      <c r="X245" s="311" t="s">
        <v>3090</v>
      </c>
      <c r="Y245" s="311" t="s">
        <v>3125</v>
      </c>
      <c r="Z245" s="309" t="s">
        <v>3106</v>
      </c>
      <c r="AA245" s="367">
        <v>7240</v>
      </c>
    </row>
    <row r="246" spans="17:27" ht="13.8">
      <c r="Q246" s="362">
        <f t="shared" si="3"/>
        <v>240</v>
      </c>
      <c r="R246" s="363" t="s">
        <v>1618</v>
      </c>
      <c r="S246" s="363" t="s">
        <v>1619</v>
      </c>
      <c r="T246" s="364" t="s">
        <v>1026</v>
      </c>
      <c r="U246" s="362" t="s">
        <v>1620</v>
      </c>
      <c r="V246" s="362" t="s">
        <v>1619</v>
      </c>
      <c r="W246" s="363" t="s">
        <v>2918</v>
      </c>
      <c r="X246" s="311" t="s">
        <v>3089</v>
      </c>
      <c r="Y246" s="311" t="s">
        <v>3126</v>
      </c>
      <c r="Z246" s="309" t="s">
        <v>3108</v>
      </c>
      <c r="AA246" s="367">
        <v>3845</v>
      </c>
    </row>
    <row r="247" spans="17:27" ht="13.8">
      <c r="Q247" s="362">
        <f t="shared" si="3"/>
        <v>241</v>
      </c>
      <c r="R247" s="363" t="s">
        <v>1621</v>
      </c>
      <c r="S247" s="363" t="s">
        <v>1622</v>
      </c>
      <c r="T247" s="364" t="s">
        <v>1049</v>
      </c>
      <c r="U247" s="362" t="s">
        <v>1623</v>
      </c>
      <c r="V247" s="362" t="s">
        <v>2691</v>
      </c>
      <c r="W247" s="363" t="s">
        <v>2691</v>
      </c>
      <c r="X247" s="311" t="s">
        <v>3090</v>
      </c>
      <c r="Y247" s="311" t="s">
        <v>3125</v>
      </c>
      <c r="Z247" s="309" t="s">
        <v>3106</v>
      </c>
      <c r="AA247" s="367">
        <v>10248</v>
      </c>
    </row>
    <row r="248" spans="17:27" ht="13.8">
      <c r="Q248" s="362">
        <f t="shared" si="3"/>
        <v>242</v>
      </c>
      <c r="R248" s="363" t="s">
        <v>1624</v>
      </c>
      <c r="S248" s="363" t="s">
        <v>1625</v>
      </c>
      <c r="T248" s="364" t="s">
        <v>923</v>
      </c>
      <c r="U248" s="362" t="s">
        <v>1626</v>
      </c>
      <c r="V248" s="362" t="s">
        <v>1625</v>
      </c>
      <c r="W248" s="363" t="s">
        <v>2919</v>
      </c>
      <c r="X248" s="311" t="s">
        <v>3089</v>
      </c>
      <c r="Y248" s="311" t="s">
        <v>3126</v>
      </c>
      <c r="Z248" s="309" t="s">
        <v>3111</v>
      </c>
      <c r="AA248" s="367">
        <v>3055</v>
      </c>
    </row>
    <row r="249" spans="17:27" ht="13.8">
      <c r="Q249" s="362">
        <f t="shared" si="3"/>
        <v>243</v>
      </c>
      <c r="R249" s="363" t="s">
        <v>1627</v>
      </c>
      <c r="S249" s="363" t="s">
        <v>1628</v>
      </c>
      <c r="T249" s="364" t="s">
        <v>960</v>
      </c>
      <c r="U249" s="362" t="s">
        <v>1629</v>
      </c>
      <c r="V249" s="362" t="s">
        <v>1628</v>
      </c>
      <c r="W249" s="363" t="s">
        <v>2920</v>
      </c>
      <c r="X249" s="311" t="s">
        <v>3089</v>
      </c>
      <c r="Y249" s="311" t="s">
        <v>3126</v>
      </c>
      <c r="Z249" s="309" t="s">
        <v>3111</v>
      </c>
      <c r="AA249" s="367">
        <v>27644</v>
      </c>
    </row>
    <row r="250" spans="17:27" ht="13.8">
      <c r="Q250" s="362">
        <f t="shared" si="3"/>
        <v>244</v>
      </c>
      <c r="R250" s="363" t="s">
        <v>1630</v>
      </c>
      <c r="S250" s="363" t="s">
        <v>1631</v>
      </c>
      <c r="T250" s="364" t="s">
        <v>930</v>
      </c>
      <c r="U250" s="362" t="s">
        <v>1632</v>
      </c>
      <c r="V250" s="362" t="s">
        <v>1631</v>
      </c>
      <c r="W250" s="363" t="s">
        <v>2921</v>
      </c>
      <c r="X250" s="311" t="s">
        <v>3089</v>
      </c>
      <c r="Y250" s="311" t="s">
        <v>3126</v>
      </c>
      <c r="Z250" s="309" t="s">
        <v>3111</v>
      </c>
      <c r="AA250" s="367">
        <v>2538</v>
      </c>
    </row>
    <row r="251" spans="17:27" ht="13.8">
      <c r="Q251" s="362">
        <f t="shared" si="3"/>
        <v>245</v>
      </c>
      <c r="R251" s="363" t="s">
        <v>1633</v>
      </c>
      <c r="S251" s="363" t="s">
        <v>3104</v>
      </c>
      <c r="T251" s="364" t="s">
        <v>901</v>
      </c>
      <c r="U251" s="362" t="s">
        <v>3105</v>
      </c>
      <c r="V251" s="362" t="s">
        <v>3103</v>
      </c>
      <c r="W251" s="363" t="s">
        <v>3103</v>
      </c>
      <c r="X251" s="311" t="s">
        <v>3090</v>
      </c>
      <c r="Y251" s="311" t="s">
        <v>3125</v>
      </c>
      <c r="Z251" s="309" t="s">
        <v>3106</v>
      </c>
      <c r="AA251" s="367">
        <v>1759</v>
      </c>
    </row>
    <row r="252" spans="17:27" ht="13.8">
      <c r="Q252" s="362">
        <f t="shared" si="3"/>
        <v>246</v>
      </c>
      <c r="R252" s="363" t="s">
        <v>1634</v>
      </c>
      <c r="S252" s="363" t="s">
        <v>1635</v>
      </c>
      <c r="T252" s="364" t="s">
        <v>960</v>
      </c>
      <c r="U252" s="362" t="s">
        <v>1636</v>
      </c>
      <c r="V252" s="362" t="s">
        <v>2692</v>
      </c>
      <c r="W252" s="363" t="s">
        <v>2692</v>
      </c>
      <c r="X252" s="311" t="s">
        <v>3090</v>
      </c>
      <c r="Y252" s="311" t="s">
        <v>3125</v>
      </c>
      <c r="Z252" s="309" t="s">
        <v>3106</v>
      </c>
      <c r="AA252" s="367">
        <v>2654</v>
      </c>
    </row>
    <row r="253" spans="17:27" ht="13.8">
      <c r="Q253" s="362">
        <f t="shared" si="3"/>
        <v>247</v>
      </c>
      <c r="R253" s="363" t="s">
        <v>1637</v>
      </c>
      <c r="S253" s="363" t="s">
        <v>1638</v>
      </c>
      <c r="T253" s="364" t="s">
        <v>960</v>
      </c>
      <c r="U253" s="362" t="s">
        <v>1639</v>
      </c>
      <c r="V253" s="362" t="s">
        <v>1638</v>
      </c>
      <c r="W253" s="363" t="s">
        <v>2922</v>
      </c>
      <c r="X253" s="311" t="s">
        <v>3089</v>
      </c>
      <c r="Y253" s="311" t="s">
        <v>3126</v>
      </c>
      <c r="Z253" s="309" t="s">
        <v>3111</v>
      </c>
      <c r="AA253" s="367">
        <v>92843</v>
      </c>
    </row>
    <row r="254" spans="17:27" ht="13.8">
      <c r="Q254" s="362">
        <f t="shared" si="3"/>
        <v>248</v>
      </c>
      <c r="R254" s="363" t="s">
        <v>1640</v>
      </c>
      <c r="S254" s="363" t="s">
        <v>1641</v>
      </c>
      <c r="T254" s="364" t="s">
        <v>1026</v>
      </c>
      <c r="U254" s="362" t="s">
        <v>1642</v>
      </c>
      <c r="V254" s="362" t="s">
        <v>3048</v>
      </c>
      <c r="W254" s="363" t="s">
        <v>3048</v>
      </c>
      <c r="X254" s="311" t="s">
        <v>3091</v>
      </c>
      <c r="Y254" s="311" t="s">
        <v>3125</v>
      </c>
      <c r="Z254" s="309" t="s">
        <v>3109</v>
      </c>
      <c r="AA254" s="367">
        <v>3906</v>
      </c>
    </row>
    <row r="255" spans="17:27" ht="13.8">
      <c r="Q255" s="362">
        <f t="shared" si="3"/>
        <v>249</v>
      </c>
      <c r="R255" s="363" t="s">
        <v>1643</v>
      </c>
      <c r="S255" s="363" t="s">
        <v>1644</v>
      </c>
      <c r="T255" s="364" t="s">
        <v>946</v>
      </c>
      <c r="U255" s="362" t="s">
        <v>1645</v>
      </c>
      <c r="V255" s="362" t="s">
        <v>2693</v>
      </c>
      <c r="W255" s="363" t="s">
        <v>2693</v>
      </c>
      <c r="X255" s="311" t="s">
        <v>3090</v>
      </c>
      <c r="Y255" s="311" t="s">
        <v>3125</v>
      </c>
      <c r="Z255" s="309" t="s">
        <v>3106</v>
      </c>
      <c r="AA255" s="367">
        <v>1908</v>
      </c>
    </row>
    <row r="256" spans="17:27" ht="13.8">
      <c r="Q256" s="362">
        <f t="shared" si="3"/>
        <v>250</v>
      </c>
      <c r="R256" s="363" t="s">
        <v>1646</v>
      </c>
      <c r="S256" s="363" t="s">
        <v>1647</v>
      </c>
      <c r="T256" s="364" t="s">
        <v>960</v>
      </c>
      <c r="U256" s="362" t="s">
        <v>1648</v>
      </c>
      <c r="V256" s="362" t="s">
        <v>2694</v>
      </c>
      <c r="W256" s="363" t="s">
        <v>2694</v>
      </c>
      <c r="X256" s="311" t="s">
        <v>3090</v>
      </c>
      <c r="Y256" s="311" t="s">
        <v>3125</v>
      </c>
      <c r="Z256" s="309" t="s">
        <v>3106</v>
      </c>
      <c r="AA256" s="367">
        <v>1875</v>
      </c>
    </row>
    <row r="257" spans="17:27" ht="13.8">
      <c r="Q257" s="362">
        <f t="shared" si="3"/>
        <v>251</v>
      </c>
      <c r="R257" s="363" t="s">
        <v>1649</v>
      </c>
      <c r="S257" s="363" t="s">
        <v>1650</v>
      </c>
      <c r="T257" s="364" t="s">
        <v>946</v>
      </c>
      <c r="U257" s="362" t="s">
        <v>1651</v>
      </c>
      <c r="V257" s="362" t="s">
        <v>2695</v>
      </c>
      <c r="W257" s="363" t="s">
        <v>2695</v>
      </c>
      <c r="X257" s="311" t="s">
        <v>3090</v>
      </c>
      <c r="Y257" s="311" t="s">
        <v>3125</v>
      </c>
      <c r="Z257" s="309" t="s">
        <v>3106</v>
      </c>
      <c r="AA257" s="367">
        <v>2945</v>
      </c>
    </row>
    <row r="258" spans="17:27" ht="13.8">
      <c r="Q258" s="362">
        <f t="shared" si="3"/>
        <v>252</v>
      </c>
      <c r="R258" s="363" t="s">
        <v>1652</v>
      </c>
      <c r="S258" s="363" t="s">
        <v>1653</v>
      </c>
      <c r="T258" s="364" t="s">
        <v>1074</v>
      </c>
      <c r="U258" s="362" t="s">
        <v>1654</v>
      </c>
      <c r="V258" s="362" t="s">
        <v>1653</v>
      </c>
      <c r="W258" s="363" t="s">
        <v>2923</v>
      </c>
      <c r="X258" s="311" t="s">
        <v>3089</v>
      </c>
      <c r="Y258" s="311" t="s">
        <v>3126</v>
      </c>
      <c r="Z258" s="309" t="s">
        <v>3108</v>
      </c>
      <c r="AA258" s="367">
        <v>3290</v>
      </c>
    </row>
    <row r="259" spans="17:27" ht="13.8">
      <c r="Q259" s="362">
        <f t="shared" si="3"/>
        <v>253</v>
      </c>
      <c r="R259" s="363" t="s">
        <v>1655</v>
      </c>
      <c r="S259" s="363" t="s">
        <v>1653</v>
      </c>
      <c r="T259" s="364" t="s">
        <v>1267</v>
      </c>
      <c r="U259" s="362" t="s">
        <v>1656</v>
      </c>
      <c r="V259" s="362" t="s">
        <v>1653</v>
      </c>
      <c r="W259" s="363" t="s">
        <v>2923</v>
      </c>
      <c r="X259" s="311" t="s">
        <v>3089</v>
      </c>
      <c r="Y259" s="311" t="s">
        <v>3125</v>
      </c>
      <c r="Z259" s="309" t="s">
        <v>3112</v>
      </c>
      <c r="AA259" s="367">
        <v>33472</v>
      </c>
    </row>
    <row r="260" spans="17:27" ht="13.8">
      <c r="Q260" s="362">
        <f t="shared" si="3"/>
        <v>254</v>
      </c>
      <c r="R260" s="363" t="s">
        <v>1657</v>
      </c>
      <c r="S260" s="363" t="s">
        <v>1658</v>
      </c>
      <c r="T260" s="364" t="s">
        <v>1026</v>
      </c>
      <c r="U260" s="362" t="s">
        <v>1659</v>
      </c>
      <c r="V260" s="362" t="s">
        <v>2696</v>
      </c>
      <c r="W260" s="363" t="s">
        <v>2696</v>
      </c>
      <c r="X260" s="311" t="s">
        <v>3090</v>
      </c>
      <c r="Y260" s="311" t="s">
        <v>3125</v>
      </c>
      <c r="Z260" s="309" t="s">
        <v>3106</v>
      </c>
      <c r="AA260" s="367">
        <v>1358</v>
      </c>
    </row>
    <row r="261" spans="17:27" ht="13.8">
      <c r="Q261" s="362">
        <f t="shared" si="3"/>
        <v>255</v>
      </c>
      <c r="R261" s="363" t="s">
        <v>1660</v>
      </c>
      <c r="S261" s="363" t="s">
        <v>1661</v>
      </c>
      <c r="T261" s="364" t="s">
        <v>1026</v>
      </c>
      <c r="U261" s="362" t="s">
        <v>1662</v>
      </c>
      <c r="V261" s="362" t="s">
        <v>1661</v>
      </c>
      <c r="W261" s="363" t="s">
        <v>2696</v>
      </c>
      <c r="X261" s="311" t="s">
        <v>3089</v>
      </c>
      <c r="Y261" s="311" t="s">
        <v>3126</v>
      </c>
      <c r="Z261" s="309" t="s">
        <v>3111</v>
      </c>
      <c r="AA261" s="367">
        <v>6588</v>
      </c>
    </row>
    <row r="262" spans="17:27" ht="13.8">
      <c r="Q262" s="362">
        <f t="shared" si="3"/>
        <v>256</v>
      </c>
      <c r="R262" s="363" t="s">
        <v>1663</v>
      </c>
      <c r="S262" s="363" t="s">
        <v>1664</v>
      </c>
      <c r="T262" s="364" t="s">
        <v>909</v>
      </c>
      <c r="U262" s="362" t="s">
        <v>1665</v>
      </c>
      <c r="V262" s="362" t="s">
        <v>2697</v>
      </c>
      <c r="W262" s="363" t="s">
        <v>2697</v>
      </c>
      <c r="X262" s="311" t="s">
        <v>3090</v>
      </c>
      <c r="Y262" s="311" t="s">
        <v>3125</v>
      </c>
      <c r="Z262" s="309" t="s">
        <v>3106</v>
      </c>
      <c r="AA262" s="367">
        <v>8937</v>
      </c>
    </row>
    <row r="263" spans="17:27" ht="13.8">
      <c r="Q263" s="362">
        <f t="shared" si="3"/>
        <v>257</v>
      </c>
      <c r="R263" s="363" t="s">
        <v>1666</v>
      </c>
      <c r="S263" s="363" t="s">
        <v>1667</v>
      </c>
      <c r="T263" s="364" t="s">
        <v>923</v>
      </c>
      <c r="U263" s="362" t="s">
        <v>1668</v>
      </c>
      <c r="V263" s="362" t="s">
        <v>1667</v>
      </c>
      <c r="W263" s="363" t="s">
        <v>2924</v>
      </c>
      <c r="X263" s="311" t="s">
        <v>3089</v>
      </c>
      <c r="Y263" s="311" t="s">
        <v>3126</v>
      </c>
      <c r="Z263" s="309" t="s">
        <v>3111</v>
      </c>
      <c r="AA263" s="367">
        <v>2942</v>
      </c>
    </row>
    <row r="264" spans="17:27" ht="13.8">
      <c r="Q264" s="362">
        <f t="shared" si="3"/>
        <v>258</v>
      </c>
      <c r="R264" s="363" t="s">
        <v>1669</v>
      </c>
      <c r="S264" s="363" t="s">
        <v>1670</v>
      </c>
      <c r="T264" s="364" t="s">
        <v>1049</v>
      </c>
      <c r="U264" s="362" t="s">
        <v>1671</v>
      </c>
      <c r="V264" s="362" t="s">
        <v>2698</v>
      </c>
      <c r="W264" s="363" t="s">
        <v>2698</v>
      </c>
      <c r="X264" s="311" t="s">
        <v>3090</v>
      </c>
      <c r="Y264" s="311" t="s">
        <v>3125</v>
      </c>
      <c r="Z264" s="309" t="s">
        <v>3107</v>
      </c>
      <c r="AA264" s="367">
        <v>10521</v>
      </c>
    </row>
    <row r="265" spans="17:27" ht="13.8">
      <c r="Q265" s="362">
        <f t="shared" ref="Q265:Q328" si="4">Q264+1</f>
        <v>259</v>
      </c>
      <c r="R265" s="363" t="s">
        <v>1672</v>
      </c>
      <c r="S265" s="363" t="s">
        <v>1673</v>
      </c>
      <c r="T265" s="364" t="s">
        <v>1007</v>
      </c>
      <c r="U265" s="362" t="s">
        <v>1674</v>
      </c>
      <c r="V265" s="362" t="s">
        <v>3049</v>
      </c>
      <c r="W265" s="363" t="s">
        <v>3049</v>
      </c>
      <c r="X265" s="311" t="s">
        <v>3091</v>
      </c>
      <c r="Y265" s="311" t="s">
        <v>3125</v>
      </c>
      <c r="Z265" s="309" t="s">
        <v>3120</v>
      </c>
      <c r="AA265" s="367">
        <v>40499</v>
      </c>
    </row>
    <row r="266" spans="17:27" ht="13.8">
      <c r="Q266" s="362">
        <f t="shared" si="4"/>
        <v>260</v>
      </c>
      <c r="R266" s="363" t="s">
        <v>1675</v>
      </c>
      <c r="S266" s="363" t="s">
        <v>1676</v>
      </c>
      <c r="T266" s="364" t="s">
        <v>946</v>
      </c>
      <c r="U266" s="362" t="s">
        <v>1677</v>
      </c>
      <c r="V266" s="362" t="s">
        <v>2699</v>
      </c>
      <c r="W266" s="363" t="s">
        <v>2699</v>
      </c>
      <c r="X266" s="311" t="s">
        <v>3090</v>
      </c>
      <c r="Y266" s="311" t="s">
        <v>3125</v>
      </c>
      <c r="Z266" s="309" t="s">
        <v>3106</v>
      </c>
      <c r="AA266" s="367">
        <v>17613</v>
      </c>
    </row>
    <row r="267" spans="17:27" ht="13.8">
      <c r="Q267" s="362">
        <f t="shared" si="4"/>
        <v>261</v>
      </c>
      <c r="R267" s="363" t="s">
        <v>1678</v>
      </c>
      <c r="S267" s="363" t="s">
        <v>1679</v>
      </c>
      <c r="T267" s="364" t="s">
        <v>905</v>
      </c>
      <c r="U267" s="362" t="s">
        <v>1680</v>
      </c>
      <c r="V267" s="362" t="s">
        <v>3050</v>
      </c>
      <c r="W267" s="363" t="s">
        <v>3050</v>
      </c>
      <c r="X267" s="311" t="s">
        <v>3091</v>
      </c>
      <c r="Y267" s="311" t="s">
        <v>3125</v>
      </c>
      <c r="Z267" s="309" t="s">
        <v>3107</v>
      </c>
      <c r="AA267" s="367">
        <v>7092</v>
      </c>
    </row>
    <row r="268" spans="17:27" ht="13.8">
      <c r="Q268" s="362">
        <f t="shared" si="4"/>
        <v>262</v>
      </c>
      <c r="R268" s="363" t="s">
        <v>1681</v>
      </c>
      <c r="S268" s="363" t="s">
        <v>1682</v>
      </c>
      <c r="T268" s="364" t="s">
        <v>960</v>
      </c>
      <c r="U268" s="362" t="s">
        <v>1683</v>
      </c>
      <c r="V268" s="362" t="s">
        <v>1682</v>
      </c>
      <c r="W268" s="363" t="s">
        <v>2925</v>
      </c>
      <c r="X268" s="311" t="s">
        <v>3089</v>
      </c>
      <c r="Y268" s="311" t="s">
        <v>3126</v>
      </c>
      <c r="Z268" s="309" t="s">
        <v>3111</v>
      </c>
      <c r="AA268" s="367">
        <v>20065</v>
      </c>
    </row>
    <row r="269" spans="17:27" ht="13.8">
      <c r="Q269" s="362">
        <f t="shared" si="4"/>
        <v>263</v>
      </c>
      <c r="R269" s="363" t="s">
        <v>1684</v>
      </c>
      <c r="S269" s="363" t="s">
        <v>1685</v>
      </c>
      <c r="T269" s="364" t="s">
        <v>1039</v>
      </c>
      <c r="U269" s="362" t="s">
        <v>1686</v>
      </c>
      <c r="V269" s="362" t="s">
        <v>1685</v>
      </c>
      <c r="W269" s="363" t="s">
        <v>2926</v>
      </c>
      <c r="X269" s="311" t="s">
        <v>3089</v>
      </c>
      <c r="Y269" s="311" t="s">
        <v>3126</v>
      </c>
      <c r="Z269" s="309" t="s">
        <v>3111</v>
      </c>
      <c r="AA269" s="367">
        <v>14432</v>
      </c>
    </row>
    <row r="270" spans="17:27" ht="13.8">
      <c r="Q270" s="362">
        <f t="shared" si="4"/>
        <v>264</v>
      </c>
      <c r="R270" s="363" t="s">
        <v>1687</v>
      </c>
      <c r="S270" s="363" t="s">
        <v>1688</v>
      </c>
      <c r="T270" s="364" t="s">
        <v>909</v>
      </c>
      <c r="U270" s="362" t="s">
        <v>1689</v>
      </c>
      <c r="V270" s="362" t="s">
        <v>2700</v>
      </c>
      <c r="W270" s="363" t="s">
        <v>2700</v>
      </c>
      <c r="X270" s="311" t="s">
        <v>3090</v>
      </c>
      <c r="Y270" s="311" t="s">
        <v>3125</v>
      </c>
      <c r="Z270" s="309" t="s">
        <v>3106</v>
      </c>
      <c r="AA270" s="367">
        <v>10626</v>
      </c>
    </row>
    <row r="271" spans="17:27" ht="13.8">
      <c r="Q271" s="362">
        <f t="shared" si="4"/>
        <v>265</v>
      </c>
      <c r="R271" s="363" t="s">
        <v>1690</v>
      </c>
      <c r="S271" s="363" t="s">
        <v>1691</v>
      </c>
      <c r="T271" s="364" t="s">
        <v>901</v>
      </c>
      <c r="U271" s="362" t="s">
        <v>1692</v>
      </c>
      <c r="V271" s="362" t="s">
        <v>2701</v>
      </c>
      <c r="W271" s="363" t="s">
        <v>2701</v>
      </c>
      <c r="X271" s="311" t="s">
        <v>3090</v>
      </c>
      <c r="Y271" s="311" t="s">
        <v>3125</v>
      </c>
      <c r="Z271" s="309" t="s">
        <v>3106</v>
      </c>
      <c r="AA271" s="367">
        <v>5950</v>
      </c>
    </row>
    <row r="272" spans="17:27" ht="13.8">
      <c r="Q272" s="362">
        <f t="shared" si="4"/>
        <v>266</v>
      </c>
      <c r="R272" s="363" t="s">
        <v>1693</v>
      </c>
      <c r="S272" s="363" t="s">
        <v>1694</v>
      </c>
      <c r="T272" s="364" t="s">
        <v>991</v>
      </c>
      <c r="U272" s="362" t="s">
        <v>1695</v>
      </c>
      <c r="V272" s="362" t="s">
        <v>1694</v>
      </c>
      <c r="W272" s="363" t="s">
        <v>2927</v>
      </c>
      <c r="X272" s="311" t="s">
        <v>3089</v>
      </c>
      <c r="Y272" s="311" t="s">
        <v>3125</v>
      </c>
      <c r="Z272" s="309" t="s">
        <v>3112</v>
      </c>
      <c r="AA272" s="367">
        <v>29366</v>
      </c>
    </row>
    <row r="273" spans="17:27" ht="13.8">
      <c r="Q273" s="362">
        <f t="shared" si="4"/>
        <v>267</v>
      </c>
      <c r="R273" s="363" t="s">
        <v>1696</v>
      </c>
      <c r="S273" s="363" t="s">
        <v>1697</v>
      </c>
      <c r="T273" s="364" t="s">
        <v>901</v>
      </c>
      <c r="U273" s="362" t="s">
        <v>1698</v>
      </c>
      <c r="V273" s="362" t="s">
        <v>1697</v>
      </c>
      <c r="W273" s="363" t="s">
        <v>3093</v>
      </c>
      <c r="X273" s="311" t="s">
        <v>3092</v>
      </c>
      <c r="Y273" s="311" t="s">
        <v>3127</v>
      </c>
      <c r="Z273" s="309" t="s">
        <v>3110</v>
      </c>
      <c r="AA273" s="367">
        <v>194</v>
      </c>
    </row>
    <row r="274" spans="17:27" ht="13.8">
      <c r="Q274" s="362">
        <f t="shared" si="4"/>
        <v>268</v>
      </c>
      <c r="R274" s="363" t="s">
        <v>1699</v>
      </c>
      <c r="S274" s="363" t="s">
        <v>1700</v>
      </c>
      <c r="T274" s="364" t="s">
        <v>909</v>
      </c>
      <c r="U274" s="362" t="s">
        <v>1701</v>
      </c>
      <c r="V274" s="362" t="s">
        <v>2702</v>
      </c>
      <c r="W274" s="363" t="s">
        <v>2702</v>
      </c>
      <c r="X274" s="311" t="s">
        <v>3090</v>
      </c>
      <c r="Y274" s="311" t="s">
        <v>3125</v>
      </c>
      <c r="Z274" s="309" t="s">
        <v>3112</v>
      </c>
      <c r="AA274" s="367">
        <v>24136</v>
      </c>
    </row>
    <row r="275" spans="17:27" ht="13.8">
      <c r="Q275" s="362">
        <f t="shared" si="4"/>
        <v>269</v>
      </c>
      <c r="R275" s="363" t="s">
        <v>1702</v>
      </c>
      <c r="S275" s="363" t="s">
        <v>1703</v>
      </c>
      <c r="T275" s="364" t="s">
        <v>1161</v>
      </c>
      <c r="U275" s="362" t="s">
        <v>1704</v>
      </c>
      <c r="V275" s="362" t="s">
        <v>1703</v>
      </c>
      <c r="W275" s="363" t="s">
        <v>2928</v>
      </c>
      <c r="X275" s="311" t="s">
        <v>3089</v>
      </c>
      <c r="Y275" s="311" t="s">
        <v>3125</v>
      </c>
      <c r="Z275" s="309" t="s">
        <v>3109</v>
      </c>
      <c r="AA275" s="367">
        <v>6042</v>
      </c>
    </row>
    <row r="276" spans="17:27" ht="13.8">
      <c r="Q276" s="362">
        <f t="shared" si="4"/>
        <v>270</v>
      </c>
      <c r="R276" s="363" t="s">
        <v>1705</v>
      </c>
      <c r="S276" s="363" t="s">
        <v>1706</v>
      </c>
      <c r="T276" s="364" t="s">
        <v>960</v>
      </c>
      <c r="U276" s="362" t="s">
        <v>1707</v>
      </c>
      <c r="V276" s="362" t="s">
        <v>1706</v>
      </c>
      <c r="W276" s="363" t="s">
        <v>2929</v>
      </c>
      <c r="X276" s="311" t="s">
        <v>3089</v>
      </c>
      <c r="Y276" s="311" t="s">
        <v>3127</v>
      </c>
      <c r="Z276" s="309" t="s">
        <v>3110</v>
      </c>
      <c r="AA276" s="367">
        <v>3051</v>
      </c>
    </row>
    <row r="277" spans="17:27" ht="13.8">
      <c r="Q277" s="362">
        <f t="shared" si="4"/>
        <v>271</v>
      </c>
      <c r="R277" s="363" t="s">
        <v>1708</v>
      </c>
      <c r="S277" s="363" t="s">
        <v>1709</v>
      </c>
      <c r="T277" s="364" t="s">
        <v>901</v>
      </c>
      <c r="U277" s="362" t="s">
        <v>1710</v>
      </c>
      <c r="V277" s="362" t="s">
        <v>3051</v>
      </c>
      <c r="W277" s="363" t="s">
        <v>3051</v>
      </c>
      <c r="X277" s="311" t="s">
        <v>3091</v>
      </c>
      <c r="Y277" s="311" t="s">
        <v>3125</v>
      </c>
      <c r="Z277" s="309" t="s">
        <v>3114</v>
      </c>
      <c r="AA277" s="367">
        <v>30719</v>
      </c>
    </row>
    <row r="278" spans="17:27" ht="13.8">
      <c r="Q278" s="362">
        <f t="shared" si="4"/>
        <v>272</v>
      </c>
      <c r="R278" s="363" t="s">
        <v>1711</v>
      </c>
      <c r="S278" s="363" t="s">
        <v>1712</v>
      </c>
      <c r="T278" s="364" t="s">
        <v>1049</v>
      </c>
      <c r="U278" s="362" t="s">
        <v>1713</v>
      </c>
      <c r="V278" s="362" t="s">
        <v>1712</v>
      </c>
      <c r="W278" s="363" t="s">
        <v>2930</v>
      </c>
      <c r="X278" s="311" t="s">
        <v>3089</v>
      </c>
      <c r="Y278" s="311" t="s">
        <v>3126</v>
      </c>
      <c r="Z278" s="309" t="s">
        <v>3111</v>
      </c>
      <c r="AA278" s="367">
        <v>8702</v>
      </c>
    </row>
    <row r="279" spans="17:27" ht="13.8">
      <c r="Q279" s="362">
        <f t="shared" si="4"/>
        <v>273</v>
      </c>
      <c r="R279" s="363" t="s">
        <v>1714</v>
      </c>
      <c r="S279" s="365" t="s">
        <v>1715</v>
      </c>
      <c r="T279" s="364" t="s">
        <v>905</v>
      </c>
      <c r="U279" s="362" t="s">
        <v>1716</v>
      </c>
      <c r="V279" s="362" t="s">
        <v>2703</v>
      </c>
      <c r="W279" s="365" t="s">
        <v>2703</v>
      </c>
      <c r="X279" s="311" t="s">
        <v>3090</v>
      </c>
      <c r="Y279" s="311" t="s">
        <v>3127</v>
      </c>
      <c r="Z279" s="309" t="s">
        <v>3110</v>
      </c>
      <c r="AA279" s="367">
        <v>895</v>
      </c>
    </row>
    <row r="280" spans="17:27" ht="13.8">
      <c r="Q280" s="362">
        <f t="shared" si="4"/>
        <v>274</v>
      </c>
      <c r="R280" s="363" t="s">
        <v>1717</v>
      </c>
      <c r="S280" s="363" t="s">
        <v>1718</v>
      </c>
      <c r="T280" s="364" t="s">
        <v>923</v>
      </c>
      <c r="U280" s="362" t="s">
        <v>1719</v>
      </c>
      <c r="V280" s="362" t="s">
        <v>1718</v>
      </c>
      <c r="W280" s="363" t="s">
        <v>2931</v>
      </c>
      <c r="X280" s="311" t="s">
        <v>3089</v>
      </c>
      <c r="Y280" s="311" t="s">
        <v>3125</v>
      </c>
      <c r="Z280" s="309" t="s">
        <v>3109</v>
      </c>
      <c r="AA280" s="367">
        <v>8014</v>
      </c>
    </row>
    <row r="281" spans="17:27" ht="13.8">
      <c r="Q281" s="362">
        <f t="shared" si="4"/>
        <v>275</v>
      </c>
      <c r="R281" s="363" t="s">
        <v>1720</v>
      </c>
      <c r="S281" s="363" t="s">
        <v>1721</v>
      </c>
      <c r="T281" s="364" t="s">
        <v>919</v>
      </c>
      <c r="U281" s="362" t="s">
        <v>1722</v>
      </c>
      <c r="V281" s="362" t="s">
        <v>1721</v>
      </c>
      <c r="W281" s="363" t="s">
        <v>2932</v>
      </c>
      <c r="X281" s="311" t="s">
        <v>3089</v>
      </c>
      <c r="Y281" s="311" t="s">
        <v>3126</v>
      </c>
      <c r="Z281" s="309" t="s">
        <v>3111</v>
      </c>
      <c r="AA281" s="367">
        <v>1770</v>
      </c>
    </row>
    <row r="282" spans="17:27" ht="13.8">
      <c r="Q282" s="362">
        <f t="shared" si="4"/>
        <v>276</v>
      </c>
      <c r="R282" s="363" t="s">
        <v>1723</v>
      </c>
      <c r="S282" s="363" t="s">
        <v>1724</v>
      </c>
      <c r="T282" s="364" t="s">
        <v>953</v>
      </c>
      <c r="U282" s="362" t="s">
        <v>1725</v>
      </c>
      <c r="V282" s="362" t="s">
        <v>1724</v>
      </c>
      <c r="W282" s="363" t="s">
        <v>2933</v>
      </c>
      <c r="X282" s="311" t="s">
        <v>3089</v>
      </c>
      <c r="Y282" s="311" t="s">
        <v>3125</v>
      </c>
      <c r="Z282" s="309" t="s">
        <v>3109</v>
      </c>
      <c r="AA282" s="367">
        <v>22866</v>
      </c>
    </row>
    <row r="283" spans="17:27" ht="13.8">
      <c r="Q283" s="362">
        <f t="shared" si="4"/>
        <v>277</v>
      </c>
      <c r="R283" s="363" t="s">
        <v>1726</v>
      </c>
      <c r="S283" s="363" t="s">
        <v>1727</v>
      </c>
      <c r="T283" s="364" t="s">
        <v>970</v>
      </c>
      <c r="U283" s="362" t="s">
        <v>1728</v>
      </c>
      <c r="V283" s="362" t="s">
        <v>1727</v>
      </c>
      <c r="W283" s="363" t="s">
        <v>2934</v>
      </c>
      <c r="X283" s="311" t="s">
        <v>3089</v>
      </c>
      <c r="Y283" s="311" t="s">
        <v>3126</v>
      </c>
      <c r="Z283" s="309" t="s">
        <v>3111</v>
      </c>
      <c r="AA283" s="367">
        <v>12559</v>
      </c>
    </row>
    <row r="284" spans="17:27" ht="13.8">
      <c r="Q284" s="362">
        <f t="shared" si="4"/>
        <v>278</v>
      </c>
      <c r="R284" s="363" t="s">
        <v>1729</v>
      </c>
      <c r="S284" s="363" t="s">
        <v>1730</v>
      </c>
      <c r="T284" s="364" t="s">
        <v>909</v>
      </c>
      <c r="U284" s="362" t="s">
        <v>1731</v>
      </c>
      <c r="V284" s="362" t="s">
        <v>1730</v>
      </c>
      <c r="W284" s="363" t="s">
        <v>2935</v>
      </c>
      <c r="X284" s="311" t="s">
        <v>3089</v>
      </c>
      <c r="Y284" s="311" t="s">
        <v>3127</v>
      </c>
      <c r="Z284" s="309" t="s">
        <v>3121</v>
      </c>
      <c r="AA284" s="367">
        <v>20554</v>
      </c>
    </row>
    <row r="285" spans="17:27" ht="13.8">
      <c r="Q285" s="362">
        <f t="shared" si="4"/>
        <v>279</v>
      </c>
      <c r="R285" s="363" t="s">
        <v>1732</v>
      </c>
      <c r="S285" s="363" t="s">
        <v>1733</v>
      </c>
      <c r="T285" s="364" t="s">
        <v>1049</v>
      </c>
      <c r="U285" s="362" t="s">
        <v>1734</v>
      </c>
      <c r="V285" s="362" t="s">
        <v>2704</v>
      </c>
      <c r="W285" s="363" t="s">
        <v>2704</v>
      </c>
      <c r="X285" s="311" t="s">
        <v>3090</v>
      </c>
      <c r="Y285" s="311" t="s">
        <v>3125</v>
      </c>
      <c r="Z285" s="309" t="s">
        <v>3106</v>
      </c>
      <c r="AA285" s="367">
        <v>15845</v>
      </c>
    </row>
    <row r="286" spans="17:27" ht="13.8">
      <c r="Q286" s="362">
        <f t="shared" si="4"/>
        <v>280</v>
      </c>
      <c r="R286" s="363" t="s">
        <v>1735</v>
      </c>
      <c r="S286" s="363" t="s">
        <v>1736</v>
      </c>
      <c r="T286" s="364" t="s">
        <v>946</v>
      </c>
      <c r="U286" s="362" t="s">
        <v>1737</v>
      </c>
      <c r="V286" s="362" t="s">
        <v>2705</v>
      </c>
      <c r="W286" s="363" t="s">
        <v>2705</v>
      </c>
      <c r="X286" s="311" t="s">
        <v>3090</v>
      </c>
      <c r="Y286" s="311" t="s">
        <v>3125</v>
      </c>
      <c r="Z286" s="309" t="s">
        <v>3106</v>
      </c>
      <c r="AA286" s="367">
        <v>4341</v>
      </c>
    </row>
    <row r="287" spans="17:27" ht="13.8">
      <c r="Q287" s="362">
        <f t="shared" si="4"/>
        <v>281</v>
      </c>
      <c r="R287" s="363" t="s">
        <v>1738</v>
      </c>
      <c r="S287" s="363" t="s">
        <v>1739</v>
      </c>
      <c r="T287" s="364" t="s">
        <v>909</v>
      </c>
      <c r="U287" s="362" t="s">
        <v>1740</v>
      </c>
      <c r="V287" s="362" t="s">
        <v>1739</v>
      </c>
      <c r="W287" s="363" t="s">
        <v>2936</v>
      </c>
      <c r="X287" s="311" t="s">
        <v>3089</v>
      </c>
      <c r="Y287" s="311" t="s">
        <v>3125</v>
      </c>
      <c r="Z287" s="309" t="s">
        <v>3107</v>
      </c>
      <c r="AA287" s="367">
        <v>25890</v>
      </c>
    </row>
    <row r="288" spans="17:27" ht="13.8">
      <c r="Q288" s="362">
        <f t="shared" si="4"/>
        <v>282</v>
      </c>
      <c r="R288" s="363" t="s">
        <v>1741</v>
      </c>
      <c r="S288" s="363" t="s">
        <v>1742</v>
      </c>
      <c r="T288" s="364" t="s">
        <v>901</v>
      </c>
      <c r="U288" s="362" t="s">
        <v>1743</v>
      </c>
      <c r="V288" s="362" t="s">
        <v>1742</v>
      </c>
      <c r="W288" s="363" t="s">
        <v>2937</v>
      </c>
      <c r="X288" s="311" t="s">
        <v>3089</v>
      </c>
      <c r="Y288" s="311" t="s">
        <v>3126</v>
      </c>
      <c r="Z288" s="309" t="s">
        <v>3111</v>
      </c>
      <c r="AA288" s="367">
        <v>38872</v>
      </c>
    </row>
    <row r="289" spans="17:27" ht="13.8">
      <c r="Q289" s="362">
        <f t="shared" si="4"/>
        <v>283</v>
      </c>
      <c r="R289" s="363" t="s">
        <v>1744</v>
      </c>
      <c r="S289" s="363" t="s">
        <v>1745</v>
      </c>
      <c r="T289" s="364" t="s">
        <v>901</v>
      </c>
      <c r="U289" s="362" t="s">
        <v>1746</v>
      </c>
      <c r="V289" s="362" t="s">
        <v>2706</v>
      </c>
      <c r="W289" s="363" t="s">
        <v>2706</v>
      </c>
      <c r="X289" s="311" t="s">
        <v>3090</v>
      </c>
      <c r="Y289" s="311" t="s">
        <v>3125</v>
      </c>
      <c r="Z289" s="309" t="s">
        <v>3106</v>
      </c>
      <c r="AA289" s="367">
        <v>5897</v>
      </c>
    </row>
    <row r="290" spans="17:27" ht="13.8">
      <c r="Q290" s="362">
        <f t="shared" si="4"/>
        <v>284</v>
      </c>
      <c r="R290" s="363" t="s">
        <v>1747</v>
      </c>
      <c r="S290" s="363" t="s">
        <v>1748</v>
      </c>
      <c r="T290" s="364" t="s">
        <v>960</v>
      </c>
      <c r="U290" s="362" t="s">
        <v>1749</v>
      </c>
      <c r="V290" s="362" t="s">
        <v>1748</v>
      </c>
      <c r="W290" s="363" t="s">
        <v>2938</v>
      </c>
      <c r="X290" s="311" t="s">
        <v>3089</v>
      </c>
      <c r="Y290" s="311" t="s">
        <v>3125</v>
      </c>
      <c r="Z290" s="309" t="s">
        <v>3114</v>
      </c>
      <c r="AA290" s="367">
        <v>43070</v>
      </c>
    </row>
    <row r="291" spans="17:27" ht="13.8">
      <c r="Q291" s="362">
        <f t="shared" si="4"/>
        <v>285</v>
      </c>
      <c r="R291" s="363" t="s">
        <v>1750</v>
      </c>
      <c r="S291" s="363" t="s">
        <v>1751</v>
      </c>
      <c r="T291" s="364" t="s">
        <v>919</v>
      </c>
      <c r="U291" s="362" t="s">
        <v>1752</v>
      </c>
      <c r="V291" s="362" t="s">
        <v>1751</v>
      </c>
      <c r="W291" s="363" t="s">
        <v>2939</v>
      </c>
      <c r="X291" s="311" t="s">
        <v>3089</v>
      </c>
      <c r="Y291" s="311" t="s">
        <v>3126</v>
      </c>
      <c r="Z291" s="309" t="s">
        <v>3108</v>
      </c>
      <c r="AA291" s="367">
        <v>1806</v>
      </c>
    </row>
    <row r="292" spans="17:27" ht="13.8">
      <c r="Q292" s="362">
        <f t="shared" si="4"/>
        <v>286</v>
      </c>
      <c r="R292" s="363" t="s">
        <v>1753</v>
      </c>
      <c r="S292" s="363" t="s">
        <v>1754</v>
      </c>
      <c r="T292" s="364" t="s">
        <v>970</v>
      </c>
      <c r="U292" s="362" t="s">
        <v>1755</v>
      </c>
      <c r="V292" s="362" t="s">
        <v>1754</v>
      </c>
      <c r="W292" s="363" t="s">
        <v>2940</v>
      </c>
      <c r="X292" s="311" t="s">
        <v>3089</v>
      </c>
      <c r="Y292" s="311" t="s">
        <v>3126</v>
      </c>
      <c r="Z292" s="309" t="s">
        <v>3111</v>
      </c>
      <c r="AA292" s="367">
        <v>8544</v>
      </c>
    </row>
    <row r="293" spans="17:27" ht="13.8">
      <c r="Q293" s="362">
        <f t="shared" si="4"/>
        <v>287</v>
      </c>
      <c r="R293" s="363" t="s">
        <v>1756</v>
      </c>
      <c r="S293" s="363" t="s">
        <v>1754</v>
      </c>
      <c r="T293" s="364" t="s">
        <v>923</v>
      </c>
      <c r="U293" s="362" t="s">
        <v>1757</v>
      </c>
      <c r="V293" s="362" t="s">
        <v>1754</v>
      </c>
      <c r="W293" s="363" t="s">
        <v>2940</v>
      </c>
      <c r="X293" s="311" t="s">
        <v>3089</v>
      </c>
      <c r="Y293" s="311" t="s">
        <v>3126</v>
      </c>
      <c r="Z293" s="309" t="s">
        <v>3111</v>
      </c>
      <c r="AA293" s="367">
        <v>7725</v>
      </c>
    </row>
    <row r="294" spans="17:27" ht="13.8">
      <c r="Q294" s="362">
        <f t="shared" si="4"/>
        <v>288</v>
      </c>
      <c r="R294" s="363" t="s">
        <v>1758</v>
      </c>
      <c r="S294" s="363" t="s">
        <v>1759</v>
      </c>
      <c r="T294" s="364" t="s">
        <v>960</v>
      </c>
      <c r="U294" s="362" t="s">
        <v>1760</v>
      </c>
      <c r="V294" s="362" t="s">
        <v>2707</v>
      </c>
      <c r="W294" s="363" t="s">
        <v>2707</v>
      </c>
      <c r="X294" s="311" t="s">
        <v>3090</v>
      </c>
      <c r="Y294" s="311" t="s">
        <v>3125</v>
      </c>
      <c r="Z294" s="309" t="s">
        <v>3106</v>
      </c>
      <c r="AA294" s="367">
        <v>296</v>
      </c>
    </row>
    <row r="295" spans="17:27" ht="13.8">
      <c r="Q295" s="362">
        <f t="shared" si="4"/>
        <v>289</v>
      </c>
      <c r="R295" s="363" t="s">
        <v>1761</v>
      </c>
      <c r="S295" s="363" t="s">
        <v>1762</v>
      </c>
      <c r="T295" s="364" t="s">
        <v>1161</v>
      </c>
      <c r="U295" s="362" t="s">
        <v>1763</v>
      </c>
      <c r="V295" s="362" t="s">
        <v>1762</v>
      </c>
      <c r="W295" s="363" t="s">
        <v>2941</v>
      </c>
      <c r="X295" s="311" t="s">
        <v>3089</v>
      </c>
      <c r="Y295" s="311" t="s">
        <v>3126</v>
      </c>
      <c r="Z295" s="309" t="s">
        <v>3111</v>
      </c>
      <c r="AA295" s="367">
        <v>15217</v>
      </c>
    </row>
    <row r="296" spans="17:27" ht="13.8">
      <c r="Q296" s="362">
        <f t="shared" si="4"/>
        <v>290</v>
      </c>
      <c r="R296" s="363" t="s">
        <v>1764</v>
      </c>
      <c r="S296" s="363" t="s">
        <v>1765</v>
      </c>
      <c r="T296" s="364" t="s">
        <v>987</v>
      </c>
      <c r="U296" s="362" t="s">
        <v>1766</v>
      </c>
      <c r="V296" s="362" t="s">
        <v>2708</v>
      </c>
      <c r="W296" s="363" t="s">
        <v>2708</v>
      </c>
      <c r="X296" s="311" t="s">
        <v>3090</v>
      </c>
      <c r="Y296" s="311" t="s">
        <v>3125</v>
      </c>
      <c r="Z296" s="309" t="s">
        <v>3106</v>
      </c>
      <c r="AA296" s="367">
        <v>10344</v>
      </c>
    </row>
    <row r="297" spans="17:27" ht="13.8">
      <c r="Q297" s="362">
        <f t="shared" si="4"/>
        <v>291</v>
      </c>
      <c r="R297" s="363" t="s">
        <v>1767</v>
      </c>
      <c r="S297" s="363" t="s">
        <v>1768</v>
      </c>
      <c r="T297" s="364" t="s">
        <v>970</v>
      </c>
      <c r="U297" s="362" t="s">
        <v>1769</v>
      </c>
      <c r="V297" s="362" t="s">
        <v>1768</v>
      </c>
      <c r="W297" s="363" t="s">
        <v>2942</v>
      </c>
      <c r="X297" s="311" t="s">
        <v>3089</v>
      </c>
      <c r="Y297" s="311" t="s">
        <v>3125</v>
      </c>
      <c r="Z297" s="309" t="s">
        <v>3112</v>
      </c>
      <c r="AA297" s="367">
        <v>19131</v>
      </c>
    </row>
    <row r="298" spans="17:27" ht="13.8">
      <c r="Q298" s="362">
        <f t="shared" si="4"/>
        <v>292</v>
      </c>
      <c r="R298" s="363" t="s">
        <v>1770</v>
      </c>
      <c r="S298" s="363" t="s">
        <v>1771</v>
      </c>
      <c r="T298" s="364" t="s">
        <v>991</v>
      </c>
      <c r="U298" s="362" t="s">
        <v>1772</v>
      </c>
      <c r="V298" s="362" t="s">
        <v>1771</v>
      </c>
      <c r="W298" s="363" t="s">
        <v>2943</v>
      </c>
      <c r="X298" s="311" t="s">
        <v>3089</v>
      </c>
      <c r="Y298" s="311" t="s">
        <v>3126</v>
      </c>
      <c r="Z298" s="309" t="s">
        <v>3111</v>
      </c>
      <c r="AA298" s="367">
        <v>23867</v>
      </c>
    </row>
    <row r="299" spans="17:27" ht="13.8">
      <c r="Q299" s="362">
        <f t="shared" si="4"/>
        <v>293</v>
      </c>
      <c r="R299" s="363" t="s">
        <v>1773</v>
      </c>
      <c r="S299" s="365" t="s">
        <v>1774</v>
      </c>
      <c r="T299" s="364" t="s">
        <v>905</v>
      </c>
      <c r="U299" s="362" t="s">
        <v>1775</v>
      </c>
      <c r="V299" s="362" t="s">
        <v>1774</v>
      </c>
      <c r="W299" s="365" t="s">
        <v>1774</v>
      </c>
      <c r="X299" s="311" t="s">
        <v>3091</v>
      </c>
      <c r="Y299" s="311" t="s">
        <v>3127</v>
      </c>
      <c r="Z299" s="309" t="s">
        <v>3110</v>
      </c>
      <c r="AA299" s="367">
        <v>6354</v>
      </c>
    </row>
    <row r="300" spans="17:27" ht="13.8">
      <c r="Q300" s="362">
        <f t="shared" si="4"/>
        <v>294</v>
      </c>
      <c r="R300" s="363" t="s">
        <v>1776</v>
      </c>
      <c r="S300" s="363" t="s">
        <v>1777</v>
      </c>
      <c r="T300" s="364" t="s">
        <v>901</v>
      </c>
      <c r="U300" s="362" t="s">
        <v>1778</v>
      </c>
      <c r="V300" s="362" t="s">
        <v>1777</v>
      </c>
      <c r="W300" s="363" t="s">
        <v>2944</v>
      </c>
      <c r="X300" s="311" t="s">
        <v>3089</v>
      </c>
      <c r="Y300" s="311" t="s">
        <v>3125</v>
      </c>
      <c r="Z300" s="309" t="s">
        <v>3114</v>
      </c>
      <c r="AA300" s="367">
        <v>40191</v>
      </c>
    </row>
    <row r="301" spans="17:27" ht="13.8">
      <c r="Q301" s="362">
        <f t="shared" si="4"/>
        <v>295</v>
      </c>
      <c r="R301" s="363" t="s">
        <v>1779</v>
      </c>
      <c r="S301" s="363" t="s">
        <v>1780</v>
      </c>
      <c r="T301" s="364" t="s">
        <v>901</v>
      </c>
      <c r="U301" s="362" t="s">
        <v>1781</v>
      </c>
      <c r="V301" s="362" t="s">
        <v>2709</v>
      </c>
      <c r="W301" s="363" t="s">
        <v>2709</v>
      </c>
      <c r="X301" s="311" t="s">
        <v>3090</v>
      </c>
      <c r="Y301" s="311" t="s">
        <v>3125</v>
      </c>
      <c r="Z301" s="309" t="s">
        <v>3106</v>
      </c>
      <c r="AA301" s="367">
        <v>8810</v>
      </c>
    </row>
    <row r="302" spans="17:27" ht="13.8">
      <c r="Q302" s="362">
        <f t="shared" si="4"/>
        <v>296</v>
      </c>
      <c r="R302" s="363" t="s">
        <v>1782</v>
      </c>
      <c r="S302" s="363" t="s">
        <v>1783</v>
      </c>
      <c r="T302" s="364" t="s">
        <v>1074</v>
      </c>
      <c r="U302" s="362" t="s">
        <v>1784</v>
      </c>
      <c r="V302" s="362" t="s">
        <v>1783</v>
      </c>
      <c r="W302" s="363" t="s">
        <v>2945</v>
      </c>
      <c r="X302" s="311" t="s">
        <v>3089</v>
      </c>
      <c r="Y302" s="311" t="s">
        <v>3126</v>
      </c>
      <c r="Z302" s="309" t="s">
        <v>3108</v>
      </c>
      <c r="AA302" s="367">
        <v>7976</v>
      </c>
    </row>
    <row r="303" spans="17:27" ht="13.8">
      <c r="Q303" s="362">
        <f t="shared" si="4"/>
        <v>297</v>
      </c>
      <c r="R303" s="363" t="s">
        <v>1785</v>
      </c>
      <c r="S303" s="363" t="s">
        <v>1786</v>
      </c>
      <c r="T303" s="364" t="s">
        <v>909</v>
      </c>
      <c r="U303" s="362" t="s">
        <v>1787</v>
      </c>
      <c r="V303" s="362" t="s">
        <v>2710</v>
      </c>
      <c r="W303" s="363" t="s">
        <v>2710</v>
      </c>
      <c r="X303" s="311" t="s">
        <v>3090</v>
      </c>
      <c r="Y303" s="311" t="s">
        <v>3125</v>
      </c>
      <c r="Z303" s="309" t="s">
        <v>3106</v>
      </c>
      <c r="AA303" s="367">
        <v>9555</v>
      </c>
    </row>
    <row r="304" spans="17:27" ht="13.8">
      <c r="Q304" s="362">
        <f t="shared" si="4"/>
        <v>298</v>
      </c>
      <c r="R304" s="363" t="s">
        <v>1788</v>
      </c>
      <c r="S304" s="363" t="s">
        <v>1789</v>
      </c>
      <c r="T304" s="364" t="s">
        <v>970</v>
      </c>
      <c r="U304" s="362" t="s">
        <v>1790</v>
      </c>
      <c r="V304" s="362" t="s">
        <v>2711</v>
      </c>
      <c r="W304" s="363" t="s">
        <v>2711</v>
      </c>
      <c r="X304" s="311" t="s">
        <v>3090</v>
      </c>
      <c r="Y304" s="311" t="s">
        <v>3125</v>
      </c>
      <c r="Z304" s="309" t="s">
        <v>3122</v>
      </c>
      <c r="AA304" s="367">
        <v>4146</v>
      </c>
    </row>
    <row r="305" spans="17:27" ht="13.8">
      <c r="Q305" s="362">
        <f t="shared" si="4"/>
        <v>299</v>
      </c>
      <c r="R305" s="363" t="s">
        <v>1791</v>
      </c>
      <c r="S305" s="363" t="s">
        <v>1792</v>
      </c>
      <c r="T305" s="364" t="s">
        <v>970</v>
      </c>
      <c r="U305" s="362" t="s">
        <v>1793</v>
      </c>
      <c r="V305" s="362" t="s">
        <v>1792</v>
      </c>
      <c r="W305" s="363" t="s">
        <v>2946</v>
      </c>
      <c r="X305" s="311" t="s">
        <v>3089</v>
      </c>
      <c r="Y305" s="311" t="s">
        <v>3125</v>
      </c>
      <c r="Z305" s="309" t="s">
        <v>3112</v>
      </c>
      <c r="AA305" s="367">
        <v>23033</v>
      </c>
    </row>
    <row r="306" spans="17:27" ht="13.8">
      <c r="Q306" s="362">
        <f t="shared" si="4"/>
        <v>300</v>
      </c>
      <c r="R306" s="363" t="s">
        <v>1794</v>
      </c>
      <c r="S306" s="363" t="s">
        <v>1795</v>
      </c>
      <c r="T306" s="364" t="s">
        <v>1049</v>
      </c>
      <c r="U306" s="362" t="s">
        <v>1796</v>
      </c>
      <c r="V306" s="362" t="s">
        <v>2712</v>
      </c>
      <c r="W306" s="363" t="s">
        <v>2712</v>
      </c>
      <c r="X306" s="311" t="s">
        <v>3090</v>
      </c>
      <c r="Y306" s="311" t="s">
        <v>3125</v>
      </c>
      <c r="Z306" s="309" t="s">
        <v>3106</v>
      </c>
      <c r="AA306" s="367">
        <v>4981</v>
      </c>
    </row>
    <row r="307" spans="17:27" ht="13.8">
      <c r="Q307" s="362">
        <f t="shared" si="4"/>
        <v>301</v>
      </c>
      <c r="R307" s="363" t="s">
        <v>1797</v>
      </c>
      <c r="S307" s="363" t="s">
        <v>1798</v>
      </c>
      <c r="T307" s="364" t="s">
        <v>1049</v>
      </c>
      <c r="U307" s="362" t="s">
        <v>1799</v>
      </c>
      <c r="V307" s="362" t="s">
        <v>1798</v>
      </c>
      <c r="W307" s="363" t="s">
        <v>2712</v>
      </c>
      <c r="X307" s="311" t="s">
        <v>3089</v>
      </c>
      <c r="Y307" s="311" t="s">
        <v>3126</v>
      </c>
      <c r="Z307" s="309" t="s">
        <v>3111</v>
      </c>
      <c r="AA307" s="367">
        <v>5869</v>
      </c>
    </row>
    <row r="308" spans="17:27" ht="13.8">
      <c r="Q308" s="362">
        <f t="shared" si="4"/>
        <v>302</v>
      </c>
      <c r="R308" s="363" t="s">
        <v>1800</v>
      </c>
      <c r="S308" s="363" t="s">
        <v>1801</v>
      </c>
      <c r="T308" s="364" t="s">
        <v>946</v>
      </c>
      <c r="U308" s="362" t="s">
        <v>1802</v>
      </c>
      <c r="V308" s="362" t="s">
        <v>2713</v>
      </c>
      <c r="W308" s="363" t="s">
        <v>2713</v>
      </c>
      <c r="X308" s="311" t="s">
        <v>3090</v>
      </c>
      <c r="Y308" s="311" t="s">
        <v>3125</v>
      </c>
      <c r="Z308" s="309" t="s">
        <v>3106</v>
      </c>
      <c r="AA308" s="367">
        <v>3821</v>
      </c>
    </row>
    <row r="309" spans="17:27" ht="13.8">
      <c r="Q309" s="362">
        <f t="shared" si="4"/>
        <v>303</v>
      </c>
      <c r="R309" s="363" t="s">
        <v>1803</v>
      </c>
      <c r="S309" s="363" t="s">
        <v>1804</v>
      </c>
      <c r="T309" s="364" t="s">
        <v>1127</v>
      </c>
      <c r="U309" s="362" t="s">
        <v>1805</v>
      </c>
      <c r="V309" s="362" t="s">
        <v>2714</v>
      </c>
      <c r="W309" s="363" t="s">
        <v>2714</v>
      </c>
      <c r="X309" s="311" t="s">
        <v>3090</v>
      </c>
      <c r="Y309" s="311" t="s">
        <v>3125</v>
      </c>
      <c r="Z309" s="309" t="s">
        <v>3106</v>
      </c>
      <c r="AA309" s="367">
        <v>13574</v>
      </c>
    </row>
    <row r="310" spans="17:27" ht="13.8">
      <c r="Q310" s="362">
        <f t="shared" si="4"/>
        <v>304</v>
      </c>
      <c r="R310" s="363" t="s">
        <v>1806</v>
      </c>
      <c r="S310" s="363" t="s">
        <v>1807</v>
      </c>
      <c r="T310" s="364" t="s">
        <v>953</v>
      </c>
      <c r="U310" s="362" t="s">
        <v>1808</v>
      </c>
      <c r="V310" s="362" t="s">
        <v>1807</v>
      </c>
      <c r="W310" s="363" t="s">
        <v>2947</v>
      </c>
      <c r="X310" s="311" t="s">
        <v>3089</v>
      </c>
      <c r="Y310" s="311" t="s">
        <v>3126</v>
      </c>
      <c r="Z310" s="309" t="s">
        <v>3108</v>
      </c>
      <c r="AA310" s="367">
        <v>18911</v>
      </c>
    </row>
    <row r="311" spans="17:27" ht="13.8">
      <c r="Q311" s="362">
        <f t="shared" si="4"/>
        <v>305</v>
      </c>
      <c r="R311" s="363" t="s">
        <v>1809</v>
      </c>
      <c r="S311" s="363" t="s">
        <v>1810</v>
      </c>
      <c r="T311" s="364" t="s">
        <v>1127</v>
      </c>
      <c r="U311" s="362" t="s">
        <v>1811</v>
      </c>
      <c r="V311" s="362" t="s">
        <v>1127</v>
      </c>
      <c r="W311" s="363" t="s">
        <v>1127</v>
      </c>
      <c r="X311" s="311" t="s">
        <v>3090</v>
      </c>
      <c r="Y311" s="311" t="s">
        <v>3125</v>
      </c>
      <c r="Z311" s="309" t="s">
        <v>3106</v>
      </c>
      <c r="AA311" s="367">
        <v>13635</v>
      </c>
    </row>
    <row r="312" spans="17:27" ht="13.8">
      <c r="Q312" s="362">
        <f t="shared" si="4"/>
        <v>306</v>
      </c>
      <c r="R312" s="363" t="s">
        <v>1812</v>
      </c>
      <c r="S312" s="363" t="s">
        <v>1813</v>
      </c>
      <c r="T312" s="364" t="s">
        <v>901</v>
      </c>
      <c r="U312" s="362" t="s">
        <v>1814</v>
      </c>
      <c r="V312" s="362" t="s">
        <v>1813</v>
      </c>
      <c r="W312" s="363" t="s">
        <v>2948</v>
      </c>
      <c r="X312" s="311" t="s">
        <v>3089</v>
      </c>
      <c r="Y312" s="311" t="s">
        <v>3125</v>
      </c>
      <c r="Z312" s="309" t="s">
        <v>3112</v>
      </c>
      <c r="AA312" s="367">
        <v>66522</v>
      </c>
    </row>
    <row r="313" spans="17:27" ht="13.8">
      <c r="Q313" s="362">
        <f t="shared" si="4"/>
        <v>307</v>
      </c>
      <c r="R313" s="363" t="s">
        <v>1815</v>
      </c>
      <c r="S313" s="363" t="s">
        <v>1816</v>
      </c>
      <c r="T313" s="364" t="s">
        <v>909</v>
      </c>
      <c r="U313" s="362" t="s">
        <v>1817</v>
      </c>
      <c r="V313" s="362" t="s">
        <v>2715</v>
      </c>
      <c r="W313" s="363" t="s">
        <v>2715</v>
      </c>
      <c r="X313" s="311" t="s">
        <v>3090</v>
      </c>
      <c r="Y313" s="311" t="s">
        <v>3125</v>
      </c>
      <c r="Z313" s="309" t="s">
        <v>3106</v>
      </c>
      <c r="AA313" s="367">
        <v>7128</v>
      </c>
    </row>
    <row r="314" spans="17:27" ht="13.8">
      <c r="Q314" s="362">
        <f t="shared" si="4"/>
        <v>308</v>
      </c>
      <c r="R314" s="363" t="s">
        <v>1818</v>
      </c>
      <c r="S314" s="363" t="s">
        <v>1819</v>
      </c>
      <c r="T314" s="364" t="s">
        <v>1026</v>
      </c>
      <c r="U314" s="362" t="s">
        <v>1820</v>
      </c>
      <c r="V314" s="362" t="s">
        <v>2716</v>
      </c>
      <c r="W314" s="363" t="s">
        <v>2716</v>
      </c>
      <c r="X314" s="311" t="s">
        <v>3090</v>
      </c>
      <c r="Y314" s="311" t="s">
        <v>3125</v>
      </c>
      <c r="Z314" s="309" t="s">
        <v>3106</v>
      </c>
      <c r="AA314" s="367">
        <v>1233</v>
      </c>
    </row>
    <row r="315" spans="17:27" ht="13.8">
      <c r="Q315" s="362">
        <f t="shared" si="4"/>
        <v>309</v>
      </c>
      <c r="R315" s="363" t="s">
        <v>1821</v>
      </c>
      <c r="S315" s="363" t="s">
        <v>1822</v>
      </c>
      <c r="T315" s="364" t="s">
        <v>991</v>
      </c>
      <c r="U315" s="362" t="s">
        <v>1823</v>
      </c>
      <c r="V315" s="362" t="s">
        <v>1822</v>
      </c>
      <c r="W315" s="363" t="s">
        <v>2949</v>
      </c>
      <c r="X315" s="311" t="s">
        <v>3089</v>
      </c>
      <c r="Y315" s="311" t="s">
        <v>3126</v>
      </c>
      <c r="Z315" s="309" t="s">
        <v>3111</v>
      </c>
      <c r="AA315" s="367">
        <v>20149</v>
      </c>
    </row>
    <row r="316" spans="17:27" ht="13.8">
      <c r="Q316" s="362">
        <f t="shared" si="4"/>
        <v>310</v>
      </c>
      <c r="R316" s="363" t="s">
        <v>1824</v>
      </c>
      <c r="S316" s="363" t="s">
        <v>1825</v>
      </c>
      <c r="T316" s="364" t="s">
        <v>987</v>
      </c>
      <c r="U316" s="362" t="s">
        <v>1826</v>
      </c>
      <c r="V316" s="362" t="s">
        <v>2717</v>
      </c>
      <c r="W316" s="363" t="s">
        <v>2717</v>
      </c>
      <c r="X316" s="311" t="s">
        <v>3090</v>
      </c>
      <c r="Y316" s="311" t="s">
        <v>3125</v>
      </c>
      <c r="Z316" s="309" t="s">
        <v>3106</v>
      </c>
      <c r="AA316" s="367">
        <v>418</v>
      </c>
    </row>
    <row r="317" spans="17:27" ht="13.8">
      <c r="Q317" s="362">
        <f t="shared" si="4"/>
        <v>311</v>
      </c>
      <c r="R317" s="363" t="s">
        <v>1827</v>
      </c>
      <c r="S317" s="363" t="s">
        <v>1828</v>
      </c>
      <c r="T317" s="364" t="s">
        <v>901</v>
      </c>
      <c r="U317" s="362" t="s">
        <v>1829</v>
      </c>
      <c r="V317" s="362" t="s">
        <v>1828</v>
      </c>
      <c r="W317" s="363" t="s">
        <v>2717</v>
      </c>
      <c r="X317" s="311" t="s">
        <v>3089</v>
      </c>
      <c r="Y317" s="311" t="s">
        <v>3126</v>
      </c>
      <c r="Z317" s="309" t="s">
        <v>3111</v>
      </c>
      <c r="AA317" s="367">
        <v>10566</v>
      </c>
    </row>
    <row r="318" spans="17:27" ht="13.8">
      <c r="Q318" s="362">
        <f t="shared" si="4"/>
        <v>312</v>
      </c>
      <c r="R318" s="363" t="s">
        <v>1830</v>
      </c>
      <c r="S318" s="363" t="s">
        <v>1831</v>
      </c>
      <c r="T318" s="364" t="s">
        <v>1127</v>
      </c>
      <c r="U318" s="362" t="s">
        <v>1832</v>
      </c>
      <c r="V318" s="362" t="s">
        <v>2718</v>
      </c>
      <c r="W318" s="363" t="s">
        <v>2718</v>
      </c>
      <c r="X318" s="311" t="s">
        <v>3090</v>
      </c>
      <c r="Y318" s="311" t="s">
        <v>3125</v>
      </c>
      <c r="Z318" s="309" t="s">
        <v>3106</v>
      </c>
      <c r="AA318" s="367">
        <v>6893</v>
      </c>
    </row>
    <row r="319" spans="17:27" ht="13.8">
      <c r="Q319" s="362">
        <f t="shared" si="4"/>
        <v>313</v>
      </c>
      <c r="R319" s="363" t="s">
        <v>1833</v>
      </c>
      <c r="S319" s="363" t="s">
        <v>1834</v>
      </c>
      <c r="T319" s="364" t="s">
        <v>1074</v>
      </c>
      <c r="U319" s="362" t="s">
        <v>1835</v>
      </c>
      <c r="V319" s="362" t="s">
        <v>3052</v>
      </c>
      <c r="W319" s="363" t="s">
        <v>3052</v>
      </c>
      <c r="X319" s="311" t="s">
        <v>3091</v>
      </c>
      <c r="Y319" s="311" t="s">
        <v>3127</v>
      </c>
      <c r="Z319" s="309" t="s">
        <v>3121</v>
      </c>
      <c r="AA319" s="367">
        <v>28400</v>
      </c>
    </row>
    <row r="320" spans="17:27" ht="13.8">
      <c r="Q320" s="362">
        <f t="shared" si="4"/>
        <v>314</v>
      </c>
      <c r="R320" s="363" t="s">
        <v>1836</v>
      </c>
      <c r="S320" s="363" t="s">
        <v>1837</v>
      </c>
      <c r="T320" s="364" t="s">
        <v>1049</v>
      </c>
      <c r="U320" s="362" t="s">
        <v>1838</v>
      </c>
      <c r="V320" s="362" t="s">
        <v>1837</v>
      </c>
      <c r="W320" s="363" t="s">
        <v>2950</v>
      </c>
      <c r="X320" s="311" t="s">
        <v>3089</v>
      </c>
      <c r="Y320" s="311" t="s">
        <v>3125</v>
      </c>
      <c r="Z320" s="309" t="s">
        <v>3114</v>
      </c>
      <c r="AA320" s="367">
        <v>3651</v>
      </c>
    </row>
    <row r="321" spans="17:27" ht="13.8">
      <c r="Q321" s="362">
        <f t="shared" si="4"/>
        <v>315</v>
      </c>
      <c r="R321" s="363" t="s">
        <v>1839</v>
      </c>
      <c r="S321" s="363" t="s">
        <v>1840</v>
      </c>
      <c r="T321" s="364" t="s">
        <v>901</v>
      </c>
      <c r="U321" s="362" t="s">
        <v>1841</v>
      </c>
      <c r="V321" s="362" t="s">
        <v>2719</v>
      </c>
      <c r="W321" s="363" t="s">
        <v>2719</v>
      </c>
      <c r="X321" s="311" t="s">
        <v>3090</v>
      </c>
      <c r="Y321" s="311" t="s">
        <v>3127</v>
      </c>
      <c r="Z321" s="309" t="s">
        <v>3110</v>
      </c>
      <c r="AA321" s="367">
        <v>3279</v>
      </c>
    </row>
    <row r="322" spans="17:27" ht="13.8">
      <c r="Q322" s="362">
        <f t="shared" si="4"/>
        <v>316</v>
      </c>
      <c r="R322" s="363" t="s">
        <v>1842</v>
      </c>
      <c r="S322" s="363" t="s">
        <v>1843</v>
      </c>
      <c r="T322" s="364" t="s">
        <v>1161</v>
      </c>
      <c r="U322" s="362" t="s">
        <v>1844</v>
      </c>
      <c r="V322" s="362" t="s">
        <v>1843</v>
      </c>
      <c r="W322" s="363" t="s">
        <v>2951</v>
      </c>
      <c r="X322" s="311" t="s">
        <v>3089</v>
      </c>
      <c r="Y322" s="311" t="s">
        <v>3125</v>
      </c>
      <c r="Z322" s="309" t="s">
        <v>3107</v>
      </c>
      <c r="AA322" s="367">
        <v>36129</v>
      </c>
    </row>
    <row r="323" spans="17:27" ht="13.8">
      <c r="Q323" s="362">
        <f t="shared" si="4"/>
        <v>317</v>
      </c>
      <c r="R323" s="363" t="s">
        <v>1845</v>
      </c>
      <c r="S323" s="363" t="s">
        <v>1843</v>
      </c>
      <c r="T323" s="364" t="s">
        <v>1127</v>
      </c>
      <c r="U323" s="362" t="s">
        <v>1846</v>
      </c>
      <c r="V323" s="362" t="s">
        <v>1843</v>
      </c>
      <c r="W323" s="363" t="s">
        <v>2951</v>
      </c>
      <c r="X323" s="311" t="s">
        <v>3089</v>
      </c>
      <c r="Y323" s="311" t="s">
        <v>3125</v>
      </c>
      <c r="Z323" s="309" t="s">
        <v>3114</v>
      </c>
      <c r="AA323" s="367">
        <v>39132</v>
      </c>
    </row>
    <row r="324" spans="17:27" ht="13.8">
      <c r="Q324" s="362">
        <f t="shared" si="4"/>
        <v>318</v>
      </c>
      <c r="R324" s="363" t="s">
        <v>1847</v>
      </c>
      <c r="S324" s="363" t="s">
        <v>1848</v>
      </c>
      <c r="T324" s="364" t="s">
        <v>930</v>
      </c>
      <c r="U324" s="362" t="s">
        <v>1849</v>
      </c>
      <c r="V324" s="362" t="s">
        <v>1848</v>
      </c>
      <c r="W324" s="363" t="s">
        <v>2952</v>
      </c>
      <c r="X324" s="311" t="s">
        <v>3089</v>
      </c>
      <c r="Y324" s="311" t="s">
        <v>3126</v>
      </c>
      <c r="Z324" s="309" t="s">
        <v>3111</v>
      </c>
      <c r="AA324" s="367">
        <v>3847</v>
      </c>
    </row>
    <row r="325" spans="17:27" ht="13.8">
      <c r="Q325" s="362">
        <f t="shared" si="4"/>
        <v>319</v>
      </c>
      <c r="R325" s="363" t="s">
        <v>1850</v>
      </c>
      <c r="S325" s="363" t="s">
        <v>1851</v>
      </c>
      <c r="T325" s="364" t="s">
        <v>991</v>
      </c>
      <c r="U325" s="362" t="s">
        <v>1852</v>
      </c>
      <c r="V325" s="362" t="s">
        <v>1851</v>
      </c>
      <c r="W325" s="363" t="s">
        <v>2953</v>
      </c>
      <c r="X325" s="311" t="s">
        <v>3089</v>
      </c>
      <c r="Y325" s="311" t="s">
        <v>3125</v>
      </c>
      <c r="Z325" s="309" t="s">
        <v>3106</v>
      </c>
      <c r="AA325" s="367">
        <v>37669</v>
      </c>
    </row>
    <row r="326" spans="17:27" ht="13.8">
      <c r="Q326" s="362">
        <f t="shared" si="4"/>
        <v>320</v>
      </c>
      <c r="R326" s="363" t="s">
        <v>1853</v>
      </c>
      <c r="S326" s="363" t="s">
        <v>1854</v>
      </c>
      <c r="T326" s="364" t="s">
        <v>987</v>
      </c>
      <c r="U326" s="362" t="s">
        <v>1855</v>
      </c>
      <c r="V326" s="362" t="s">
        <v>1854</v>
      </c>
      <c r="W326" s="363" t="s">
        <v>2954</v>
      </c>
      <c r="X326" s="311" t="s">
        <v>3089</v>
      </c>
      <c r="Y326" s="311" t="s">
        <v>3126</v>
      </c>
      <c r="Z326" s="309" t="s">
        <v>3111</v>
      </c>
      <c r="AA326" s="367">
        <v>22254</v>
      </c>
    </row>
    <row r="327" spans="17:27" ht="13.8">
      <c r="Q327" s="362">
        <f t="shared" si="4"/>
        <v>321</v>
      </c>
      <c r="R327" s="363" t="s">
        <v>1856</v>
      </c>
      <c r="S327" s="363" t="s">
        <v>1857</v>
      </c>
      <c r="T327" s="364" t="s">
        <v>909</v>
      </c>
      <c r="U327" s="362" t="s">
        <v>1858</v>
      </c>
      <c r="V327" s="362" t="s">
        <v>2720</v>
      </c>
      <c r="W327" s="363" t="s">
        <v>2720</v>
      </c>
      <c r="X327" s="311" t="s">
        <v>3090</v>
      </c>
      <c r="Y327" s="311" t="s">
        <v>3125</v>
      </c>
      <c r="Z327" s="309" t="s">
        <v>3106</v>
      </c>
      <c r="AA327" s="367">
        <v>7844</v>
      </c>
    </row>
    <row r="328" spans="17:27" ht="13.8">
      <c r="Q328" s="362">
        <f t="shared" si="4"/>
        <v>322</v>
      </c>
      <c r="R328" s="363" t="s">
        <v>1859</v>
      </c>
      <c r="S328" s="363" t="s">
        <v>1860</v>
      </c>
      <c r="T328" s="364" t="s">
        <v>1049</v>
      </c>
      <c r="U328" s="362" t="s">
        <v>1861</v>
      </c>
      <c r="V328" s="362" t="s">
        <v>1860</v>
      </c>
      <c r="W328" s="363" t="s">
        <v>2955</v>
      </c>
      <c r="X328" s="311" t="s">
        <v>3089</v>
      </c>
      <c r="Y328" s="311" t="s">
        <v>3126</v>
      </c>
      <c r="Z328" s="309" t="s">
        <v>3111</v>
      </c>
      <c r="AA328" s="367">
        <v>21528</v>
      </c>
    </row>
    <row r="329" spans="17:27" ht="13.8">
      <c r="Q329" s="362">
        <f t="shared" ref="Q329:Q392" si="5">Q328+1</f>
        <v>323</v>
      </c>
      <c r="R329" s="363" t="s">
        <v>1862</v>
      </c>
      <c r="S329" s="363" t="s">
        <v>1863</v>
      </c>
      <c r="T329" s="364" t="s">
        <v>909</v>
      </c>
      <c r="U329" s="362" t="s">
        <v>1864</v>
      </c>
      <c r="V329" s="362" t="s">
        <v>2721</v>
      </c>
      <c r="W329" s="363" t="s">
        <v>2721</v>
      </c>
      <c r="X329" s="311" t="s">
        <v>3090</v>
      </c>
      <c r="Y329" s="311" t="s">
        <v>3125</v>
      </c>
      <c r="Z329" s="309" t="s">
        <v>3106</v>
      </c>
      <c r="AA329" s="367">
        <v>2708</v>
      </c>
    </row>
    <row r="330" spans="17:27" ht="13.8">
      <c r="Q330" s="362">
        <f t="shared" si="5"/>
        <v>324</v>
      </c>
      <c r="R330" s="363" t="s">
        <v>1865</v>
      </c>
      <c r="S330" s="363" t="s">
        <v>1866</v>
      </c>
      <c r="T330" s="364" t="s">
        <v>970</v>
      </c>
      <c r="U330" s="362" t="s">
        <v>1867</v>
      </c>
      <c r="V330" s="362" t="s">
        <v>1866</v>
      </c>
      <c r="W330" s="363" t="s">
        <v>2956</v>
      </c>
      <c r="X330" s="311" t="s">
        <v>3089</v>
      </c>
      <c r="Y330" s="311" t="s">
        <v>3125</v>
      </c>
      <c r="Z330" s="309" t="s">
        <v>3112</v>
      </c>
      <c r="AA330" s="367">
        <v>20726</v>
      </c>
    </row>
    <row r="331" spans="17:27" ht="13.8">
      <c r="Q331" s="362">
        <f t="shared" si="5"/>
        <v>325</v>
      </c>
      <c r="R331" s="363" t="s">
        <v>1868</v>
      </c>
      <c r="S331" s="363" t="s">
        <v>1869</v>
      </c>
      <c r="T331" s="364" t="s">
        <v>1049</v>
      </c>
      <c r="U331" s="362" t="s">
        <v>1870</v>
      </c>
      <c r="V331" s="362" t="s">
        <v>2722</v>
      </c>
      <c r="W331" s="363" t="s">
        <v>2722</v>
      </c>
      <c r="X331" s="311" t="s">
        <v>3090</v>
      </c>
      <c r="Y331" s="311" t="s">
        <v>3125</v>
      </c>
      <c r="Z331" s="309" t="s">
        <v>3106</v>
      </c>
      <c r="AA331" s="367">
        <v>5532</v>
      </c>
    </row>
    <row r="332" spans="17:27" ht="13.8">
      <c r="Q332" s="362">
        <f t="shared" si="5"/>
        <v>326</v>
      </c>
      <c r="R332" s="363" t="s">
        <v>1871</v>
      </c>
      <c r="S332" s="363" t="s">
        <v>1872</v>
      </c>
      <c r="T332" s="364" t="s">
        <v>1049</v>
      </c>
      <c r="U332" s="362" t="s">
        <v>1873</v>
      </c>
      <c r="V332" s="362" t="s">
        <v>1872</v>
      </c>
      <c r="W332" s="363" t="s">
        <v>1049</v>
      </c>
      <c r="X332" s="311" t="s">
        <v>3089</v>
      </c>
      <c r="Y332" s="311" t="s">
        <v>3126</v>
      </c>
      <c r="Z332" s="309" t="s">
        <v>3111</v>
      </c>
      <c r="AA332" s="367">
        <v>22306</v>
      </c>
    </row>
    <row r="333" spans="17:27" ht="13.8">
      <c r="Q333" s="362">
        <f t="shared" si="5"/>
        <v>327</v>
      </c>
      <c r="R333" s="363" t="s">
        <v>1874</v>
      </c>
      <c r="S333" s="363" t="s">
        <v>1875</v>
      </c>
      <c r="T333" s="364" t="s">
        <v>1049</v>
      </c>
      <c r="U333" s="362" t="s">
        <v>1876</v>
      </c>
      <c r="V333" s="362" t="s">
        <v>3078</v>
      </c>
      <c r="W333" s="363" t="s">
        <v>3078</v>
      </c>
      <c r="X333" s="311" t="s">
        <v>2584</v>
      </c>
      <c r="Y333" s="311" t="s">
        <v>3125</v>
      </c>
      <c r="Z333" s="309" t="s">
        <v>3107</v>
      </c>
      <c r="AA333" s="367">
        <v>18411</v>
      </c>
    </row>
    <row r="334" spans="17:27" ht="13.8">
      <c r="Q334" s="362">
        <f t="shared" si="5"/>
        <v>328</v>
      </c>
      <c r="R334" s="363" t="s">
        <v>1877</v>
      </c>
      <c r="S334" s="363" t="s">
        <v>1878</v>
      </c>
      <c r="T334" s="364" t="s">
        <v>1049</v>
      </c>
      <c r="U334" s="362" t="s">
        <v>1879</v>
      </c>
      <c r="V334" s="362" t="s">
        <v>2723</v>
      </c>
      <c r="W334" s="363" t="s">
        <v>2723</v>
      </c>
      <c r="X334" s="311" t="s">
        <v>3090</v>
      </c>
      <c r="Y334" s="311" t="s">
        <v>3125</v>
      </c>
      <c r="Z334" s="309" t="s">
        <v>3115</v>
      </c>
      <c r="AA334" s="367">
        <v>5050</v>
      </c>
    </row>
    <row r="335" spans="17:27" ht="13.8">
      <c r="Q335" s="362">
        <f t="shared" si="5"/>
        <v>329</v>
      </c>
      <c r="R335" s="363" t="s">
        <v>1880</v>
      </c>
      <c r="S335" s="365" t="s">
        <v>1881</v>
      </c>
      <c r="T335" s="364" t="s">
        <v>946</v>
      </c>
      <c r="U335" s="362" t="s">
        <v>1882</v>
      </c>
      <c r="V335" s="362" t="s">
        <v>2724</v>
      </c>
      <c r="W335" s="365" t="s">
        <v>2724</v>
      </c>
      <c r="X335" s="311" t="s">
        <v>3090</v>
      </c>
      <c r="Y335" s="311" t="s">
        <v>3127</v>
      </c>
      <c r="Z335" s="309" t="s">
        <v>3110</v>
      </c>
      <c r="AA335" s="367">
        <v>4676</v>
      </c>
    </row>
    <row r="336" spans="17:27" ht="13.8">
      <c r="Q336" s="362">
        <f t="shared" si="5"/>
        <v>330</v>
      </c>
      <c r="R336" s="363" t="s">
        <v>1883</v>
      </c>
      <c r="S336" s="363" t="s">
        <v>1884</v>
      </c>
      <c r="T336" s="364" t="s">
        <v>970</v>
      </c>
      <c r="U336" s="362" t="s">
        <v>1885</v>
      </c>
      <c r="V336" s="362" t="s">
        <v>1884</v>
      </c>
      <c r="W336" s="363" t="s">
        <v>2957</v>
      </c>
      <c r="X336" s="311" t="s">
        <v>3089</v>
      </c>
      <c r="Y336" s="311" t="s">
        <v>3125</v>
      </c>
      <c r="Z336" s="309" t="s">
        <v>3112</v>
      </c>
      <c r="AA336" s="367">
        <v>9536</v>
      </c>
    </row>
    <row r="337" spans="17:27" ht="13.8">
      <c r="Q337" s="362">
        <f t="shared" si="5"/>
        <v>331</v>
      </c>
      <c r="R337" s="363" t="s">
        <v>1886</v>
      </c>
      <c r="S337" s="363" t="s">
        <v>1887</v>
      </c>
      <c r="T337" s="364" t="s">
        <v>970</v>
      </c>
      <c r="U337" s="362" t="s">
        <v>1888</v>
      </c>
      <c r="V337" s="362" t="s">
        <v>1887</v>
      </c>
      <c r="W337" s="363" t="s">
        <v>2958</v>
      </c>
      <c r="X337" s="311" t="s">
        <v>3089</v>
      </c>
      <c r="Y337" s="311" t="s">
        <v>3125</v>
      </c>
      <c r="Z337" s="309" t="s">
        <v>3112</v>
      </c>
      <c r="AA337" s="367">
        <v>41864</v>
      </c>
    </row>
    <row r="338" spans="17:27" ht="13.8">
      <c r="Q338" s="362">
        <f t="shared" si="5"/>
        <v>332</v>
      </c>
      <c r="R338" s="363" t="s">
        <v>1889</v>
      </c>
      <c r="S338" s="363" t="s">
        <v>1890</v>
      </c>
      <c r="T338" s="364" t="s">
        <v>1049</v>
      </c>
      <c r="U338" s="362" t="s">
        <v>1891</v>
      </c>
      <c r="V338" s="362" t="s">
        <v>1890</v>
      </c>
      <c r="W338" s="363" t="s">
        <v>2959</v>
      </c>
      <c r="X338" s="311" t="s">
        <v>3089</v>
      </c>
      <c r="Y338" s="311" t="s">
        <v>3125</v>
      </c>
      <c r="Z338" s="309" t="s">
        <v>3106</v>
      </c>
      <c r="AA338" s="367">
        <v>28117</v>
      </c>
    </row>
    <row r="339" spans="17:27" ht="13.8">
      <c r="Q339" s="362">
        <f t="shared" si="5"/>
        <v>333</v>
      </c>
      <c r="R339" s="363" t="s">
        <v>1892</v>
      </c>
      <c r="S339" s="363" t="s">
        <v>1893</v>
      </c>
      <c r="T339" s="364" t="s">
        <v>1049</v>
      </c>
      <c r="U339" s="362" t="s">
        <v>1894</v>
      </c>
      <c r="V339" s="362" t="s">
        <v>2725</v>
      </c>
      <c r="W339" s="363" t="s">
        <v>2725</v>
      </c>
      <c r="X339" s="311" t="s">
        <v>3090</v>
      </c>
      <c r="Y339" s="311" t="s">
        <v>3125</v>
      </c>
      <c r="Z339" s="309" t="s">
        <v>3107</v>
      </c>
      <c r="AA339" s="367">
        <v>4160</v>
      </c>
    </row>
    <row r="340" spans="17:27" ht="13.8">
      <c r="Q340" s="362">
        <f t="shared" si="5"/>
        <v>334</v>
      </c>
      <c r="R340" s="363" t="s">
        <v>1895</v>
      </c>
      <c r="S340" s="363" t="s">
        <v>1896</v>
      </c>
      <c r="T340" s="364" t="s">
        <v>1007</v>
      </c>
      <c r="U340" s="362" t="s">
        <v>1897</v>
      </c>
      <c r="V340" s="362" t="s">
        <v>2726</v>
      </c>
      <c r="W340" s="363" t="s">
        <v>2726</v>
      </c>
      <c r="X340" s="311" t="s">
        <v>3090</v>
      </c>
      <c r="Y340" s="311" t="s">
        <v>3125</v>
      </c>
      <c r="Z340" s="309" t="s">
        <v>3106</v>
      </c>
      <c r="AA340" s="367">
        <v>6685</v>
      </c>
    </row>
    <row r="341" spans="17:27" ht="13.8">
      <c r="Q341" s="362">
        <f t="shared" si="5"/>
        <v>335</v>
      </c>
      <c r="R341" s="363" t="s">
        <v>1898</v>
      </c>
      <c r="S341" s="365" t="s">
        <v>1899</v>
      </c>
      <c r="T341" s="364" t="s">
        <v>905</v>
      </c>
      <c r="U341" s="362" t="s">
        <v>1900</v>
      </c>
      <c r="V341" s="362" t="s">
        <v>1899</v>
      </c>
      <c r="W341" s="365" t="s">
        <v>2960</v>
      </c>
      <c r="X341" s="311" t="s">
        <v>3089</v>
      </c>
      <c r="Y341" s="311" t="s">
        <v>3126</v>
      </c>
      <c r="Z341" s="309" t="s">
        <v>3111</v>
      </c>
      <c r="AA341" s="367">
        <v>6147</v>
      </c>
    </row>
    <row r="342" spans="17:27" ht="13.8">
      <c r="Q342" s="362">
        <f t="shared" si="5"/>
        <v>336</v>
      </c>
      <c r="R342" s="363" t="s">
        <v>1901</v>
      </c>
      <c r="S342" s="363" t="s">
        <v>1902</v>
      </c>
      <c r="T342" s="364" t="s">
        <v>1161</v>
      </c>
      <c r="U342" s="362" t="s">
        <v>1903</v>
      </c>
      <c r="V342" s="362" t="s">
        <v>2727</v>
      </c>
      <c r="W342" s="363" t="s">
        <v>2727</v>
      </c>
      <c r="X342" s="311" t="s">
        <v>3090</v>
      </c>
      <c r="Y342" s="311" t="s">
        <v>3125</v>
      </c>
      <c r="Z342" s="309" t="s">
        <v>3106</v>
      </c>
      <c r="AA342" s="367">
        <v>3036</v>
      </c>
    </row>
    <row r="343" spans="17:27" ht="13.8">
      <c r="Q343" s="362">
        <f t="shared" si="5"/>
        <v>337</v>
      </c>
      <c r="R343" s="363" t="s">
        <v>1904</v>
      </c>
      <c r="S343" s="363" t="s">
        <v>1905</v>
      </c>
      <c r="T343" s="364" t="s">
        <v>901</v>
      </c>
      <c r="U343" s="362" t="s">
        <v>1906</v>
      </c>
      <c r="V343" s="362" t="s">
        <v>2728</v>
      </c>
      <c r="W343" s="363" t="s">
        <v>2961</v>
      </c>
      <c r="X343" s="311" t="s">
        <v>3090</v>
      </c>
      <c r="Y343" s="311" t="s">
        <v>3125</v>
      </c>
      <c r="Z343" s="309" t="s">
        <v>3106</v>
      </c>
      <c r="AA343" s="367">
        <v>4869</v>
      </c>
    </row>
    <row r="344" spans="17:27" ht="13.8">
      <c r="Q344" s="362">
        <f t="shared" si="5"/>
        <v>338</v>
      </c>
      <c r="R344" s="363" t="s">
        <v>1907</v>
      </c>
      <c r="S344" s="363" t="s">
        <v>1908</v>
      </c>
      <c r="T344" s="364" t="s">
        <v>901</v>
      </c>
      <c r="U344" s="362" t="s">
        <v>1909</v>
      </c>
      <c r="V344" s="362" t="s">
        <v>1908</v>
      </c>
      <c r="W344" s="363" t="s">
        <v>2961</v>
      </c>
      <c r="X344" s="311" t="s">
        <v>3089</v>
      </c>
      <c r="Y344" s="311" t="s">
        <v>3126</v>
      </c>
      <c r="Z344" s="309" t="s">
        <v>3111</v>
      </c>
      <c r="AA344" s="367">
        <v>27935</v>
      </c>
    </row>
    <row r="345" spans="17:27" ht="13.8">
      <c r="Q345" s="362">
        <f t="shared" si="5"/>
        <v>339</v>
      </c>
      <c r="R345" s="363" t="s">
        <v>1910</v>
      </c>
      <c r="S345" s="363" t="s">
        <v>1911</v>
      </c>
      <c r="T345" s="364" t="s">
        <v>1049</v>
      </c>
      <c r="U345" s="362" t="s">
        <v>1912</v>
      </c>
      <c r="V345" s="362" t="s">
        <v>2729</v>
      </c>
      <c r="W345" s="363" t="s">
        <v>2729</v>
      </c>
      <c r="X345" s="311" t="s">
        <v>3090</v>
      </c>
      <c r="Y345" s="311" t="s">
        <v>3125</v>
      </c>
      <c r="Z345" s="309" t="s">
        <v>3106</v>
      </c>
      <c r="AA345" s="367">
        <v>3232</v>
      </c>
    </row>
    <row r="346" spans="17:27" ht="13.8">
      <c r="Q346" s="362">
        <f t="shared" si="5"/>
        <v>340</v>
      </c>
      <c r="R346" s="363" t="s">
        <v>1913</v>
      </c>
      <c r="S346" s="365" t="s">
        <v>1914</v>
      </c>
      <c r="T346" s="364" t="s">
        <v>1127</v>
      </c>
      <c r="U346" s="362" t="s">
        <v>1915</v>
      </c>
      <c r="V346" s="362" t="s">
        <v>3053</v>
      </c>
      <c r="W346" s="365" t="s">
        <v>3053</v>
      </c>
      <c r="X346" s="311" t="s">
        <v>3091</v>
      </c>
      <c r="Y346" s="311" t="s">
        <v>3125</v>
      </c>
      <c r="Z346" s="309" t="s">
        <v>3114</v>
      </c>
      <c r="AA346" s="367">
        <v>55181</v>
      </c>
    </row>
    <row r="347" spans="17:27" ht="13.8">
      <c r="Q347" s="362">
        <f t="shared" si="5"/>
        <v>341</v>
      </c>
      <c r="R347" s="363" t="s">
        <v>1916</v>
      </c>
      <c r="S347" s="363" t="s">
        <v>1917</v>
      </c>
      <c r="T347" s="364" t="s">
        <v>970</v>
      </c>
      <c r="U347" s="362" t="s">
        <v>1918</v>
      </c>
      <c r="V347" s="362" t="s">
        <v>1917</v>
      </c>
      <c r="W347" s="363" t="s">
        <v>2962</v>
      </c>
      <c r="X347" s="311" t="s">
        <v>3089</v>
      </c>
      <c r="Y347" s="311" t="s">
        <v>3126</v>
      </c>
      <c r="Z347" s="309" t="s">
        <v>3111</v>
      </c>
      <c r="AA347" s="367">
        <v>7385</v>
      </c>
    </row>
    <row r="348" spans="17:27" ht="13.8">
      <c r="Q348" s="362">
        <f t="shared" si="5"/>
        <v>342</v>
      </c>
      <c r="R348" s="363" t="s">
        <v>1919</v>
      </c>
      <c r="S348" s="363" t="s">
        <v>1920</v>
      </c>
      <c r="T348" s="364" t="s">
        <v>909</v>
      </c>
      <c r="U348" s="362" t="s">
        <v>1921</v>
      </c>
      <c r="V348" s="362" t="s">
        <v>2730</v>
      </c>
      <c r="W348" s="363" t="s">
        <v>2730</v>
      </c>
      <c r="X348" s="311" t="s">
        <v>3090</v>
      </c>
      <c r="Y348" s="311" t="s">
        <v>3125</v>
      </c>
      <c r="Z348" s="309" t="s">
        <v>3106</v>
      </c>
      <c r="AA348" s="367">
        <v>16341</v>
      </c>
    </row>
    <row r="349" spans="17:27" ht="13.8">
      <c r="Q349" s="362">
        <f t="shared" si="5"/>
        <v>343</v>
      </c>
      <c r="R349" s="363" t="s">
        <v>1922</v>
      </c>
      <c r="S349" s="363" t="s">
        <v>1923</v>
      </c>
      <c r="T349" s="364" t="s">
        <v>1007</v>
      </c>
      <c r="U349" s="362" t="s">
        <v>1924</v>
      </c>
      <c r="V349" s="362" t="s">
        <v>2731</v>
      </c>
      <c r="W349" s="363" t="s">
        <v>2731</v>
      </c>
      <c r="X349" s="311" t="s">
        <v>3090</v>
      </c>
      <c r="Y349" s="311" t="s">
        <v>3125</v>
      </c>
      <c r="Z349" s="309" t="s">
        <v>3106</v>
      </c>
      <c r="AA349" s="367">
        <v>12171</v>
      </c>
    </row>
    <row r="350" spans="17:27" ht="13.8">
      <c r="Q350" s="362">
        <f t="shared" si="5"/>
        <v>344</v>
      </c>
      <c r="R350" s="363" t="s">
        <v>1925</v>
      </c>
      <c r="S350" s="363" t="s">
        <v>1926</v>
      </c>
      <c r="T350" s="364" t="s">
        <v>991</v>
      </c>
      <c r="U350" s="362" t="s">
        <v>1927</v>
      </c>
      <c r="V350" s="362" t="s">
        <v>3054</v>
      </c>
      <c r="W350" s="363" t="s">
        <v>3054</v>
      </c>
      <c r="X350" s="311" t="s">
        <v>3091</v>
      </c>
      <c r="Y350" s="311" t="s">
        <v>3125</v>
      </c>
      <c r="Z350" s="309" t="s">
        <v>3113</v>
      </c>
      <c r="AA350" s="367">
        <v>277140</v>
      </c>
    </row>
    <row r="351" spans="17:27" ht="13.8">
      <c r="Q351" s="362">
        <f t="shared" si="5"/>
        <v>345</v>
      </c>
      <c r="R351" s="363" t="s">
        <v>1928</v>
      </c>
      <c r="S351" s="363" t="s">
        <v>1929</v>
      </c>
      <c r="T351" s="364" t="s">
        <v>1161</v>
      </c>
      <c r="U351" s="362" t="s">
        <v>1930</v>
      </c>
      <c r="V351" s="362" t="s">
        <v>2732</v>
      </c>
      <c r="W351" s="363" t="s">
        <v>2732</v>
      </c>
      <c r="X351" s="311" t="s">
        <v>3090</v>
      </c>
      <c r="Y351" s="311" t="s">
        <v>3125</v>
      </c>
      <c r="Z351" s="309" t="s">
        <v>3106</v>
      </c>
      <c r="AA351" s="367">
        <v>1553</v>
      </c>
    </row>
    <row r="352" spans="17:27" ht="13.8">
      <c r="Q352" s="362">
        <f t="shared" si="5"/>
        <v>346</v>
      </c>
      <c r="R352" s="363" t="s">
        <v>1931</v>
      </c>
      <c r="S352" s="363" t="s">
        <v>1932</v>
      </c>
      <c r="T352" s="364" t="s">
        <v>930</v>
      </c>
      <c r="U352" s="362" t="s">
        <v>1933</v>
      </c>
      <c r="V352" s="362" t="s">
        <v>3079</v>
      </c>
      <c r="W352" s="363" t="s">
        <v>3079</v>
      </c>
      <c r="X352" s="311" t="s">
        <v>2584</v>
      </c>
      <c r="Y352" s="311" t="s">
        <v>3125</v>
      </c>
      <c r="Z352" s="309" t="s">
        <v>3112</v>
      </c>
      <c r="AA352" s="367">
        <v>7997</v>
      </c>
    </row>
    <row r="353" spans="17:27" ht="13.8">
      <c r="Q353" s="362">
        <f t="shared" si="5"/>
        <v>347</v>
      </c>
      <c r="R353" s="363" t="s">
        <v>1934</v>
      </c>
      <c r="S353" s="363" t="s">
        <v>1935</v>
      </c>
      <c r="T353" s="364" t="s">
        <v>909</v>
      </c>
      <c r="U353" s="362" t="s">
        <v>1936</v>
      </c>
      <c r="V353" s="362" t="s">
        <v>2733</v>
      </c>
      <c r="W353" s="363" t="s">
        <v>2733</v>
      </c>
      <c r="X353" s="311" t="s">
        <v>3090</v>
      </c>
      <c r="Y353" s="311" t="s">
        <v>3125</v>
      </c>
      <c r="Z353" s="309" t="s">
        <v>3106</v>
      </c>
      <c r="AA353" s="367">
        <v>15392</v>
      </c>
    </row>
    <row r="354" spans="17:27" ht="13.8">
      <c r="Q354" s="362">
        <f t="shared" si="5"/>
        <v>348</v>
      </c>
      <c r="R354" s="363" t="s">
        <v>1937</v>
      </c>
      <c r="S354" s="363" t="s">
        <v>1938</v>
      </c>
      <c r="T354" s="364" t="s">
        <v>977</v>
      </c>
      <c r="U354" s="362" t="s">
        <v>1939</v>
      </c>
      <c r="V354" s="362" t="s">
        <v>1938</v>
      </c>
      <c r="W354" s="363" t="s">
        <v>2963</v>
      </c>
      <c r="X354" s="311" t="s">
        <v>3089</v>
      </c>
      <c r="Y354" s="311" t="s">
        <v>3127</v>
      </c>
      <c r="Z354" s="309" t="s">
        <v>3121</v>
      </c>
      <c r="AA354" s="367">
        <v>60773</v>
      </c>
    </row>
    <row r="355" spans="17:27" ht="13.8">
      <c r="Q355" s="362">
        <f t="shared" si="5"/>
        <v>349</v>
      </c>
      <c r="R355" s="363" t="s">
        <v>1940</v>
      </c>
      <c r="S355" s="363" t="s">
        <v>1941</v>
      </c>
      <c r="T355" s="364" t="s">
        <v>1127</v>
      </c>
      <c r="U355" s="362" t="s">
        <v>1942</v>
      </c>
      <c r="V355" s="362" t="s">
        <v>1941</v>
      </c>
      <c r="W355" s="363" t="s">
        <v>2964</v>
      </c>
      <c r="X355" s="311" t="s">
        <v>3089</v>
      </c>
      <c r="Y355" s="311" t="s">
        <v>3125</v>
      </c>
      <c r="Z355" s="309" t="s">
        <v>3106</v>
      </c>
      <c r="AA355" s="367">
        <v>40742</v>
      </c>
    </row>
    <row r="356" spans="17:27" ht="13.8">
      <c r="Q356" s="362">
        <f t="shared" si="5"/>
        <v>350</v>
      </c>
      <c r="R356" s="363" t="s">
        <v>1943</v>
      </c>
      <c r="S356" s="363" t="s">
        <v>1944</v>
      </c>
      <c r="T356" s="364" t="s">
        <v>991</v>
      </c>
      <c r="U356" s="362" t="s">
        <v>1945</v>
      </c>
      <c r="V356" s="362" t="s">
        <v>2734</v>
      </c>
      <c r="W356" s="363" t="s">
        <v>2734</v>
      </c>
      <c r="X356" s="311" t="s">
        <v>3090</v>
      </c>
      <c r="Y356" s="311" t="s">
        <v>3127</v>
      </c>
      <c r="Z356" s="309" t="s">
        <v>3121</v>
      </c>
      <c r="AA356" s="367">
        <v>6183</v>
      </c>
    </row>
    <row r="357" spans="17:27" ht="13.8">
      <c r="Q357" s="362">
        <f t="shared" si="5"/>
        <v>351</v>
      </c>
      <c r="R357" s="363" t="s">
        <v>1946</v>
      </c>
      <c r="S357" s="363" t="s">
        <v>1947</v>
      </c>
      <c r="T357" s="364" t="s">
        <v>1039</v>
      </c>
      <c r="U357" s="362" t="s">
        <v>1948</v>
      </c>
      <c r="V357" s="362" t="s">
        <v>2735</v>
      </c>
      <c r="W357" s="363" t="s">
        <v>2735</v>
      </c>
      <c r="X357" s="311" t="s">
        <v>3090</v>
      </c>
      <c r="Y357" s="311" t="s">
        <v>3125</v>
      </c>
      <c r="Z357" s="309" t="s">
        <v>3106</v>
      </c>
      <c r="AA357" s="367">
        <v>8417</v>
      </c>
    </row>
    <row r="358" spans="17:27" ht="13.8">
      <c r="Q358" s="362">
        <f t="shared" si="5"/>
        <v>352</v>
      </c>
      <c r="R358" s="363" t="s">
        <v>1949</v>
      </c>
      <c r="S358" s="363" t="s">
        <v>1950</v>
      </c>
      <c r="T358" s="364" t="s">
        <v>970</v>
      </c>
      <c r="U358" s="362" t="s">
        <v>1951</v>
      </c>
      <c r="V358" s="362" t="s">
        <v>1950</v>
      </c>
      <c r="W358" s="363" t="s">
        <v>2965</v>
      </c>
      <c r="X358" s="311" t="s">
        <v>3089</v>
      </c>
      <c r="Y358" s="311" t="s">
        <v>3126</v>
      </c>
      <c r="Z358" s="309" t="s">
        <v>3111</v>
      </c>
      <c r="AA358" s="367">
        <v>7678</v>
      </c>
    </row>
    <row r="359" spans="17:27" ht="13.8">
      <c r="Q359" s="362">
        <f t="shared" si="5"/>
        <v>353</v>
      </c>
      <c r="R359" s="363" t="s">
        <v>1952</v>
      </c>
      <c r="S359" s="363" t="s">
        <v>1953</v>
      </c>
      <c r="T359" s="364" t="s">
        <v>987</v>
      </c>
      <c r="U359" s="362" t="s">
        <v>1954</v>
      </c>
      <c r="V359" s="362" t="s">
        <v>2736</v>
      </c>
      <c r="W359" s="363" t="s">
        <v>2736</v>
      </c>
      <c r="X359" s="311" t="s">
        <v>3090</v>
      </c>
      <c r="Y359" s="311" t="s">
        <v>3125</v>
      </c>
      <c r="Z359" s="309" t="s">
        <v>3107</v>
      </c>
      <c r="AA359" s="367">
        <v>21936</v>
      </c>
    </row>
    <row r="360" spans="17:27" ht="13.8">
      <c r="Q360" s="362">
        <f t="shared" si="5"/>
        <v>354</v>
      </c>
      <c r="R360" s="363" t="s">
        <v>1955</v>
      </c>
      <c r="S360" s="363" t="s">
        <v>1956</v>
      </c>
      <c r="T360" s="364" t="s">
        <v>953</v>
      </c>
      <c r="U360" s="362" t="s">
        <v>1957</v>
      </c>
      <c r="V360" s="362" t="s">
        <v>3055</v>
      </c>
      <c r="W360" s="363" t="s">
        <v>3055</v>
      </c>
      <c r="X360" s="311" t="s">
        <v>3091</v>
      </c>
      <c r="Y360" s="311" t="s">
        <v>3125</v>
      </c>
      <c r="Z360" s="309" t="s">
        <v>3107</v>
      </c>
      <c r="AA360" s="367">
        <v>4041</v>
      </c>
    </row>
    <row r="361" spans="17:27" ht="13.8">
      <c r="Q361" s="362">
        <f t="shared" si="5"/>
        <v>355</v>
      </c>
      <c r="R361" s="363" t="s">
        <v>1958</v>
      </c>
      <c r="S361" s="363" t="s">
        <v>1959</v>
      </c>
      <c r="T361" s="364" t="s">
        <v>905</v>
      </c>
      <c r="U361" s="362" t="s">
        <v>1960</v>
      </c>
      <c r="V361" s="362" t="s">
        <v>3056</v>
      </c>
      <c r="W361" s="363" t="s">
        <v>3056</v>
      </c>
      <c r="X361" s="311" t="s">
        <v>3091</v>
      </c>
      <c r="Y361" s="311" t="s">
        <v>3125</v>
      </c>
      <c r="Z361" s="309" t="s">
        <v>3107</v>
      </c>
      <c r="AA361" s="367">
        <v>8624</v>
      </c>
    </row>
    <row r="362" spans="17:27" ht="13.8">
      <c r="Q362" s="362">
        <f t="shared" si="5"/>
        <v>356</v>
      </c>
      <c r="R362" s="363" t="s">
        <v>1961</v>
      </c>
      <c r="S362" s="363" t="s">
        <v>1962</v>
      </c>
      <c r="T362" s="364" t="s">
        <v>909</v>
      </c>
      <c r="U362" s="362" t="s">
        <v>1963</v>
      </c>
      <c r="V362" s="362" t="s">
        <v>2737</v>
      </c>
      <c r="W362" s="363" t="s">
        <v>2737</v>
      </c>
      <c r="X362" s="311" t="s">
        <v>3090</v>
      </c>
      <c r="Y362" s="311" t="s">
        <v>3125</v>
      </c>
      <c r="Z362" s="309" t="s">
        <v>3106</v>
      </c>
      <c r="AA362" s="367">
        <v>4640</v>
      </c>
    </row>
    <row r="363" spans="17:27" ht="13.8">
      <c r="Q363" s="362">
        <f t="shared" si="5"/>
        <v>357</v>
      </c>
      <c r="R363" s="363" t="s">
        <v>1964</v>
      </c>
      <c r="S363" s="363" t="s">
        <v>1965</v>
      </c>
      <c r="T363" s="364" t="s">
        <v>909</v>
      </c>
      <c r="U363" s="362" t="s">
        <v>1966</v>
      </c>
      <c r="V363" s="362" t="s">
        <v>2738</v>
      </c>
      <c r="W363" s="363" t="s">
        <v>2738</v>
      </c>
      <c r="X363" s="311" t="s">
        <v>3090</v>
      </c>
      <c r="Y363" s="311" t="s">
        <v>3125</v>
      </c>
      <c r="Z363" s="309" t="s">
        <v>3106</v>
      </c>
      <c r="AA363" s="367">
        <v>5711</v>
      </c>
    </row>
    <row r="364" spans="17:27" ht="13.8">
      <c r="Q364" s="362">
        <f t="shared" si="5"/>
        <v>358</v>
      </c>
      <c r="R364" s="363" t="s">
        <v>1967</v>
      </c>
      <c r="S364" s="363" t="s">
        <v>1968</v>
      </c>
      <c r="T364" s="364" t="s">
        <v>991</v>
      </c>
      <c r="U364" s="362" t="s">
        <v>1969</v>
      </c>
      <c r="V364" s="362" t="s">
        <v>1968</v>
      </c>
      <c r="W364" s="363" t="s">
        <v>2966</v>
      </c>
      <c r="X364" s="311" t="s">
        <v>3089</v>
      </c>
      <c r="Y364" s="311" t="s">
        <v>3125</v>
      </c>
      <c r="Z364" s="309" t="s">
        <v>3106</v>
      </c>
      <c r="AA364" s="367">
        <v>28370</v>
      </c>
    </row>
    <row r="365" spans="17:27" ht="13.8">
      <c r="Q365" s="362">
        <f t="shared" si="5"/>
        <v>359</v>
      </c>
      <c r="R365" s="363" t="s">
        <v>1970</v>
      </c>
      <c r="S365" s="363" t="s">
        <v>1971</v>
      </c>
      <c r="T365" s="364" t="s">
        <v>909</v>
      </c>
      <c r="U365" s="362" t="s">
        <v>1972</v>
      </c>
      <c r="V365" s="362" t="s">
        <v>2739</v>
      </c>
      <c r="W365" s="363" t="s">
        <v>2739</v>
      </c>
      <c r="X365" s="311" t="s">
        <v>3090</v>
      </c>
      <c r="Y365" s="311" t="s">
        <v>3125</v>
      </c>
      <c r="Z365" s="309" t="s">
        <v>3106</v>
      </c>
      <c r="AA365" s="367">
        <v>12754</v>
      </c>
    </row>
    <row r="366" spans="17:27" ht="13.8">
      <c r="Q366" s="362">
        <f t="shared" si="5"/>
        <v>360</v>
      </c>
      <c r="R366" s="363" t="s">
        <v>1973</v>
      </c>
      <c r="S366" s="363" t="s">
        <v>1974</v>
      </c>
      <c r="T366" s="364" t="s">
        <v>946</v>
      </c>
      <c r="U366" s="362" t="s">
        <v>1975</v>
      </c>
      <c r="V366" s="362" t="s">
        <v>2740</v>
      </c>
      <c r="W366" s="363" t="s">
        <v>2740</v>
      </c>
      <c r="X366" s="311" t="s">
        <v>3090</v>
      </c>
      <c r="Y366" s="311" t="s">
        <v>3125</v>
      </c>
      <c r="Z366" s="309" t="s">
        <v>3106</v>
      </c>
      <c r="AA366" s="367">
        <v>4038</v>
      </c>
    </row>
    <row r="367" spans="17:27" ht="13.8">
      <c r="Q367" s="362">
        <f t="shared" si="5"/>
        <v>361</v>
      </c>
      <c r="R367" s="363" t="s">
        <v>1976</v>
      </c>
      <c r="S367" s="363" t="s">
        <v>1977</v>
      </c>
      <c r="T367" s="364" t="s">
        <v>953</v>
      </c>
      <c r="U367" s="362" t="s">
        <v>1978</v>
      </c>
      <c r="V367" s="362" t="s">
        <v>3087</v>
      </c>
      <c r="W367" s="363" t="s">
        <v>3087</v>
      </c>
      <c r="X367" s="311" t="s">
        <v>3091</v>
      </c>
      <c r="Y367" s="311" t="s">
        <v>3125</v>
      </c>
      <c r="Z367" s="309" t="s">
        <v>3107</v>
      </c>
      <c r="AA367" s="367">
        <v>11701</v>
      </c>
    </row>
    <row r="368" spans="17:27" ht="13.8">
      <c r="Q368" s="362">
        <f t="shared" si="5"/>
        <v>362</v>
      </c>
      <c r="R368" s="363" t="s">
        <v>1979</v>
      </c>
      <c r="S368" s="363" t="s">
        <v>1980</v>
      </c>
      <c r="T368" s="364" t="s">
        <v>960</v>
      </c>
      <c r="U368" s="362" t="s">
        <v>1981</v>
      </c>
      <c r="V368" s="362" t="s">
        <v>2741</v>
      </c>
      <c r="W368" s="363" t="s">
        <v>2741</v>
      </c>
      <c r="X368" s="311" t="s">
        <v>3090</v>
      </c>
      <c r="Y368" s="311" t="s">
        <v>3125</v>
      </c>
      <c r="Z368" s="309" t="s">
        <v>3106</v>
      </c>
      <c r="AA368" s="367">
        <v>2011</v>
      </c>
    </row>
    <row r="369" spans="17:27" ht="13.8">
      <c r="Q369" s="362">
        <f t="shared" si="5"/>
        <v>363</v>
      </c>
      <c r="R369" s="363" t="s">
        <v>1982</v>
      </c>
      <c r="S369" s="363" t="s">
        <v>1983</v>
      </c>
      <c r="T369" s="364" t="s">
        <v>901</v>
      </c>
      <c r="U369" s="362" t="s">
        <v>1984</v>
      </c>
      <c r="V369" s="362" t="s">
        <v>1983</v>
      </c>
      <c r="W369" s="363" t="s">
        <v>960</v>
      </c>
      <c r="X369" s="311" t="s">
        <v>3089</v>
      </c>
      <c r="Y369" s="311" t="s">
        <v>3125</v>
      </c>
      <c r="Z369" s="309" t="s">
        <v>3106</v>
      </c>
      <c r="AA369" s="367">
        <v>27291</v>
      </c>
    </row>
    <row r="370" spans="17:27" ht="13.8">
      <c r="Q370" s="362">
        <f t="shared" si="5"/>
        <v>364</v>
      </c>
      <c r="R370" s="363" t="s">
        <v>1985</v>
      </c>
      <c r="S370" s="363" t="s">
        <v>1983</v>
      </c>
      <c r="T370" s="364" t="s">
        <v>960</v>
      </c>
      <c r="U370" s="362" t="s">
        <v>1986</v>
      </c>
      <c r="V370" s="362" t="s">
        <v>1983</v>
      </c>
      <c r="W370" s="363" t="s">
        <v>960</v>
      </c>
      <c r="X370" s="311" t="s">
        <v>3089</v>
      </c>
      <c r="Y370" s="311" t="s">
        <v>3126</v>
      </c>
      <c r="Z370" s="309" t="s">
        <v>3108</v>
      </c>
      <c r="AA370" s="367">
        <v>8332</v>
      </c>
    </row>
    <row r="371" spans="17:27" ht="13.8">
      <c r="Q371" s="362">
        <f t="shared" si="5"/>
        <v>365</v>
      </c>
      <c r="R371" s="363" t="s">
        <v>1987</v>
      </c>
      <c r="S371" s="363" t="s">
        <v>1988</v>
      </c>
      <c r="T371" s="364" t="s">
        <v>901</v>
      </c>
      <c r="U371" s="362" t="s">
        <v>1989</v>
      </c>
      <c r="V371" s="362" t="s">
        <v>2742</v>
      </c>
      <c r="W371" s="363" t="s">
        <v>2742</v>
      </c>
      <c r="X371" s="311" t="s">
        <v>3090</v>
      </c>
      <c r="Y371" s="311" t="s">
        <v>3125</v>
      </c>
      <c r="Z371" s="309" t="s">
        <v>3112</v>
      </c>
      <c r="AA371" s="367">
        <v>5832</v>
      </c>
    </row>
    <row r="372" spans="17:27" ht="13.8">
      <c r="Q372" s="362">
        <f t="shared" si="5"/>
        <v>366</v>
      </c>
      <c r="R372" s="363" t="s">
        <v>1990</v>
      </c>
      <c r="S372" s="363" t="s">
        <v>1991</v>
      </c>
      <c r="T372" s="364" t="s">
        <v>930</v>
      </c>
      <c r="U372" s="362" t="s">
        <v>1992</v>
      </c>
      <c r="V372" s="362" t="s">
        <v>2743</v>
      </c>
      <c r="W372" s="363" t="s">
        <v>2743</v>
      </c>
      <c r="X372" s="311" t="s">
        <v>3090</v>
      </c>
      <c r="Y372" s="311" t="s">
        <v>3125</v>
      </c>
      <c r="Z372" s="309" t="s">
        <v>3106</v>
      </c>
      <c r="AA372" s="367">
        <v>2410</v>
      </c>
    </row>
    <row r="373" spans="17:27" ht="13.8">
      <c r="Q373" s="362">
        <f t="shared" si="5"/>
        <v>367</v>
      </c>
      <c r="R373" s="366" t="s">
        <v>1993</v>
      </c>
      <c r="S373" s="366" t="s">
        <v>1994</v>
      </c>
      <c r="T373" s="364" t="s">
        <v>1127</v>
      </c>
      <c r="U373" s="362" t="s">
        <v>1995</v>
      </c>
      <c r="V373" s="362" t="s">
        <v>1994</v>
      </c>
      <c r="W373" s="366" t="s">
        <v>2967</v>
      </c>
      <c r="X373" s="311" t="s">
        <v>3089</v>
      </c>
      <c r="Y373" s="311" t="s">
        <v>3125</v>
      </c>
      <c r="Z373" s="309" t="s">
        <v>3113</v>
      </c>
      <c r="AA373" s="367">
        <v>65375</v>
      </c>
    </row>
    <row r="374" spans="17:27" ht="13.8">
      <c r="Q374" s="362">
        <f t="shared" si="5"/>
        <v>368</v>
      </c>
      <c r="R374" s="363" t="s">
        <v>1996</v>
      </c>
      <c r="S374" s="363" t="s">
        <v>1997</v>
      </c>
      <c r="T374" s="364" t="s">
        <v>909</v>
      </c>
      <c r="U374" s="362" t="s">
        <v>1998</v>
      </c>
      <c r="V374" s="362" t="s">
        <v>2744</v>
      </c>
      <c r="W374" s="363" t="s">
        <v>2744</v>
      </c>
      <c r="X374" s="311" t="s">
        <v>3090</v>
      </c>
      <c r="Y374" s="311" t="s">
        <v>3125</v>
      </c>
      <c r="Z374" s="309" t="s">
        <v>3106</v>
      </c>
      <c r="AA374" s="367">
        <v>5750</v>
      </c>
    </row>
    <row r="375" spans="17:27" ht="13.8">
      <c r="Q375" s="362">
        <f t="shared" si="5"/>
        <v>369</v>
      </c>
      <c r="R375" s="363" t="s">
        <v>1999</v>
      </c>
      <c r="S375" s="363" t="s">
        <v>2000</v>
      </c>
      <c r="T375" s="364" t="s">
        <v>919</v>
      </c>
      <c r="U375" s="362" t="s">
        <v>2001</v>
      </c>
      <c r="V375" s="362" t="s">
        <v>2000</v>
      </c>
      <c r="W375" s="363" t="s">
        <v>2968</v>
      </c>
      <c r="X375" s="311" t="s">
        <v>3089</v>
      </c>
      <c r="Y375" s="311" t="s">
        <v>3126</v>
      </c>
      <c r="Z375" s="309" t="s">
        <v>3108</v>
      </c>
      <c r="AA375" s="367">
        <v>1773</v>
      </c>
    </row>
    <row r="376" spans="17:27" ht="13.8">
      <c r="Q376" s="362">
        <f t="shared" si="5"/>
        <v>370</v>
      </c>
      <c r="R376" s="363" t="s">
        <v>2002</v>
      </c>
      <c r="S376" s="363" t="s">
        <v>2003</v>
      </c>
      <c r="T376" s="364" t="s">
        <v>909</v>
      </c>
      <c r="U376" s="362" t="s">
        <v>2004</v>
      </c>
      <c r="V376" s="362" t="s">
        <v>2745</v>
      </c>
      <c r="W376" s="363" t="s">
        <v>2745</v>
      </c>
      <c r="X376" s="311" t="s">
        <v>3090</v>
      </c>
      <c r="Y376" s="311" t="s">
        <v>3125</v>
      </c>
      <c r="Z376" s="309" t="s">
        <v>3106</v>
      </c>
      <c r="AA376" s="367">
        <v>7978</v>
      </c>
    </row>
    <row r="377" spans="17:27" ht="13.8">
      <c r="Q377" s="362">
        <f t="shared" si="5"/>
        <v>371</v>
      </c>
      <c r="R377" s="363" t="s">
        <v>2005</v>
      </c>
      <c r="S377" s="363" t="s">
        <v>2006</v>
      </c>
      <c r="T377" s="364" t="s">
        <v>991</v>
      </c>
      <c r="U377" s="362" t="s">
        <v>2007</v>
      </c>
      <c r="V377" s="362" t="s">
        <v>3057</v>
      </c>
      <c r="W377" s="363" t="s">
        <v>3072</v>
      </c>
      <c r="X377" s="311" t="s">
        <v>3091</v>
      </c>
      <c r="Y377" s="311" t="s">
        <v>3125</v>
      </c>
      <c r="Z377" s="309" t="s">
        <v>3107</v>
      </c>
      <c r="AA377" s="367">
        <v>30134</v>
      </c>
    </row>
    <row r="378" spans="17:27" ht="13.8">
      <c r="Q378" s="362">
        <f t="shared" si="5"/>
        <v>372</v>
      </c>
      <c r="R378" s="363" t="s">
        <v>2008</v>
      </c>
      <c r="S378" s="363" t="s">
        <v>2009</v>
      </c>
      <c r="T378" s="364" t="s">
        <v>923</v>
      </c>
      <c r="U378" s="362" t="s">
        <v>2010</v>
      </c>
      <c r="V378" s="362" t="s">
        <v>2009</v>
      </c>
      <c r="W378" s="363" t="s">
        <v>2969</v>
      </c>
      <c r="X378" s="311" t="s">
        <v>3089</v>
      </c>
      <c r="Y378" s="311" t="s">
        <v>3126</v>
      </c>
      <c r="Z378" s="309" t="s">
        <v>3108</v>
      </c>
      <c r="AA378" s="367">
        <v>2514</v>
      </c>
    </row>
    <row r="379" spans="17:27" ht="13.8">
      <c r="Q379" s="362">
        <f t="shared" si="5"/>
        <v>373</v>
      </c>
      <c r="R379" s="363" t="s">
        <v>2011</v>
      </c>
      <c r="S379" s="363" t="s">
        <v>2012</v>
      </c>
      <c r="T379" s="364" t="s">
        <v>909</v>
      </c>
      <c r="U379" s="362" t="s">
        <v>2013</v>
      </c>
      <c r="V379" s="362" t="s">
        <v>2746</v>
      </c>
      <c r="W379" s="363" t="s">
        <v>2746</v>
      </c>
      <c r="X379" s="311" t="s">
        <v>3090</v>
      </c>
      <c r="Y379" s="311" t="s">
        <v>3125</v>
      </c>
      <c r="Z379" s="309" t="s">
        <v>3106</v>
      </c>
      <c r="AA379" s="367">
        <v>19622</v>
      </c>
    </row>
    <row r="380" spans="17:27" ht="13.8">
      <c r="Q380" s="362">
        <f t="shared" si="5"/>
        <v>374</v>
      </c>
      <c r="R380" s="363" t="s">
        <v>2014</v>
      </c>
      <c r="S380" s="363" t="s">
        <v>2015</v>
      </c>
      <c r="T380" s="364" t="s">
        <v>970</v>
      </c>
      <c r="U380" s="362" t="s">
        <v>2016</v>
      </c>
      <c r="V380" s="362" t="s">
        <v>2747</v>
      </c>
      <c r="W380" s="363" t="s">
        <v>2747</v>
      </c>
      <c r="X380" s="311" t="s">
        <v>3090</v>
      </c>
      <c r="Y380" s="311" t="s">
        <v>3125</v>
      </c>
      <c r="Z380" s="309" t="s">
        <v>3106</v>
      </c>
      <c r="AA380" s="367">
        <v>7398</v>
      </c>
    </row>
    <row r="381" spans="17:27" ht="13.8">
      <c r="Q381" s="362">
        <f t="shared" si="5"/>
        <v>375</v>
      </c>
      <c r="R381" s="363" t="s">
        <v>2017</v>
      </c>
      <c r="S381" s="363" t="s">
        <v>2018</v>
      </c>
      <c r="T381" s="364" t="s">
        <v>909</v>
      </c>
      <c r="U381" s="362" t="s">
        <v>2019</v>
      </c>
      <c r="V381" s="362" t="s">
        <v>2748</v>
      </c>
      <c r="W381" s="363" t="s">
        <v>2748</v>
      </c>
      <c r="X381" s="311" t="s">
        <v>3090</v>
      </c>
      <c r="Y381" s="311" t="s">
        <v>3125</v>
      </c>
      <c r="Z381" s="309" t="s">
        <v>3106</v>
      </c>
      <c r="AA381" s="367">
        <v>26342</v>
      </c>
    </row>
    <row r="382" spans="17:27" ht="13.8">
      <c r="Q382" s="362">
        <f t="shared" si="5"/>
        <v>376</v>
      </c>
      <c r="R382" s="363" t="s">
        <v>2020</v>
      </c>
      <c r="S382" s="363" t="s">
        <v>2021</v>
      </c>
      <c r="T382" s="364" t="s">
        <v>909</v>
      </c>
      <c r="U382" s="362" t="s">
        <v>2022</v>
      </c>
      <c r="V382" s="362" t="s">
        <v>2749</v>
      </c>
      <c r="W382" s="363" t="s">
        <v>2749</v>
      </c>
      <c r="X382" s="311" t="s">
        <v>3090</v>
      </c>
      <c r="Y382" s="311" t="s">
        <v>3125</v>
      </c>
      <c r="Z382" s="309" t="s">
        <v>3106</v>
      </c>
      <c r="AA382" s="367">
        <v>8645</v>
      </c>
    </row>
    <row r="383" spans="17:27" ht="13.8">
      <c r="Q383" s="362">
        <f t="shared" si="5"/>
        <v>377</v>
      </c>
      <c r="R383" s="363" t="s">
        <v>2023</v>
      </c>
      <c r="S383" s="363" t="s">
        <v>2024</v>
      </c>
      <c r="T383" s="364" t="s">
        <v>1049</v>
      </c>
      <c r="U383" s="362" t="s">
        <v>2025</v>
      </c>
      <c r="V383" s="362" t="s">
        <v>2024</v>
      </c>
      <c r="W383" s="363" t="s">
        <v>2970</v>
      </c>
      <c r="X383" s="311" t="s">
        <v>3089</v>
      </c>
      <c r="Y383" s="311" t="s">
        <v>3125</v>
      </c>
      <c r="Z383" s="309" t="s">
        <v>3114</v>
      </c>
      <c r="AA383" s="367">
        <v>53238</v>
      </c>
    </row>
    <row r="384" spans="17:27" ht="13.8">
      <c r="Q384" s="362">
        <f t="shared" si="5"/>
        <v>378</v>
      </c>
      <c r="R384" s="363" t="s">
        <v>2026</v>
      </c>
      <c r="S384" s="363" t="s">
        <v>2027</v>
      </c>
      <c r="T384" s="364" t="s">
        <v>1039</v>
      </c>
      <c r="U384" s="362" t="s">
        <v>2028</v>
      </c>
      <c r="V384" s="362" t="s">
        <v>1039</v>
      </c>
      <c r="W384" s="363" t="s">
        <v>1039</v>
      </c>
      <c r="X384" s="311" t="s">
        <v>3091</v>
      </c>
      <c r="Y384" s="311" t="s">
        <v>3125</v>
      </c>
      <c r="Z384" s="309" t="s">
        <v>3107</v>
      </c>
      <c r="AA384" s="367">
        <v>69781</v>
      </c>
    </row>
    <row r="385" spans="17:27" ht="13.8">
      <c r="Q385" s="362">
        <f t="shared" si="5"/>
        <v>379</v>
      </c>
      <c r="R385" s="363" t="s">
        <v>2029</v>
      </c>
      <c r="S385" s="363" t="s">
        <v>2030</v>
      </c>
      <c r="T385" s="364" t="s">
        <v>1039</v>
      </c>
      <c r="U385" s="362" t="s">
        <v>2031</v>
      </c>
      <c r="V385" s="362" t="s">
        <v>3058</v>
      </c>
      <c r="W385" s="363" t="s">
        <v>3058</v>
      </c>
      <c r="X385" s="311" t="s">
        <v>3091</v>
      </c>
      <c r="Y385" s="311" t="s">
        <v>3125</v>
      </c>
      <c r="Z385" s="309" t="s">
        <v>3113</v>
      </c>
      <c r="AA385" s="367">
        <v>146199</v>
      </c>
    </row>
    <row r="386" spans="17:27" ht="13.8">
      <c r="Q386" s="362">
        <f t="shared" si="5"/>
        <v>380</v>
      </c>
      <c r="R386" s="363" t="s">
        <v>2032</v>
      </c>
      <c r="S386" s="363" t="s">
        <v>2033</v>
      </c>
      <c r="T386" s="364" t="s">
        <v>1161</v>
      </c>
      <c r="U386" s="362" t="s">
        <v>2034</v>
      </c>
      <c r="V386" s="362" t="s">
        <v>2750</v>
      </c>
      <c r="W386" s="363" t="s">
        <v>2750</v>
      </c>
      <c r="X386" s="311" t="s">
        <v>3090</v>
      </c>
      <c r="Y386" s="311" t="s">
        <v>3125</v>
      </c>
      <c r="Z386" s="309" t="s">
        <v>3106</v>
      </c>
      <c r="AA386" s="367">
        <v>6097</v>
      </c>
    </row>
    <row r="387" spans="17:27" ht="13.8">
      <c r="Q387" s="362">
        <f t="shared" si="5"/>
        <v>381</v>
      </c>
      <c r="R387" s="363" t="s">
        <v>2035</v>
      </c>
      <c r="S387" s="363" t="s">
        <v>2036</v>
      </c>
      <c r="T387" s="364" t="s">
        <v>987</v>
      </c>
      <c r="U387" s="362" t="s">
        <v>2037</v>
      </c>
      <c r="V387" s="362" t="s">
        <v>2751</v>
      </c>
      <c r="W387" s="363" t="s">
        <v>2751</v>
      </c>
      <c r="X387" s="311" t="s">
        <v>3090</v>
      </c>
      <c r="Y387" s="311" t="s">
        <v>3125</v>
      </c>
      <c r="Z387" s="309" t="s">
        <v>3106</v>
      </c>
      <c r="AA387" s="367">
        <v>2582</v>
      </c>
    </row>
    <row r="388" spans="17:27" ht="13.8">
      <c r="Q388" s="362">
        <f t="shared" si="5"/>
        <v>382</v>
      </c>
      <c r="R388" s="363" t="s">
        <v>2038</v>
      </c>
      <c r="S388" s="363" t="s">
        <v>2039</v>
      </c>
      <c r="T388" s="364" t="s">
        <v>970</v>
      </c>
      <c r="U388" s="362" t="s">
        <v>2040</v>
      </c>
      <c r="V388" s="362" t="s">
        <v>2752</v>
      </c>
      <c r="W388" s="363" t="s">
        <v>2752</v>
      </c>
      <c r="X388" s="311" t="s">
        <v>3090</v>
      </c>
      <c r="Y388" s="311" t="s">
        <v>3125</v>
      </c>
      <c r="Z388" s="309" t="s">
        <v>3106</v>
      </c>
      <c r="AA388" s="367">
        <v>1409</v>
      </c>
    </row>
    <row r="389" spans="17:27" ht="13.8">
      <c r="Q389" s="362">
        <f t="shared" si="5"/>
        <v>383</v>
      </c>
      <c r="R389" s="363" t="s">
        <v>2041</v>
      </c>
      <c r="S389" s="363" t="s">
        <v>2042</v>
      </c>
      <c r="T389" s="364" t="s">
        <v>970</v>
      </c>
      <c r="U389" s="362" t="s">
        <v>2043</v>
      </c>
      <c r="V389" s="362" t="s">
        <v>2042</v>
      </c>
      <c r="W389" s="363" t="s">
        <v>2752</v>
      </c>
      <c r="X389" s="311" t="s">
        <v>3089</v>
      </c>
      <c r="Y389" s="311" t="s">
        <v>3125</v>
      </c>
      <c r="Z389" s="309" t="s">
        <v>3114</v>
      </c>
      <c r="AA389" s="367">
        <v>27912</v>
      </c>
    </row>
    <row r="390" spans="17:27" ht="13.8">
      <c r="Q390" s="362">
        <f t="shared" si="5"/>
        <v>384</v>
      </c>
      <c r="R390" s="363" t="s">
        <v>2044</v>
      </c>
      <c r="S390" s="363" t="s">
        <v>2045</v>
      </c>
      <c r="T390" s="364" t="s">
        <v>1267</v>
      </c>
      <c r="U390" s="362" t="s">
        <v>2046</v>
      </c>
      <c r="V390" s="362" t="s">
        <v>2753</v>
      </c>
      <c r="W390" s="363" t="s">
        <v>2753</v>
      </c>
      <c r="X390" s="311" t="s">
        <v>3090</v>
      </c>
      <c r="Y390" s="311" t="s">
        <v>3125</v>
      </c>
      <c r="Z390" s="309" t="s">
        <v>3106</v>
      </c>
      <c r="AA390" s="367">
        <v>2585</v>
      </c>
    </row>
    <row r="391" spans="17:27" ht="13.8">
      <c r="Q391" s="362">
        <f t="shared" si="5"/>
        <v>385</v>
      </c>
      <c r="R391" s="363" t="s">
        <v>2047</v>
      </c>
      <c r="S391" s="363" t="s">
        <v>2048</v>
      </c>
      <c r="T391" s="364" t="s">
        <v>919</v>
      </c>
      <c r="U391" s="362" t="s">
        <v>2049</v>
      </c>
      <c r="V391" s="362" t="s">
        <v>2754</v>
      </c>
      <c r="W391" s="363" t="s">
        <v>2754</v>
      </c>
      <c r="X391" s="311" t="s">
        <v>3090</v>
      </c>
      <c r="Y391" s="311" t="s">
        <v>3125</v>
      </c>
      <c r="Z391" s="309" t="s">
        <v>3106</v>
      </c>
      <c r="AA391" s="367">
        <v>5147</v>
      </c>
    </row>
    <row r="392" spans="17:27" ht="13.8">
      <c r="Q392" s="362">
        <f t="shared" si="5"/>
        <v>386</v>
      </c>
      <c r="R392" s="363" t="s">
        <v>2050</v>
      </c>
      <c r="S392" s="363" t="s">
        <v>2051</v>
      </c>
      <c r="T392" s="364" t="s">
        <v>946</v>
      </c>
      <c r="U392" s="362" t="s">
        <v>2052</v>
      </c>
      <c r="V392" s="362" t="s">
        <v>2051</v>
      </c>
      <c r="W392" s="363" t="s">
        <v>2971</v>
      </c>
      <c r="X392" s="311" t="s">
        <v>3089</v>
      </c>
      <c r="Y392" s="311" t="s">
        <v>3126</v>
      </c>
      <c r="Z392" s="309" t="s">
        <v>3111</v>
      </c>
      <c r="AA392" s="367">
        <v>35885</v>
      </c>
    </row>
    <row r="393" spans="17:27" ht="13.8">
      <c r="Q393" s="362">
        <f t="shared" ref="Q393:Q456" si="6">Q392+1</f>
        <v>387</v>
      </c>
      <c r="R393" s="363" t="s">
        <v>2053</v>
      </c>
      <c r="S393" s="363" t="s">
        <v>2054</v>
      </c>
      <c r="T393" s="364" t="s">
        <v>919</v>
      </c>
      <c r="U393" s="362" t="s">
        <v>2055</v>
      </c>
      <c r="V393" s="362" t="s">
        <v>2054</v>
      </c>
      <c r="W393" s="363" t="s">
        <v>2972</v>
      </c>
      <c r="X393" s="311" t="s">
        <v>3089</v>
      </c>
      <c r="Y393" s="311" t="s">
        <v>3126</v>
      </c>
      <c r="Z393" s="309" t="s">
        <v>3111</v>
      </c>
      <c r="AA393" s="367">
        <v>13409</v>
      </c>
    </row>
    <row r="394" spans="17:27" ht="13.8">
      <c r="Q394" s="362">
        <f t="shared" si="6"/>
        <v>388</v>
      </c>
      <c r="R394" s="363" t="s">
        <v>2056</v>
      </c>
      <c r="S394" s="363" t="s">
        <v>2057</v>
      </c>
      <c r="T394" s="364" t="s">
        <v>1049</v>
      </c>
      <c r="U394" s="362" t="s">
        <v>2058</v>
      </c>
      <c r="V394" s="362" t="s">
        <v>2057</v>
      </c>
      <c r="W394" s="363" t="s">
        <v>2973</v>
      </c>
      <c r="X394" s="311" t="s">
        <v>3089</v>
      </c>
      <c r="Y394" s="311" t="s">
        <v>3125</v>
      </c>
      <c r="Z394" s="309" t="s">
        <v>3112</v>
      </c>
      <c r="AA394" s="367">
        <v>15540</v>
      </c>
    </row>
    <row r="395" spans="17:27" ht="13.8">
      <c r="Q395" s="362">
        <f t="shared" si="6"/>
        <v>389</v>
      </c>
      <c r="R395" s="363" t="s">
        <v>2059</v>
      </c>
      <c r="S395" s="363" t="s">
        <v>2060</v>
      </c>
      <c r="T395" s="364" t="s">
        <v>1127</v>
      </c>
      <c r="U395" s="362" t="s">
        <v>2061</v>
      </c>
      <c r="V395" s="362" t="s">
        <v>3059</v>
      </c>
      <c r="W395" s="363" t="s">
        <v>3059</v>
      </c>
      <c r="X395" s="311" t="s">
        <v>3091</v>
      </c>
      <c r="Y395" s="311" t="s">
        <v>3125</v>
      </c>
      <c r="Z395" s="309" t="s">
        <v>3114</v>
      </c>
      <c r="AA395" s="367">
        <v>50814</v>
      </c>
    </row>
    <row r="396" spans="17:27" ht="13.8">
      <c r="Q396" s="362">
        <f t="shared" si="6"/>
        <v>390</v>
      </c>
      <c r="R396" s="363" t="s">
        <v>2062</v>
      </c>
      <c r="S396" s="363" t="s">
        <v>2063</v>
      </c>
      <c r="T396" s="364" t="s">
        <v>923</v>
      </c>
      <c r="U396" s="362" t="s">
        <v>2064</v>
      </c>
      <c r="V396" s="362" t="s">
        <v>3080</v>
      </c>
      <c r="W396" s="363" t="s">
        <v>3080</v>
      </c>
      <c r="X396" s="311" t="s">
        <v>2584</v>
      </c>
      <c r="Y396" s="311" t="s">
        <v>3125</v>
      </c>
      <c r="Z396" s="309" t="s">
        <v>3114</v>
      </c>
      <c r="AA396" s="367">
        <v>14950</v>
      </c>
    </row>
    <row r="397" spans="17:27" ht="13.8">
      <c r="Q397" s="362">
        <f t="shared" si="6"/>
        <v>391</v>
      </c>
      <c r="R397" s="363" t="s">
        <v>2065</v>
      </c>
      <c r="S397" s="363" t="s">
        <v>2066</v>
      </c>
      <c r="T397" s="364" t="s">
        <v>919</v>
      </c>
      <c r="U397" s="362" t="s">
        <v>2067</v>
      </c>
      <c r="V397" s="362" t="s">
        <v>2066</v>
      </c>
      <c r="W397" s="363" t="s">
        <v>2974</v>
      </c>
      <c r="X397" s="311" t="s">
        <v>3089</v>
      </c>
      <c r="Y397" s="311" t="s">
        <v>3126</v>
      </c>
      <c r="Z397" s="309" t="s">
        <v>3108</v>
      </c>
      <c r="AA397" s="367">
        <v>4016</v>
      </c>
    </row>
    <row r="398" spans="17:27" ht="13.8">
      <c r="Q398" s="362">
        <f t="shared" si="6"/>
        <v>392</v>
      </c>
      <c r="R398" s="363" t="s">
        <v>2068</v>
      </c>
      <c r="S398" s="363" t="s">
        <v>2069</v>
      </c>
      <c r="T398" s="364" t="s">
        <v>960</v>
      </c>
      <c r="U398" s="362" t="s">
        <v>2070</v>
      </c>
      <c r="V398" s="362" t="s">
        <v>2755</v>
      </c>
      <c r="W398" s="363" t="s">
        <v>2755</v>
      </c>
      <c r="X398" s="311" t="s">
        <v>3090</v>
      </c>
      <c r="Y398" s="311" t="s">
        <v>3125</v>
      </c>
      <c r="Z398" s="309" t="s">
        <v>3106</v>
      </c>
      <c r="AA398" s="367">
        <v>2127</v>
      </c>
    </row>
    <row r="399" spans="17:27" ht="13.8">
      <c r="Q399" s="362">
        <f t="shared" si="6"/>
        <v>393</v>
      </c>
      <c r="R399" s="363" t="s">
        <v>2071</v>
      </c>
      <c r="S399" s="363" t="s">
        <v>2072</v>
      </c>
      <c r="T399" s="364" t="s">
        <v>946</v>
      </c>
      <c r="U399" s="362" t="s">
        <v>2073</v>
      </c>
      <c r="V399" s="362" t="s">
        <v>2756</v>
      </c>
      <c r="W399" s="363" t="s">
        <v>2756</v>
      </c>
      <c r="X399" s="311" t="s">
        <v>3090</v>
      </c>
      <c r="Y399" s="311" t="s">
        <v>3125</v>
      </c>
      <c r="Z399" s="309" t="s">
        <v>3106</v>
      </c>
      <c r="AA399" s="367">
        <v>10233</v>
      </c>
    </row>
    <row r="400" spans="17:27" ht="13.8">
      <c r="Q400" s="362">
        <f t="shared" si="6"/>
        <v>394</v>
      </c>
      <c r="R400" s="363" t="s">
        <v>2074</v>
      </c>
      <c r="S400" s="363" t="s">
        <v>2075</v>
      </c>
      <c r="T400" s="364" t="s">
        <v>946</v>
      </c>
      <c r="U400" s="362" t="s">
        <v>2076</v>
      </c>
      <c r="V400" s="362" t="s">
        <v>2757</v>
      </c>
      <c r="W400" s="363" t="s">
        <v>2757</v>
      </c>
      <c r="X400" s="311" t="s">
        <v>3090</v>
      </c>
      <c r="Y400" s="311" t="s">
        <v>3127</v>
      </c>
      <c r="Z400" s="309" t="s">
        <v>3110</v>
      </c>
      <c r="AA400" s="367">
        <v>12</v>
      </c>
    </row>
    <row r="401" spans="17:27" ht="13.8">
      <c r="Q401" s="362">
        <f t="shared" si="6"/>
        <v>395</v>
      </c>
      <c r="R401" s="363" t="s">
        <v>2077</v>
      </c>
      <c r="S401" s="363" t="s">
        <v>2078</v>
      </c>
      <c r="T401" s="364" t="s">
        <v>1127</v>
      </c>
      <c r="U401" s="362" t="s">
        <v>2079</v>
      </c>
      <c r="V401" s="362" t="s">
        <v>2078</v>
      </c>
      <c r="W401" s="363" t="s">
        <v>2975</v>
      </c>
      <c r="X401" s="311" t="s">
        <v>3089</v>
      </c>
      <c r="Y401" s="311" t="s">
        <v>3125</v>
      </c>
      <c r="Z401" s="309" t="s">
        <v>3107</v>
      </c>
      <c r="AA401" s="367">
        <v>56044</v>
      </c>
    </row>
    <row r="402" spans="17:27" ht="13.8">
      <c r="Q402" s="362">
        <f t="shared" si="6"/>
        <v>396</v>
      </c>
      <c r="R402" s="363" t="s">
        <v>2080</v>
      </c>
      <c r="S402" s="363" t="s">
        <v>2081</v>
      </c>
      <c r="T402" s="364" t="s">
        <v>1161</v>
      </c>
      <c r="U402" s="362" t="s">
        <v>2082</v>
      </c>
      <c r="V402" s="362" t="s">
        <v>2758</v>
      </c>
      <c r="W402" s="363" t="s">
        <v>2758</v>
      </c>
      <c r="X402" s="311" t="s">
        <v>3090</v>
      </c>
      <c r="Y402" s="311" t="s">
        <v>3125</v>
      </c>
      <c r="Z402" s="309" t="s">
        <v>3106</v>
      </c>
      <c r="AA402" s="367">
        <v>9011</v>
      </c>
    </row>
    <row r="403" spans="17:27" ht="13.8">
      <c r="Q403" s="362">
        <f t="shared" si="6"/>
        <v>397</v>
      </c>
      <c r="R403" s="363" t="s">
        <v>2083</v>
      </c>
      <c r="S403" s="363" t="s">
        <v>2084</v>
      </c>
      <c r="T403" s="364" t="s">
        <v>919</v>
      </c>
      <c r="U403" s="362" t="s">
        <v>2085</v>
      </c>
      <c r="V403" s="362" t="s">
        <v>2084</v>
      </c>
      <c r="W403" s="363" t="s">
        <v>2976</v>
      </c>
      <c r="X403" s="311" t="s">
        <v>3089</v>
      </c>
      <c r="Y403" s="311" t="s">
        <v>3126</v>
      </c>
      <c r="Z403" s="309" t="s">
        <v>3111</v>
      </c>
      <c r="AA403" s="367">
        <v>9393</v>
      </c>
    </row>
    <row r="404" spans="17:27" ht="13.8">
      <c r="Q404" s="362">
        <f t="shared" si="6"/>
        <v>398</v>
      </c>
      <c r="R404" s="363" t="s">
        <v>2086</v>
      </c>
      <c r="S404" s="363" t="s">
        <v>2087</v>
      </c>
      <c r="T404" s="364" t="s">
        <v>1007</v>
      </c>
      <c r="U404" s="362" t="s">
        <v>2088</v>
      </c>
      <c r="V404" s="362" t="s">
        <v>3060</v>
      </c>
      <c r="W404" s="363" t="s">
        <v>3060</v>
      </c>
      <c r="X404" s="311" t="s">
        <v>3091</v>
      </c>
      <c r="Y404" s="311" t="s">
        <v>3125</v>
      </c>
      <c r="Z404" s="309" t="s">
        <v>3107</v>
      </c>
      <c r="AA404" s="367">
        <v>49808</v>
      </c>
    </row>
    <row r="405" spans="17:27" ht="13.8">
      <c r="Q405" s="362">
        <f t="shared" si="6"/>
        <v>399</v>
      </c>
      <c r="R405" s="363" t="s">
        <v>2089</v>
      </c>
      <c r="S405" s="363" t="s">
        <v>2090</v>
      </c>
      <c r="T405" s="364" t="s">
        <v>1127</v>
      </c>
      <c r="U405" s="362" t="s">
        <v>2091</v>
      </c>
      <c r="V405" s="362" t="s">
        <v>2090</v>
      </c>
      <c r="W405" s="363" t="s">
        <v>2977</v>
      </c>
      <c r="X405" s="311" t="s">
        <v>3089</v>
      </c>
      <c r="Y405" s="311" t="s">
        <v>3126</v>
      </c>
      <c r="Z405" s="309" t="s">
        <v>3111</v>
      </c>
      <c r="AA405" s="367">
        <v>22999</v>
      </c>
    </row>
    <row r="406" spans="17:27" ht="13.8">
      <c r="Q406" s="362">
        <f t="shared" si="6"/>
        <v>400</v>
      </c>
      <c r="R406" s="363" t="s">
        <v>2092</v>
      </c>
      <c r="S406" s="363" t="s">
        <v>2093</v>
      </c>
      <c r="T406" s="364" t="s">
        <v>905</v>
      </c>
      <c r="U406" s="362" t="s">
        <v>2094</v>
      </c>
      <c r="V406" s="362" t="s">
        <v>3061</v>
      </c>
      <c r="W406" s="363" t="s">
        <v>3061</v>
      </c>
      <c r="X406" s="311" t="s">
        <v>3091</v>
      </c>
      <c r="Y406" s="311" t="s">
        <v>3125</v>
      </c>
      <c r="Z406" s="309" t="s">
        <v>3107</v>
      </c>
      <c r="AA406" s="367">
        <v>20249</v>
      </c>
    </row>
    <row r="407" spans="17:27" ht="13.8">
      <c r="Q407" s="362">
        <f t="shared" si="6"/>
        <v>401</v>
      </c>
      <c r="R407" s="363" t="s">
        <v>2095</v>
      </c>
      <c r="S407" s="363" t="s">
        <v>2096</v>
      </c>
      <c r="T407" s="364" t="s">
        <v>960</v>
      </c>
      <c r="U407" s="362" t="s">
        <v>2097</v>
      </c>
      <c r="V407" s="362" t="s">
        <v>2096</v>
      </c>
      <c r="W407" s="363" t="s">
        <v>2978</v>
      </c>
      <c r="X407" s="311" t="s">
        <v>3089</v>
      </c>
      <c r="Y407" s="311" t="s">
        <v>3126</v>
      </c>
      <c r="Z407" s="309" t="s">
        <v>3111</v>
      </c>
      <c r="AA407" s="367">
        <v>8421</v>
      </c>
    </row>
    <row r="408" spans="17:27" ht="13.8">
      <c r="Q408" s="362">
        <f t="shared" si="6"/>
        <v>402</v>
      </c>
      <c r="R408" s="363" t="s">
        <v>2098</v>
      </c>
      <c r="S408" s="363" t="s">
        <v>2099</v>
      </c>
      <c r="T408" s="364" t="s">
        <v>923</v>
      </c>
      <c r="U408" s="362" t="s">
        <v>2100</v>
      </c>
      <c r="V408" s="362" t="s">
        <v>2099</v>
      </c>
      <c r="W408" s="363" t="s">
        <v>2979</v>
      </c>
      <c r="X408" s="311" t="s">
        <v>3089</v>
      </c>
      <c r="Y408" s="311" t="s">
        <v>3125</v>
      </c>
      <c r="Z408" s="309" t="s">
        <v>3109</v>
      </c>
      <c r="AA408" s="367">
        <v>3339</v>
      </c>
    </row>
    <row r="409" spans="17:27" ht="13.8">
      <c r="Q409" s="362">
        <f t="shared" si="6"/>
        <v>403</v>
      </c>
      <c r="R409" s="363" t="s">
        <v>2101</v>
      </c>
      <c r="S409" s="363" t="s">
        <v>2102</v>
      </c>
      <c r="T409" s="364" t="s">
        <v>960</v>
      </c>
      <c r="U409" s="362" t="s">
        <v>2103</v>
      </c>
      <c r="V409" s="362" t="s">
        <v>2759</v>
      </c>
      <c r="W409" s="363" t="s">
        <v>2759</v>
      </c>
      <c r="X409" s="311" t="s">
        <v>3090</v>
      </c>
      <c r="Y409" s="311" t="s">
        <v>3125</v>
      </c>
      <c r="Z409" s="309" t="s">
        <v>3106</v>
      </c>
      <c r="AA409" s="367">
        <v>4665</v>
      </c>
    </row>
    <row r="410" spans="17:27" ht="13.8">
      <c r="Q410" s="362">
        <f t="shared" si="6"/>
        <v>404</v>
      </c>
      <c r="R410" s="363" t="s">
        <v>2104</v>
      </c>
      <c r="S410" s="363" t="s">
        <v>2105</v>
      </c>
      <c r="T410" s="364" t="s">
        <v>960</v>
      </c>
      <c r="U410" s="362" t="s">
        <v>2106</v>
      </c>
      <c r="V410" s="362" t="s">
        <v>2760</v>
      </c>
      <c r="W410" s="363" t="s">
        <v>2760</v>
      </c>
      <c r="X410" s="311" t="s">
        <v>3090</v>
      </c>
      <c r="Y410" s="311" t="s">
        <v>3125</v>
      </c>
      <c r="Z410" s="309" t="s">
        <v>3106</v>
      </c>
      <c r="AA410" s="367">
        <v>18392</v>
      </c>
    </row>
    <row r="411" spans="17:27" ht="13.8">
      <c r="Q411" s="362">
        <f t="shared" si="6"/>
        <v>405</v>
      </c>
      <c r="R411" s="363" t="s">
        <v>2107</v>
      </c>
      <c r="S411" s="363" t="s">
        <v>2108</v>
      </c>
      <c r="T411" s="364" t="s">
        <v>1039</v>
      </c>
      <c r="U411" s="362" t="s">
        <v>2109</v>
      </c>
      <c r="V411" s="362" t="s">
        <v>2761</v>
      </c>
      <c r="W411" s="363" t="s">
        <v>2761</v>
      </c>
      <c r="X411" s="311" t="s">
        <v>3090</v>
      </c>
      <c r="Y411" s="311" t="s">
        <v>3125</v>
      </c>
      <c r="Z411" s="309" t="s">
        <v>3106</v>
      </c>
      <c r="AA411" s="367">
        <v>11097</v>
      </c>
    </row>
    <row r="412" spans="17:27" ht="13.8">
      <c r="Q412" s="362">
        <f t="shared" si="6"/>
        <v>406</v>
      </c>
      <c r="R412" s="363" t="s">
        <v>2110</v>
      </c>
      <c r="S412" s="363" t="s">
        <v>2111</v>
      </c>
      <c r="T412" s="364" t="s">
        <v>905</v>
      </c>
      <c r="U412" s="362" t="s">
        <v>2112</v>
      </c>
      <c r="V412" s="362" t="s">
        <v>3062</v>
      </c>
      <c r="W412" s="363" t="s">
        <v>3062</v>
      </c>
      <c r="X412" s="311" t="s">
        <v>3091</v>
      </c>
      <c r="Y412" s="311" t="s">
        <v>3125</v>
      </c>
      <c r="Z412" s="309" t="s">
        <v>3107</v>
      </c>
      <c r="AA412" s="367">
        <v>1115</v>
      </c>
    </row>
    <row r="413" spans="17:27" ht="13.8">
      <c r="Q413" s="362">
        <f t="shared" si="6"/>
        <v>407</v>
      </c>
      <c r="R413" s="365" t="s">
        <v>2113</v>
      </c>
      <c r="S413" s="363" t="s">
        <v>2114</v>
      </c>
      <c r="T413" s="364" t="s">
        <v>1267</v>
      </c>
      <c r="U413" s="362" t="s">
        <v>2115</v>
      </c>
      <c r="V413" s="362" t="s">
        <v>2114</v>
      </c>
      <c r="W413" s="363" t="s">
        <v>2114</v>
      </c>
      <c r="X413" s="311" t="s">
        <v>3090</v>
      </c>
      <c r="Y413" s="311" t="s">
        <v>3125</v>
      </c>
      <c r="Z413" s="309" t="e">
        <v>#N/A</v>
      </c>
      <c r="AA413" s="367">
        <v>12307</v>
      </c>
    </row>
    <row r="414" spans="17:27" ht="13.8">
      <c r="Q414" s="362">
        <f t="shared" si="6"/>
        <v>408</v>
      </c>
      <c r="R414" s="363" t="s">
        <v>2116</v>
      </c>
      <c r="S414" s="363" t="s">
        <v>2117</v>
      </c>
      <c r="T414" s="364" t="s">
        <v>1039</v>
      </c>
      <c r="U414" s="362" t="s">
        <v>2118</v>
      </c>
      <c r="V414" s="362" t="s">
        <v>2762</v>
      </c>
      <c r="W414" s="363" t="s">
        <v>2762</v>
      </c>
      <c r="X414" s="311" t="s">
        <v>3090</v>
      </c>
      <c r="Y414" s="311" t="s">
        <v>3125</v>
      </c>
      <c r="Z414" s="309" t="s">
        <v>3106</v>
      </c>
      <c r="AA414" s="367">
        <v>5865</v>
      </c>
    </row>
    <row r="415" spans="17:27" ht="13.8">
      <c r="Q415" s="362">
        <f t="shared" si="6"/>
        <v>409</v>
      </c>
      <c r="R415" s="363" t="s">
        <v>2119</v>
      </c>
      <c r="S415" s="363" t="s">
        <v>2120</v>
      </c>
      <c r="T415" s="364" t="s">
        <v>919</v>
      </c>
      <c r="U415" s="362" t="s">
        <v>2121</v>
      </c>
      <c r="V415" s="362" t="s">
        <v>2120</v>
      </c>
      <c r="W415" s="363" t="s">
        <v>2980</v>
      </c>
      <c r="X415" s="311" t="s">
        <v>3089</v>
      </c>
      <c r="Y415" s="311" t="s">
        <v>3126</v>
      </c>
      <c r="Z415" s="309" t="s">
        <v>3108</v>
      </c>
      <c r="AA415" s="367">
        <v>2666</v>
      </c>
    </row>
    <row r="416" spans="17:27" ht="13.8">
      <c r="Q416" s="362">
        <f t="shared" si="6"/>
        <v>410</v>
      </c>
      <c r="R416" s="363" t="s">
        <v>2122</v>
      </c>
      <c r="S416" s="363" t="s">
        <v>2123</v>
      </c>
      <c r="T416" s="364" t="s">
        <v>1007</v>
      </c>
      <c r="U416" s="362" t="s">
        <v>2124</v>
      </c>
      <c r="V416" s="362" t="s">
        <v>3063</v>
      </c>
      <c r="W416" s="363" t="s">
        <v>3063</v>
      </c>
      <c r="X416" s="311" t="s">
        <v>3091</v>
      </c>
      <c r="Y416" s="311" t="s">
        <v>3125</v>
      </c>
      <c r="Z416" s="309" t="s">
        <v>3113</v>
      </c>
      <c r="AA416" s="367">
        <v>27346</v>
      </c>
    </row>
    <row r="417" spans="17:27" ht="13.8">
      <c r="Q417" s="362">
        <f t="shared" si="6"/>
        <v>411</v>
      </c>
      <c r="R417" s="363" t="s">
        <v>2125</v>
      </c>
      <c r="S417" s="363" t="s">
        <v>2126</v>
      </c>
      <c r="T417" s="364" t="s">
        <v>909</v>
      </c>
      <c r="U417" s="362" t="s">
        <v>2127</v>
      </c>
      <c r="V417" s="362" t="s">
        <v>2763</v>
      </c>
      <c r="W417" s="363" t="s">
        <v>2763</v>
      </c>
      <c r="X417" s="311" t="s">
        <v>3090</v>
      </c>
      <c r="Y417" s="311" t="s">
        <v>3125</v>
      </c>
      <c r="Z417" s="309" t="s">
        <v>3106</v>
      </c>
      <c r="AA417" s="367">
        <v>14473</v>
      </c>
    </row>
    <row r="418" spans="17:27" ht="13.8">
      <c r="Q418" s="362">
        <f t="shared" si="6"/>
        <v>412</v>
      </c>
      <c r="R418" s="363" t="s">
        <v>2128</v>
      </c>
      <c r="S418" s="363" t="s">
        <v>2129</v>
      </c>
      <c r="T418" s="364" t="s">
        <v>1049</v>
      </c>
      <c r="U418" s="362" t="s">
        <v>2130</v>
      </c>
      <c r="V418" s="362" t="s">
        <v>2129</v>
      </c>
      <c r="W418" s="363" t="s">
        <v>2981</v>
      </c>
      <c r="X418" s="311" t="s">
        <v>3089</v>
      </c>
      <c r="Y418" s="311" t="s">
        <v>3125</v>
      </c>
      <c r="Z418" s="309" t="s">
        <v>3115</v>
      </c>
      <c r="AA418" s="367">
        <v>25734</v>
      </c>
    </row>
    <row r="419" spans="17:27" ht="13.8">
      <c r="Q419" s="362">
        <f t="shared" si="6"/>
        <v>413</v>
      </c>
      <c r="R419" s="363" t="s">
        <v>2131</v>
      </c>
      <c r="S419" s="363" t="s">
        <v>2132</v>
      </c>
      <c r="T419" s="364" t="s">
        <v>987</v>
      </c>
      <c r="U419" s="362" t="s">
        <v>2133</v>
      </c>
      <c r="V419" s="362" t="s">
        <v>2764</v>
      </c>
      <c r="W419" s="363" t="s">
        <v>2764</v>
      </c>
      <c r="X419" s="311" t="s">
        <v>3090</v>
      </c>
      <c r="Y419" s="311" t="s">
        <v>3125</v>
      </c>
      <c r="Z419" s="309" t="s">
        <v>3106</v>
      </c>
      <c r="AA419" s="367">
        <v>6881</v>
      </c>
    </row>
    <row r="420" spans="17:27" ht="13.8">
      <c r="Q420" s="362">
        <f t="shared" si="6"/>
        <v>414</v>
      </c>
      <c r="R420" s="363" t="s">
        <v>2134</v>
      </c>
      <c r="S420" s="363" t="s">
        <v>2135</v>
      </c>
      <c r="T420" s="364" t="s">
        <v>1026</v>
      </c>
      <c r="U420" s="362" t="s">
        <v>2136</v>
      </c>
      <c r="V420" s="362" t="s">
        <v>2135</v>
      </c>
      <c r="W420" s="363" t="s">
        <v>2764</v>
      </c>
      <c r="X420" s="311" t="s">
        <v>3089</v>
      </c>
      <c r="Y420" s="311" t="s">
        <v>3126</v>
      </c>
      <c r="Z420" s="309" t="s">
        <v>3111</v>
      </c>
      <c r="AA420" s="367">
        <v>22185</v>
      </c>
    </row>
    <row r="421" spans="17:27" ht="13.8">
      <c r="Q421" s="362">
        <f t="shared" si="6"/>
        <v>415</v>
      </c>
      <c r="R421" s="363" t="s">
        <v>2137</v>
      </c>
      <c r="S421" s="363" t="s">
        <v>2138</v>
      </c>
      <c r="T421" s="364" t="s">
        <v>1026</v>
      </c>
      <c r="U421" s="362" t="s">
        <v>2139</v>
      </c>
      <c r="V421" s="362" t="s">
        <v>2138</v>
      </c>
      <c r="W421" s="363" t="s">
        <v>2982</v>
      </c>
      <c r="X421" s="311" t="s">
        <v>3089</v>
      </c>
      <c r="Y421" s="311" t="s">
        <v>3126</v>
      </c>
      <c r="Z421" s="309" t="s">
        <v>3111</v>
      </c>
      <c r="AA421" s="367">
        <v>16126</v>
      </c>
    </row>
    <row r="422" spans="17:27" ht="13.8">
      <c r="Q422" s="362">
        <f t="shared" si="6"/>
        <v>416</v>
      </c>
      <c r="R422" s="363" t="s">
        <v>2140</v>
      </c>
      <c r="S422" s="363" t="s">
        <v>2141</v>
      </c>
      <c r="T422" s="364" t="s">
        <v>901</v>
      </c>
      <c r="U422" s="362" t="s">
        <v>2142</v>
      </c>
      <c r="V422" s="362" t="s">
        <v>2765</v>
      </c>
      <c r="W422" s="363" t="s">
        <v>2765</v>
      </c>
      <c r="X422" s="311" t="s">
        <v>3090</v>
      </c>
      <c r="Y422" s="311" t="s">
        <v>3125</v>
      </c>
      <c r="Z422" s="309" t="s">
        <v>3106</v>
      </c>
      <c r="AA422" s="367">
        <v>12206</v>
      </c>
    </row>
    <row r="423" spans="17:27" ht="13.8">
      <c r="Q423" s="362">
        <f t="shared" si="6"/>
        <v>417</v>
      </c>
      <c r="R423" s="363" t="s">
        <v>2143</v>
      </c>
      <c r="S423" s="363" t="s">
        <v>2144</v>
      </c>
      <c r="T423" s="364" t="s">
        <v>909</v>
      </c>
      <c r="U423" s="362" t="s">
        <v>2145</v>
      </c>
      <c r="V423" s="362" t="s">
        <v>2766</v>
      </c>
      <c r="W423" s="363" t="s">
        <v>2766</v>
      </c>
      <c r="X423" s="311" t="s">
        <v>3090</v>
      </c>
      <c r="Y423" s="311" t="s">
        <v>3125</v>
      </c>
      <c r="Z423" s="309" t="s">
        <v>3106</v>
      </c>
      <c r="AA423" s="367">
        <v>11032</v>
      </c>
    </row>
    <row r="424" spans="17:27" ht="13.8">
      <c r="Q424" s="362">
        <f t="shared" si="6"/>
        <v>418</v>
      </c>
      <c r="R424" s="363" t="s">
        <v>2146</v>
      </c>
      <c r="S424" s="363" t="s">
        <v>2147</v>
      </c>
      <c r="T424" s="364" t="s">
        <v>909</v>
      </c>
      <c r="U424" s="362" t="s">
        <v>2148</v>
      </c>
      <c r="V424" s="362" t="s">
        <v>2147</v>
      </c>
      <c r="W424" s="363" t="s">
        <v>3094</v>
      </c>
      <c r="X424" s="311" t="s">
        <v>3092</v>
      </c>
      <c r="Y424" s="311" t="s">
        <v>3127</v>
      </c>
      <c r="Z424" s="309" t="s">
        <v>3121</v>
      </c>
      <c r="AA424" s="367">
        <v>12729</v>
      </c>
    </row>
    <row r="425" spans="17:27" ht="13.8">
      <c r="Q425" s="362">
        <f t="shared" si="6"/>
        <v>419</v>
      </c>
      <c r="R425" s="363" t="s">
        <v>2149</v>
      </c>
      <c r="S425" s="363" t="s">
        <v>2150</v>
      </c>
      <c r="T425" s="364" t="s">
        <v>909</v>
      </c>
      <c r="U425" s="362" t="s">
        <v>2151</v>
      </c>
      <c r="V425" s="362" t="s">
        <v>2150</v>
      </c>
      <c r="W425" s="363" t="s">
        <v>3095</v>
      </c>
      <c r="X425" s="311" t="s">
        <v>3092</v>
      </c>
      <c r="Y425" s="311" t="s">
        <v>3125</v>
      </c>
      <c r="Z425" s="309" t="s">
        <v>3112</v>
      </c>
      <c r="AA425" s="367">
        <v>24958</v>
      </c>
    </row>
    <row r="426" spans="17:27" ht="13.8">
      <c r="Q426" s="362">
        <f t="shared" si="6"/>
        <v>420</v>
      </c>
      <c r="R426" s="363" t="s">
        <v>2152</v>
      </c>
      <c r="S426" s="363" t="s">
        <v>2153</v>
      </c>
      <c r="T426" s="364" t="s">
        <v>1039</v>
      </c>
      <c r="U426" s="362" t="s">
        <v>2154</v>
      </c>
      <c r="V426" s="362" t="s">
        <v>2767</v>
      </c>
      <c r="W426" s="363" t="s">
        <v>2767</v>
      </c>
      <c r="X426" s="311" t="s">
        <v>3090</v>
      </c>
      <c r="Y426" s="311" t="s">
        <v>3125</v>
      </c>
      <c r="Z426" s="309" t="s">
        <v>3115</v>
      </c>
      <c r="AA426" s="367">
        <v>12228</v>
      </c>
    </row>
    <row r="427" spans="17:27" ht="13.8">
      <c r="Q427" s="362">
        <f t="shared" si="6"/>
        <v>421</v>
      </c>
      <c r="R427" s="363" t="s">
        <v>2155</v>
      </c>
      <c r="S427" s="363" t="s">
        <v>2156</v>
      </c>
      <c r="T427" s="364" t="s">
        <v>909</v>
      </c>
      <c r="U427" s="362" t="s">
        <v>2157</v>
      </c>
      <c r="V427" s="362" t="s">
        <v>2768</v>
      </c>
      <c r="W427" s="363" t="s">
        <v>2768</v>
      </c>
      <c r="X427" s="311" t="s">
        <v>3090</v>
      </c>
      <c r="Y427" s="311" t="s">
        <v>3125</v>
      </c>
      <c r="Z427" s="309" t="s">
        <v>3106</v>
      </c>
      <c r="AA427" s="367">
        <v>11340</v>
      </c>
    </row>
    <row r="428" spans="17:27" ht="13.8">
      <c r="Q428" s="362">
        <f t="shared" si="6"/>
        <v>422</v>
      </c>
      <c r="R428" s="363" t="s">
        <v>2158</v>
      </c>
      <c r="S428" s="363" t="s">
        <v>2159</v>
      </c>
      <c r="T428" s="364" t="s">
        <v>909</v>
      </c>
      <c r="U428" s="362" t="s">
        <v>2160</v>
      </c>
      <c r="V428" s="362" t="s">
        <v>2159</v>
      </c>
      <c r="W428" s="363" t="s">
        <v>2983</v>
      </c>
      <c r="X428" s="311" t="s">
        <v>3089</v>
      </c>
      <c r="Y428" s="311" t="s">
        <v>3125</v>
      </c>
      <c r="Z428" s="309" t="s">
        <v>3114</v>
      </c>
      <c r="AA428" s="367">
        <v>9659</v>
      </c>
    </row>
    <row r="429" spans="17:27" ht="13.8">
      <c r="Q429" s="362">
        <f t="shared" si="6"/>
        <v>423</v>
      </c>
      <c r="R429" s="363" t="s">
        <v>2161</v>
      </c>
      <c r="S429" s="363" t="s">
        <v>2162</v>
      </c>
      <c r="T429" s="364" t="s">
        <v>1049</v>
      </c>
      <c r="U429" s="362" t="s">
        <v>2163</v>
      </c>
      <c r="V429" s="362" t="s">
        <v>2769</v>
      </c>
      <c r="W429" s="363" t="s">
        <v>2769</v>
      </c>
      <c r="X429" s="311" t="s">
        <v>3090</v>
      </c>
      <c r="Y429" s="311" t="s">
        <v>3125</v>
      </c>
      <c r="Z429" s="309" t="s">
        <v>3106</v>
      </c>
      <c r="AA429" s="367">
        <v>3559</v>
      </c>
    </row>
    <row r="430" spans="17:27" ht="13.8">
      <c r="Q430" s="362">
        <f t="shared" si="6"/>
        <v>424</v>
      </c>
      <c r="R430" s="363" t="s">
        <v>2164</v>
      </c>
      <c r="S430" s="363" t="s">
        <v>2165</v>
      </c>
      <c r="T430" s="364" t="s">
        <v>970</v>
      </c>
      <c r="U430" s="362" t="s">
        <v>2166</v>
      </c>
      <c r="V430" s="362" t="s">
        <v>2165</v>
      </c>
      <c r="W430" s="363" t="s">
        <v>2984</v>
      </c>
      <c r="X430" s="311" t="s">
        <v>3089</v>
      </c>
      <c r="Y430" s="311" t="s">
        <v>3126</v>
      </c>
      <c r="Z430" s="309" t="s">
        <v>3111</v>
      </c>
      <c r="AA430" s="367">
        <v>8079</v>
      </c>
    </row>
    <row r="431" spans="17:27" ht="13.8">
      <c r="Q431" s="362">
        <f t="shared" si="6"/>
        <v>425</v>
      </c>
      <c r="R431" s="363" t="s">
        <v>2167</v>
      </c>
      <c r="S431" s="363" t="s">
        <v>2168</v>
      </c>
      <c r="T431" s="364" t="s">
        <v>970</v>
      </c>
      <c r="U431" s="362" t="s">
        <v>2169</v>
      </c>
      <c r="V431" s="362" t="s">
        <v>2770</v>
      </c>
      <c r="W431" s="363" t="s">
        <v>2770</v>
      </c>
      <c r="X431" s="311" t="s">
        <v>3090</v>
      </c>
      <c r="Y431" s="311" t="s">
        <v>3125</v>
      </c>
      <c r="Z431" s="309" t="s">
        <v>3106</v>
      </c>
      <c r="AA431" s="367">
        <v>2779</v>
      </c>
    </row>
    <row r="432" spans="17:27" ht="13.8">
      <c r="Q432" s="362">
        <f t="shared" si="6"/>
        <v>426</v>
      </c>
      <c r="R432" s="363" t="s">
        <v>2170</v>
      </c>
      <c r="S432" s="363" t="s">
        <v>2171</v>
      </c>
      <c r="T432" s="364" t="s">
        <v>1267</v>
      </c>
      <c r="U432" s="362" t="s">
        <v>2172</v>
      </c>
      <c r="V432" s="362" t="s">
        <v>2171</v>
      </c>
      <c r="W432" s="363" t="s">
        <v>2985</v>
      </c>
      <c r="X432" s="311" t="s">
        <v>3089</v>
      </c>
      <c r="Y432" s="311" t="s">
        <v>3125</v>
      </c>
      <c r="Z432" s="309" t="s">
        <v>3114</v>
      </c>
      <c r="AA432" s="367">
        <v>13642</v>
      </c>
    </row>
    <row r="433" spans="17:27" ht="13.8">
      <c r="Q433" s="362">
        <f t="shared" si="6"/>
        <v>427</v>
      </c>
      <c r="R433" s="363" t="s">
        <v>2173</v>
      </c>
      <c r="S433" s="363" t="s">
        <v>2174</v>
      </c>
      <c r="T433" s="364" t="s">
        <v>909</v>
      </c>
      <c r="U433" s="362" t="s">
        <v>2175</v>
      </c>
      <c r="V433" s="362" t="s">
        <v>2174</v>
      </c>
      <c r="W433" s="363" t="s">
        <v>2986</v>
      </c>
      <c r="X433" s="311" t="s">
        <v>3089</v>
      </c>
      <c r="Y433" s="311" t="s">
        <v>3126</v>
      </c>
      <c r="Z433" s="309" t="s">
        <v>3111</v>
      </c>
      <c r="AA433" s="367">
        <v>5530</v>
      </c>
    </row>
    <row r="434" spans="17:27" ht="13.8">
      <c r="Q434" s="362">
        <f t="shared" si="6"/>
        <v>428</v>
      </c>
      <c r="R434" s="363" t="s">
        <v>2176</v>
      </c>
      <c r="S434" s="363" t="s">
        <v>2177</v>
      </c>
      <c r="T434" s="364" t="s">
        <v>1049</v>
      </c>
      <c r="U434" s="362" t="s">
        <v>2178</v>
      </c>
      <c r="V434" s="362" t="s">
        <v>2771</v>
      </c>
      <c r="W434" s="363" t="s">
        <v>2771</v>
      </c>
      <c r="X434" s="311" t="s">
        <v>3090</v>
      </c>
      <c r="Y434" s="311" t="s">
        <v>3125</v>
      </c>
      <c r="Z434" s="309" t="s">
        <v>3106</v>
      </c>
      <c r="AA434" s="367">
        <v>6438</v>
      </c>
    </row>
    <row r="435" spans="17:27" ht="13.8">
      <c r="Q435" s="362">
        <f t="shared" si="6"/>
        <v>429</v>
      </c>
      <c r="R435" s="363" t="s">
        <v>2179</v>
      </c>
      <c r="S435" s="363" t="s">
        <v>2180</v>
      </c>
      <c r="T435" s="364" t="s">
        <v>1049</v>
      </c>
      <c r="U435" s="362" t="s">
        <v>2181</v>
      </c>
      <c r="V435" s="362" t="s">
        <v>2180</v>
      </c>
      <c r="W435" s="363" t="s">
        <v>2771</v>
      </c>
      <c r="X435" s="311" t="s">
        <v>3089</v>
      </c>
      <c r="Y435" s="311" t="s">
        <v>3125</v>
      </c>
      <c r="Z435" s="309" t="s">
        <v>3113</v>
      </c>
      <c r="AA435" s="367">
        <v>24156</v>
      </c>
    </row>
    <row r="436" spans="17:27" ht="13.8">
      <c r="Q436" s="362">
        <f t="shared" si="6"/>
        <v>430</v>
      </c>
      <c r="R436" s="363" t="s">
        <v>2182</v>
      </c>
      <c r="S436" s="363" t="s">
        <v>2183</v>
      </c>
      <c r="T436" s="364" t="s">
        <v>909</v>
      </c>
      <c r="U436" s="362" t="s">
        <v>2184</v>
      </c>
      <c r="V436" s="362" t="s">
        <v>2772</v>
      </c>
      <c r="W436" s="363" t="s">
        <v>2772</v>
      </c>
      <c r="X436" s="311" t="s">
        <v>3090</v>
      </c>
      <c r="Y436" s="311" t="s">
        <v>3125</v>
      </c>
      <c r="Z436" s="309" t="s">
        <v>3106</v>
      </c>
      <c r="AA436" s="367">
        <v>531</v>
      </c>
    </row>
    <row r="437" spans="17:27" ht="13.8">
      <c r="Q437" s="362">
        <f t="shared" si="6"/>
        <v>431</v>
      </c>
      <c r="R437" s="363" t="s">
        <v>2185</v>
      </c>
      <c r="S437" s="363" t="s">
        <v>2186</v>
      </c>
      <c r="T437" s="364" t="s">
        <v>987</v>
      </c>
      <c r="U437" s="362" t="s">
        <v>2187</v>
      </c>
      <c r="V437" s="362" t="s">
        <v>2773</v>
      </c>
      <c r="W437" s="363" t="s">
        <v>2773</v>
      </c>
      <c r="X437" s="311" t="s">
        <v>3090</v>
      </c>
      <c r="Y437" s="311" t="s">
        <v>3125</v>
      </c>
      <c r="Z437" s="309" t="s">
        <v>3106</v>
      </c>
      <c r="AA437" s="367">
        <v>682</v>
      </c>
    </row>
    <row r="438" spans="17:27" ht="13.8">
      <c r="Q438" s="362">
        <f t="shared" si="6"/>
        <v>432</v>
      </c>
      <c r="R438" s="363" t="s">
        <v>2188</v>
      </c>
      <c r="S438" s="363" t="s">
        <v>2189</v>
      </c>
      <c r="T438" s="364" t="s">
        <v>901</v>
      </c>
      <c r="U438" s="362" t="s">
        <v>2190</v>
      </c>
      <c r="V438" s="362" t="s">
        <v>2774</v>
      </c>
      <c r="W438" s="363" t="s">
        <v>2774</v>
      </c>
      <c r="X438" s="311" t="s">
        <v>3090</v>
      </c>
      <c r="Y438" s="311" t="s">
        <v>3125</v>
      </c>
      <c r="Z438" s="309" t="s">
        <v>3106</v>
      </c>
      <c r="AA438" s="367">
        <v>882</v>
      </c>
    </row>
    <row r="439" spans="17:27" ht="13.8">
      <c r="Q439" s="362">
        <f t="shared" si="6"/>
        <v>433</v>
      </c>
      <c r="R439" s="363" t="s">
        <v>2191</v>
      </c>
      <c r="S439" s="363" t="s">
        <v>2192</v>
      </c>
      <c r="T439" s="364" t="s">
        <v>991</v>
      </c>
      <c r="U439" s="362" t="s">
        <v>2193</v>
      </c>
      <c r="V439" s="362" t="s">
        <v>2775</v>
      </c>
      <c r="W439" s="363" t="s">
        <v>2775</v>
      </c>
      <c r="X439" s="311" t="s">
        <v>3090</v>
      </c>
      <c r="Y439" s="311" t="s">
        <v>3125</v>
      </c>
      <c r="Z439" s="309" t="s">
        <v>3106</v>
      </c>
      <c r="AA439" s="367">
        <v>5819</v>
      </c>
    </row>
    <row r="440" spans="17:27" ht="13.8">
      <c r="Q440" s="362">
        <f t="shared" si="6"/>
        <v>434</v>
      </c>
      <c r="R440" s="363" t="s">
        <v>2194</v>
      </c>
      <c r="S440" s="363" t="s">
        <v>2195</v>
      </c>
      <c r="T440" s="364" t="s">
        <v>1007</v>
      </c>
      <c r="U440" s="362" t="s">
        <v>2196</v>
      </c>
      <c r="V440" s="362" t="s">
        <v>2776</v>
      </c>
      <c r="W440" s="363" t="s">
        <v>2776</v>
      </c>
      <c r="X440" s="311" t="s">
        <v>3090</v>
      </c>
      <c r="Y440" s="311" t="s">
        <v>3125</v>
      </c>
      <c r="Z440" s="309" t="s">
        <v>3106</v>
      </c>
      <c r="AA440" s="367">
        <v>21085</v>
      </c>
    </row>
    <row r="441" spans="17:27" ht="13.8">
      <c r="Q441" s="362">
        <f t="shared" si="6"/>
        <v>435</v>
      </c>
      <c r="R441" s="363" t="s">
        <v>2197</v>
      </c>
      <c r="S441" s="363" t="s">
        <v>2198</v>
      </c>
      <c r="T441" s="364" t="s">
        <v>1007</v>
      </c>
      <c r="U441" s="362" t="s">
        <v>2199</v>
      </c>
      <c r="V441" s="362" t="s">
        <v>2777</v>
      </c>
      <c r="W441" s="363" t="s">
        <v>2777</v>
      </c>
      <c r="X441" s="311" t="s">
        <v>3090</v>
      </c>
      <c r="Y441" s="311" t="s">
        <v>3125</v>
      </c>
      <c r="Z441" s="309" t="s">
        <v>3106</v>
      </c>
      <c r="AA441" s="367">
        <v>13297</v>
      </c>
    </row>
    <row r="442" spans="17:27" ht="13.8">
      <c r="Q442" s="362">
        <f t="shared" si="6"/>
        <v>436</v>
      </c>
      <c r="R442" s="363" t="s">
        <v>2200</v>
      </c>
      <c r="S442" s="363" t="s">
        <v>2201</v>
      </c>
      <c r="T442" s="364" t="s">
        <v>1049</v>
      </c>
      <c r="U442" s="362" t="s">
        <v>2202</v>
      </c>
      <c r="V442" s="362" t="s">
        <v>2201</v>
      </c>
      <c r="W442" s="363" t="s">
        <v>2987</v>
      </c>
      <c r="X442" s="311" t="s">
        <v>3089</v>
      </c>
      <c r="Y442" s="311" t="s">
        <v>3125</v>
      </c>
      <c r="Z442" s="309" t="s">
        <v>3115</v>
      </c>
      <c r="AA442" s="367">
        <v>23324</v>
      </c>
    </row>
    <row r="443" spans="17:27" ht="13.8">
      <c r="Q443" s="362">
        <f t="shared" si="6"/>
        <v>437</v>
      </c>
      <c r="R443" s="363" t="s">
        <v>2203</v>
      </c>
      <c r="S443" s="363" t="s">
        <v>2204</v>
      </c>
      <c r="T443" s="364" t="s">
        <v>901</v>
      </c>
      <c r="U443" s="362" t="s">
        <v>2205</v>
      </c>
      <c r="V443" s="362" t="s">
        <v>2778</v>
      </c>
      <c r="W443" s="363" t="s">
        <v>2778</v>
      </c>
      <c r="X443" s="311" t="s">
        <v>3090</v>
      </c>
      <c r="Y443" s="311" t="s">
        <v>3125</v>
      </c>
      <c r="Z443" s="309" t="s">
        <v>3106</v>
      </c>
      <c r="AA443" s="367">
        <v>7122</v>
      </c>
    </row>
    <row r="444" spans="17:27" ht="13.8">
      <c r="Q444" s="362">
        <f t="shared" si="6"/>
        <v>438</v>
      </c>
      <c r="R444" s="363" t="s">
        <v>2206</v>
      </c>
      <c r="S444" s="363" t="s">
        <v>2207</v>
      </c>
      <c r="T444" s="364" t="s">
        <v>946</v>
      </c>
      <c r="U444" s="362" t="s">
        <v>2208</v>
      </c>
      <c r="V444" s="362" t="s">
        <v>2779</v>
      </c>
      <c r="W444" s="363" t="s">
        <v>2779</v>
      </c>
      <c r="X444" s="311" t="s">
        <v>3090</v>
      </c>
      <c r="Y444" s="311" t="s">
        <v>3125</v>
      </c>
      <c r="Z444" s="309" t="s">
        <v>3106</v>
      </c>
      <c r="AA444" s="367">
        <v>8468</v>
      </c>
    </row>
    <row r="445" spans="17:27" ht="13.8">
      <c r="Q445" s="362">
        <f t="shared" si="6"/>
        <v>439</v>
      </c>
      <c r="R445" s="363" t="s">
        <v>2209</v>
      </c>
      <c r="S445" s="363" t="s">
        <v>2210</v>
      </c>
      <c r="T445" s="364" t="s">
        <v>909</v>
      </c>
      <c r="U445" s="362" t="s">
        <v>2211</v>
      </c>
      <c r="V445" s="362" t="s">
        <v>2780</v>
      </c>
      <c r="W445" s="363" t="s">
        <v>2780</v>
      </c>
      <c r="X445" s="311" t="s">
        <v>3090</v>
      </c>
      <c r="Y445" s="311" t="s">
        <v>3125</v>
      </c>
      <c r="Z445" s="309" t="s">
        <v>3106</v>
      </c>
      <c r="AA445" s="367">
        <v>18061</v>
      </c>
    </row>
    <row r="446" spans="17:27" ht="13.8">
      <c r="Q446" s="362">
        <f t="shared" si="6"/>
        <v>440</v>
      </c>
      <c r="R446" s="363" t="s">
        <v>2212</v>
      </c>
      <c r="S446" s="363" t="s">
        <v>2213</v>
      </c>
      <c r="T446" s="364" t="s">
        <v>909</v>
      </c>
      <c r="U446" s="362" t="s">
        <v>2214</v>
      </c>
      <c r="V446" s="362" t="s">
        <v>2213</v>
      </c>
      <c r="W446" s="363" t="s">
        <v>2988</v>
      </c>
      <c r="X446" s="311" t="s">
        <v>3089</v>
      </c>
      <c r="Y446" s="311" t="s">
        <v>3125</v>
      </c>
      <c r="Z446" s="309" t="s">
        <v>3114</v>
      </c>
      <c r="AA446" s="367">
        <v>13659</v>
      </c>
    </row>
    <row r="447" spans="17:27" ht="13.8">
      <c r="Q447" s="362">
        <f t="shared" si="6"/>
        <v>441</v>
      </c>
      <c r="R447" s="363" t="s">
        <v>2215</v>
      </c>
      <c r="S447" s="363" t="s">
        <v>2216</v>
      </c>
      <c r="T447" s="364" t="s">
        <v>909</v>
      </c>
      <c r="U447" s="362" t="s">
        <v>2217</v>
      </c>
      <c r="V447" s="362" t="s">
        <v>2781</v>
      </c>
      <c r="W447" s="363" t="s">
        <v>2781</v>
      </c>
      <c r="X447" s="311" t="s">
        <v>3090</v>
      </c>
      <c r="Y447" s="311" t="s">
        <v>3125</v>
      </c>
      <c r="Z447" s="309" t="s">
        <v>3106</v>
      </c>
      <c r="AA447" s="367">
        <v>3152</v>
      </c>
    </row>
    <row r="448" spans="17:27" ht="13.8">
      <c r="Q448" s="362">
        <f t="shared" si="6"/>
        <v>442</v>
      </c>
      <c r="R448" s="363" t="s">
        <v>2218</v>
      </c>
      <c r="S448" s="363" t="s">
        <v>2219</v>
      </c>
      <c r="T448" s="364" t="s">
        <v>919</v>
      </c>
      <c r="U448" s="362" t="s">
        <v>2220</v>
      </c>
      <c r="V448" s="362" t="s">
        <v>919</v>
      </c>
      <c r="W448" s="363" t="s">
        <v>919</v>
      </c>
      <c r="X448" s="311" t="s">
        <v>3091</v>
      </c>
      <c r="Y448" s="311" t="s">
        <v>3125</v>
      </c>
      <c r="Z448" s="309" t="s">
        <v>3119</v>
      </c>
      <c r="AA448" s="367">
        <v>5146</v>
      </c>
    </row>
    <row r="449" spans="17:27" ht="13.8">
      <c r="Q449" s="362">
        <f t="shared" si="6"/>
        <v>443</v>
      </c>
      <c r="R449" s="363" t="s">
        <v>2221</v>
      </c>
      <c r="S449" s="363" t="s">
        <v>2222</v>
      </c>
      <c r="T449" s="364" t="s">
        <v>930</v>
      </c>
      <c r="U449" s="362" t="s">
        <v>2223</v>
      </c>
      <c r="V449" s="362" t="s">
        <v>2222</v>
      </c>
      <c r="W449" s="363" t="s">
        <v>2989</v>
      </c>
      <c r="X449" s="311" t="s">
        <v>3089</v>
      </c>
      <c r="Y449" s="311" t="s">
        <v>3126</v>
      </c>
      <c r="Z449" s="309" t="s">
        <v>3108</v>
      </c>
      <c r="AA449" s="367">
        <v>1998</v>
      </c>
    </row>
    <row r="450" spans="17:27" ht="13.8">
      <c r="Q450" s="362">
        <f t="shared" si="6"/>
        <v>444</v>
      </c>
      <c r="R450" s="363" t="s">
        <v>2224</v>
      </c>
      <c r="S450" s="363" t="s">
        <v>2225</v>
      </c>
      <c r="T450" s="364" t="s">
        <v>1127</v>
      </c>
      <c r="U450" s="362" t="s">
        <v>2226</v>
      </c>
      <c r="V450" s="362" t="s">
        <v>2782</v>
      </c>
      <c r="W450" s="363" t="s">
        <v>2782</v>
      </c>
      <c r="X450" s="311" t="s">
        <v>3090</v>
      </c>
      <c r="Y450" s="311" t="s">
        <v>3125</v>
      </c>
      <c r="Z450" s="309" t="s">
        <v>3106</v>
      </c>
      <c r="AA450" s="367">
        <v>42704</v>
      </c>
    </row>
    <row r="451" spans="17:27" ht="13.8">
      <c r="Q451" s="362">
        <f t="shared" si="6"/>
        <v>445</v>
      </c>
      <c r="R451" s="363" t="s">
        <v>2227</v>
      </c>
      <c r="S451" s="363" t="s">
        <v>2228</v>
      </c>
      <c r="T451" s="364" t="s">
        <v>1007</v>
      </c>
      <c r="U451" s="362" t="s">
        <v>2229</v>
      </c>
      <c r="V451" s="362" t="s">
        <v>2228</v>
      </c>
      <c r="W451" s="363" t="s">
        <v>2990</v>
      </c>
      <c r="X451" s="311" t="s">
        <v>3089</v>
      </c>
      <c r="Y451" s="311" t="s">
        <v>3125</v>
      </c>
      <c r="Z451" s="309" t="s">
        <v>3109</v>
      </c>
      <c r="AA451" s="367">
        <v>23510</v>
      </c>
    </row>
    <row r="452" spans="17:27" ht="13.8">
      <c r="Q452" s="362">
        <f t="shared" si="6"/>
        <v>446</v>
      </c>
      <c r="R452" s="363" t="s">
        <v>2230</v>
      </c>
      <c r="S452" s="363" t="s">
        <v>2231</v>
      </c>
      <c r="T452" s="364" t="s">
        <v>901</v>
      </c>
      <c r="U452" s="362" t="s">
        <v>2232</v>
      </c>
      <c r="V452" s="362" t="s">
        <v>2783</v>
      </c>
      <c r="W452" s="363" t="s">
        <v>2783</v>
      </c>
      <c r="X452" s="311" t="s">
        <v>3090</v>
      </c>
      <c r="Y452" s="311" t="s">
        <v>3125</v>
      </c>
      <c r="Z452" s="309" t="s">
        <v>3106</v>
      </c>
      <c r="AA452" s="367">
        <v>1412</v>
      </c>
    </row>
    <row r="453" spans="17:27" ht="13.8">
      <c r="Q453" s="362">
        <f t="shared" si="6"/>
        <v>447</v>
      </c>
      <c r="R453" s="363" t="s">
        <v>2233</v>
      </c>
      <c r="S453" s="363" t="s">
        <v>2234</v>
      </c>
      <c r="T453" s="364" t="s">
        <v>901</v>
      </c>
      <c r="U453" s="362" t="s">
        <v>2235</v>
      </c>
      <c r="V453" s="362" t="s">
        <v>2784</v>
      </c>
      <c r="W453" s="363" t="s">
        <v>2784</v>
      </c>
      <c r="X453" s="311" t="s">
        <v>3090</v>
      </c>
      <c r="Y453" s="311" t="s">
        <v>3125</v>
      </c>
      <c r="Z453" s="309" t="s">
        <v>3106</v>
      </c>
      <c r="AA453" s="367">
        <v>1828</v>
      </c>
    </row>
    <row r="454" spans="17:27" ht="13.8">
      <c r="Q454" s="362">
        <f t="shared" si="6"/>
        <v>448</v>
      </c>
      <c r="R454" s="363" t="s">
        <v>2236</v>
      </c>
      <c r="S454" s="363" t="s">
        <v>2237</v>
      </c>
      <c r="T454" s="364" t="s">
        <v>953</v>
      </c>
      <c r="U454" s="362" t="s">
        <v>2238</v>
      </c>
      <c r="V454" s="362" t="s">
        <v>2237</v>
      </c>
      <c r="W454" s="363" t="s">
        <v>2237</v>
      </c>
      <c r="X454" s="311" t="s">
        <v>3091</v>
      </c>
      <c r="Y454" s="311" t="s">
        <v>3125</v>
      </c>
      <c r="Z454" s="309" t="s">
        <v>3114</v>
      </c>
      <c r="AA454" s="367">
        <v>2114</v>
      </c>
    </row>
    <row r="455" spans="17:27" ht="13.8">
      <c r="Q455" s="362">
        <f t="shared" si="6"/>
        <v>449</v>
      </c>
      <c r="R455" s="363" t="s">
        <v>2239</v>
      </c>
      <c r="S455" s="363" t="s">
        <v>2240</v>
      </c>
      <c r="T455" s="364" t="s">
        <v>960</v>
      </c>
      <c r="U455" s="362" t="s">
        <v>2241</v>
      </c>
      <c r="V455" s="362" t="s">
        <v>2785</v>
      </c>
      <c r="W455" s="363" t="s">
        <v>2785</v>
      </c>
      <c r="X455" s="311" t="s">
        <v>3090</v>
      </c>
      <c r="Y455" s="311" t="s">
        <v>3125</v>
      </c>
      <c r="Z455" s="309" t="s">
        <v>3106</v>
      </c>
      <c r="AA455" s="367">
        <v>2887</v>
      </c>
    </row>
    <row r="456" spans="17:27" ht="13.8">
      <c r="Q456" s="362">
        <f t="shared" si="6"/>
        <v>450</v>
      </c>
      <c r="R456" s="363" t="s">
        <v>2242</v>
      </c>
      <c r="S456" s="363" t="s">
        <v>2243</v>
      </c>
      <c r="T456" s="364" t="s">
        <v>960</v>
      </c>
      <c r="U456" s="362" t="s">
        <v>2244</v>
      </c>
      <c r="V456" s="362" t="s">
        <v>2786</v>
      </c>
      <c r="W456" s="363" t="s">
        <v>2786</v>
      </c>
      <c r="X456" s="311" t="s">
        <v>3090</v>
      </c>
      <c r="Y456" s="311" t="s">
        <v>3125</v>
      </c>
      <c r="Z456" s="309" t="s">
        <v>3106</v>
      </c>
      <c r="AA456" s="367">
        <v>1579</v>
      </c>
    </row>
    <row r="457" spans="17:27" ht="13.8">
      <c r="Q457" s="362">
        <f t="shared" ref="Q457:Q520" si="7">Q456+1</f>
        <v>451</v>
      </c>
      <c r="R457" s="363" t="s">
        <v>2245</v>
      </c>
      <c r="S457" s="363" t="s">
        <v>2246</v>
      </c>
      <c r="T457" s="364" t="s">
        <v>977</v>
      </c>
      <c r="U457" s="362" t="s">
        <v>2247</v>
      </c>
      <c r="V457" s="362" t="s">
        <v>3081</v>
      </c>
      <c r="W457" s="363" t="s">
        <v>3081</v>
      </c>
      <c r="X457" s="311" t="s">
        <v>2584</v>
      </c>
      <c r="Y457" s="311" t="s">
        <v>3125</v>
      </c>
      <c r="Z457" s="309" t="s">
        <v>3106</v>
      </c>
      <c r="AA457" s="367">
        <v>16264</v>
      </c>
    </row>
    <row r="458" spans="17:27" ht="13.8">
      <c r="Q458" s="362">
        <f t="shared" si="7"/>
        <v>452</v>
      </c>
      <c r="R458" s="363" t="s">
        <v>2248</v>
      </c>
      <c r="S458" s="363" t="s">
        <v>2249</v>
      </c>
      <c r="T458" s="364" t="s">
        <v>970</v>
      </c>
      <c r="U458" s="362" t="s">
        <v>2250</v>
      </c>
      <c r="V458" s="362" t="s">
        <v>2249</v>
      </c>
      <c r="W458" s="363" t="s">
        <v>2991</v>
      </c>
      <c r="X458" s="311" t="s">
        <v>3089</v>
      </c>
      <c r="Y458" s="311" t="s">
        <v>3126</v>
      </c>
      <c r="Z458" s="309" t="s">
        <v>3111</v>
      </c>
      <c r="AA458" s="367">
        <v>6490</v>
      </c>
    </row>
    <row r="459" spans="17:27" ht="13.8">
      <c r="Q459" s="362">
        <f t="shared" si="7"/>
        <v>453</v>
      </c>
      <c r="R459" s="363" t="s">
        <v>2251</v>
      </c>
      <c r="S459" s="363" t="s">
        <v>2252</v>
      </c>
      <c r="T459" s="364" t="s">
        <v>1074</v>
      </c>
      <c r="U459" s="362" t="s">
        <v>2253</v>
      </c>
      <c r="V459" s="362" t="s">
        <v>2787</v>
      </c>
      <c r="W459" s="363" t="s">
        <v>2787</v>
      </c>
      <c r="X459" s="311" t="s">
        <v>3090</v>
      </c>
      <c r="Y459" s="311" t="s">
        <v>3125</v>
      </c>
      <c r="Z459" s="309" t="s">
        <v>3106</v>
      </c>
      <c r="AA459" s="367">
        <v>516</v>
      </c>
    </row>
    <row r="460" spans="17:27" ht="13.8">
      <c r="Q460" s="362">
        <f t="shared" si="7"/>
        <v>454</v>
      </c>
      <c r="R460" s="363" t="s">
        <v>2254</v>
      </c>
      <c r="S460" s="363" t="s">
        <v>2255</v>
      </c>
      <c r="T460" s="364" t="s">
        <v>960</v>
      </c>
      <c r="U460" s="362" t="s">
        <v>2256</v>
      </c>
      <c r="V460" s="362" t="s">
        <v>2788</v>
      </c>
      <c r="W460" s="363" t="s">
        <v>2788</v>
      </c>
      <c r="X460" s="311" t="s">
        <v>3090</v>
      </c>
      <c r="Y460" s="311" t="s">
        <v>3125</v>
      </c>
      <c r="Z460" s="309" t="s">
        <v>3106</v>
      </c>
      <c r="AA460" s="367">
        <v>1156</v>
      </c>
    </row>
    <row r="461" spans="17:27" ht="13.8">
      <c r="Q461" s="362">
        <f t="shared" si="7"/>
        <v>455</v>
      </c>
      <c r="R461" s="363" t="s">
        <v>2257</v>
      </c>
      <c r="S461" s="363" t="s">
        <v>2258</v>
      </c>
      <c r="T461" s="364" t="s">
        <v>901</v>
      </c>
      <c r="U461" s="362" t="s">
        <v>2259</v>
      </c>
      <c r="V461" s="362" t="s">
        <v>2789</v>
      </c>
      <c r="W461" s="363" t="s">
        <v>2789</v>
      </c>
      <c r="X461" s="311" t="s">
        <v>3090</v>
      </c>
      <c r="Y461" s="311" t="s">
        <v>3125</v>
      </c>
      <c r="Z461" s="309" t="s">
        <v>3106</v>
      </c>
      <c r="AA461" s="367">
        <v>3809</v>
      </c>
    </row>
    <row r="462" spans="17:27" ht="13.8">
      <c r="Q462" s="362">
        <f t="shared" si="7"/>
        <v>456</v>
      </c>
      <c r="R462" s="363" t="s">
        <v>2260</v>
      </c>
      <c r="S462" s="363" t="s">
        <v>2261</v>
      </c>
      <c r="T462" s="364" t="s">
        <v>901</v>
      </c>
      <c r="U462" s="362" t="s">
        <v>2262</v>
      </c>
      <c r="V462" s="362" t="s">
        <v>2261</v>
      </c>
      <c r="W462" s="363" t="s">
        <v>2789</v>
      </c>
      <c r="X462" s="311" t="s">
        <v>3089</v>
      </c>
      <c r="Y462" s="311" t="s">
        <v>3126</v>
      </c>
      <c r="Z462" s="309" t="s">
        <v>3108</v>
      </c>
      <c r="AA462" s="367">
        <v>1141</v>
      </c>
    </row>
    <row r="463" spans="17:27" ht="13.8">
      <c r="Q463" s="362">
        <f t="shared" si="7"/>
        <v>457</v>
      </c>
      <c r="R463" s="363" t="s">
        <v>2263</v>
      </c>
      <c r="S463" s="363" t="s">
        <v>2264</v>
      </c>
      <c r="T463" s="364" t="s">
        <v>946</v>
      </c>
      <c r="U463" s="362" t="s">
        <v>2265</v>
      </c>
      <c r="V463" s="362" t="s">
        <v>2790</v>
      </c>
      <c r="W463" s="363" t="s">
        <v>2790</v>
      </c>
      <c r="X463" s="311" t="s">
        <v>3090</v>
      </c>
      <c r="Y463" s="311" t="s">
        <v>3125</v>
      </c>
      <c r="Z463" s="309" t="s">
        <v>3106</v>
      </c>
      <c r="AA463" s="367">
        <v>5151</v>
      </c>
    </row>
    <row r="464" spans="17:27" ht="13.8">
      <c r="Q464" s="362">
        <f t="shared" si="7"/>
        <v>458</v>
      </c>
      <c r="R464" s="363" t="s">
        <v>2266</v>
      </c>
      <c r="S464" s="363" t="s">
        <v>2267</v>
      </c>
      <c r="T464" s="364" t="s">
        <v>905</v>
      </c>
      <c r="U464" s="362" t="s">
        <v>2268</v>
      </c>
      <c r="V464" s="362" t="s">
        <v>3064</v>
      </c>
      <c r="W464" s="363" t="s">
        <v>3064</v>
      </c>
      <c r="X464" s="311" t="s">
        <v>3091</v>
      </c>
      <c r="Y464" s="311" t="s">
        <v>3125</v>
      </c>
      <c r="Z464" s="309" t="s">
        <v>3107</v>
      </c>
      <c r="AA464" s="367">
        <v>10795</v>
      </c>
    </row>
    <row r="465" spans="17:27" ht="13.8">
      <c r="Q465" s="362">
        <f t="shared" si="7"/>
        <v>459</v>
      </c>
      <c r="R465" s="363" t="s">
        <v>2269</v>
      </c>
      <c r="S465" s="363" t="s">
        <v>2270</v>
      </c>
      <c r="T465" s="364" t="s">
        <v>987</v>
      </c>
      <c r="U465" s="362" t="s">
        <v>2271</v>
      </c>
      <c r="V465" s="362" t="s">
        <v>2791</v>
      </c>
      <c r="W465" s="363" t="s">
        <v>2791</v>
      </c>
      <c r="X465" s="311" t="s">
        <v>3090</v>
      </c>
      <c r="Y465" s="311" t="s">
        <v>3125</v>
      </c>
      <c r="Z465" s="309" t="s">
        <v>3106</v>
      </c>
      <c r="AA465" s="367">
        <v>12098</v>
      </c>
    </row>
    <row r="466" spans="17:27" ht="13.8">
      <c r="Q466" s="362">
        <f t="shared" si="7"/>
        <v>460</v>
      </c>
      <c r="R466" s="363" t="s">
        <v>2272</v>
      </c>
      <c r="S466" s="363" t="s">
        <v>2273</v>
      </c>
      <c r="T466" s="364" t="s">
        <v>1127</v>
      </c>
      <c r="U466" s="362" t="s">
        <v>2274</v>
      </c>
      <c r="V466" s="362" t="s">
        <v>3065</v>
      </c>
      <c r="W466" s="363" t="s">
        <v>3065</v>
      </c>
      <c r="X466" s="311" t="s">
        <v>3091</v>
      </c>
      <c r="Y466" s="311" t="s">
        <v>3125</v>
      </c>
      <c r="Z466" s="309" t="s">
        <v>3114</v>
      </c>
      <c r="AA466" s="367">
        <v>8631</v>
      </c>
    </row>
    <row r="467" spans="17:27" ht="13.8">
      <c r="Q467" s="362">
        <f t="shared" si="7"/>
        <v>461</v>
      </c>
      <c r="R467" s="363" t="s">
        <v>2275</v>
      </c>
      <c r="S467" s="363" t="s">
        <v>2276</v>
      </c>
      <c r="T467" s="364" t="s">
        <v>987</v>
      </c>
      <c r="U467" s="362" t="s">
        <v>2277</v>
      </c>
      <c r="V467" s="362" t="s">
        <v>2792</v>
      </c>
      <c r="W467" s="363" t="s">
        <v>2792</v>
      </c>
      <c r="X467" s="311" t="s">
        <v>3090</v>
      </c>
      <c r="Y467" s="311" t="s">
        <v>3125</v>
      </c>
      <c r="Z467" s="309" t="s">
        <v>3106</v>
      </c>
      <c r="AA467" s="367">
        <v>4563</v>
      </c>
    </row>
    <row r="468" spans="17:27" ht="13.8">
      <c r="Q468" s="362">
        <f t="shared" si="7"/>
        <v>462</v>
      </c>
      <c r="R468" s="363" t="s">
        <v>2278</v>
      </c>
      <c r="S468" s="363" t="s">
        <v>2279</v>
      </c>
      <c r="T468" s="364" t="s">
        <v>1127</v>
      </c>
      <c r="U468" s="362" t="s">
        <v>2280</v>
      </c>
      <c r="V468" s="362" t="s">
        <v>2279</v>
      </c>
      <c r="W468" s="363" t="s">
        <v>2992</v>
      </c>
      <c r="X468" s="311" t="s">
        <v>3089</v>
      </c>
      <c r="Y468" s="311" t="s">
        <v>3125</v>
      </c>
      <c r="Z468" s="309" t="s">
        <v>3109</v>
      </c>
      <c r="AA468" s="367">
        <v>43417</v>
      </c>
    </row>
    <row r="469" spans="17:27" ht="13.8">
      <c r="Q469" s="362">
        <f t="shared" si="7"/>
        <v>463</v>
      </c>
      <c r="R469" s="363" t="s">
        <v>2281</v>
      </c>
      <c r="S469" s="363" t="s">
        <v>2282</v>
      </c>
      <c r="T469" s="364" t="s">
        <v>909</v>
      </c>
      <c r="U469" s="362" t="s">
        <v>2283</v>
      </c>
      <c r="V469" s="362" t="s">
        <v>2282</v>
      </c>
      <c r="W469" s="363" t="s">
        <v>2993</v>
      </c>
      <c r="X469" s="311" t="s">
        <v>3089</v>
      </c>
      <c r="Y469" s="311" t="s">
        <v>3126</v>
      </c>
      <c r="Z469" s="309" t="s">
        <v>3111</v>
      </c>
      <c r="AA469" s="367">
        <v>2378</v>
      </c>
    </row>
    <row r="470" spans="17:27" ht="13.8">
      <c r="Q470" s="362">
        <f t="shared" si="7"/>
        <v>464</v>
      </c>
      <c r="R470" s="363" t="s">
        <v>2284</v>
      </c>
      <c r="S470" s="363" t="s">
        <v>2285</v>
      </c>
      <c r="T470" s="364" t="s">
        <v>1161</v>
      </c>
      <c r="U470" s="362" t="s">
        <v>2286</v>
      </c>
      <c r="V470" s="362" t="s">
        <v>2285</v>
      </c>
      <c r="W470" s="363" t="s">
        <v>2994</v>
      </c>
      <c r="X470" s="311" t="s">
        <v>3089</v>
      </c>
      <c r="Y470" s="311" t="s">
        <v>3126</v>
      </c>
      <c r="Z470" s="309" t="s">
        <v>3111</v>
      </c>
      <c r="AA470" s="367">
        <v>3162</v>
      </c>
    </row>
    <row r="471" spans="17:27" ht="13.8">
      <c r="Q471" s="362">
        <f t="shared" si="7"/>
        <v>465</v>
      </c>
      <c r="R471" s="363" t="s">
        <v>2287</v>
      </c>
      <c r="S471" s="363" t="s">
        <v>2288</v>
      </c>
      <c r="T471" s="364" t="s">
        <v>991</v>
      </c>
      <c r="U471" s="362" t="s">
        <v>2289</v>
      </c>
      <c r="V471" s="362" t="s">
        <v>2288</v>
      </c>
      <c r="W471" s="363" t="s">
        <v>2288</v>
      </c>
      <c r="X471" s="311" t="s">
        <v>3089</v>
      </c>
      <c r="Y471" s="311" t="s">
        <v>3129</v>
      </c>
      <c r="Z471" s="309" t="s">
        <v>3123</v>
      </c>
      <c r="AA471" s="367">
        <v>16198</v>
      </c>
    </row>
    <row r="472" spans="17:27" ht="13.8">
      <c r="Q472" s="362">
        <f t="shared" si="7"/>
        <v>466</v>
      </c>
      <c r="R472" s="363" t="s">
        <v>2290</v>
      </c>
      <c r="S472" s="363" t="s">
        <v>2291</v>
      </c>
      <c r="T472" s="364" t="s">
        <v>1127</v>
      </c>
      <c r="U472" s="362" t="s">
        <v>2292</v>
      </c>
      <c r="V472" s="362" t="s">
        <v>2793</v>
      </c>
      <c r="W472" s="363" t="s">
        <v>2793</v>
      </c>
      <c r="X472" s="311" t="s">
        <v>3090</v>
      </c>
      <c r="Y472" s="311" t="s">
        <v>3125</v>
      </c>
      <c r="Z472" s="309" t="s">
        <v>3106</v>
      </c>
      <c r="AA472" s="367">
        <v>23385</v>
      </c>
    </row>
    <row r="473" spans="17:27" ht="13.8">
      <c r="Q473" s="362">
        <f t="shared" si="7"/>
        <v>467</v>
      </c>
      <c r="R473" s="363" t="s">
        <v>2293</v>
      </c>
      <c r="S473" s="363" t="s">
        <v>2294</v>
      </c>
      <c r="T473" s="364" t="s">
        <v>1127</v>
      </c>
      <c r="U473" s="362" t="s">
        <v>2295</v>
      </c>
      <c r="V473" s="362" t="s">
        <v>2794</v>
      </c>
      <c r="W473" s="363" t="s">
        <v>2794</v>
      </c>
      <c r="X473" s="311" t="s">
        <v>3090</v>
      </c>
      <c r="Y473" s="311" t="s">
        <v>3125</v>
      </c>
      <c r="Z473" s="309" t="s">
        <v>3106</v>
      </c>
      <c r="AA473" s="367">
        <v>16008</v>
      </c>
    </row>
    <row r="474" spans="17:27" ht="13.8">
      <c r="Q474" s="362">
        <f t="shared" si="7"/>
        <v>468</v>
      </c>
      <c r="R474" s="363" t="s">
        <v>2296</v>
      </c>
      <c r="S474" s="363" t="s">
        <v>2297</v>
      </c>
      <c r="T474" s="364" t="s">
        <v>960</v>
      </c>
      <c r="U474" s="362" t="s">
        <v>2298</v>
      </c>
      <c r="V474" s="362" t="s">
        <v>2795</v>
      </c>
      <c r="W474" s="363" t="s">
        <v>2795</v>
      </c>
      <c r="X474" s="311" t="s">
        <v>3090</v>
      </c>
      <c r="Y474" s="311" t="s">
        <v>3125</v>
      </c>
      <c r="Z474" s="309" t="s">
        <v>3106</v>
      </c>
      <c r="AA474" s="367">
        <v>3684</v>
      </c>
    </row>
    <row r="475" spans="17:27" ht="13.8">
      <c r="Q475" s="362">
        <f t="shared" si="7"/>
        <v>469</v>
      </c>
      <c r="R475" s="363" t="s">
        <v>2299</v>
      </c>
      <c r="S475" s="363" t="s">
        <v>2300</v>
      </c>
      <c r="T475" s="364" t="s">
        <v>970</v>
      </c>
      <c r="U475" s="362" t="s">
        <v>2301</v>
      </c>
      <c r="V475" s="362" t="s">
        <v>2300</v>
      </c>
      <c r="W475" s="363" t="s">
        <v>2995</v>
      </c>
      <c r="X475" s="311" t="s">
        <v>3089</v>
      </c>
      <c r="Y475" s="311" t="s">
        <v>3126</v>
      </c>
      <c r="Z475" s="309" t="s">
        <v>3111</v>
      </c>
      <c r="AA475" s="367">
        <v>10464</v>
      </c>
    </row>
    <row r="476" spans="17:27" ht="13.8">
      <c r="Q476" s="362">
        <f t="shared" si="7"/>
        <v>470</v>
      </c>
      <c r="R476" s="363" t="s">
        <v>2302</v>
      </c>
      <c r="S476" s="363" t="s">
        <v>2303</v>
      </c>
      <c r="T476" s="364" t="s">
        <v>930</v>
      </c>
      <c r="U476" s="362" t="s">
        <v>2304</v>
      </c>
      <c r="V476" s="362" t="s">
        <v>2303</v>
      </c>
      <c r="W476" s="363" t="s">
        <v>2996</v>
      </c>
      <c r="X476" s="311" t="s">
        <v>3089</v>
      </c>
      <c r="Y476" s="311" t="s">
        <v>3125</v>
      </c>
      <c r="Z476" s="309" t="s">
        <v>3112</v>
      </c>
      <c r="AA476" s="367">
        <v>19722</v>
      </c>
    </row>
    <row r="477" spans="17:27" ht="13.8">
      <c r="Q477" s="362">
        <f t="shared" si="7"/>
        <v>471</v>
      </c>
      <c r="R477" s="363" t="s">
        <v>2305</v>
      </c>
      <c r="S477" s="363" t="s">
        <v>2306</v>
      </c>
      <c r="T477" s="364" t="s">
        <v>1127</v>
      </c>
      <c r="U477" s="362" t="s">
        <v>2307</v>
      </c>
      <c r="V477" s="362" t="s">
        <v>2796</v>
      </c>
      <c r="W477" s="363" t="s">
        <v>2796</v>
      </c>
      <c r="X477" s="311" t="s">
        <v>3090</v>
      </c>
      <c r="Y477" s="311" t="s">
        <v>3125</v>
      </c>
      <c r="Z477" s="309" t="s">
        <v>3114</v>
      </c>
      <c r="AA477" s="367">
        <v>8257</v>
      </c>
    </row>
    <row r="478" spans="17:27" ht="13.8">
      <c r="Q478" s="362">
        <f t="shared" si="7"/>
        <v>472</v>
      </c>
      <c r="R478" s="363" t="s">
        <v>2308</v>
      </c>
      <c r="S478" s="363" t="s">
        <v>2309</v>
      </c>
      <c r="T478" s="364" t="s">
        <v>901</v>
      </c>
      <c r="U478" s="362" t="s">
        <v>2310</v>
      </c>
      <c r="V478" s="362" t="s">
        <v>2797</v>
      </c>
      <c r="W478" s="363" t="s">
        <v>2797</v>
      </c>
      <c r="X478" s="311" t="s">
        <v>3090</v>
      </c>
      <c r="Y478" s="311" t="s">
        <v>3125</v>
      </c>
      <c r="Z478" s="309" t="s">
        <v>3106</v>
      </c>
      <c r="AA478" s="367">
        <v>2993</v>
      </c>
    </row>
    <row r="479" spans="17:27" ht="13.8">
      <c r="Q479" s="362">
        <f t="shared" si="7"/>
        <v>473</v>
      </c>
      <c r="R479" s="363" t="s">
        <v>2311</v>
      </c>
      <c r="S479" s="363" t="s">
        <v>2312</v>
      </c>
      <c r="T479" s="364" t="s">
        <v>901</v>
      </c>
      <c r="U479" s="362" t="s">
        <v>2313</v>
      </c>
      <c r="V479" s="362" t="s">
        <v>2798</v>
      </c>
      <c r="W479" s="363" t="s">
        <v>2798</v>
      </c>
      <c r="X479" s="311" t="s">
        <v>3090</v>
      </c>
      <c r="Y479" s="311" t="s">
        <v>3125</v>
      </c>
      <c r="Z479" s="309" t="s">
        <v>3106</v>
      </c>
      <c r="AA479" s="367">
        <v>4713</v>
      </c>
    </row>
    <row r="480" spans="17:27" ht="13.8">
      <c r="Q480" s="362">
        <f t="shared" si="7"/>
        <v>474</v>
      </c>
      <c r="R480" s="363" t="s">
        <v>2314</v>
      </c>
      <c r="S480" s="363" t="s">
        <v>2315</v>
      </c>
      <c r="T480" s="364" t="s">
        <v>970</v>
      </c>
      <c r="U480" s="362" t="s">
        <v>2316</v>
      </c>
      <c r="V480" s="362" t="s">
        <v>2315</v>
      </c>
      <c r="W480" s="363" t="s">
        <v>2997</v>
      </c>
      <c r="X480" s="311" t="s">
        <v>3089</v>
      </c>
      <c r="Y480" s="311" t="s">
        <v>3125</v>
      </c>
      <c r="Z480" s="309" t="s">
        <v>3112</v>
      </c>
      <c r="AA480" s="367">
        <v>3414</v>
      </c>
    </row>
    <row r="481" spans="17:27" ht="13.8">
      <c r="Q481" s="362">
        <f t="shared" si="7"/>
        <v>475</v>
      </c>
      <c r="R481" s="363" t="s">
        <v>2317</v>
      </c>
      <c r="S481" s="363" t="s">
        <v>2315</v>
      </c>
      <c r="T481" s="364" t="s">
        <v>1007</v>
      </c>
      <c r="U481" s="362" t="s">
        <v>2318</v>
      </c>
      <c r="V481" s="362" t="s">
        <v>2315</v>
      </c>
      <c r="W481" s="363" t="s">
        <v>2997</v>
      </c>
      <c r="X481" s="311" t="s">
        <v>3089</v>
      </c>
      <c r="Y481" s="311" t="s">
        <v>3126</v>
      </c>
      <c r="Z481" s="309" t="s">
        <v>3111</v>
      </c>
      <c r="AA481" s="367">
        <v>15817</v>
      </c>
    </row>
    <row r="482" spans="17:27" ht="13.8">
      <c r="Q482" s="362">
        <f t="shared" si="7"/>
        <v>476</v>
      </c>
      <c r="R482" s="363" t="s">
        <v>2319</v>
      </c>
      <c r="S482" s="363" t="s">
        <v>2320</v>
      </c>
      <c r="T482" s="364" t="s">
        <v>960</v>
      </c>
      <c r="U482" s="362" t="s">
        <v>2321</v>
      </c>
      <c r="V482" s="362" t="s">
        <v>2320</v>
      </c>
      <c r="W482" s="363" t="s">
        <v>2998</v>
      </c>
      <c r="X482" s="311" t="s">
        <v>3089</v>
      </c>
      <c r="Y482" s="311" t="s">
        <v>3125</v>
      </c>
      <c r="Z482" s="309" t="s">
        <v>3106</v>
      </c>
      <c r="AA482" s="367">
        <v>26535</v>
      </c>
    </row>
    <row r="483" spans="17:27" ht="13.8">
      <c r="Q483" s="362">
        <f t="shared" si="7"/>
        <v>477</v>
      </c>
      <c r="R483" s="363" t="s">
        <v>2322</v>
      </c>
      <c r="S483" s="363" t="s">
        <v>2323</v>
      </c>
      <c r="T483" s="364" t="s">
        <v>930</v>
      </c>
      <c r="U483" s="362" t="s">
        <v>2324</v>
      </c>
      <c r="V483" s="362" t="s">
        <v>2799</v>
      </c>
      <c r="W483" s="363" t="s">
        <v>2799</v>
      </c>
      <c r="X483" s="311" t="s">
        <v>3090</v>
      </c>
      <c r="Y483" s="311" t="s">
        <v>3125</v>
      </c>
      <c r="Z483" s="309" t="s">
        <v>3106</v>
      </c>
      <c r="AA483" s="367">
        <v>3610</v>
      </c>
    </row>
    <row r="484" spans="17:27" ht="13.8">
      <c r="Q484" s="362">
        <f t="shared" si="7"/>
        <v>478</v>
      </c>
      <c r="R484" s="363" t="s">
        <v>2325</v>
      </c>
      <c r="S484" s="363" t="s">
        <v>2326</v>
      </c>
      <c r="T484" s="364" t="s">
        <v>930</v>
      </c>
      <c r="U484" s="362" t="s">
        <v>2327</v>
      </c>
      <c r="V484" s="362" t="s">
        <v>2326</v>
      </c>
      <c r="W484" s="363" t="s">
        <v>2999</v>
      </c>
      <c r="X484" s="311" t="s">
        <v>3089</v>
      </c>
      <c r="Y484" s="311" t="s">
        <v>3126</v>
      </c>
      <c r="Z484" s="309" t="s">
        <v>3111</v>
      </c>
      <c r="AA484" s="367">
        <v>4099</v>
      </c>
    </row>
    <row r="485" spans="17:27" ht="13.8">
      <c r="Q485" s="362">
        <f t="shared" si="7"/>
        <v>479</v>
      </c>
      <c r="R485" s="363" t="s">
        <v>2328</v>
      </c>
      <c r="S485" s="363" t="s">
        <v>2329</v>
      </c>
      <c r="T485" s="364" t="s">
        <v>1026</v>
      </c>
      <c r="U485" s="362" t="s">
        <v>2330</v>
      </c>
      <c r="V485" s="362" t="s">
        <v>2800</v>
      </c>
      <c r="W485" s="363" t="s">
        <v>2800</v>
      </c>
      <c r="X485" s="311" t="s">
        <v>3090</v>
      </c>
      <c r="Y485" s="311" t="s">
        <v>3125</v>
      </c>
      <c r="Z485" s="309" t="s">
        <v>3106</v>
      </c>
      <c r="AA485" s="367">
        <v>538</v>
      </c>
    </row>
    <row r="486" spans="17:27" ht="13.8">
      <c r="Q486" s="362">
        <f t="shared" si="7"/>
        <v>480</v>
      </c>
      <c r="R486" s="363" t="s">
        <v>2331</v>
      </c>
      <c r="S486" s="363" t="s">
        <v>2332</v>
      </c>
      <c r="T486" s="364" t="s">
        <v>953</v>
      </c>
      <c r="U486" s="362" t="s">
        <v>2333</v>
      </c>
      <c r="V486" s="362" t="s">
        <v>2801</v>
      </c>
      <c r="W486" s="363" t="s">
        <v>2801</v>
      </c>
      <c r="X486" s="311" t="s">
        <v>3090</v>
      </c>
      <c r="Y486" s="311" t="s">
        <v>3125</v>
      </c>
      <c r="Z486" s="309" t="s">
        <v>3106</v>
      </c>
      <c r="AA486" s="367">
        <v>866</v>
      </c>
    </row>
    <row r="487" spans="17:27" ht="13.8">
      <c r="Q487" s="362">
        <f t="shared" si="7"/>
        <v>481</v>
      </c>
      <c r="R487" s="363" t="s">
        <v>2334</v>
      </c>
      <c r="S487" s="363" t="s">
        <v>2335</v>
      </c>
      <c r="T487" s="364" t="s">
        <v>1074</v>
      </c>
      <c r="U487" s="362" t="s">
        <v>2336</v>
      </c>
      <c r="V487" s="362" t="s">
        <v>2335</v>
      </c>
      <c r="W487" s="363" t="s">
        <v>3000</v>
      </c>
      <c r="X487" s="311" t="s">
        <v>3089</v>
      </c>
      <c r="Y487" s="311" t="s">
        <v>3126</v>
      </c>
      <c r="Z487" s="309" t="s">
        <v>3108</v>
      </c>
      <c r="AA487" s="367">
        <v>1431</v>
      </c>
    </row>
    <row r="488" spans="17:27" ht="13.8">
      <c r="Q488" s="362">
        <f t="shared" si="7"/>
        <v>482</v>
      </c>
      <c r="R488" s="363" t="s">
        <v>2337</v>
      </c>
      <c r="S488" s="363" t="s">
        <v>2338</v>
      </c>
      <c r="T488" s="364" t="s">
        <v>946</v>
      </c>
      <c r="U488" s="362" t="s">
        <v>2339</v>
      </c>
      <c r="V488" s="362" t="s">
        <v>2802</v>
      </c>
      <c r="W488" s="363" t="s">
        <v>2802</v>
      </c>
      <c r="X488" s="311" t="s">
        <v>3090</v>
      </c>
      <c r="Y488" s="311" t="s">
        <v>3125</v>
      </c>
      <c r="Z488" s="309" t="s">
        <v>3106</v>
      </c>
      <c r="AA488" s="367">
        <v>7040</v>
      </c>
    </row>
    <row r="489" spans="17:27" ht="13.8">
      <c r="Q489" s="362">
        <f t="shared" si="7"/>
        <v>483</v>
      </c>
      <c r="R489" s="363" t="s">
        <v>2340</v>
      </c>
      <c r="S489" s="363" t="s">
        <v>2341</v>
      </c>
      <c r="T489" s="364" t="s">
        <v>1007</v>
      </c>
      <c r="U489" s="362" t="s">
        <v>2342</v>
      </c>
      <c r="V489" s="362" t="s">
        <v>3066</v>
      </c>
      <c r="W489" s="363" t="s">
        <v>3066</v>
      </c>
      <c r="X489" s="311" t="s">
        <v>3091</v>
      </c>
      <c r="Y489" s="311" t="s">
        <v>3125</v>
      </c>
      <c r="Z489" s="309" t="s">
        <v>3107</v>
      </c>
      <c r="AA489" s="367">
        <v>21457</v>
      </c>
    </row>
    <row r="490" spans="17:27" ht="13.8">
      <c r="Q490" s="362">
        <f t="shared" si="7"/>
        <v>484</v>
      </c>
      <c r="R490" s="363" t="s">
        <v>2343</v>
      </c>
      <c r="S490" s="363" t="s">
        <v>2344</v>
      </c>
      <c r="T490" s="364" t="s">
        <v>960</v>
      </c>
      <c r="U490" s="362" t="s">
        <v>2345</v>
      </c>
      <c r="V490" s="362" t="s">
        <v>2803</v>
      </c>
      <c r="W490" s="363" t="s">
        <v>3067</v>
      </c>
      <c r="X490" s="311" t="s">
        <v>3090</v>
      </c>
      <c r="Y490" s="311" t="s">
        <v>3125</v>
      </c>
      <c r="Z490" s="309" t="s">
        <v>3106</v>
      </c>
      <c r="AA490" s="367">
        <v>1205</v>
      </c>
    </row>
    <row r="491" spans="17:27" ht="13.8">
      <c r="Q491" s="362">
        <f t="shared" si="7"/>
        <v>485</v>
      </c>
      <c r="R491" s="363" t="s">
        <v>2346</v>
      </c>
      <c r="S491" s="363" t="s">
        <v>2347</v>
      </c>
      <c r="T491" s="364" t="s">
        <v>930</v>
      </c>
      <c r="U491" s="362" t="s">
        <v>2348</v>
      </c>
      <c r="V491" s="362" t="s">
        <v>930</v>
      </c>
      <c r="W491" s="363" t="s">
        <v>930</v>
      </c>
      <c r="X491" s="311" t="s">
        <v>3090</v>
      </c>
      <c r="Y491" s="311" t="s">
        <v>3125</v>
      </c>
      <c r="Z491" s="309" t="s">
        <v>3106</v>
      </c>
      <c r="AA491" s="367">
        <v>2130</v>
      </c>
    </row>
    <row r="492" spans="17:27" ht="13.8">
      <c r="Q492" s="362">
        <f t="shared" si="7"/>
        <v>486</v>
      </c>
      <c r="R492" s="363" t="s">
        <v>2349</v>
      </c>
      <c r="S492" s="363" t="s">
        <v>2350</v>
      </c>
      <c r="T492" s="364" t="s">
        <v>1161</v>
      </c>
      <c r="U492" s="362" t="s">
        <v>2351</v>
      </c>
      <c r="V492" s="362" t="s">
        <v>2804</v>
      </c>
      <c r="W492" s="363" t="s">
        <v>2804</v>
      </c>
      <c r="X492" s="311" t="s">
        <v>3090</v>
      </c>
      <c r="Y492" s="311" t="s">
        <v>3125</v>
      </c>
      <c r="Z492" s="309" t="s">
        <v>3106</v>
      </c>
      <c r="AA492" s="367">
        <v>2584</v>
      </c>
    </row>
    <row r="493" spans="17:27" ht="13.8">
      <c r="Q493" s="362">
        <f t="shared" si="7"/>
        <v>487</v>
      </c>
      <c r="R493" s="363" t="s">
        <v>2352</v>
      </c>
      <c r="S493" s="363" t="s">
        <v>2353</v>
      </c>
      <c r="T493" s="364" t="s">
        <v>970</v>
      </c>
      <c r="U493" s="362" t="s">
        <v>2354</v>
      </c>
      <c r="V493" s="362" t="s">
        <v>2353</v>
      </c>
      <c r="W493" s="363" t="s">
        <v>3001</v>
      </c>
      <c r="X493" s="311" t="s">
        <v>3089</v>
      </c>
      <c r="Y493" s="311" t="s">
        <v>3126</v>
      </c>
      <c r="Z493" s="309" t="s">
        <v>3111</v>
      </c>
      <c r="AA493" s="367">
        <v>6949</v>
      </c>
    </row>
    <row r="494" spans="17:27" ht="13.8">
      <c r="Q494" s="362">
        <f t="shared" si="7"/>
        <v>488</v>
      </c>
      <c r="R494" s="363" t="s">
        <v>2355</v>
      </c>
      <c r="S494" s="363" t="s">
        <v>2356</v>
      </c>
      <c r="T494" s="364" t="s">
        <v>946</v>
      </c>
      <c r="U494" s="362" t="s">
        <v>2357</v>
      </c>
      <c r="V494" s="362" t="s">
        <v>2805</v>
      </c>
      <c r="W494" s="363" t="s">
        <v>2805</v>
      </c>
      <c r="X494" s="311" t="s">
        <v>3090</v>
      </c>
      <c r="Y494" s="311" t="s">
        <v>3127</v>
      </c>
      <c r="Z494" s="309" t="s">
        <v>3110</v>
      </c>
      <c r="AA494" s="367">
        <v>5</v>
      </c>
    </row>
    <row r="495" spans="17:27" ht="13.8">
      <c r="Q495" s="362">
        <f t="shared" si="7"/>
        <v>489</v>
      </c>
      <c r="R495" s="363" t="s">
        <v>2358</v>
      </c>
      <c r="S495" s="363" t="s">
        <v>2359</v>
      </c>
      <c r="T495" s="364" t="s">
        <v>909</v>
      </c>
      <c r="U495" s="362" t="s">
        <v>2360</v>
      </c>
      <c r="V495" s="362" t="s">
        <v>2359</v>
      </c>
      <c r="W495" s="363" t="s">
        <v>3002</v>
      </c>
      <c r="X495" s="311" t="s">
        <v>3089</v>
      </c>
      <c r="Y495" s="311" t="s">
        <v>3125</v>
      </c>
      <c r="Z495" s="309" t="s">
        <v>3115</v>
      </c>
      <c r="AA495" s="367">
        <v>39776</v>
      </c>
    </row>
    <row r="496" spans="17:27" ht="13.8">
      <c r="Q496" s="362">
        <f t="shared" si="7"/>
        <v>490</v>
      </c>
      <c r="R496" s="363" t="s">
        <v>2361</v>
      </c>
      <c r="S496" s="363" t="s">
        <v>2362</v>
      </c>
      <c r="T496" s="364" t="s">
        <v>909</v>
      </c>
      <c r="U496" s="362" t="s">
        <v>2363</v>
      </c>
      <c r="V496" s="362" t="s">
        <v>2806</v>
      </c>
      <c r="W496" s="363" t="s">
        <v>2806</v>
      </c>
      <c r="X496" s="311" t="s">
        <v>3090</v>
      </c>
      <c r="Y496" s="311" t="s">
        <v>3125</v>
      </c>
      <c r="Z496" s="309" t="s">
        <v>3106</v>
      </c>
      <c r="AA496" s="367">
        <v>14488</v>
      </c>
    </row>
    <row r="497" spans="17:27" ht="13.8">
      <c r="Q497" s="362">
        <f t="shared" si="7"/>
        <v>491</v>
      </c>
      <c r="R497" s="363" t="s">
        <v>2364</v>
      </c>
      <c r="S497" s="363" t="s">
        <v>2365</v>
      </c>
      <c r="T497" s="364" t="s">
        <v>909</v>
      </c>
      <c r="U497" s="362" t="s">
        <v>2366</v>
      </c>
      <c r="V497" s="362" t="s">
        <v>2807</v>
      </c>
      <c r="W497" s="363" t="s">
        <v>2807</v>
      </c>
      <c r="X497" s="311" t="s">
        <v>3090</v>
      </c>
      <c r="Y497" s="311" t="s">
        <v>3125</v>
      </c>
      <c r="Z497" s="309" t="s">
        <v>3112</v>
      </c>
      <c r="AA497" s="367">
        <v>67</v>
      </c>
    </row>
    <row r="498" spans="17:27" ht="13.8">
      <c r="Q498" s="362">
        <f t="shared" si="7"/>
        <v>492</v>
      </c>
      <c r="R498" s="363" t="s">
        <v>2367</v>
      </c>
      <c r="S498" s="363" t="s">
        <v>2368</v>
      </c>
      <c r="T498" s="364" t="s">
        <v>1026</v>
      </c>
      <c r="U498" s="362" t="s">
        <v>2369</v>
      </c>
      <c r="V498" s="362" t="s">
        <v>2368</v>
      </c>
      <c r="W498" s="363" t="s">
        <v>3003</v>
      </c>
      <c r="X498" s="311" t="s">
        <v>3089</v>
      </c>
      <c r="Y498" s="311" t="s">
        <v>3126</v>
      </c>
      <c r="Z498" s="309" t="s">
        <v>3111</v>
      </c>
      <c r="AA498" s="367">
        <v>5993</v>
      </c>
    </row>
    <row r="499" spans="17:27" ht="13.8">
      <c r="Q499" s="362">
        <f t="shared" si="7"/>
        <v>493</v>
      </c>
      <c r="R499" s="363" t="s">
        <v>2370</v>
      </c>
      <c r="S499" s="363" t="s">
        <v>2371</v>
      </c>
      <c r="T499" s="364" t="s">
        <v>901</v>
      </c>
      <c r="U499" s="362" t="s">
        <v>2372</v>
      </c>
      <c r="V499" s="362" t="s">
        <v>2808</v>
      </c>
      <c r="W499" s="363" t="s">
        <v>2808</v>
      </c>
      <c r="X499" s="311" t="s">
        <v>3090</v>
      </c>
      <c r="Y499" s="311" t="s">
        <v>3125</v>
      </c>
      <c r="Z499" s="309" t="s">
        <v>3114</v>
      </c>
      <c r="AA499" s="367">
        <v>17892</v>
      </c>
    </row>
    <row r="500" spans="17:27" ht="13.8">
      <c r="Q500" s="362">
        <f t="shared" si="7"/>
        <v>494</v>
      </c>
      <c r="R500" s="363" t="s">
        <v>2373</v>
      </c>
      <c r="S500" s="363" t="s">
        <v>2374</v>
      </c>
      <c r="T500" s="364" t="s">
        <v>960</v>
      </c>
      <c r="U500" s="362" t="s">
        <v>2375</v>
      </c>
      <c r="V500" s="362" t="s">
        <v>2374</v>
      </c>
      <c r="W500" s="363" t="s">
        <v>3004</v>
      </c>
      <c r="X500" s="311" t="s">
        <v>3089</v>
      </c>
      <c r="Y500" s="311" t="s">
        <v>3125</v>
      </c>
      <c r="Z500" s="309" t="s">
        <v>3107</v>
      </c>
      <c r="AA500" s="367">
        <v>91239</v>
      </c>
    </row>
    <row r="501" spans="17:27" ht="13.8">
      <c r="Q501" s="362">
        <f t="shared" si="7"/>
        <v>495</v>
      </c>
      <c r="R501" s="363" t="s">
        <v>2376</v>
      </c>
      <c r="S501" s="363" t="s">
        <v>2377</v>
      </c>
      <c r="T501" s="364" t="s">
        <v>1039</v>
      </c>
      <c r="U501" s="362" t="s">
        <v>2378</v>
      </c>
      <c r="V501" s="362" t="s">
        <v>2809</v>
      </c>
      <c r="W501" s="363" t="s">
        <v>2809</v>
      </c>
      <c r="X501" s="311" t="s">
        <v>3090</v>
      </c>
      <c r="Y501" s="311" t="s">
        <v>3125</v>
      </c>
      <c r="Z501" s="309" t="s">
        <v>3106</v>
      </c>
      <c r="AA501" s="367">
        <v>10804</v>
      </c>
    </row>
    <row r="502" spans="17:27" ht="13.8">
      <c r="Q502" s="362">
        <f t="shared" si="7"/>
        <v>496</v>
      </c>
      <c r="R502" s="363" t="s">
        <v>2379</v>
      </c>
      <c r="S502" s="363" t="s">
        <v>2380</v>
      </c>
      <c r="T502" s="364" t="s">
        <v>1267</v>
      </c>
      <c r="U502" s="362" t="s">
        <v>2381</v>
      </c>
      <c r="V502" s="362" t="s">
        <v>3068</v>
      </c>
      <c r="W502" s="363" t="s">
        <v>3068</v>
      </c>
      <c r="X502" s="311" t="s">
        <v>3091</v>
      </c>
      <c r="Y502" s="311" t="s">
        <v>3125</v>
      </c>
      <c r="Z502" s="309" t="s">
        <v>3107</v>
      </c>
      <c r="AA502" s="367">
        <v>84913</v>
      </c>
    </row>
    <row r="503" spans="17:27" ht="13.8">
      <c r="Q503" s="362">
        <f t="shared" si="7"/>
        <v>497</v>
      </c>
      <c r="R503" s="363" t="s">
        <v>2382</v>
      </c>
      <c r="S503" s="363" t="s">
        <v>2383</v>
      </c>
      <c r="T503" s="364" t="s">
        <v>960</v>
      </c>
      <c r="U503" s="362" t="s">
        <v>2384</v>
      </c>
      <c r="V503" s="362" t="s">
        <v>2810</v>
      </c>
      <c r="W503" s="363" t="s">
        <v>2810</v>
      </c>
      <c r="X503" s="311" t="s">
        <v>3090</v>
      </c>
      <c r="Y503" s="311" t="s">
        <v>3125</v>
      </c>
      <c r="Z503" s="309" t="s">
        <v>3106</v>
      </c>
      <c r="AA503" s="367">
        <v>3347</v>
      </c>
    </row>
    <row r="504" spans="17:27" ht="13.8">
      <c r="Q504" s="362">
        <f t="shared" si="7"/>
        <v>498</v>
      </c>
      <c r="R504" s="363" t="s">
        <v>2385</v>
      </c>
      <c r="S504" s="363" t="s">
        <v>2386</v>
      </c>
      <c r="T504" s="364" t="s">
        <v>901</v>
      </c>
      <c r="U504" s="362" t="s">
        <v>2387</v>
      </c>
      <c r="V504" s="362" t="s">
        <v>2811</v>
      </c>
      <c r="W504" s="363" t="s">
        <v>2811</v>
      </c>
      <c r="X504" s="311" t="s">
        <v>3090</v>
      </c>
      <c r="Y504" s="311" t="s">
        <v>3125</v>
      </c>
      <c r="Z504" s="309" t="s">
        <v>3106</v>
      </c>
      <c r="AA504" s="367">
        <v>6245</v>
      </c>
    </row>
    <row r="505" spans="17:27" ht="13.8">
      <c r="Q505" s="362">
        <f t="shared" si="7"/>
        <v>499</v>
      </c>
      <c r="R505" s="363" t="s">
        <v>2388</v>
      </c>
      <c r="S505" s="363" t="s">
        <v>2389</v>
      </c>
      <c r="T505" s="364" t="s">
        <v>977</v>
      </c>
      <c r="U505" s="362" t="s">
        <v>2390</v>
      </c>
      <c r="V505" s="362" t="s">
        <v>3088</v>
      </c>
      <c r="W505" s="363" t="s">
        <v>3088</v>
      </c>
      <c r="X505" s="311" t="s">
        <v>3091</v>
      </c>
      <c r="Y505" s="311" t="s">
        <v>3127</v>
      </c>
      <c r="Z505" s="309" t="s">
        <v>3121</v>
      </c>
      <c r="AA505" s="367">
        <v>66455</v>
      </c>
    </row>
    <row r="506" spans="17:27" ht="13.8">
      <c r="Q506" s="362">
        <f t="shared" si="7"/>
        <v>500</v>
      </c>
      <c r="R506" s="363" t="s">
        <v>2391</v>
      </c>
      <c r="S506" s="363" t="s">
        <v>2392</v>
      </c>
      <c r="T506" s="364" t="s">
        <v>1026</v>
      </c>
      <c r="U506" s="362" t="s">
        <v>2393</v>
      </c>
      <c r="V506" s="362" t="s">
        <v>2392</v>
      </c>
      <c r="W506" s="363" t="s">
        <v>1007</v>
      </c>
      <c r="X506" s="311" t="s">
        <v>3089</v>
      </c>
      <c r="Y506" s="311" t="s">
        <v>3126</v>
      </c>
      <c r="Z506" s="309" t="s">
        <v>3111</v>
      </c>
      <c r="AA506" s="367">
        <v>5908</v>
      </c>
    </row>
    <row r="507" spans="17:27" ht="13.8">
      <c r="Q507" s="362">
        <f t="shared" si="7"/>
        <v>501</v>
      </c>
      <c r="R507" s="363" t="s">
        <v>2394</v>
      </c>
      <c r="S507" s="363" t="s">
        <v>2392</v>
      </c>
      <c r="T507" s="364" t="s">
        <v>1007</v>
      </c>
      <c r="U507" s="362" t="s">
        <v>2395</v>
      </c>
      <c r="V507" s="362" t="s">
        <v>2392</v>
      </c>
      <c r="W507" s="363" t="s">
        <v>1007</v>
      </c>
      <c r="X507" s="311" t="s">
        <v>3089</v>
      </c>
      <c r="Y507" s="311" t="s">
        <v>3126</v>
      </c>
      <c r="Z507" s="309" t="s">
        <v>3111</v>
      </c>
      <c r="AA507" s="367">
        <v>56642</v>
      </c>
    </row>
    <row r="508" spans="17:27" ht="13.8">
      <c r="Q508" s="362">
        <f t="shared" si="7"/>
        <v>502</v>
      </c>
      <c r="R508" s="363" t="s">
        <v>2396</v>
      </c>
      <c r="S508" s="363" t="s">
        <v>2397</v>
      </c>
      <c r="T508" s="364" t="s">
        <v>1074</v>
      </c>
      <c r="U508" s="362" t="s">
        <v>2398</v>
      </c>
      <c r="V508" s="362" t="s">
        <v>2397</v>
      </c>
      <c r="W508" s="363" t="s">
        <v>3005</v>
      </c>
      <c r="X508" s="311" t="s">
        <v>3089</v>
      </c>
      <c r="Y508" s="311" t="s">
        <v>3126</v>
      </c>
      <c r="Z508" s="309" t="s">
        <v>3111</v>
      </c>
      <c r="AA508" s="367">
        <v>7660</v>
      </c>
    </row>
    <row r="509" spans="17:27" ht="13.8">
      <c r="Q509" s="362">
        <f t="shared" si="7"/>
        <v>503</v>
      </c>
      <c r="R509" s="363" t="s">
        <v>2399</v>
      </c>
      <c r="S509" s="363" t="s">
        <v>2400</v>
      </c>
      <c r="T509" s="364" t="s">
        <v>901</v>
      </c>
      <c r="U509" s="362" t="s">
        <v>2401</v>
      </c>
      <c r="V509" s="362" t="s">
        <v>2400</v>
      </c>
      <c r="W509" s="363" t="s">
        <v>3006</v>
      </c>
      <c r="X509" s="311" t="s">
        <v>3089</v>
      </c>
      <c r="Y509" s="311" t="s">
        <v>3126</v>
      </c>
      <c r="Z509" s="309" t="s">
        <v>3111</v>
      </c>
      <c r="AA509" s="367">
        <v>6902</v>
      </c>
    </row>
    <row r="510" spans="17:27" ht="13.8">
      <c r="Q510" s="362">
        <f t="shared" si="7"/>
        <v>504</v>
      </c>
      <c r="R510" s="363" t="s">
        <v>2402</v>
      </c>
      <c r="S510" s="363" t="s">
        <v>2403</v>
      </c>
      <c r="T510" s="364" t="s">
        <v>919</v>
      </c>
      <c r="U510" s="362" t="s">
        <v>2404</v>
      </c>
      <c r="V510" s="362" t="s">
        <v>2403</v>
      </c>
      <c r="W510" s="363" t="s">
        <v>3007</v>
      </c>
      <c r="X510" s="311" t="s">
        <v>3089</v>
      </c>
      <c r="Y510" s="311" t="s">
        <v>3126</v>
      </c>
      <c r="Z510" s="309" t="s">
        <v>3111</v>
      </c>
      <c r="AA510" s="367">
        <v>3505</v>
      </c>
    </row>
    <row r="511" spans="17:27" ht="13.8">
      <c r="Q511" s="362">
        <f t="shared" si="7"/>
        <v>505</v>
      </c>
      <c r="R511" s="363" t="s">
        <v>2405</v>
      </c>
      <c r="S511" s="363" t="s">
        <v>2406</v>
      </c>
      <c r="T511" s="364" t="s">
        <v>909</v>
      </c>
      <c r="U511" s="362" t="s">
        <v>2407</v>
      </c>
      <c r="V511" s="362" t="s">
        <v>2812</v>
      </c>
      <c r="W511" s="363" t="s">
        <v>2812</v>
      </c>
      <c r="X511" s="311" t="s">
        <v>3090</v>
      </c>
      <c r="Y511" s="311" t="s">
        <v>3125</v>
      </c>
      <c r="Z511" s="309" t="s">
        <v>3106</v>
      </c>
      <c r="AA511" s="367">
        <v>8208</v>
      </c>
    </row>
    <row r="512" spans="17:27" ht="13.8">
      <c r="Q512" s="362">
        <f t="shared" si="7"/>
        <v>506</v>
      </c>
      <c r="R512" s="363" t="s">
        <v>2408</v>
      </c>
      <c r="S512" s="363" t="s">
        <v>2409</v>
      </c>
      <c r="T512" s="364" t="s">
        <v>953</v>
      </c>
      <c r="U512" s="362" t="s">
        <v>2410</v>
      </c>
      <c r="V512" s="362" t="s">
        <v>2409</v>
      </c>
      <c r="W512" s="363" t="s">
        <v>3008</v>
      </c>
      <c r="X512" s="311" t="s">
        <v>3089</v>
      </c>
      <c r="Y512" s="311" t="s">
        <v>3126</v>
      </c>
      <c r="Z512" s="309" t="s">
        <v>3111</v>
      </c>
      <c r="AA512" s="367">
        <v>12373</v>
      </c>
    </row>
    <row r="513" spans="17:27" ht="13.8">
      <c r="Q513" s="362">
        <f t="shared" si="7"/>
        <v>507</v>
      </c>
      <c r="R513" s="363" t="s">
        <v>2411</v>
      </c>
      <c r="S513" s="363" t="s">
        <v>2412</v>
      </c>
      <c r="T513" s="364" t="s">
        <v>905</v>
      </c>
      <c r="U513" s="362" t="s">
        <v>2413</v>
      </c>
      <c r="V513" s="362" t="s">
        <v>2412</v>
      </c>
      <c r="W513" s="363" t="s">
        <v>2412</v>
      </c>
      <c r="X513" s="311" t="s">
        <v>3091</v>
      </c>
      <c r="Y513" s="311" t="s">
        <v>3127</v>
      </c>
      <c r="Z513" s="309" t="s">
        <v>3110</v>
      </c>
      <c r="AA513" s="367">
        <v>10650</v>
      </c>
    </row>
    <row r="514" spans="17:27" ht="13.8">
      <c r="Q514" s="362">
        <f t="shared" si="7"/>
        <v>508</v>
      </c>
      <c r="R514" s="363" t="s">
        <v>2414</v>
      </c>
      <c r="S514" s="363" t="s">
        <v>2415</v>
      </c>
      <c r="T514" s="364" t="s">
        <v>930</v>
      </c>
      <c r="U514" s="362" t="s">
        <v>2416</v>
      </c>
      <c r="V514" s="362" t="s">
        <v>2415</v>
      </c>
      <c r="W514" s="363" t="s">
        <v>3009</v>
      </c>
      <c r="X514" s="311" t="s">
        <v>3089</v>
      </c>
      <c r="Y514" s="311" t="s">
        <v>3125</v>
      </c>
      <c r="Z514" s="309" t="s">
        <v>3112</v>
      </c>
      <c r="AA514" s="367">
        <v>23943</v>
      </c>
    </row>
    <row r="515" spans="17:27" ht="13.8">
      <c r="Q515" s="362">
        <f t="shared" si="7"/>
        <v>509</v>
      </c>
      <c r="R515" s="363" t="s">
        <v>2417</v>
      </c>
      <c r="S515" s="363" t="s">
        <v>2418</v>
      </c>
      <c r="T515" s="364" t="s">
        <v>991</v>
      </c>
      <c r="U515" s="362" t="s">
        <v>2419</v>
      </c>
      <c r="V515" s="362" t="s">
        <v>2418</v>
      </c>
      <c r="W515" s="363" t="s">
        <v>3010</v>
      </c>
      <c r="X515" s="311" t="s">
        <v>3089</v>
      </c>
      <c r="Y515" s="311" t="s">
        <v>3125</v>
      </c>
      <c r="Z515" s="309" t="s">
        <v>3112</v>
      </c>
      <c r="AA515" s="367">
        <v>13332</v>
      </c>
    </row>
    <row r="516" spans="17:27" ht="13.8">
      <c r="Q516" s="362">
        <f t="shared" si="7"/>
        <v>510</v>
      </c>
      <c r="R516" s="363" t="s">
        <v>2420</v>
      </c>
      <c r="S516" s="363" t="s">
        <v>2421</v>
      </c>
      <c r="T516" s="364" t="s">
        <v>1049</v>
      </c>
      <c r="U516" s="362" t="s">
        <v>2422</v>
      </c>
      <c r="V516" s="362" t="s">
        <v>2813</v>
      </c>
      <c r="W516" s="363" t="s">
        <v>2813</v>
      </c>
      <c r="X516" s="311" t="s">
        <v>3090</v>
      </c>
      <c r="Y516" s="311" t="s">
        <v>3125</v>
      </c>
      <c r="Z516" s="309" t="s">
        <v>3106</v>
      </c>
      <c r="AA516" s="367">
        <v>1520</v>
      </c>
    </row>
    <row r="517" spans="17:27" ht="13.8">
      <c r="Q517" s="362">
        <f t="shared" si="7"/>
        <v>511</v>
      </c>
      <c r="R517" s="363" t="s">
        <v>2423</v>
      </c>
      <c r="S517" s="363" t="s">
        <v>2424</v>
      </c>
      <c r="T517" s="364" t="s">
        <v>1074</v>
      </c>
      <c r="U517" s="362" t="s">
        <v>2425</v>
      </c>
      <c r="V517" s="362" t="s">
        <v>3069</v>
      </c>
      <c r="W517" s="363" t="s">
        <v>3069</v>
      </c>
      <c r="X517" s="311" t="s">
        <v>3091</v>
      </c>
      <c r="Y517" s="311" t="s">
        <v>3125</v>
      </c>
      <c r="Z517" s="309" t="s">
        <v>3114</v>
      </c>
      <c r="AA517" s="367">
        <v>60724</v>
      </c>
    </row>
    <row r="518" spans="17:27" ht="13.8">
      <c r="Q518" s="362">
        <f t="shared" si="7"/>
        <v>512</v>
      </c>
      <c r="R518" s="363" t="s">
        <v>2426</v>
      </c>
      <c r="S518" s="363" t="s">
        <v>2427</v>
      </c>
      <c r="T518" s="364" t="s">
        <v>946</v>
      </c>
      <c r="U518" s="362" t="s">
        <v>2428</v>
      </c>
      <c r="V518" s="362" t="s">
        <v>2427</v>
      </c>
      <c r="W518" s="363" t="s">
        <v>3011</v>
      </c>
      <c r="X518" s="311" t="s">
        <v>3089</v>
      </c>
      <c r="Y518" s="311" t="s">
        <v>3126</v>
      </c>
      <c r="Z518" s="309" t="s">
        <v>3111</v>
      </c>
      <c r="AA518" s="367">
        <v>29131</v>
      </c>
    </row>
    <row r="519" spans="17:27" ht="13.8">
      <c r="Q519" s="362">
        <f t="shared" si="7"/>
        <v>513</v>
      </c>
      <c r="R519" s="363" t="s">
        <v>2429</v>
      </c>
      <c r="S519" s="363" t="s">
        <v>2430</v>
      </c>
      <c r="T519" s="364" t="s">
        <v>909</v>
      </c>
      <c r="U519" s="362" t="s">
        <v>2431</v>
      </c>
      <c r="V519" s="362" t="s">
        <v>2814</v>
      </c>
      <c r="W519" s="363" t="s">
        <v>2814</v>
      </c>
      <c r="X519" s="311" t="s">
        <v>3090</v>
      </c>
      <c r="Y519" s="311" t="s">
        <v>3125</v>
      </c>
      <c r="Z519" s="309" t="s">
        <v>3106</v>
      </c>
      <c r="AA519" s="367">
        <v>9625</v>
      </c>
    </row>
    <row r="520" spans="17:27" ht="13.8">
      <c r="Q520" s="362">
        <f t="shared" si="7"/>
        <v>514</v>
      </c>
      <c r="R520" s="363" t="s">
        <v>2432</v>
      </c>
      <c r="S520" s="363" t="s">
        <v>2433</v>
      </c>
      <c r="T520" s="364" t="s">
        <v>901</v>
      </c>
      <c r="U520" s="362" t="s">
        <v>2434</v>
      </c>
      <c r="V520" s="362" t="s">
        <v>2433</v>
      </c>
      <c r="W520" s="363" t="s">
        <v>3012</v>
      </c>
      <c r="X520" s="311" t="s">
        <v>3089</v>
      </c>
      <c r="Y520" s="311" t="s">
        <v>3126</v>
      </c>
      <c r="Z520" s="309" t="s">
        <v>3111</v>
      </c>
      <c r="AA520" s="367">
        <v>26164</v>
      </c>
    </row>
    <row r="521" spans="17:27" ht="13.8">
      <c r="Q521" s="362">
        <f t="shared" ref="Q521:Q584" si="8">Q520+1</f>
        <v>515</v>
      </c>
      <c r="R521" s="363" t="s">
        <v>2435</v>
      </c>
      <c r="S521" s="363" t="s">
        <v>2436</v>
      </c>
      <c r="T521" s="364" t="s">
        <v>909</v>
      </c>
      <c r="U521" s="362" t="s">
        <v>2437</v>
      </c>
      <c r="V521" s="362" t="s">
        <v>2815</v>
      </c>
      <c r="W521" s="363" t="s">
        <v>2815</v>
      </c>
      <c r="X521" s="311" t="s">
        <v>3090</v>
      </c>
      <c r="Y521" s="311" t="s">
        <v>3125</v>
      </c>
      <c r="Z521" s="309" t="s">
        <v>3106</v>
      </c>
      <c r="AA521" s="367">
        <v>11335</v>
      </c>
    </row>
    <row r="522" spans="17:27" ht="13.8">
      <c r="Q522" s="362">
        <f t="shared" si="8"/>
        <v>516</v>
      </c>
      <c r="R522" s="363" t="s">
        <v>2438</v>
      </c>
      <c r="S522" s="363" t="s">
        <v>2439</v>
      </c>
      <c r="T522" s="364" t="s">
        <v>930</v>
      </c>
      <c r="U522" s="362" t="s">
        <v>2440</v>
      </c>
      <c r="V522" s="362" t="s">
        <v>2439</v>
      </c>
      <c r="W522" s="363" t="s">
        <v>3013</v>
      </c>
      <c r="X522" s="311" t="s">
        <v>3089</v>
      </c>
      <c r="Y522" s="311" t="s">
        <v>3126</v>
      </c>
      <c r="Z522" s="309" t="s">
        <v>3108</v>
      </c>
      <c r="AA522" s="367">
        <v>16</v>
      </c>
    </row>
    <row r="523" spans="17:27" ht="13.8">
      <c r="Q523" s="362">
        <f t="shared" si="8"/>
        <v>517</v>
      </c>
      <c r="R523" s="363" t="s">
        <v>2441</v>
      </c>
      <c r="S523" s="363" t="s">
        <v>2442</v>
      </c>
      <c r="T523" s="364" t="s">
        <v>1039</v>
      </c>
      <c r="U523" s="362" t="s">
        <v>2443</v>
      </c>
      <c r="V523" s="362" t="s">
        <v>2816</v>
      </c>
      <c r="W523" s="363" t="s">
        <v>2816</v>
      </c>
      <c r="X523" s="311" t="s">
        <v>3090</v>
      </c>
      <c r="Y523" s="311" t="s">
        <v>3125</v>
      </c>
      <c r="Z523" s="309" t="s">
        <v>3106</v>
      </c>
      <c r="AA523" s="367">
        <v>11116</v>
      </c>
    </row>
    <row r="524" spans="17:27" ht="13.8">
      <c r="Q524" s="362">
        <f t="shared" si="8"/>
        <v>518</v>
      </c>
      <c r="R524" s="363" t="s">
        <v>2444</v>
      </c>
      <c r="S524" s="363" t="s">
        <v>2445</v>
      </c>
      <c r="T524" s="364" t="s">
        <v>930</v>
      </c>
      <c r="U524" s="362" t="s">
        <v>2446</v>
      </c>
      <c r="V524" s="362" t="s">
        <v>2445</v>
      </c>
      <c r="W524" s="363" t="s">
        <v>3014</v>
      </c>
      <c r="X524" s="311" t="s">
        <v>3089</v>
      </c>
      <c r="Y524" s="311" t="s">
        <v>3126</v>
      </c>
      <c r="Z524" s="309" t="s">
        <v>3108</v>
      </c>
      <c r="AA524" s="367">
        <v>11358</v>
      </c>
    </row>
    <row r="525" spans="17:27" ht="13.8">
      <c r="Q525" s="362">
        <f t="shared" si="8"/>
        <v>519</v>
      </c>
      <c r="R525" s="363" t="s">
        <v>2447</v>
      </c>
      <c r="S525" s="363" t="s">
        <v>2448</v>
      </c>
      <c r="T525" s="364" t="s">
        <v>987</v>
      </c>
      <c r="U525" s="362" t="s">
        <v>2449</v>
      </c>
      <c r="V525" s="362" t="s">
        <v>2448</v>
      </c>
      <c r="W525" s="363" t="s">
        <v>923</v>
      </c>
      <c r="X525" s="311" t="s">
        <v>3089</v>
      </c>
      <c r="Y525" s="311" t="s">
        <v>3126</v>
      </c>
      <c r="Z525" s="309" t="s">
        <v>3111</v>
      </c>
      <c r="AA525" s="367">
        <v>15311</v>
      </c>
    </row>
    <row r="526" spans="17:27" ht="13.8">
      <c r="Q526" s="362">
        <f t="shared" si="8"/>
        <v>520</v>
      </c>
      <c r="R526" s="363" t="s">
        <v>2450</v>
      </c>
      <c r="S526" s="363" t="s">
        <v>2451</v>
      </c>
      <c r="T526" s="364" t="s">
        <v>923</v>
      </c>
      <c r="U526" s="362" t="s">
        <v>2452</v>
      </c>
      <c r="V526" s="362" t="s">
        <v>2817</v>
      </c>
      <c r="W526" s="363" t="s">
        <v>2817</v>
      </c>
      <c r="X526" s="311" t="s">
        <v>3090</v>
      </c>
      <c r="Y526" s="311" t="s">
        <v>3125</v>
      </c>
      <c r="Z526" s="309" t="s">
        <v>3106</v>
      </c>
      <c r="AA526" s="367">
        <v>6461</v>
      </c>
    </row>
    <row r="527" spans="17:27" ht="13.8">
      <c r="Q527" s="362">
        <f t="shared" si="8"/>
        <v>521</v>
      </c>
      <c r="R527" s="363" t="s">
        <v>2453</v>
      </c>
      <c r="S527" s="363" t="s">
        <v>2454</v>
      </c>
      <c r="T527" s="364" t="s">
        <v>909</v>
      </c>
      <c r="U527" s="362" t="s">
        <v>2455</v>
      </c>
      <c r="V527" s="362" t="s">
        <v>2454</v>
      </c>
      <c r="W527" s="363" t="s">
        <v>2817</v>
      </c>
      <c r="X527" s="311" t="s">
        <v>3089</v>
      </c>
      <c r="Y527" s="311" t="s">
        <v>3125</v>
      </c>
      <c r="Z527" s="309" t="s">
        <v>3114</v>
      </c>
      <c r="AA527" s="367">
        <v>9102</v>
      </c>
    </row>
    <row r="528" spans="17:27" ht="13.8">
      <c r="Q528" s="362">
        <f t="shared" si="8"/>
        <v>522</v>
      </c>
      <c r="R528" s="363" t="s">
        <v>2456</v>
      </c>
      <c r="S528" s="363" t="s">
        <v>2454</v>
      </c>
      <c r="T528" s="364" t="s">
        <v>970</v>
      </c>
      <c r="U528" s="362" t="s">
        <v>2457</v>
      </c>
      <c r="V528" s="362" t="s">
        <v>2454</v>
      </c>
      <c r="W528" s="363" t="s">
        <v>2817</v>
      </c>
      <c r="X528" s="311" t="s">
        <v>3089</v>
      </c>
      <c r="Y528" s="311" t="s">
        <v>3126</v>
      </c>
      <c r="Z528" s="309" t="s">
        <v>3108</v>
      </c>
      <c r="AA528" s="367">
        <v>687</v>
      </c>
    </row>
    <row r="529" spans="17:27" ht="13.8">
      <c r="Q529" s="362">
        <f t="shared" si="8"/>
        <v>523</v>
      </c>
      <c r="R529" s="363" t="s">
        <v>2458</v>
      </c>
      <c r="S529" s="363" t="s">
        <v>2454</v>
      </c>
      <c r="T529" s="364" t="s">
        <v>1161</v>
      </c>
      <c r="U529" s="362" t="s">
        <v>2459</v>
      </c>
      <c r="V529" s="362" t="s">
        <v>2454</v>
      </c>
      <c r="W529" s="363" t="s">
        <v>2817</v>
      </c>
      <c r="X529" s="311" t="s">
        <v>3089</v>
      </c>
      <c r="Y529" s="311" t="s">
        <v>3125</v>
      </c>
      <c r="Z529" s="309" t="s">
        <v>3114</v>
      </c>
      <c r="AA529" s="367">
        <v>48559</v>
      </c>
    </row>
    <row r="530" spans="17:27" ht="13.8">
      <c r="Q530" s="362">
        <f t="shared" si="8"/>
        <v>524</v>
      </c>
      <c r="R530" s="363" t="s">
        <v>2460</v>
      </c>
      <c r="S530" s="363" t="s">
        <v>2454</v>
      </c>
      <c r="T530" s="364" t="s">
        <v>1049</v>
      </c>
      <c r="U530" s="362" t="s">
        <v>2461</v>
      </c>
      <c r="V530" s="362" t="s">
        <v>2454</v>
      </c>
      <c r="W530" s="363" t="s">
        <v>2817</v>
      </c>
      <c r="X530" s="311" t="s">
        <v>3089</v>
      </c>
      <c r="Y530" s="311" t="s">
        <v>3126</v>
      </c>
      <c r="Z530" s="309" t="s">
        <v>3111</v>
      </c>
      <c r="AA530" s="367">
        <v>18533</v>
      </c>
    </row>
    <row r="531" spans="17:27" ht="13.8">
      <c r="Q531" s="362">
        <f t="shared" si="8"/>
        <v>525</v>
      </c>
      <c r="R531" s="363" t="s">
        <v>2462</v>
      </c>
      <c r="S531" s="363" t="s">
        <v>2454</v>
      </c>
      <c r="T531" s="364" t="s">
        <v>923</v>
      </c>
      <c r="U531" s="362" t="s">
        <v>2463</v>
      </c>
      <c r="V531" s="362" t="s">
        <v>2454</v>
      </c>
      <c r="W531" s="363" t="s">
        <v>2817</v>
      </c>
      <c r="X531" s="311" t="s">
        <v>3089</v>
      </c>
      <c r="Y531" s="311" t="s">
        <v>3126</v>
      </c>
      <c r="Z531" s="309" t="s">
        <v>3111</v>
      </c>
      <c r="AA531" s="367">
        <v>6651</v>
      </c>
    </row>
    <row r="532" spans="17:27" ht="13.8">
      <c r="Q532" s="362">
        <f t="shared" si="8"/>
        <v>526</v>
      </c>
      <c r="R532" s="363" t="s">
        <v>2464</v>
      </c>
      <c r="S532" s="363" t="s">
        <v>2465</v>
      </c>
      <c r="T532" s="364" t="s">
        <v>987</v>
      </c>
      <c r="U532" s="362" t="s">
        <v>2466</v>
      </c>
      <c r="V532" s="362" t="s">
        <v>2818</v>
      </c>
      <c r="W532" s="363" t="s">
        <v>2818</v>
      </c>
      <c r="X532" s="311" t="s">
        <v>3090</v>
      </c>
      <c r="Y532" s="311" t="s">
        <v>3125</v>
      </c>
      <c r="Z532" s="309" t="s">
        <v>3106</v>
      </c>
      <c r="AA532" s="367">
        <v>5801</v>
      </c>
    </row>
    <row r="533" spans="17:27" ht="13.8">
      <c r="Q533" s="362">
        <f t="shared" si="8"/>
        <v>527</v>
      </c>
      <c r="R533" s="363" t="s">
        <v>2467</v>
      </c>
      <c r="S533" s="363" t="s">
        <v>2468</v>
      </c>
      <c r="T533" s="364" t="s">
        <v>946</v>
      </c>
      <c r="U533" s="362" t="s">
        <v>2469</v>
      </c>
      <c r="V533" s="362" t="s">
        <v>2468</v>
      </c>
      <c r="W533" s="363" t="s">
        <v>3015</v>
      </c>
      <c r="X533" s="311" t="s">
        <v>3089</v>
      </c>
      <c r="Y533" s="311" t="s">
        <v>3126</v>
      </c>
      <c r="Z533" s="309" t="s">
        <v>3111</v>
      </c>
      <c r="AA533" s="367">
        <v>10649</v>
      </c>
    </row>
    <row r="534" spans="17:27" ht="13.8">
      <c r="Q534" s="362">
        <f t="shared" si="8"/>
        <v>528</v>
      </c>
      <c r="R534" s="363" t="s">
        <v>2470</v>
      </c>
      <c r="S534" s="363" t="s">
        <v>2471</v>
      </c>
      <c r="T534" s="364" t="s">
        <v>1039</v>
      </c>
      <c r="U534" s="362" t="s">
        <v>2472</v>
      </c>
      <c r="V534" s="362" t="s">
        <v>2471</v>
      </c>
      <c r="W534" s="363" t="s">
        <v>3016</v>
      </c>
      <c r="X534" s="311" t="s">
        <v>3089</v>
      </c>
      <c r="Y534" s="311" t="s">
        <v>3125</v>
      </c>
      <c r="Z534" s="309" t="s">
        <v>3113</v>
      </c>
      <c r="AA534" s="367">
        <v>54717</v>
      </c>
    </row>
    <row r="535" spans="17:27" ht="13.8">
      <c r="Q535" s="362">
        <f t="shared" si="8"/>
        <v>529</v>
      </c>
      <c r="R535" s="363" t="s">
        <v>2473</v>
      </c>
      <c r="S535" s="363" t="s">
        <v>2474</v>
      </c>
      <c r="T535" s="364" t="s">
        <v>977</v>
      </c>
      <c r="U535" s="362" t="s">
        <v>2475</v>
      </c>
      <c r="V535" s="362" t="s">
        <v>2474</v>
      </c>
      <c r="W535" s="363" t="s">
        <v>3017</v>
      </c>
      <c r="X535" s="311" t="s">
        <v>3089</v>
      </c>
      <c r="Y535" s="311" t="s">
        <v>3125</v>
      </c>
      <c r="Z535" s="309" t="s">
        <v>3112</v>
      </c>
      <c r="AA535" s="367">
        <v>12554</v>
      </c>
    </row>
    <row r="536" spans="17:27" ht="13.8">
      <c r="Q536" s="362">
        <f t="shared" si="8"/>
        <v>530</v>
      </c>
      <c r="R536" s="363" t="s">
        <v>2476</v>
      </c>
      <c r="S536" s="363" t="s">
        <v>2477</v>
      </c>
      <c r="T536" s="364" t="s">
        <v>1161</v>
      </c>
      <c r="U536" s="362" t="s">
        <v>2478</v>
      </c>
      <c r="V536" s="362" t="s">
        <v>2819</v>
      </c>
      <c r="W536" s="363" t="s">
        <v>2819</v>
      </c>
      <c r="X536" s="311" t="s">
        <v>3090</v>
      </c>
      <c r="Y536" s="311" t="s">
        <v>3125</v>
      </c>
      <c r="Z536" s="309" t="s">
        <v>3106</v>
      </c>
      <c r="AA536" s="367">
        <v>2278</v>
      </c>
    </row>
    <row r="537" spans="17:27" ht="13.8">
      <c r="Q537" s="362">
        <f t="shared" si="8"/>
        <v>531</v>
      </c>
      <c r="R537" s="363" t="s">
        <v>2479</v>
      </c>
      <c r="S537" s="363" t="s">
        <v>2480</v>
      </c>
      <c r="T537" s="364" t="s">
        <v>1026</v>
      </c>
      <c r="U537" s="362" t="s">
        <v>2481</v>
      </c>
      <c r="V537" s="362" t="s">
        <v>2480</v>
      </c>
      <c r="W537" s="363" t="s">
        <v>3018</v>
      </c>
      <c r="X537" s="311" t="s">
        <v>3089</v>
      </c>
      <c r="Y537" s="311" t="s">
        <v>3126</v>
      </c>
      <c r="Z537" s="309" t="s">
        <v>3108</v>
      </c>
      <c r="AA537" s="367">
        <v>3840</v>
      </c>
    </row>
    <row r="538" spans="17:27" ht="13.8">
      <c r="Q538" s="362">
        <f t="shared" si="8"/>
        <v>532</v>
      </c>
      <c r="R538" s="363" t="s">
        <v>2482</v>
      </c>
      <c r="S538" s="363" t="s">
        <v>2483</v>
      </c>
      <c r="T538" s="364" t="s">
        <v>991</v>
      </c>
      <c r="U538" s="362" t="s">
        <v>2484</v>
      </c>
      <c r="V538" s="362" t="s">
        <v>2483</v>
      </c>
      <c r="W538" s="363" t="s">
        <v>3019</v>
      </c>
      <c r="X538" s="311" t="s">
        <v>3089</v>
      </c>
      <c r="Y538" s="311" t="s">
        <v>3125</v>
      </c>
      <c r="Z538" s="309" t="s">
        <v>3106</v>
      </c>
      <c r="AA538" s="367">
        <v>10759</v>
      </c>
    </row>
    <row r="539" spans="17:27" ht="13.8">
      <c r="Q539" s="362">
        <f t="shared" si="8"/>
        <v>533</v>
      </c>
      <c r="R539" s="363" t="s">
        <v>81</v>
      </c>
      <c r="S539" s="363" t="s">
        <v>2485</v>
      </c>
      <c r="T539" s="364" t="s">
        <v>953</v>
      </c>
      <c r="U539" s="362" t="s">
        <v>2486</v>
      </c>
      <c r="V539" s="362" t="s">
        <v>2820</v>
      </c>
      <c r="W539" s="363" t="s">
        <v>2820</v>
      </c>
      <c r="X539" s="311" t="s">
        <v>3090</v>
      </c>
      <c r="Y539" s="311" t="s">
        <v>3127</v>
      </c>
      <c r="Z539" s="309" t="s">
        <v>3110</v>
      </c>
      <c r="AA539" s="367">
        <v>1024</v>
      </c>
    </row>
    <row r="540" spans="17:27" ht="13.8">
      <c r="Q540" s="362">
        <f t="shared" si="8"/>
        <v>534</v>
      </c>
      <c r="R540" s="363" t="s">
        <v>2487</v>
      </c>
      <c r="S540" s="363" t="s">
        <v>2488</v>
      </c>
      <c r="T540" s="364" t="s">
        <v>1161</v>
      </c>
      <c r="U540" s="362" t="s">
        <v>2489</v>
      </c>
      <c r="V540" s="362" t="s">
        <v>2488</v>
      </c>
      <c r="W540" s="363" t="s">
        <v>3020</v>
      </c>
      <c r="X540" s="311" t="s">
        <v>3089</v>
      </c>
      <c r="Y540" s="311" t="s">
        <v>3126</v>
      </c>
      <c r="Z540" s="309" t="s">
        <v>3111</v>
      </c>
      <c r="AA540" s="367">
        <v>21677</v>
      </c>
    </row>
    <row r="541" spans="17:27" ht="13.8">
      <c r="Q541" s="362">
        <f t="shared" si="8"/>
        <v>535</v>
      </c>
      <c r="R541" s="363" t="s">
        <v>2490</v>
      </c>
      <c r="S541" s="363" t="s">
        <v>2491</v>
      </c>
      <c r="T541" s="364" t="s">
        <v>901</v>
      </c>
      <c r="U541" s="362" t="s">
        <v>2492</v>
      </c>
      <c r="V541" s="362" t="s">
        <v>2821</v>
      </c>
      <c r="W541" s="363" t="s">
        <v>2821</v>
      </c>
      <c r="X541" s="311" t="s">
        <v>3090</v>
      </c>
      <c r="Y541" s="311" t="s">
        <v>3125</v>
      </c>
      <c r="Z541" s="309" t="s">
        <v>3106</v>
      </c>
      <c r="AA541" s="367">
        <v>8097</v>
      </c>
    </row>
    <row r="542" spans="17:27" ht="13.8">
      <c r="Q542" s="362">
        <f t="shared" si="8"/>
        <v>536</v>
      </c>
      <c r="R542" s="363" t="s">
        <v>2493</v>
      </c>
      <c r="S542" s="363" t="s">
        <v>2494</v>
      </c>
      <c r="T542" s="364" t="s">
        <v>1039</v>
      </c>
      <c r="U542" s="362" t="s">
        <v>2495</v>
      </c>
      <c r="V542" s="362" t="s">
        <v>2494</v>
      </c>
      <c r="W542" s="363" t="s">
        <v>3021</v>
      </c>
      <c r="X542" s="311" t="s">
        <v>3089</v>
      </c>
      <c r="Y542" s="311" t="s">
        <v>3125</v>
      </c>
      <c r="Z542" s="309" t="s">
        <v>3106</v>
      </c>
      <c r="AA542" s="367">
        <v>25850</v>
      </c>
    </row>
    <row r="543" spans="17:27" ht="13.8">
      <c r="Q543" s="362">
        <f t="shared" si="8"/>
        <v>537</v>
      </c>
      <c r="R543" s="363" t="s">
        <v>2496</v>
      </c>
      <c r="S543" s="363" t="s">
        <v>2497</v>
      </c>
      <c r="T543" s="364" t="s">
        <v>977</v>
      </c>
      <c r="U543" s="362" t="s">
        <v>2498</v>
      </c>
      <c r="V543" s="362" t="s">
        <v>3082</v>
      </c>
      <c r="W543" s="363" t="s">
        <v>3082</v>
      </c>
      <c r="X543" s="311" t="s">
        <v>2584</v>
      </c>
      <c r="Y543" s="311" t="s">
        <v>3127</v>
      </c>
      <c r="Z543" s="309" t="s">
        <v>3121</v>
      </c>
      <c r="AA543" s="367">
        <v>49708</v>
      </c>
    </row>
    <row r="544" spans="17:27" ht="13.8">
      <c r="Q544" s="362">
        <f t="shared" si="8"/>
        <v>538</v>
      </c>
      <c r="R544" s="363" t="s">
        <v>2499</v>
      </c>
      <c r="S544" s="363" t="s">
        <v>2500</v>
      </c>
      <c r="T544" s="364" t="s">
        <v>991</v>
      </c>
      <c r="U544" s="362" t="s">
        <v>2501</v>
      </c>
      <c r="V544" s="362" t="s">
        <v>2500</v>
      </c>
      <c r="W544" s="363" t="s">
        <v>3022</v>
      </c>
      <c r="X544" s="311" t="s">
        <v>3089</v>
      </c>
      <c r="Y544" s="311" t="s">
        <v>3125</v>
      </c>
      <c r="Z544" s="309" t="s">
        <v>3114</v>
      </c>
      <c r="AA544" s="367">
        <v>46207</v>
      </c>
    </row>
    <row r="545" spans="17:27" ht="13.8">
      <c r="Q545" s="362">
        <f t="shared" si="8"/>
        <v>539</v>
      </c>
      <c r="R545" s="363" t="s">
        <v>2502</v>
      </c>
      <c r="S545" s="363" t="s">
        <v>2503</v>
      </c>
      <c r="T545" s="364" t="s">
        <v>953</v>
      </c>
      <c r="U545" s="362" t="s">
        <v>2504</v>
      </c>
      <c r="V545" s="362" t="s">
        <v>2822</v>
      </c>
      <c r="W545" s="363" t="s">
        <v>2822</v>
      </c>
      <c r="X545" s="311" t="s">
        <v>3090</v>
      </c>
      <c r="Y545" s="311" t="s">
        <v>3127</v>
      </c>
      <c r="Z545" s="309" t="s">
        <v>3110</v>
      </c>
      <c r="AA545" s="367">
        <v>603</v>
      </c>
    </row>
    <row r="546" spans="17:27" ht="13.8">
      <c r="Q546" s="362">
        <f t="shared" si="8"/>
        <v>540</v>
      </c>
      <c r="R546" s="363" t="s">
        <v>2505</v>
      </c>
      <c r="S546" s="363" t="s">
        <v>2506</v>
      </c>
      <c r="T546" s="364" t="s">
        <v>1267</v>
      </c>
      <c r="U546" s="362" t="s">
        <v>2507</v>
      </c>
      <c r="V546" s="362" t="s">
        <v>2506</v>
      </c>
      <c r="W546" s="363" t="s">
        <v>3023</v>
      </c>
      <c r="X546" s="311" t="s">
        <v>3089</v>
      </c>
      <c r="Y546" s="311" t="s">
        <v>3125</v>
      </c>
      <c r="Z546" s="309" t="s">
        <v>3114</v>
      </c>
      <c r="AA546" s="367">
        <v>27165</v>
      </c>
    </row>
    <row r="547" spans="17:27" ht="13.8">
      <c r="Q547" s="362">
        <f t="shared" si="8"/>
        <v>541</v>
      </c>
      <c r="R547" s="363" t="s">
        <v>2508</v>
      </c>
      <c r="S547" s="363" t="s">
        <v>2509</v>
      </c>
      <c r="T547" s="364" t="s">
        <v>970</v>
      </c>
      <c r="U547" s="362" t="s">
        <v>2510</v>
      </c>
      <c r="V547" s="362" t="s">
        <v>2509</v>
      </c>
      <c r="W547" s="363" t="s">
        <v>3024</v>
      </c>
      <c r="X547" s="311" t="s">
        <v>3089</v>
      </c>
      <c r="Y547" s="311" t="s">
        <v>3126</v>
      </c>
      <c r="Z547" s="309" t="s">
        <v>3111</v>
      </c>
      <c r="AA547" s="367">
        <v>8813</v>
      </c>
    </row>
    <row r="548" spans="17:27" ht="13.8">
      <c r="Q548" s="362">
        <f t="shared" si="8"/>
        <v>542</v>
      </c>
      <c r="R548" s="363" t="s">
        <v>2511</v>
      </c>
      <c r="S548" s="363" t="s">
        <v>2512</v>
      </c>
      <c r="T548" s="364" t="s">
        <v>1007</v>
      </c>
      <c r="U548" s="362" t="s">
        <v>2513</v>
      </c>
      <c r="V548" s="362" t="s">
        <v>3083</v>
      </c>
      <c r="W548" s="363" t="s">
        <v>3083</v>
      </c>
      <c r="X548" s="311" t="s">
        <v>2584</v>
      </c>
      <c r="Y548" s="311" t="s">
        <v>3125</v>
      </c>
      <c r="Z548" s="309" t="s">
        <v>3119</v>
      </c>
      <c r="AA548" s="367">
        <v>30316</v>
      </c>
    </row>
    <row r="549" spans="17:27" ht="13.8">
      <c r="Q549" s="362">
        <f t="shared" si="8"/>
        <v>543</v>
      </c>
      <c r="R549" s="363" t="s">
        <v>2514</v>
      </c>
      <c r="S549" s="363" t="s">
        <v>2515</v>
      </c>
      <c r="T549" s="364" t="s">
        <v>1161</v>
      </c>
      <c r="U549" s="362" t="s">
        <v>2516</v>
      </c>
      <c r="V549" s="362" t="s">
        <v>2823</v>
      </c>
      <c r="W549" s="363" t="s">
        <v>2823</v>
      </c>
      <c r="X549" s="311" t="s">
        <v>3090</v>
      </c>
      <c r="Y549" s="311" t="s">
        <v>3125</v>
      </c>
      <c r="Z549" s="309" t="s">
        <v>3106</v>
      </c>
      <c r="AA549" s="367">
        <v>4288</v>
      </c>
    </row>
    <row r="550" spans="17:27" ht="13.8">
      <c r="Q550" s="362">
        <f t="shared" si="8"/>
        <v>544</v>
      </c>
      <c r="R550" s="363" t="s">
        <v>2517</v>
      </c>
      <c r="S550" s="363" t="s">
        <v>2518</v>
      </c>
      <c r="T550" s="364" t="s">
        <v>909</v>
      </c>
      <c r="U550" s="362" t="s">
        <v>2519</v>
      </c>
      <c r="V550" s="362" t="s">
        <v>2824</v>
      </c>
      <c r="W550" s="363" t="s">
        <v>2824</v>
      </c>
      <c r="X550" s="311" t="s">
        <v>3090</v>
      </c>
      <c r="Y550" s="311" t="s">
        <v>3125</v>
      </c>
      <c r="Z550" s="309" t="s">
        <v>3106</v>
      </c>
      <c r="AA550" s="367">
        <v>10908</v>
      </c>
    </row>
    <row r="551" spans="17:27" ht="13.8">
      <c r="Q551" s="362">
        <f t="shared" si="8"/>
        <v>545</v>
      </c>
      <c r="R551" s="363" t="s">
        <v>2520</v>
      </c>
      <c r="S551" s="363" t="s">
        <v>2521</v>
      </c>
      <c r="T551" s="364" t="s">
        <v>905</v>
      </c>
      <c r="U551" s="362" t="s">
        <v>2522</v>
      </c>
      <c r="V551" s="362" t="s">
        <v>2521</v>
      </c>
      <c r="W551" s="363" t="s">
        <v>3025</v>
      </c>
      <c r="X551" s="311" t="s">
        <v>3089</v>
      </c>
      <c r="Y551" s="311" t="s">
        <v>3126</v>
      </c>
      <c r="Z551" s="309" t="s">
        <v>3108</v>
      </c>
      <c r="AA551" s="367">
        <v>2715</v>
      </c>
    </row>
    <row r="552" spans="17:27" ht="13.8">
      <c r="Q552" s="362">
        <f t="shared" si="8"/>
        <v>546</v>
      </c>
      <c r="R552" s="363" t="s">
        <v>2523</v>
      </c>
      <c r="S552" s="363" t="s">
        <v>2524</v>
      </c>
      <c r="T552" s="364" t="s">
        <v>1049</v>
      </c>
      <c r="U552" s="362" t="s">
        <v>2525</v>
      </c>
      <c r="V552" s="362" t="s">
        <v>2825</v>
      </c>
      <c r="W552" s="363" t="s">
        <v>2825</v>
      </c>
      <c r="X552" s="311" t="s">
        <v>3090</v>
      </c>
      <c r="Y552" s="311" t="s">
        <v>3125</v>
      </c>
      <c r="Z552" s="309" t="s">
        <v>3106</v>
      </c>
      <c r="AA552" s="367">
        <v>6522</v>
      </c>
    </row>
    <row r="553" spans="17:27" ht="13.8">
      <c r="Q553" s="362">
        <f t="shared" si="8"/>
        <v>547</v>
      </c>
      <c r="R553" s="363" t="s">
        <v>2526</v>
      </c>
      <c r="S553" s="363" t="s">
        <v>2527</v>
      </c>
      <c r="T553" s="364" t="s">
        <v>923</v>
      </c>
      <c r="U553" s="362" t="s">
        <v>2528</v>
      </c>
      <c r="V553" s="362" t="s">
        <v>2527</v>
      </c>
      <c r="W553" s="363" t="s">
        <v>3026</v>
      </c>
      <c r="X553" s="311" t="s">
        <v>3089</v>
      </c>
      <c r="Y553" s="311" t="s">
        <v>3126</v>
      </c>
      <c r="Z553" s="309" t="s">
        <v>3108</v>
      </c>
      <c r="AA553" s="367">
        <v>4882</v>
      </c>
    </row>
    <row r="554" spans="17:27" ht="13.8">
      <c r="Q554" s="362">
        <f t="shared" si="8"/>
        <v>548</v>
      </c>
      <c r="R554" s="363" t="s">
        <v>2529</v>
      </c>
      <c r="S554" s="363" t="s">
        <v>2530</v>
      </c>
      <c r="T554" s="364" t="s">
        <v>953</v>
      </c>
      <c r="U554" s="362" t="s">
        <v>2531</v>
      </c>
      <c r="V554" s="362" t="s">
        <v>3070</v>
      </c>
      <c r="W554" s="363" t="s">
        <v>3070</v>
      </c>
      <c r="X554" s="311" t="s">
        <v>3091</v>
      </c>
      <c r="Y554" s="311" t="s">
        <v>3127</v>
      </c>
      <c r="Z554" s="309" t="s">
        <v>3110</v>
      </c>
      <c r="AA554" s="367">
        <v>5325</v>
      </c>
    </row>
    <row r="555" spans="17:27" ht="13.8">
      <c r="Q555" s="362">
        <f t="shared" si="8"/>
        <v>549</v>
      </c>
      <c r="R555" s="363" t="s">
        <v>2532</v>
      </c>
      <c r="S555" s="363" t="s">
        <v>2533</v>
      </c>
      <c r="T555" s="364" t="s">
        <v>953</v>
      </c>
      <c r="U555" s="362" t="s">
        <v>2534</v>
      </c>
      <c r="V555" s="362" t="s">
        <v>2826</v>
      </c>
      <c r="W555" s="363" t="s">
        <v>2826</v>
      </c>
      <c r="X555" s="311" t="s">
        <v>3090</v>
      </c>
      <c r="Y555" s="311" t="s">
        <v>3127</v>
      </c>
      <c r="Z555" s="309" t="s">
        <v>3110</v>
      </c>
      <c r="AA555" s="367">
        <v>3270</v>
      </c>
    </row>
    <row r="556" spans="17:27" ht="13.8">
      <c r="Q556" s="362">
        <f t="shared" si="8"/>
        <v>550</v>
      </c>
      <c r="R556" s="363" t="s">
        <v>2535</v>
      </c>
      <c r="S556" s="363" t="s">
        <v>2536</v>
      </c>
      <c r="T556" s="364" t="s">
        <v>970</v>
      </c>
      <c r="U556" s="362" t="s">
        <v>2537</v>
      </c>
      <c r="V556" s="362" t="s">
        <v>2536</v>
      </c>
      <c r="W556" s="363" t="s">
        <v>3027</v>
      </c>
      <c r="X556" s="311" t="s">
        <v>3089</v>
      </c>
      <c r="Y556" s="311" t="s">
        <v>3125</v>
      </c>
      <c r="Z556" s="309" t="s">
        <v>3112</v>
      </c>
      <c r="AA556" s="367">
        <v>31629</v>
      </c>
    </row>
    <row r="557" spans="17:27" ht="13.8">
      <c r="Q557" s="362">
        <f t="shared" si="8"/>
        <v>551</v>
      </c>
      <c r="R557" s="363" t="s">
        <v>2538</v>
      </c>
      <c r="S557" s="363" t="s">
        <v>2539</v>
      </c>
      <c r="T557" s="364" t="s">
        <v>1007</v>
      </c>
      <c r="U557" s="362" t="s">
        <v>2540</v>
      </c>
      <c r="V557" s="362" t="s">
        <v>2539</v>
      </c>
      <c r="W557" s="363" t="s">
        <v>3028</v>
      </c>
      <c r="X557" s="311" t="s">
        <v>3089</v>
      </c>
      <c r="Y557" s="311" t="s">
        <v>3126</v>
      </c>
      <c r="Z557" s="309" t="s">
        <v>3108</v>
      </c>
      <c r="AA557" s="367">
        <v>1471</v>
      </c>
    </row>
    <row r="558" spans="17:27" ht="13.8">
      <c r="Q558" s="362">
        <f t="shared" si="8"/>
        <v>552</v>
      </c>
      <c r="R558" s="363" t="s">
        <v>2541</v>
      </c>
      <c r="S558" s="363" t="s">
        <v>2542</v>
      </c>
      <c r="T558" s="364" t="s">
        <v>946</v>
      </c>
      <c r="U558" s="362" t="s">
        <v>2543</v>
      </c>
      <c r="V558" s="362" t="s">
        <v>2542</v>
      </c>
      <c r="W558" s="363" t="s">
        <v>3029</v>
      </c>
      <c r="X558" s="311" t="s">
        <v>3089</v>
      </c>
      <c r="Y558" s="311" t="s">
        <v>3126</v>
      </c>
      <c r="Z558" s="309" t="s">
        <v>3124</v>
      </c>
      <c r="AA558" s="367">
        <v>39499</v>
      </c>
    </row>
    <row r="559" spans="17:27" ht="13.8">
      <c r="Q559" s="362">
        <f t="shared" si="8"/>
        <v>553</v>
      </c>
      <c r="R559" s="363" t="s">
        <v>2544</v>
      </c>
      <c r="S559" s="363" t="s">
        <v>2545</v>
      </c>
      <c r="T559" s="364" t="s">
        <v>953</v>
      </c>
      <c r="U559" s="362" t="s">
        <v>2546</v>
      </c>
      <c r="V559" s="362" t="s">
        <v>2827</v>
      </c>
      <c r="W559" s="363" t="s">
        <v>2827</v>
      </c>
      <c r="X559" s="311" t="s">
        <v>3090</v>
      </c>
      <c r="Y559" s="311" t="s">
        <v>3125</v>
      </c>
      <c r="Z559" s="309" t="s">
        <v>3106</v>
      </c>
      <c r="AA559" s="367">
        <v>2472</v>
      </c>
    </row>
    <row r="560" spans="17:27" ht="13.8">
      <c r="Q560" s="362">
        <f t="shared" si="8"/>
        <v>554</v>
      </c>
      <c r="R560" s="363" t="s">
        <v>2547</v>
      </c>
      <c r="S560" s="363" t="s">
        <v>2548</v>
      </c>
      <c r="T560" s="364" t="s">
        <v>1127</v>
      </c>
      <c r="U560" s="362" t="s">
        <v>2549</v>
      </c>
      <c r="V560" s="362" t="s">
        <v>2548</v>
      </c>
      <c r="W560" s="363" t="s">
        <v>3030</v>
      </c>
      <c r="X560" s="311" t="s">
        <v>3089</v>
      </c>
      <c r="Y560" s="311" t="s">
        <v>3125</v>
      </c>
      <c r="Z560" s="309" t="s">
        <v>3113</v>
      </c>
      <c r="AA560" s="367">
        <v>99585</v>
      </c>
    </row>
    <row r="561" spans="17:27" ht="13.8">
      <c r="Q561" s="362">
        <f t="shared" si="8"/>
        <v>555</v>
      </c>
      <c r="R561" s="363" t="s">
        <v>2550</v>
      </c>
      <c r="S561" s="363" t="s">
        <v>2551</v>
      </c>
      <c r="T561" s="364" t="s">
        <v>1161</v>
      </c>
      <c r="U561" s="362" t="s">
        <v>2552</v>
      </c>
      <c r="V561" s="362" t="s">
        <v>3071</v>
      </c>
      <c r="W561" s="363" t="s">
        <v>3071</v>
      </c>
      <c r="X561" s="311" t="s">
        <v>3091</v>
      </c>
      <c r="Y561" s="311" t="s">
        <v>3125</v>
      </c>
      <c r="Z561" s="309" t="s">
        <v>3113</v>
      </c>
      <c r="AA561" s="367">
        <v>10174</v>
      </c>
    </row>
    <row r="562" spans="17:27" ht="13.8">
      <c r="Q562" s="362">
        <f t="shared" si="8"/>
        <v>556</v>
      </c>
      <c r="R562" s="363" t="s">
        <v>2553</v>
      </c>
      <c r="S562" s="363" t="s">
        <v>2554</v>
      </c>
      <c r="T562" s="364" t="s">
        <v>1161</v>
      </c>
      <c r="U562" s="362" t="s">
        <v>2555</v>
      </c>
      <c r="V562" s="362" t="s">
        <v>2828</v>
      </c>
      <c r="W562" s="363" t="s">
        <v>2828</v>
      </c>
      <c r="X562" s="311" t="s">
        <v>3090</v>
      </c>
      <c r="Y562" s="311" t="s">
        <v>3125</v>
      </c>
      <c r="Z562" s="309" t="s">
        <v>3106</v>
      </c>
      <c r="AA562" s="367">
        <v>3055</v>
      </c>
    </row>
    <row r="563" spans="17:27" ht="13.8">
      <c r="Q563" s="362">
        <f t="shared" si="8"/>
        <v>557</v>
      </c>
      <c r="R563" s="363" t="s">
        <v>2556</v>
      </c>
      <c r="S563" s="363" t="s">
        <v>2557</v>
      </c>
      <c r="T563" s="364" t="s">
        <v>909</v>
      </c>
      <c r="U563" s="362" t="s">
        <v>2558</v>
      </c>
      <c r="V563" s="362" t="s">
        <v>2829</v>
      </c>
      <c r="W563" s="363" t="s">
        <v>2829</v>
      </c>
      <c r="X563" s="311" t="s">
        <v>3090</v>
      </c>
      <c r="Y563" s="311" t="s">
        <v>3125</v>
      </c>
      <c r="Z563" s="309" t="s">
        <v>3106</v>
      </c>
      <c r="AA563" s="367">
        <v>5730</v>
      </c>
    </row>
    <row r="564" spans="17:27" ht="13.8">
      <c r="Q564" s="362">
        <f t="shared" si="8"/>
        <v>558</v>
      </c>
      <c r="R564" s="363" t="s">
        <v>2559</v>
      </c>
      <c r="S564" s="363" t="s">
        <v>2560</v>
      </c>
      <c r="T564" s="364" t="s">
        <v>1039</v>
      </c>
      <c r="U564" s="362" t="s">
        <v>2561</v>
      </c>
      <c r="V564" s="362" t="s">
        <v>2830</v>
      </c>
      <c r="W564" s="363" t="s">
        <v>2830</v>
      </c>
      <c r="X564" s="311" t="s">
        <v>3090</v>
      </c>
      <c r="Y564" s="311" t="s">
        <v>3125</v>
      </c>
      <c r="Z564" s="309" t="s">
        <v>3106</v>
      </c>
      <c r="AA564" s="367">
        <v>11819</v>
      </c>
    </row>
    <row r="565" spans="17:27" ht="13.8">
      <c r="Q565" s="362">
        <f t="shared" si="8"/>
        <v>559</v>
      </c>
      <c r="R565" s="363" t="s">
        <v>2562</v>
      </c>
      <c r="S565" s="363" t="s">
        <v>2563</v>
      </c>
      <c r="T565" s="364" t="s">
        <v>970</v>
      </c>
      <c r="U565" s="362" t="s">
        <v>2564</v>
      </c>
      <c r="V565" s="362" t="s">
        <v>2563</v>
      </c>
      <c r="W565" s="363" t="s">
        <v>3031</v>
      </c>
      <c r="X565" s="311" t="s">
        <v>3089</v>
      </c>
      <c r="Y565" s="311" t="s">
        <v>3126</v>
      </c>
      <c r="Z565" s="309" t="s">
        <v>3108</v>
      </c>
      <c r="AA565" s="367">
        <v>1788</v>
      </c>
    </row>
    <row r="566" spans="17:27" ht="13.8">
      <c r="Q566" s="362">
        <f t="shared" si="8"/>
        <v>560</v>
      </c>
      <c r="R566" s="363" t="s">
        <v>2565</v>
      </c>
      <c r="S566" s="363" t="s">
        <v>2566</v>
      </c>
      <c r="T566" s="364" t="s">
        <v>946</v>
      </c>
      <c r="U566" s="362" t="s">
        <v>2567</v>
      </c>
      <c r="V566" s="362" t="s">
        <v>2831</v>
      </c>
      <c r="W566" s="363" t="s">
        <v>2831</v>
      </c>
      <c r="X566" s="311" t="s">
        <v>3090</v>
      </c>
      <c r="Y566" s="311" t="s">
        <v>3125</v>
      </c>
      <c r="Z566" s="309" t="s">
        <v>3106</v>
      </c>
      <c r="AA566" s="367">
        <v>2978</v>
      </c>
    </row>
    <row r="567" spans="17:27" ht="13.8">
      <c r="Q567" s="362">
        <f t="shared" si="8"/>
        <v>561</v>
      </c>
      <c r="R567" s="363" t="s">
        <v>2568</v>
      </c>
      <c r="S567" s="363" t="s">
        <v>2569</v>
      </c>
      <c r="T567" s="364" t="s">
        <v>909</v>
      </c>
      <c r="U567" s="362" t="s">
        <v>2570</v>
      </c>
      <c r="V567" s="362" t="s">
        <v>2832</v>
      </c>
      <c r="W567" s="363" t="s">
        <v>2832</v>
      </c>
      <c r="X567" s="311" t="s">
        <v>3090</v>
      </c>
      <c r="Y567" s="311" t="s">
        <v>3125</v>
      </c>
      <c r="Z567" s="309" t="s">
        <v>3106</v>
      </c>
      <c r="AA567" s="367">
        <v>7626</v>
      </c>
    </row>
    <row r="568" spans="17:27" ht="13.8">
      <c r="Q568" s="362">
        <f t="shared" si="8"/>
        <v>562</v>
      </c>
      <c r="R568" s="363" t="s">
        <v>2571</v>
      </c>
      <c r="S568" s="363" t="s">
        <v>2572</v>
      </c>
      <c r="T568" s="364" t="s">
        <v>919</v>
      </c>
      <c r="U568" s="362" t="s">
        <v>2573</v>
      </c>
      <c r="V568" s="362" t="s">
        <v>2833</v>
      </c>
      <c r="W568" s="363" t="s">
        <v>2833</v>
      </c>
      <c r="X568" s="311" t="s">
        <v>3090</v>
      </c>
      <c r="Y568" s="311" t="s">
        <v>3125</v>
      </c>
      <c r="Z568" s="309" t="s">
        <v>3106</v>
      </c>
      <c r="AA568" s="367">
        <v>3505</v>
      </c>
    </row>
    <row r="569" spans="17:27" ht="13.8">
      <c r="Q569" s="362">
        <f t="shared" si="8"/>
        <v>563</v>
      </c>
      <c r="R569" s="363" t="s">
        <v>2574</v>
      </c>
      <c r="S569" s="363" t="s">
        <v>2575</v>
      </c>
      <c r="T569" s="364" t="s">
        <v>1161</v>
      </c>
      <c r="U569" s="362" t="s">
        <v>2576</v>
      </c>
      <c r="V569" s="362" t="s">
        <v>2575</v>
      </c>
      <c r="W569" s="363" t="s">
        <v>3032</v>
      </c>
      <c r="X569" s="311" t="s">
        <v>3089</v>
      </c>
      <c r="Y569" s="311" t="s">
        <v>3126</v>
      </c>
      <c r="Z569" s="309" t="s">
        <v>3111</v>
      </c>
      <c r="AA569" s="367">
        <v>10200</v>
      </c>
    </row>
    <row r="570" spans="17:27" ht="13.8">
      <c r="Q570" s="362">
        <f t="shared" si="8"/>
        <v>564</v>
      </c>
      <c r="R570" s="363" t="s">
        <v>2577</v>
      </c>
      <c r="S570" s="363" t="s">
        <v>2578</v>
      </c>
      <c r="T570" s="364" t="s">
        <v>970</v>
      </c>
      <c r="U570" s="362" t="s">
        <v>2579</v>
      </c>
      <c r="V570" s="362" t="s">
        <v>2834</v>
      </c>
      <c r="W570" s="363" t="s">
        <v>2834</v>
      </c>
      <c r="X570" s="311" t="s">
        <v>3090</v>
      </c>
      <c r="Y570" s="311" t="s">
        <v>3125</v>
      </c>
      <c r="Z570" s="309" t="s">
        <v>3106</v>
      </c>
      <c r="AA570" s="367">
        <v>802</v>
      </c>
    </row>
    <row r="571" spans="17:27" ht="13.8">
      <c r="Q571" s="362">
        <f t="shared" si="8"/>
        <v>565</v>
      </c>
      <c r="R571" s="363" t="s">
        <v>2580</v>
      </c>
      <c r="S571" s="363" t="s">
        <v>2581</v>
      </c>
      <c r="T571" s="364" t="s">
        <v>909</v>
      </c>
      <c r="U571" s="362" t="s">
        <v>2582</v>
      </c>
      <c r="V571" s="362" t="s">
        <v>2581</v>
      </c>
      <c r="W571" s="363" t="s">
        <v>3033</v>
      </c>
      <c r="X571" s="311" t="s">
        <v>3089</v>
      </c>
      <c r="Y571" s="311" t="s">
        <v>3126</v>
      </c>
      <c r="Z571" s="309" t="s">
        <v>3111</v>
      </c>
      <c r="AA571" s="367">
        <v>16696</v>
      </c>
    </row>
    <row r="572" spans="17:27" ht="13.8">
      <c r="Q572" s="362">
        <f t="shared" si="8"/>
        <v>566</v>
      </c>
      <c r="R572" s="897" t="s">
        <v>3411</v>
      </c>
      <c r="S572" s="363" t="s">
        <v>3434</v>
      </c>
      <c r="T572" t="s">
        <v>905</v>
      </c>
      <c r="U572" s="362" t="s">
        <v>3455</v>
      </c>
      <c r="V572" s="362" t="s">
        <v>905</v>
      </c>
      <c r="W572" s="363" t="s">
        <v>905</v>
      </c>
      <c r="X572" s="311" t="s">
        <v>347</v>
      </c>
      <c r="Y572" s="311" t="s">
        <v>3523</v>
      </c>
      <c r="AA572" s="367">
        <v>274549</v>
      </c>
    </row>
    <row r="573" spans="17:27" ht="13.8">
      <c r="Q573" s="362">
        <f t="shared" si="8"/>
        <v>567</v>
      </c>
      <c r="R573" s="897" t="s">
        <v>3412</v>
      </c>
      <c r="S573" s="363" t="s">
        <v>3435</v>
      </c>
      <c r="T573" t="s">
        <v>909</v>
      </c>
      <c r="U573" s="362" t="s">
        <v>3456</v>
      </c>
      <c r="V573" s="362" t="s">
        <v>909</v>
      </c>
      <c r="W573" s="363" t="s">
        <v>909</v>
      </c>
      <c r="X573" s="311" t="s">
        <v>347</v>
      </c>
      <c r="Y573" s="311" t="s">
        <v>3523</v>
      </c>
      <c r="AA573" s="367">
        <v>905116</v>
      </c>
    </row>
    <row r="574" spans="17:27" ht="13.8">
      <c r="Q574" s="362">
        <f t="shared" si="8"/>
        <v>568</v>
      </c>
      <c r="R574" s="897" t="s">
        <v>3413</v>
      </c>
      <c r="S574" s="363" t="s">
        <v>3436</v>
      </c>
      <c r="T574" t="s">
        <v>970</v>
      </c>
      <c r="U574" s="362" t="s">
        <v>3457</v>
      </c>
      <c r="V574" s="362" t="s">
        <v>970</v>
      </c>
      <c r="W574" s="363" t="s">
        <v>970</v>
      </c>
      <c r="X574" s="311" t="s">
        <v>347</v>
      </c>
      <c r="Y574" s="311" t="s">
        <v>3523</v>
      </c>
      <c r="AA574" s="367">
        <v>448734</v>
      </c>
    </row>
    <row r="575" spans="17:27" ht="13.8">
      <c r="Q575" s="362">
        <f t="shared" si="8"/>
        <v>569</v>
      </c>
      <c r="R575" s="897" t="s">
        <v>3414</v>
      </c>
      <c r="S575" s="363" t="s">
        <v>3437</v>
      </c>
      <c r="T575" t="s">
        <v>946</v>
      </c>
      <c r="U575" s="362" t="s">
        <v>3458</v>
      </c>
      <c r="V575" s="362" t="s">
        <v>946</v>
      </c>
      <c r="W575" s="363" t="s">
        <v>946</v>
      </c>
      <c r="X575" s="311" t="s">
        <v>347</v>
      </c>
      <c r="Y575" s="311" t="s">
        <v>3523</v>
      </c>
      <c r="AA575" s="367">
        <v>513657</v>
      </c>
    </row>
    <row r="576" spans="17:27" ht="13.8">
      <c r="Q576" s="362">
        <f t="shared" si="8"/>
        <v>570</v>
      </c>
      <c r="R576" s="897" t="s">
        <v>3415</v>
      </c>
      <c r="S576" s="363" t="s">
        <v>3438</v>
      </c>
      <c r="T576" t="s">
        <v>953</v>
      </c>
      <c r="U576" s="362" t="s">
        <v>3459</v>
      </c>
      <c r="V576" s="362" t="s">
        <v>953</v>
      </c>
      <c r="W576" s="363" t="s">
        <v>953</v>
      </c>
      <c r="X576" s="311" t="s">
        <v>347</v>
      </c>
      <c r="Y576" s="311" t="s">
        <v>3523</v>
      </c>
      <c r="AA576" s="367">
        <v>97265</v>
      </c>
    </row>
    <row r="577" spans="17:27" ht="13.8">
      <c r="Q577" s="362">
        <f t="shared" si="8"/>
        <v>571</v>
      </c>
      <c r="R577" s="897" t="s">
        <v>3416</v>
      </c>
      <c r="S577" s="363" t="s">
        <v>3439</v>
      </c>
      <c r="T577" t="s">
        <v>1074</v>
      </c>
      <c r="U577" s="362" t="s">
        <v>3460</v>
      </c>
      <c r="V577" s="362" t="s">
        <v>1074</v>
      </c>
      <c r="W577" s="363" t="s">
        <v>1074</v>
      </c>
      <c r="X577" s="311" t="s">
        <v>347</v>
      </c>
      <c r="Y577" s="311" t="s">
        <v>3523</v>
      </c>
      <c r="AA577" s="367">
        <v>156898</v>
      </c>
    </row>
    <row r="578" spans="17:27" ht="13.8">
      <c r="Q578" s="362">
        <f t="shared" si="8"/>
        <v>572</v>
      </c>
      <c r="R578" s="897" t="s">
        <v>3417</v>
      </c>
      <c r="S578" s="363" t="s">
        <v>3440</v>
      </c>
      <c r="T578" t="s">
        <v>991</v>
      </c>
      <c r="U578" s="362" t="s">
        <v>3461</v>
      </c>
      <c r="V578" s="362" t="s">
        <v>991</v>
      </c>
      <c r="W578" s="363" t="s">
        <v>991</v>
      </c>
      <c r="X578" s="311" t="s">
        <v>347</v>
      </c>
      <c r="Y578" s="311" t="s">
        <v>3523</v>
      </c>
      <c r="AA578" s="367">
        <v>783969</v>
      </c>
    </row>
    <row r="579" spans="17:27" ht="13.8">
      <c r="Q579" s="362">
        <f t="shared" si="8"/>
        <v>573</v>
      </c>
      <c r="R579" s="897" t="s">
        <v>3418</v>
      </c>
      <c r="S579" s="363" t="s">
        <v>3441</v>
      </c>
      <c r="T579" t="s">
        <v>1161</v>
      </c>
      <c r="U579" s="362" t="s">
        <v>3462</v>
      </c>
      <c r="V579" s="362" t="s">
        <v>1161</v>
      </c>
      <c r="W579" s="363" t="s">
        <v>1161</v>
      </c>
      <c r="X579" s="311" t="s">
        <v>347</v>
      </c>
      <c r="Y579" s="311" t="s">
        <v>3523</v>
      </c>
      <c r="AA579" s="367">
        <v>288288</v>
      </c>
    </row>
    <row r="580" spans="17:27" ht="13.8">
      <c r="Q580" s="362">
        <f t="shared" si="8"/>
        <v>574</v>
      </c>
      <c r="R580" s="897" t="s">
        <v>3419</v>
      </c>
      <c r="S580" s="363" t="s">
        <v>3442</v>
      </c>
      <c r="T580" t="s">
        <v>977</v>
      </c>
      <c r="U580" s="362" t="s">
        <v>3463</v>
      </c>
      <c r="V580" s="362" t="s">
        <v>977</v>
      </c>
      <c r="W580" s="363" t="s">
        <v>977</v>
      </c>
      <c r="X580" s="311" t="s">
        <v>347</v>
      </c>
      <c r="Y580" s="311" t="s">
        <v>3523</v>
      </c>
      <c r="AA580" s="367">
        <v>634266</v>
      </c>
    </row>
    <row r="581" spans="17:27" ht="13.8">
      <c r="Q581" s="362">
        <f t="shared" si="8"/>
        <v>575</v>
      </c>
      <c r="R581" s="897" t="s">
        <v>3420</v>
      </c>
      <c r="S581" s="363" t="s">
        <v>3443</v>
      </c>
      <c r="T581" t="s">
        <v>1026</v>
      </c>
      <c r="U581" s="362" t="s">
        <v>3464</v>
      </c>
      <c r="V581" s="362" t="s">
        <v>1026</v>
      </c>
      <c r="W581" s="363" t="s">
        <v>1026</v>
      </c>
      <c r="X581" s="311" t="s">
        <v>347</v>
      </c>
      <c r="Y581" s="311" t="s">
        <v>3523</v>
      </c>
      <c r="AA581" s="367">
        <v>128349</v>
      </c>
    </row>
    <row r="582" spans="17:27" ht="13.8">
      <c r="Q582" s="362">
        <f t="shared" si="8"/>
        <v>576</v>
      </c>
      <c r="R582" s="897" t="s">
        <v>3421</v>
      </c>
      <c r="S582" s="363" t="s">
        <v>3444</v>
      </c>
      <c r="T582" t="s">
        <v>1267</v>
      </c>
      <c r="U582" s="362" t="s">
        <v>3465</v>
      </c>
      <c r="V582" s="362" t="s">
        <v>1267</v>
      </c>
      <c r="W582" s="363" t="s">
        <v>1267</v>
      </c>
      <c r="X582" s="311" t="s">
        <v>347</v>
      </c>
      <c r="Y582" s="311" t="s">
        <v>3523</v>
      </c>
      <c r="AA582" s="367">
        <v>350248</v>
      </c>
    </row>
    <row r="583" spans="17:27" ht="13.8">
      <c r="Q583" s="362">
        <f t="shared" si="8"/>
        <v>577</v>
      </c>
      <c r="R583" s="897" t="s">
        <v>3422</v>
      </c>
      <c r="S583" s="363" t="s">
        <v>3445</v>
      </c>
      <c r="T583" t="s">
        <v>1127</v>
      </c>
      <c r="U583" s="362" t="s">
        <v>3466</v>
      </c>
      <c r="V583" s="362" t="s">
        <v>1127</v>
      </c>
      <c r="W583" s="363" t="s">
        <v>1127</v>
      </c>
      <c r="X583" s="311" t="s">
        <v>347</v>
      </c>
      <c r="Y583" s="311" t="s">
        <v>3523</v>
      </c>
      <c r="AA583" s="367">
        <v>809858</v>
      </c>
    </row>
    <row r="584" spans="17:27" ht="13.8">
      <c r="Q584" s="362">
        <f t="shared" si="8"/>
        <v>578</v>
      </c>
      <c r="R584" s="897" t="s">
        <v>3423</v>
      </c>
      <c r="S584" s="363" t="s">
        <v>3446</v>
      </c>
      <c r="T584" t="s">
        <v>901</v>
      </c>
      <c r="U584" s="362" t="s">
        <v>3467</v>
      </c>
      <c r="V584" s="362" t="s">
        <v>901</v>
      </c>
      <c r="W584" s="363" t="s">
        <v>901</v>
      </c>
      <c r="X584" s="311" t="s">
        <v>347</v>
      </c>
      <c r="Y584" s="311" t="s">
        <v>3523</v>
      </c>
      <c r="AA584" s="367">
        <v>630380</v>
      </c>
    </row>
    <row r="585" spans="17:27" ht="13.8">
      <c r="Q585" s="362">
        <f t="shared" ref="Q585:Q592" si="9">Q584+1</f>
        <v>579</v>
      </c>
      <c r="R585" s="897" t="s">
        <v>3424</v>
      </c>
      <c r="S585" s="363" t="s">
        <v>3447</v>
      </c>
      <c r="T585" t="s">
        <v>1049</v>
      </c>
      <c r="U585" s="362" t="s">
        <v>3468</v>
      </c>
      <c r="V585" s="362" t="s">
        <v>1049</v>
      </c>
      <c r="W585" s="363" t="s">
        <v>1049</v>
      </c>
      <c r="X585" s="311" t="s">
        <v>347</v>
      </c>
      <c r="Y585" s="311" t="s">
        <v>3523</v>
      </c>
      <c r="AA585" s="367">
        <v>492276</v>
      </c>
    </row>
    <row r="586" spans="17:27" ht="13.8">
      <c r="Q586" s="362">
        <f t="shared" si="9"/>
        <v>580</v>
      </c>
      <c r="R586" s="897" t="s">
        <v>3425</v>
      </c>
      <c r="S586" s="363" t="s">
        <v>3448</v>
      </c>
      <c r="T586" t="s">
        <v>960</v>
      </c>
      <c r="U586" s="362" t="s">
        <v>3469</v>
      </c>
      <c r="V586" s="362" t="s">
        <v>960</v>
      </c>
      <c r="W586" s="363" t="s">
        <v>960</v>
      </c>
      <c r="X586" s="311" t="s">
        <v>347</v>
      </c>
      <c r="Y586" s="311" t="s">
        <v>3523</v>
      </c>
      <c r="AA586" s="367">
        <v>576567</v>
      </c>
    </row>
    <row r="587" spans="17:27" ht="13.8">
      <c r="Q587" s="362">
        <f t="shared" si="9"/>
        <v>581</v>
      </c>
      <c r="R587" s="897" t="s">
        <v>3426</v>
      </c>
      <c r="S587" s="363" t="s">
        <v>3449</v>
      </c>
      <c r="T587" t="s">
        <v>1039</v>
      </c>
      <c r="U587" s="362" t="s">
        <v>3470</v>
      </c>
      <c r="V587" s="362" t="s">
        <v>1039</v>
      </c>
      <c r="W587" s="363" t="s">
        <v>1039</v>
      </c>
      <c r="X587" s="311" t="s">
        <v>347</v>
      </c>
      <c r="Y587" s="311" t="s">
        <v>3523</v>
      </c>
      <c r="AA587" s="367">
        <v>501226</v>
      </c>
    </row>
    <row r="588" spans="17:27" ht="13.8">
      <c r="Q588" s="362">
        <f t="shared" si="9"/>
        <v>582</v>
      </c>
      <c r="R588" s="897" t="s">
        <v>3427</v>
      </c>
      <c r="S588" s="363" t="s">
        <v>3450</v>
      </c>
      <c r="T588" t="s">
        <v>919</v>
      </c>
      <c r="U588" s="362" t="s">
        <v>3471</v>
      </c>
      <c r="V588" s="362" t="s">
        <v>919</v>
      </c>
      <c r="W588" s="363" t="s">
        <v>919</v>
      </c>
      <c r="X588" s="311" t="s">
        <v>347</v>
      </c>
      <c r="Y588" s="311" t="s">
        <v>3523</v>
      </c>
      <c r="AA588" s="367">
        <v>66083</v>
      </c>
    </row>
    <row r="589" spans="17:27" ht="13.8">
      <c r="Q589" s="362">
        <f t="shared" si="9"/>
        <v>583</v>
      </c>
      <c r="R589" s="897" t="s">
        <v>3428</v>
      </c>
      <c r="S589" s="363" t="s">
        <v>3451</v>
      </c>
      <c r="T589" t="s">
        <v>987</v>
      </c>
      <c r="U589" s="362" t="s">
        <v>3472</v>
      </c>
      <c r="V589" s="362" t="s">
        <v>987</v>
      </c>
      <c r="W589" s="363" t="s">
        <v>987</v>
      </c>
      <c r="X589" s="311" t="s">
        <v>347</v>
      </c>
      <c r="Y589" s="311" t="s">
        <v>3523</v>
      </c>
      <c r="AA589" s="367">
        <v>323444</v>
      </c>
    </row>
    <row r="590" spans="17:27" ht="13.8">
      <c r="Q590" s="362">
        <f t="shared" si="9"/>
        <v>584</v>
      </c>
      <c r="R590" s="897" t="s">
        <v>3429</v>
      </c>
      <c r="S590" s="363" t="s">
        <v>3452</v>
      </c>
      <c r="T590" t="s">
        <v>930</v>
      </c>
      <c r="U590" s="362" t="s">
        <v>3473</v>
      </c>
      <c r="V590" s="362" t="s">
        <v>930</v>
      </c>
      <c r="W590" s="363" t="s">
        <v>930</v>
      </c>
      <c r="X590" s="311" t="s">
        <v>347</v>
      </c>
      <c r="Y590" s="311" t="s">
        <v>3523</v>
      </c>
      <c r="AA590" s="367">
        <v>149265</v>
      </c>
    </row>
    <row r="591" spans="17:27" ht="13.8">
      <c r="Q591" s="362">
        <f t="shared" si="9"/>
        <v>585</v>
      </c>
      <c r="R591" s="897" t="s">
        <v>3430</v>
      </c>
      <c r="S591" s="363" t="s">
        <v>3453</v>
      </c>
      <c r="T591" t="s">
        <v>1007</v>
      </c>
      <c r="U591" s="362" t="s">
        <v>3474</v>
      </c>
      <c r="V591" s="362" t="s">
        <v>1007</v>
      </c>
      <c r="W591" s="363" t="s">
        <v>1007</v>
      </c>
      <c r="X591" s="311" t="s">
        <v>347</v>
      </c>
      <c r="Y591" s="311" t="s">
        <v>3523</v>
      </c>
      <c r="AA591" s="367">
        <v>536499</v>
      </c>
    </row>
    <row r="592" spans="17:27" ht="13.8">
      <c r="Q592" s="362">
        <f t="shared" si="9"/>
        <v>586</v>
      </c>
      <c r="R592" s="897" t="s">
        <v>3431</v>
      </c>
      <c r="S592" s="363" t="s">
        <v>3454</v>
      </c>
      <c r="T592" t="s">
        <v>923</v>
      </c>
      <c r="U592" s="362" t="s">
        <v>3475</v>
      </c>
      <c r="V592" s="362" t="s">
        <v>923</v>
      </c>
      <c r="W592" s="363" t="s">
        <v>923</v>
      </c>
      <c r="X592" s="311" t="s">
        <v>347</v>
      </c>
      <c r="Y592" s="311" t="s">
        <v>3523</v>
      </c>
      <c r="AA592" s="367">
        <v>108692</v>
      </c>
    </row>
  </sheetData>
  <sheetProtection algorithmName="SHA-512" hashValue="xybyGzFhUfRARnKDBjw8yUO2L+fxoR/ilF3APkIt45ZawpXJmIxu3bKD1YNL8R/bZK1UjP8H4kc2+28qTRhh9A==" saltValue="9b1wK1XLRkRo3dYRUbl9bg==" spinCount="100000" sheet="1" objects="1" scenarios="1"/>
  <mergeCells count="4">
    <mergeCell ref="D6:E6"/>
    <mergeCell ref="D61:E61"/>
    <mergeCell ref="C3:F3"/>
    <mergeCell ref="C2:F2"/>
  </mergeCells>
  <phoneticPr fontId="0" type="noConversion"/>
  <dataValidations count="4">
    <dataValidation type="list" allowBlank="1" showInputMessage="1" showErrorMessage="1" sqref="E52">
      <formula1>"0,1,2,3,4,5,6"</formula1>
    </dataValidation>
    <dataValidation type="list" allowBlank="1" showInputMessage="1" showErrorMessage="1" sqref="E62:E71">
      <formula1>"Standard, Expanded"</formula1>
    </dataValidation>
    <dataValidation type="list" allowBlank="1" showInputMessage="1" showErrorMessage="1" sqref="C42">
      <formula1>"Calendar, State Fiscal Year"</formula1>
    </dataValidation>
    <dataValidation type="list" allowBlank="1" showInputMessage="1" showErrorMessage="1" sqref="F7">
      <formula1>"Municipality,County"</formula1>
    </dataValidation>
  </dataValidations>
  <pageMargins left="0.5" right="0.5" top="0.5" bottom="0.5" header="0.5" footer="0.5"/>
  <pageSetup paperSize="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937" r:id="rId4" name="Drop Down 1">
              <controlPr defaultSize="0" autoLine="0" autoPict="0">
                <anchor moveWithCells="1">
                  <from>
                    <xdr:col>3</xdr:col>
                    <xdr:colOff>22860</xdr:colOff>
                    <xdr:row>7</xdr:row>
                    <xdr:rowOff>7620</xdr:rowOff>
                  </from>
                  <to>
                    <xdr:col>4</xdr:col>
                    <xdr:colOff>0</xdr:colOff>
                    <xdr:row>7</xdr:row>
                    <xdr:rowOff>251460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000"/>
  </sheetPr>
  <dimension ref="A1:E56"/>
  <sheetViews>
    <sheetView zoomScale="130" zoomScaleNormal="130" workbookViewId="0">
      <pane ySplit="2" topLeftCell="A42" activePane="bottomLeft" state="frozen"/>
      <selection pane="bottomLeft" activeCell="F24" sqref="F24"/>
    </sheetView>
  </sheetViews>
  <sheetFormatPr defaultRowHeight="13.2"/>
  <cols>
    <col min="1" max="1" width="3" customWidth="1"/>
    <col min="2" max="2" width="52.33203125" customWidth="1"/>
    <col min="3" max="3" width="13" bestFit="1" customWidth="1"/>
  </cols>
  <sheetData>
    <row r="1" spans="1:4" s="309" customFormat="1">
      <c r="B1" s="114" t="s">
        <v>346</v>
      </c>
      <c r="C1" s="114" t="s">
        <v>347</v>
      </c>
      <c r="D1" s="114" t="s">
        <v>3520</v>
      </c>
    </row>
    <row r="2" spans="1:4">
      <c r="B2" t="str">
        <f>'KEY INPUTS'!D9</f>
        <v>BOROUGH OF WENONAH</v>
      </c>
      <c r="C2" t="str">
        <f>'KEY INPUTS'!D10</f>
        <v>GLOUCESTER</v>
      </c>
      <c r="D2" t="str">
        <f>'KEY INPUTS'!D39</f>
        <v>0819</v>
      </c>
    </row>
    <row r="3" spans="1:4" s="309" customFormat="1">
      <c r="B3" s="114"/>
      <c r="C3" s="114"/>
      <c r="D3" s="114"/>
    </row>
    <row r="4" spans="1:4">
      <c r="A4" s="80" t="s">
        <v>3516</v>
      </c>
      <c r="B4" s="310"/>
      <c r="C4" s="310"/>
      <c r="D4" s="310"/>
    </row>
    <row r="5" spans="1:4">
      <c r="B5" s="311" t="s">
        <v>3178</v>
      </c>
      <c r="C5" s="312">
        <f>'21-Current Fund Surplus'!L7</f>
        <v>969116.08</v>
      </c>
    </row>
    <row r="6" spans="1:4" s="309" customFormat="1" ht="6.75" customHeight="1">
      <c r="B6" s="311"/>
      <c r="C6" s="312"/>
    </row>
    <row r="7" spans="1:4">
      <c r="B7" s="311" t="s">
        <v>3179</v>
      </c>
      <c r="C7" s="312">
        <f>'21-Current Fund Surplus'!K14</f>
        <v>959179.67000000132</v>
      </c>
    </row>
    <row r="8" spans="1:4" s="309" customFormat="1" ht="6.75" customHeight="1">
      <c r="B8" s="311"/>
      <c r="C8" s="312"/>
    </row>
    <row r="9" spans="1:4" s="309" customFormat="1">
      <c r="B9" s="311" t="s">
        <v>3521</v>
      </c>
      <c r="C9" s="312">
        <f>'19-Results of Op-Cur Fnd'!H45</f>
        <v>642541.05000000133</v>
      </c>
    </row>
    <row r="10" spans="1:4" ht="6.75" customHeight="1"/>
    <row r="11" spans="1:4">
      <c r="B11" s="311" t="s">
        <v>3180</v>
      </c>
      <c r="C11" s="312">
        <f>'21-Current Fund Surplus'!L23</f>
        <v>2692629.56</v>
      </c>
    </row>
    <row r="12" spans="1:4" s="309" customFormat="1" ht="6.75" customHeight="1">
      <c r="B12" s="311"/>
      <c r="C12" s="312"/>
    </row>
    <row r="13" spans="1:4" s="309" customFormat="1">
      <c r="B13" s="311" t="s">
        <v>3511</v>
      </c>
      <c r="C13" s="312">
        <f>'21-Current Fund Surplus'!L28</f>
        <v>359179.66999999946</v>
      </c>
    </row>
    <row r="14" spans="1:4" s="309" customFormat="1" ht="6.75" customHeight="1">
      <c r="B14" s="311"/>
      <c r="C14" s="312"/>
    </row>
    <row r="15" spans="1:4" s="309" customFormat="1">
      <c r="B15" s="311" t="s">
        <v>3181</v>
      </c>
      <c r="C15" s="312">
        <f>'21-Current Fund Surplus'!L24</f>
        <v>0</v>
      </c>
    </row>
    <row r="16" spans="1:4" s="309" customFormat="1" ht="6.75" customHeight="1">
      <c r="B16" s="311"/>
      <c r="C16" s="312"/>
    </row>
    <row r="17" spans="1:4">
      <c r="B17" s="311" t="s">
        <v>3187</v>
      </c>
      <c r="C17" s="312">
        <f>'21-Current Fund Surplus'!L27</f>
        <v>2333449.8900000006</v>
      </c>
    </row>
    <row r="18" spans="1:4" s="309" customFormat="1" ht="6.75" customHeight="1">
      <c r="B18" s="311"/>
      <c r="C18" s="312"/>
    </row>
    <row r="19" spans="1:4" s="309" customFormat="1">
      <c r="B19" s="311" t="s">
        <v>3513</v>
      </c>
      <c r="C19" s="312">
        <f>'27-Foreclosed Property'!K6</f>
        <v>162500</v>
      </c>
    </row>
    <row r="20" spans="1:4" s="309" customFormat="1" ht="6.75" customHeight="1">
      <c r="B20" s="311"/>
      <c r="C20" s="312"/>
    </row>
    <row r="21" spans="1:4" s="309" customFormat="1">
      <c r="B21" s="311" t="s">
        <v>3514</v>
      </c>
      <c r="C21" s="312">
        <f>'27-Foreclosed Property'!L20</f>
        <v>162500</v>
      </c>
    </row>
    <row r="22" spans="1:4" s="309" customFormat="1">
      <c r="B22" s="311"/>
      <c r="C22" s="312"/>
    </row>
    <row r="23" spans="1:4">
      <c r="A23" s="80" t="s">
        <v>3518</v>
      </c>
      <c r="B23" s="310"/>
      <c r="C23" s="310"/>
      <c r="D23" s="310"/>
    </row>
    <row r="24" spans="1:4">
      <c r="B24" s="311" t="s">
        <v>3188</v>
      </c>
      <c r="C24" s="312">
        <f>'17-Budget Revenues'!I22</f>
        <v>2676820.3000000012</v>
      </c>
    </row>
    <row r="25" spans="1:4" s="309" customFormat="1" ht="6.75" customHeight="1">
      <c r="B25" s="311"/>
      <c r="C25" s="312"/>
    </row>
    <row r="26" spans="1:4">
      <c r="B26" s="311" t="s">
        <v>166</v>
      </c>
      <c r="C26" s="312">
        <f>'17-Budget Revenues'!I6</f>
        <v>414000</v>
      </c>
    </row>
    <row r="27" spans="1:4" s="309" customFormat="1" ht="6.75" customHeight="1">
      <c r="B27" s="311"/>
      <c r="C27" s="312"/>
    </row>
    <row r="28" spans="1:4" s="309" customFormat="1">
      <c r="B28" s="311" t="s">
        <v>3508</v>
      </c>
      <c r="C28" s="312">
        <f>'17-Budget Revenues'!I8</f>
        <v>0</v>
      </c>
    </row>
    <row r="29" spans="1:4" s="309" customFormat="1" ht="6.75" customHeight="1">
      <c r="B29" s="311"/>
      <c r="C29" s="312"/>
    </row>
    <row r="30" spans="1:4">
      <c r="B30" s="311" t="s">
        <v>261</v>
      </c>
      <c r="C30" s="312">
        <f>'17-Budget Revenues'!I21</f>
        <v>1739777.0900000012</v>
      </c>
    </row>
    <row r="31" spans="1:4" s="309" customFormat="1" ht="6.75" customHeight="1">
      <c r="B31" s="311"/>
      <c r="C31" s="312"/>
    </row>
    <row r="32" spans="1:4">
      <c r="B32" s="311" t="s">
        <v>805</v>
      </c>
      <c r="C32" s="312">
        <f>'17-Budget Revenues'!I14</f>
        <v>413422.99</v>
      </c>
    </row>
    <row r="33" spans="1:5" s="309" customFormat="1" ht="6.75" customHeight="1">
      <c r="B33" s="311"/>
      <c r="C33" s="312"/>
    </row>
    <row r="34" spans="1:5">
      <c r="B34" s="311" t="s">
        <v>806</v>
      </c>
      <c r="C34" s="312">
        <f>'17-Budget Revenues'!I15</f>
        <v>109620.22</v>
      </c>
    </row>
    <row r="35" spans="1:5" s="309" customFormat="1" ht="6.75" customHeight="1">
      <c r="B35" s="311"/>
      <c r="C35" s="312"/>
    </row>
    <row r="36" spans="1:5" s="309" customFormat="1">
      <c r="B36" s="311" t="s">
        <v>3509</v>
      </c>
      <c r="C36" s="312">
        <f>IFERROR('22-CY Levy'!H38,"-")</f>
        <v>0.99180000000000001</v>
      </c>
    </row>
    <row r="37" spans="1:5" s="309" customFormat="1" ht="6.75" customHeight="1">
      <c r="B37" s="311"/>
      <c r="C37" s="312"/>
    </row>
    <row r="38" spans="1:5" s="309" customFormat="1">
      <c r="B38" s="311" t="s">
        <v>3512</v>
      </c>
      <c r="C38" s="312">
        <f>'26-Delinquent Taxes and Liens'!M28</f>
        <v>75203.210000000894</v>
      </c>
    </row>
    <row r="39" spans="1:5" s="309" customFormat="1">
      <c r="B39" s="311"/>
      <c r="C39" s="312"/>
    </row>
    <row r="40" spans="1:5" s="309" customFormat="1">
      <c r="A40" s="80" t="s">
        <v>3517</v>
      </c>
      <c r="B40" s="310"/>
      <c r="C40" s="310"/>
      <c r="D40" s="310"/>
    </row>
    <row r="41" spans="1:5">
      <c r="B41" s="311" t="s">
        <v>3182</v>
      </c>
      <c r="C41" s="312">
        <f>'18-Budget Appropriations'!J17</f>
        <v>2419281.59</v>
      </c>
    </row>
    <row r="42" spans="1:5" s="309" customFormat="1" ht="6.75" customHeight="1">
      <c r="B42" s="311"/>
      <c r="C42" s="312"/>
    </row>
    <row r="43" spans="1:5" s="309" customFormat="1">
      <c r="B43" s="311" t="s">
        <v>3510</v>
      </c>
      <c r="C43" s="1453">
        <f>'46-Utility1'!K23+'46-Utility1'!K24+'46-Utility2'!K23+'46-Utility2'!K24+'46-Utility3'!K23+'46-Utility3'!K24+'46-Utility4'!K23+'46-Utility4'!K24+'46-Utility5'!K23+'46-Utility5'!K24+'46-Utility6'!K23+'46-Utility6'!K24</f>
        <v>200000</v>
      </c>
    </row>
    <row r="44" spans="1:5" s="309" customFormat="1" ht="6.75" customHeight="1">
      <c r="B44" s="311"/>
      <c r="C44" s="312"/>
      <c r="E44" s="312"/>
    </row>
    <row r="45" spans="1:5" s="309" customFormat="1">
      <c r="B45" s="311" t="s">
        <v>3515</v>
      </c>
      <c r="C45" s="312">
        <f>'28-Deferred Charges'!N25</f>
        <v>0</v>
      </c>
    </row>
    <row r="46" spans="1:5" s="309" customFormat="1">
      <c r="B46" s="311"/>
      <c r="C46" s="312"/>
    </row>
    <row r="47" spans="1:5">
      <c r="A47" s="80" t="s">
        <v>3519</v>
      </c>
      <c r="B47" s="310"/>
      <c r="C47" s="310"/>
      <c r="D47" s="310"/>
    </row>
    <row r="48" spans="1:5">
      <c r="B48" s="311" t="s">
        <v>3183</v>
      </c>
      <c r="C48" s="312">
        <f>'31-Capital Bond Schedule'!G12+'31-Capital Bond Schedule'!G23+'32-Bond Schedule'!G11+'32-Bond Schedule'!G22</f>
        <v>2170000</v>
      </c>
    </row>
    <row r="49" spans="2:3" s="309" customFormat="1" ht="6.75" customHeight="1">
      <c r="B49" s="311"/>
      <c r="C49" s="312"/>
    </row>
    <row r="50" spans="2:3" s="309" customFormat="1">
      <c r="B50" s="311" t="s">
        <v>3186</v>
      </c>
      <c r="C50" s="312">
        <f>'31A-Loan Schedule'!G12+'31A-Loan Schedule'!G23+'31A.1-Loan Schedule'!G12+'31A.1-Loan Schedule'!G23+'31A.2-Loan Schedule'!G12+'31A.2-Loan Schedule'!G23</f>
        <v>0</v>
      </c>
    </row>
    <row r="51" spans="2:3" s="309" customFormat="1" ht="6.75" customHeight="1">
      <c r="B51" s="311"/>
      <c r="C51" s="312"/>
    </row>
    <row r="52" spans="2:3">
      <c r="B52" s="311" t="s">
        <v>3184</v>
      </c>
      <c r="C52" s="312">
        <f>'33 Totals-Note Debt Service'!G23+'34-Assmt Note Debt Service'!G23</f>
        <v>0</v>
      </c>
    </row>
    <row r="53" spans="2:3" s="309" customFormat="1" ht="6.75" customHeight="1">
      <c r="B53" s="311"/>
      <c r="C53" s="312"/>
    </row>
    <row r="54" spans="2:3">
      <c r="B54" s="311" t="s">
        <v>3185</v>
      </c>
      <c r="C54" s="312">
        <f>'34a-Cap Lease Program Oblg'!G23</f>
        <v>0</v>
      </c>
    </row>
    <row r="55" spans="2:3" ht="5.25" customHeight="1"/>
    <row r="56" spans="2:3">
      <c r="B56" t="s">
        <v>3522</v>
      </c>
      <c r="C56" s="312">
        <f>'32-Bond Schedule'!G11+'32-Bond Schedule'!G22</f>
        <v>0</v>
      </c>
    </row>
  </sheetData>
  <pageMargins left="0.7" right="0.7" top="0.75" bottom="0.75" header="0.3" footer="0.3"/>
  <pageSetup paperSize="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Z63"/>
  <sheetViews>
    <sheetView topLeftCell="B25" zoomScaleNormal="100" zoomScaleSheetLayoutView="80" workbookViewId="0">
      <selection activeCell="Q43" sqref="Q43"/>
    </sheetView>
  </sheetViews>
  <sheetFormatPr defaultRowHeight="13.2"/>
  <cols>
    <col min="1" max="4" width="4.6640625" customWidth="1"/>
    <col min="5" max="5" width="7.88671875" customWidth="1"/>
    <col min="6" max="6" width="8.5546875" customWidth="1"/>
    <col min="7" max="7" width="5.6640625" customWidth="1"/>
    <col min="8" max="9" width="4.6640625" customWidth="1"/>
    <col min="11" max="11" width="11.33203125" customWidth="1"/>
    <col min="12" max="12" width="10" customWidth="1"/>
    <col min="13" max="13" width="8.33203125" customWidth="1"/>
    <col min="14" max="14" width="7.44140625" customWidth="1"/>
    <col min="15" max="15" width="5.109375" customWidth="1"/>
    <col min="16" max="16" width="11" bestFit="1" customWidth="1"/>
    <col min="18" max="18" width="12.33203125" hidden="1" customWidth="1"/>
    <col min="25" max="25" width="0" hidden="1" customWidth="1"/>
    <col min="27" max="27" width="13.109375" customWidth="1"/>
  </cols>
  <sheetData>
    <row r="2" spans="2:26" ht="20.399999999999999">
      <c r="B2" s="1619" t="str">
        <f>"ANNUAL  FINANCIAL  STATEMENT  FOR  THE  YEAR  "&amp;TEXT(IF('KEY INPUTS'!C42 = "State Fiscal Year", 'KEY INPUTS'!D33,'KEY INPUTS'!D34),"0")</f>
        <v>ANNUAL  FINANCIAL  STATEMENT  FOR  THE  YEAR  2021</v>
      </c>
      <c r="C2" s="1619"/>
      <c r="D2" s="1619"/>
      <c r="E2" s="1619"/>
      <c r="F2" s="1619"/>
      <c r="G2" s="1619"/>
      <c r="H2" s="1619"/>
      <c r="I2" s="1619"/>
      <c r="J2" s="1619"/>
      <c r="K2" s="1619"/>
      <c r="L2" s="1619"/>
      <c r="M2" s="1619"/>
      <c r="N2" s="1619"/>
      <c r="O2" s="1619"/>
    </row>
    <row r="3" spans="2:26" ht="20.399999999999999">
      <c r="B3" s="1619" t="s">
        <v>738</v>
      </c>
      <c r="C3" s="1619"/>
      <c r="D3" s="1619"/>
      <c r="E3" s="1619"/>
      <c r="F3" s="1619"/>
      <c r="G3" s="1619"/>
      <c r="H3" s="1619"/>
      <c r="I3" s="1619"/>
      <c r="J3" s="1619"/>
      <c r="K3" s="1619"/>
      <c r="L3" s="1619"/>
      <c r="M3" s="1619"/>
      <c r="N3" s="1619"/>
      <c r="O3" s="1619"/>
      <c r="Z3" s="309"/>
    </row>
    <row r="5" spans="2:26">
      <c r="J5" s="38" t="s">
        <v>739</v>
      </c>
      <c r="K5" s="1646">
        <f>'KEY INPUTS'!D37</f>
        <v>2278</v>
      </c>
      <c r="L5" s="1647"/>
    </row>
    <row r="6" spans="2:26">
      <c r="J6" s="38" t="str">
        <f>UPPER('KEY INPUTS'!C38)</f>
        <v>NET VALUATION TAXABLE 2021</v>
      </c>
      <c r="K6" s="1650">
        <f>'KEY INPUTS'!D38</f>
        <v>218135500</v>
      </c>
      <c r="L6" s="1650"/>
      <c r="M6" s="267"/>
      <c r="P6" s="242"/>
      <c r="R6" s="242"/>
      <c r="S6" s="242"/>
    </row>
    <row r="7" spans="2:26">
      <c r="J7" s="38" t="s">
        <v>80</v>
      </c>
      <c r="K7" s="1648" t="str">
        <f>'KEY INPUTS'!D39</f>
        <v>0819</v>
      </c>
      <c r="L7" s="1649"/>
    </row>
    <row r="8" spans="2:26">
      <c r="B8" s="1644" t="s">
        <v>740</v>
      </c>
      <c r="C8" s="1644"/>
      <c r="D8" s="1644"/>
      <c r="E8" s="1644"/>
      <c r="F8" s="1644"/>
      <c r="G8" s="1644"/>
      <c r="H8" s="1644"/>
      <c r="I8" s="1644"/>
      <c r="J8" s="1644"/>
      <c r="K8" s="1644"/>
      <c r="L8" s="1644"/>
      <c r="M8" s="1644"/>
      <c r="N8" s="1644"/>
      <c r="O8" s="1644"/>
    </row>
    <row r="9" spans="2:26">
      <c r="B9" s="1645" t="str">
        <f>IF('KEY INPUTS'!C42 = "State Fiscal Year","",'KEY INPUTS'!D43)</f>
        <v>COUNTIES - JANUARY  26, 2022</v>
      </c>
      <c r="C9" s="1644"/>
      <c r="D9" s="1644"/>
      <c r="E9" s="1644"/>
      <c r="F9" s="1644"/>
      <c r="G9" s="1644"/>
      <c r="H9" s="1644"/>
      <c r="I9" s="1644"/>
      <c r="J9" s="1644"/>
      <c r="K9" s="1644"/>
      <c r="L9" s="1644"/>
      <c r="M9" s="1644"/>
      <c r="N9" s="1644"/>
      <c r="O9" s="1644"/>
    </row>
    <row r="10" spans="2:26">
      <c r="B10" s="1645" t="str">
        <f>IF('KEY INPUTS'!C42 = "State Fiscal Year", 'KEY INPUTS'!F44,'KEY INPUTS'!D44)</f>
        <v>MUNICIPALITIES - FEBRUARY 10, 2022</v>
      </c>
      <c r="C10" s="1644"/>
      <c r="D10" s="1644"/>
      <c r="E10" s="1644"/>
      <c r="F10" s="1644"/>
      <c r="G10" s="1644"/>
      <c r="H10" s="1644"/>
      <c r="I10" s="1644"/>
      <c r="J10" s="1644"/>
      <c r="K10" s="1644"/>
      <c r="L10" s="1644"/>
      <c r="M10" s="1644"/>
      <c r="N10" s="1644"/>
      <c r="O10" s="1644"/>
    </row>
    <row r="12" spans="2:26" ht="13.8">
      <c r="B12" s="90" t="s">
        <v>741</v>
      </c>
    </row>
    <row r="13" spans="2:26" ht="13.8">
      <c r="B13" s="90" t="s">
        <v>742</v>
      </c>
    </row>
    <row r="14" spans="2:26" ht="13.8">
      <c r="B14" s="90" t="s">
        <v>743</v>
      </c>
    </row>
    <row r="15" spans="2:26" ht="13.8">
      <c r="B15" s="90" t="s">
        <v>744</v>
      </c>
    </row>
    <row r="17" spans="2:15">
      <c r="B17" s="1636" t="str">
        <f>+'KEY INPUTS'!D12</f>
        <v>BOROUGH</v>
      </c>
      <c r="C17" s="1636"/>
      <c r="D17" s="1636"/>
      <c r="E17" s="1636"/>
      <c r="F17" s="1636"/>
      <c r="G17" s="1" t="s">
        <v>541</v>
      </c>
      <c r="H17" s="1636" t="str">
        <f>+'KEY INPUTS'!D11</f>
        <v>WENONAH</v>
      </c>
      <c r="I17" s="1636"/>
      <c r="J17" s="1636"/>
      <c r="K17" s="1636"/>
      <c r="L17" t="s">
        <v>745</v>
      </c>
      <c r="M17" s="1636" t="str">
        <f>+'KEY INPUTS'!D10</f>
        <v>GLOUCESTER</v>
      </c>
      <c r="N17" s="1636"/>
      <c r="O17" s="1636"/>
    </row>
    <row r="19" spans="2:15">
      <c r="B19" s="1643"/>
      <c r="C19" s="1643"/>
      <c r="D19" s="1643"/>
      <c r="E19" s="1643"/>
      <c r="F19" s="1643"/>
      <c r="G19" s="1643"/>
      <c r="H19" s="1643"/>
      <c r="I19" s="1643"/>
      <c r="J19" s="1643"/>
      <c r="K19" s="1643"/>
      <c r="L19" s="1643"/>
      <c r="M19" s="1643"/>
      <c r="N19" s="1643"/>
      <c r="O19" s="1643"/>
    </row>
    <row r="20" spans="2:15">
      <c r="B20" s="1643" t="s">
        <v>746</v>
      </c>
      <c r="C20" s="1643"/>
      <c r="D20" s="1643"/>
      <c r="E20" s="1643"/>
      <c r="F20" s="1643"/>
      <c r="G20" s="1643"/>
      <c r="H20" s="1643"/>
      <c r="I20" s="1643"/>
      <c r="J20" s="1643"/>
      <c r="K20" s="1643"/>
      <c r="L20" s="1643"/>
      <c r="M20" s="1643"/>
      <c r="N20" s="1643"/>
      <c r="O20" s="1643"/>
    </row>
    <row r="22" spans="2:15" ht="24.9" customHeight="1">
      <c r="E22" s="182"/>
      <c r="F22" s="184" t="s">
        <v>17</v>
      </c>
      <c r="G22" s="1634" t="s">
        <v>749</v>
      </c>
      <c r="H22" s="1634"/>
      <c r="I22" s="1634"/>
      <c r="J22" s="1634"/>
      <c r="K22" s="1634"/>
      <c r="L22" s="1634"/>
      <c r="M22" s="1634"/>
    </row>
    <row r="23" spans="2:15" ht="24.9" customHeight="1">
      <c r="E23" s="183" t="s">
        <v>747</v>
      </c>
      <c r="F23" s="788"/>
      <c r="G23" s="1637"/>
      <c r="H23" s="1638"/>
      <c r="I23" s="1638"/>
      <c r="J23" s="1638"/>
      <c r="K23" s="1634" t="s">
        <v>750</v>
      </c>
      <c r="L23" s="1634"/>
      <c r="M23" s="1634"/>
    </row>
    <row r="24" spans="2:15" ht="24.9" customHeight="1">
      <c r="E24" s="183" t="s">
        <v>748</v>
      </c>
      <c r="F24" s="788"/>
      <c r="G24" s="1637"/>
      <c r="H24" s="1638"/>
      <c r="I24" s="1638"/>
      <c r="J24" s="1638"/>
      <c r="K24" s="1634" t="s">
        <v>751</v>
      </c>
      <c r="L24" s="1634"/>
      <c r="M24" s="1634"/>
    </row>
    <row r="26" spans="2:15">
      <c r="B26" s="185" t="s">
        <v>893</v>
      </c>
    </row>
    <row r="27" spans="2:15">
      <c r="B27" s="185" t="s">
        <v>894</v>
      </c>
    </row>
    <row r="28" spans="2:15">
      <c r="B28" s="185" t="s">
        <v>895</v>
      </c>
    </row>
    <row r="29" spans="2:15" ht="20.100000000000001" customHeight="1">
      <c r="K29" s="38" t="s">
        <v>752</v>
      </c>
      <c r="L29" s="1639" t="s">
        <v>3658</v>
      </c>
      <c r="M29" s="1640"/>
      <c r="N29" s="1640"/>
    </row>
    <row r="30" spans="2:15" ht="20.100000000000001" customHeight="1">
      <c r="K30" s="38" t="s">
        <v>312</v>
      </c>
      <c r="L30" s="1641" t="s">
        <v>124</v>
      </c>
      <c r="M30" s="1642"/>
      <c r="N30" s="1642"/>
    </row>
    <row r="32" spans="2:15">
      <c r="B32" s="232" t="s">
        <v>753</v>
      </c>
    </row>
    <row r="35" spans="2:25" ht="13.8">
      <c r="B35" s="90" t="s">
        <v>754</v>
      </c>
    </row>
    <row r="36" spans="2:25" ht="3" customHeight="1">
      <c r="B36" s="30"/>
      <c r="C36" s="30"/>
      <c r="D36" s="30"/>
      <c r="E36" s="30"/>
      <c r="F36" s="30"/>
      <c r="G36" s="30"/>
      <c r="H36" s="30"/>
      <c r="I36" s="30"/>
      <c r="J36" s="30"/>
      <c r="K36" s="30"/>
      <c r="L36" s="30"/>
      <c r="M36" s="30"/>
      <c r="N36" s="30"/>
      <c r="O36" s="30"/>
    </row>
    <row r="38" spans="2:25">
      <c r="B38" s="277" t="str">
        <f>"I hereby certify that I am responsible for filing this verified Annual Financial Statement,"</f>
        <v>I hereby certify that I am responsible for filing this verified Annual Financial Statement,</v>
      </c>
      <c r="C38" s="34"/>
      <c r="D38" s="34"/>
      <c r="E38" s="34"/>
      <c r="F38" s="34"/>
      <c r="G38" s="34"/>
      <c r="H38" s="34"/>
      <c r="I38" s="34"/>
      <c r="J38" s="34"/>
      <c r="K38" s="34"/>
      <c r="L38" s="277" t="str">
        <f>Y43</f>
        <v>(which I have prepared)</v>
      </c>
      <c r="M38" s="34"/>
      <c r="N38" s="277" t="s">
        <v>374</v>
      </c>
      <c r="O38" s="34"/>
    </row>
    <row r="39" spans="2:25">
      <c r="B39" s="98" t="str">
        <f>Y44</f>
        <v>(which I have not prepared)</v>
      </c>
      <c r="C39" s="34"/>
      <c r="D39" s="34"/>
      <c r="E39" s="34"/>
      <c r="F39" s="185" t="str">
        <f>Y45</f>
        <v>[eliminate one]</v>
      </c>
      <c r="G39" s="34"/>
      <c r="H39" s="277" t="str">
        <f>" and information required also included herein and that this Statement is an"</f>
        <v xml:space="preserve"> and information required also included herein and that this Statement is an</v>
      </c>
      <c r="I39" s="34"/>
      <c r="J39" s="34"/>
      <c r="K39" s="34"/>
      <c r="L39" s="34"/>
      <c r="M39" s="34"/>
      <c r="N39" s="34"/>
      <c r="O39" s="34"/>
      <c r="R39" s="679" t="s">
        <v>3348</v>
      </c>
    </row>
    <row r="40" spans="2:25">
      <c r="B40" s="98" t="s">
        <v>423</v>
      </c>
      <c r="C40" s="34"/>
      <c r="D40" s="34"/>
      <c r="E40" s="34"/>
      <c r="F40" s="34"/>
      <c r="G40" s="34"/>
      <c r="H40" s="34"/>
      <c r="I40" s="34"/>
      <c r="J40" s="34"/>
      <c r="K40" s="34"/>
      <c r="L40" s="34"/>
      <c r="M40" s="34"/>
      <c r="N40" s="34"/>
      <c r="O40" s="34"/>
      <c r="Q40" s="309"/>
    </row>
    <row r="41" spans="2:25">
      <c r="B41" s="98" t="s">
        <v>316</v>
      </c>
      <c r="C41" s="34"/>
      <c r="D41" s="34"/>
      <c r="E41" s="34"/>
      <c r="F41" s="34"/>
      <c r="G41" s="34"/>
      <c r="H41" s="34"/>
      <c r="I41" s="34"/>
      <c r="J41" s="34"/>
      <c r="K41" s="34"/>
      <c r="L41" s="34"/>
      <c r="M41" s="34"/>
      <c r="N41" s="34"/>
      <c r="O41" s="34"/>
      <c r="Q41" s="114" t="s">
        <v>3375</v>
      </c>
    </row>
    <row r="42" spans="2:25">
      <c r="B42" s="98" t="s">
        <v>844</v>
      </c>
      <c r="C42" s="34"/>
      <c r="D42" s="34"/>
      <c r="E42" s="34"/>
      <c r="F42" s="34"/>
      <c r="G42" s="34"/>
      <c r="H42" s="34"/>
      <c r="I42" s="34"/>
      <c r="J42" s="34"/>
      <c r="K42" s="34"/>
      <c r="L42" s="34"/>
      <c r="M42" s="34"/>
      <c r="N42" s="34"/>
      <c r="O42" s="34"/>
      <c r="Q42" s="789" t="s">
        <v>3659</v>
      </c>
    </row>
    <row r="43" spans="2:25">
      <c r="B43" s="98" t="s">
        <v>361</v>
      </c>
      <c r="C43" s="34"/>
      <c r="D43" s="34"/>
      <c r="E43" s="34"/>
      <c r="F43" s="34"/>
      <c r="G43" s="34"/>
      <c r="H43" s="34"/>
      <c r="I43" s="34"/>
      <c r="J43" s="34"/>
      <c r="K43" s="34"/>
      <c r="L43" s="34"/>
      <c r="M43" s="34"/>
      <c r="N43" s="34"/>
      <c r="O43" s="34"/>
      <c r="Y43" s="311" t="s">
        <v>3376</v>
      </c>
    </row>
    <row r="44" spans="2:25">
      <c r="Y44" s="311" t="s">
        <v>3377</v>
      </c>
    </row>
    <row r="45" spans="2:25">
      <c r="B45" s="98" t="s">
        <v>467</v>
      </c>
      <c r="G45" s="1636" t="str">
        <f>IF('KEY INPUTS'!D21=0,"NO ENTRY",'KEY INPUTS'!D21)</f>
        <v>Robert E. Scharle</v>
      </c>
      <c r="H45" s="1636"/>
      <c r="I45" s="1636"/>
      <c r="J45" s="1636"/>
      <c r="K45" s="1636"/>
      <c r="L45" s="1636"/>
      <c r="M45" s="98" t="s">
        <v>3626</v>
      </c>
      <c r="Y45" s="311" t="s">
        <v>3378</v>
      </c>
    </row>
    <row r="46" spans="2:25">
      <c r="B46" s="98" t="s">
        <v>755</v>
      </c>
      <c r="E46" s="1636" t="str">
        <f>IF('KEY INPUTS'!E21=0,"NO ENTRY",'KEY INPUTS'!E21)</f>
        <v>N 0497</v>
      </c>
      <c r="F46" s="1636"/>
      <c r="G46" s="98" t="s">
        <v>22</v>
      </c>
      <c r="H46" s="1636" t="str">
        <f>+'KEY INPUTS'!D12</f>
        <v>BOROUGH</v>
      </c>
      <c r="I46" s="1636"/>
      <c r="J46" s="1636"/>
      <c r="K46" s="1636"/>
      <c r="L46" s="1636"/>
      <c r="M46" s="1636"/>
      <c r="N46" s="98" t="s">
        <v>541</v>
      </c>
    </row>
    <row r="47" spans="2:25">
      <c r="B47" s="1635" t="str">
        <f>+'KEY INPUTS'!D11</f>
        <v>WENONAH</v>
      </c>
      <c r="C47" s="1635"/>
      <c r="D47" s="1635"/>
      <c r="E47" s="1635"/>
      <c r="F47" s="1635"/>
      <c r="G47" s="98" t="s">
        <v>466</v>
      </c>
      <c r="I47" s="1636" t="str">
        <f>+'KEY INPUTS'!D10</f>
        <v>GLOUCESTER</v>
      </c>
      <c r="J47" s="1636"/>
      <c r="K47" s="1636"/>
      <c r="L47" s="1636"/>
      <c r="M47" s="1636"/>
      <c r="N47" s="98" t="s">
        <v>465</v>
      </c>
    </row>
    <row r="48" spans="2:25">
      <c r="B48" s="98" t="s">
        <v>21</v>
      </c>
    </row>
    <row r="49" spans="2:24">
      <c r="B49" s="277" t="str">
        <f>IF('KEY INPUTS'!C42="State Fiscal Year",'KEY INPUTS'!F47,"December 31, "&amp;'KEY INPUTS'!D34&amp;"")&amp;", completely in compliance with N.J.S.A. 40A:5-12, as amended. I also give complete assurance as"</f>
        <v>December 31, 2021, completely in compliance with N.J.S.A. 40A:5-12, as amended. I also give complete assurance as</v>
      </c>
      <c r="X49" s="309"/>
    </row>
    <row r="50" spans="2:24">
      <c r="B50" s="98" t="s">
        <v>53</v>
      </c>
      <c r="V50" s="309"/>
      <c r="X50" s="309"/>
    </row>
    <row r="51" spans="2:24">
      <c r="B51" s="277" t="str">
        <f>"Services, including the verification of cash balances as of "&amp;IF('KEY INPUTS'!C42="State Fiscal Year",""&amp;'KEY INPUTS'!F47&amp;".","December 31, "&amp;'KEY INPUTS'!D34&amp;"")&amp;"."</f>
        <v>Services, including the verification of cash balances as of December 31, 2021.</v>
      </c>
    </row>
    <row r="52" spans="2:24">
      <c r="F52" s="42"/>
      <c r="G52" s="42"/>
      <c r="H52" s="42"/>
      <c r="I52" s="42"/>
      <c r="J52" s="42"/>
      <c r="K52" s="42"/>
      <c r="L52" s="42"/>
    </row>
    <row r="53" spans="2:24" ht="20.100000000000001" customHeight="1">
      <c r="D53" t="s">
        <v>752</v>
      </c>
      <c r="F53" s="1631" t="s">
        <v>3658</v>
      </c>
      <c r="G53" s="1631"/>
      <c r="H53" s="1631"/>
      <c r="I53" s="1631"/>
      <c r="J53" s="1631"/>
      <c r="K53" s="1631"/>
      <c r="L53" s="1631"/>
    </row>
    <row r="54" spans="2:24" ht="20.100000000000001" customHeight="1">
      <c r="D54" t="s">
        <v>312</v>
      </c>
      <c r="F54" s="1631" t="s">
        <v>124</v>
      </c>
      <c r="G54" s="1631"/>
      <c r="H54" s="1631"/>
      <c r="I54" s="1631"/>
      <c r="J54" s="1631"/>
      <c r="K54" s="1631"/>
      <c r="L54" s="1631"/>
      <c r="X54" s="309"/>
    </row>
    <row r="55" spans="2:24" ht="20.100000000000001" customHeight="1">
      <c r="D55" t="s">
        <v>54</v>
      </c>
      <c r="F55" s="1632" t="str">
        <f>IF('KEY INPUTS'!D16=0,"NO ENTRY",'KEY INPUTS'!D16)</f>
        <v>1 Southwest Avenue</v>
      </c>
      <c r="G55" s="1632"/>
      <c r="H55" s="1632"/>
      <c r="I55" s="1632"/>
      <c r="J55" s="1632"/>
      <c r="K55" s="1632"/>
      <c r="L55" s="1632"/>
    </row>
    <row r="56" spans="2:24" ht="20.100000000000001" customHeight="1">
      <c r="D56" t="s">
        <v>55</v>
      </c>
      <c r="G56" s="5"/>
      <c r="H56" s="1633" t="str">
        <f>IF('KEY INPUTS'!D18=0,"NO ENTRY",'KEY INPUTS'!D18)</f>
        <v>856-468-5228</v>
      </c>
      <c r="I56" s="1633"/>
      <c r="J56" s="1633"/>
      <c r="K56" s="5"/>
      <c r="L56" s="5"/>
    </row>
    <row r="57" spans="2:24" ht="20.100000000000001" customHeight="1">
      <c r="D57" t="s">
        <v>82</v>
      </c>
      <c r="G57" s="5"/>
      <c r="H57" s="1633" t="str">
        <f>IF('KEY INPUTS'!D19=0,"NO ENTRY",'KEY INPUTS'!D19)</f>
        <v>856-468-0390</v>
      </c>
      <c r="I57" s="1633"/>
      <c r="J57" s="1633"/>
      <c r="K57" s="5"/>
      <c r="L57" s="5"/>
    </row>
    <row r="59" spans="2:24">
      <c r="D59" t="s">
        <v>462</v>
      </c>
    </row>
    <row r="60" spans="2:24">
      <c r="D60" t="s">
        <v>57</v>
      </c>
    </row>
    <row r="61" spans="2:24">
      <c r="D61" t="s">
        <v>463</v>
      </c>
    </row>
    <row r="62" spans="2:24">
      <c r="D62" t="s">
        <v>464</v>
      </c>
    </row>
    <row r="63" spans="2:24" ht="13.8">
      <c r="B63" s="1618" t="s">
        <v>56</v>
      </c>
      <c r="C63" s="1618"/>
      <c r="D63" s="1618"/>
      <c r="E63" s="1618"/>
      <c r="F63" s="1618"/>
      <c r="G63" s="1618"/>
      <c r="H63" s="1618"/>
      <c r="I63" s="1618"/>
      <c r="J63" s="1618"/>
      <c r="K63" s="1618"/>
      <c r="L63" s="1618"/>
      <c r="M63" s="1618"/>
      <c r="N63" s="1618"/>
      <c r="O63" s="1618"/>
    </row>
  </sheetData>
  <sheetProtection algorithmName="SHA-512" hashValue="nK1iC5bgTgynRx7WIpAnIP24LmqD1J/iUDe1/gyUwyGCDN1RLzEwKrQ1PoXZBjxfcdPqLoigWBTmEGe54iL0Qw==" saltValue="D85xV2VTgkmisDwSQGodyA==" spinCount="100000" sheet="1" objects="1" scenarios="1"/>
  <mergeCells count="31">
    <mergeCell ref="B19:O19"/>
    <mergeCell ref="B20:O20"/>
    <mergeCell ref="B2:O2"/>
    <mergeCell ref="B3:O3"/>
    <mergeCell ref="B8:O8"/>
    <mergeCell ref="B9:O9"/>
    <mergeCell ref="K5:L5"/>
    <mergeCell ref="K7:L7"/>
    <mergeCell ref="K6:L6"/>
    <mergeCell ref="B10:O10"/>
    <mergeCell ref="M17:O17"/>
    <mergeCell ref="H17:K17"/>
    <mergeCell ref="B17:F17"/>
    <mergeCell ref="F53:L53"/>
    <mergeCell ref="G22:M22"/>
    <mergeCell ref="K23:M23"/>
    <mergeCell ref="B47:F47"/>
    <mergeCell ref="I47:M47"/>
    <mergeCell ref="H46:M46"/>
    <mergeCell ref="G24:J24"/>
    <mergeCell ref="G23:J23"/>
    <mergeCell ref="K24:M24"/>
    <mergeCell ref="L29:N29"/>
    <mergeCell ref="L30:N30"/>
    <mergeCell ref="G45:L45"/>
    <mergeCell ref="E46:F46"/>
    <mergeCell ref="F54:L54"/>
    <mergeCell ref="F55:L55"/>
    <mergeCell ref="B63:O63"/>
    <mergeCell ref="H56:J56"/>
    <mergeCell ref="H57:J57"/>
  </mergeCells>
  <phoneticPr fontId="0" type="noConversion"/>
  <conditionalFormatting sqref="Y43">
    <cfRule type="expression" dxfId="18" priority="8">
      <formula>UPPER($Q$42)="N"</formula>
    </cfRule>
    <cfRule type="expression" dxfId="17" priority="9">
      <formula>UPPER($Q$42)="N"</formula>
    </cfRule>
  </conditionalFormatting>
  <conditionalFormatting sqref="L38">
    <cfRule type="expression" dxfId="16" priority="7">
      <formula>UPPER($Q$42)="N"</formula>
    </cfRule>
  </conditionalFormatting>
  <conditionalFormatting sqref="F39">
    <cfRule type="expression" dxfId="15" priority="3">
      <formula>UPPER($Q$42)="Y"</formula>
    </cfRule>
    <cfRule type="expression" dxfId="14" priority="6">
      <formula>UPPER($Q$42)="N"</formula>
    </cfRule>
  </conditionalFormatting>
  <conditionalFormatting sqref="Y45">
    <cfRule type="expression" dxfId="13" priority="1">
      <formula>UPPER($Q$42)="Y"</formula>
    </cfRule>
    <cfRule type="expression" dxfId="12" priority="5">
      <formula>UPPER($Q$42)="N"</formula>
    </cfRule>
  </conditionalFormatting>
  <conditionalFormatting sqref="B39">
    <cfRule type="expression" dxfId="11" priority="4">
      <formula>UPPER($Q$42)="Y"</formula>
    </cfRule>
  </conditionalFormatting>
  <conditionalFormatting sqref="Y44">
    <cfRule type="expression" dxfId="10" priority="2">
      <formula>UPPER($Q$42)="Y"</formula>
    </cfRule>
  </conditionalFormatting>
  <pageMargins left="0.25" right="0.25" top="0.5" bottom="0.5" header="0.25" footer="0.25"/>
  <pageSetup paperSize="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Y70"/>
  <sheetViews>
    <sheetView topLeftCell="A34" zoomScaleNormal="100" workbookViewId="0">
      <selection activeCell="F10" sqref="F10:G10"/>
    </sheetView>
  </sheetViews>
  <sheetFormatPr defaultRowHeight="13.2"/>
  <cols>
    <col min="2" max="2" width="4" customWidth="1"/>
    <col min="3" max="3" width="5.44140625" customWidth="1"/>
    <col min="4" max="4" width="3.6640625" customWidth="1"/>
    <col min="5" max="5" width="8.33203125" customWidth="1"/>
    <col min="6" max="6" width="7" customWidth="1"/>
    <col min="7" max="7" width="10.5546875" customWidth="1"/>
    <col min="8" max="8" width="5.33203125" customWidth="1"/>
    <col min="12" max="12" width="10.88671875" customWidth="1"/>
    <col min="14" max="14" width="1.88671875" customWidth="1"/>
    <col min="17" max="17" width="0" hidden="1" customWidth="1"/>
    <col min="25" max="25" width="0" hidden="1" customWidth="1"/>
  </cols>
  <sheetData>
    <row r="3" spans="2:20" ht="17.399999999999999">
      <c r="B3" s="180" t="s">
        <v>4</v>
      </c>
      <c r="C3" s="180"/>
      <c r="D3" s="180"/>
      <c r="E3" s="180"/>
      <c r="F3" s="180"/>
      <c r="G3" s="180"/>
      <c r="H3" s="180"/>
      <c r="I3" s="180"/>
      <c r="J3" s="180"/>
      <c r="K3" s="180"/>
      <c r="L3" s="180"/>
      <c r="M3" s="180"/>
      <c r="N3" s="180"/>
    </row>
    <row r="5" spans="2:20">
      <c r="B5" s="37" t="s">
        <v>265</v>
      </c>
    </row>
    <row r="6" spans="2:20">
      <c r="T6" s="309"/>
    </row>
    <row r="8" spans="2:20" ht="13.8">
      <c r="B8" s="91" t="s">
        <v>645</v>
      </c>
    </row>
    <row r="9" spans="2:20" ht="13.8">
      <c r="B9" s="91" t="s">
        <v>511</v>
      </c>
    </row>
    <row r="10" spans="2:20" ht="13.8">
      <c r="B10" s="91" t="s">
        <v>820</v>
      </c>
      <c r="C10" s="91"/>
      <c r="D10" s="91"/>
      <c r="E10" s="91"/>
      <c r="F10" s="1653" t="str">
        <f>+'KEY INPUTS'!D12</f>
        <v>BOROUGH</v>
      </c>
      <c r="G10" s="1653"/>
      <c r="H10" s="179" t="s">
        <v>541</v>
      </c>
      <c r="I10" s="1653" t="str">
        <f>+'KEY INPUTS'!D11</f>
        <v>WENONAH</v>
      </c>
      <c r="J10" s="1653"/>
      <c r="K10" s="1653"/>
      <c r="L10" s="1653"/>
      <c r="M10" s="91"/>
      <c r="N10" s="91"/>
      <c r="T10" s="309"/>
    </row>
    <row r="11" spans="2:20" ht="13.8">
      <c r="B11" s="181" t="str">
        <f>"as of "&amp;IF('KEY INPUTS'!C42 = "State Fiscal Year",'KEY INPUTS'!F47,"as of December 31, "&amp;'KEY INPUTS'!D34&amp;"")&amp;" and have applied certain agreed-upon procedures thereon as"</f>
        <v>as of as of December 31, 2021 and have applied certain agreed-upon procedures thereon as</v>
      </c>
      <c r="C11" s="181"/>
      <c r="D11" s="181"/>
      <c r="E11" s="181"/>
      <c r="F11" s="1533"/>
      <c r="G11" s="181"/>
      <c r="H11" s="181"/>
      <c r="I11" s="181"/>
      <c r="J11" s="181"/>
      <c r="K11" s="181"/>
      <c r="L11" s="181"/>
      <c r="M11" s="91"/>
    </row>
    <row r="12" spans="2:20" ht="13.8">
      <c r="B12" s="91" t="s">
        <v>282</v>
      </c>
      <c r="C12" s="91"/>
      <c r="D12" s="91"/>
      <c r="E12" s="91"/>
      <c r="F12" s="91"/>
      <c r="G12" s="91"/>
      <c r="H12" s="91"/>
      <c r="I12" s="91"/>
      <c r="J12" s="91"/>
      <c r="K12" s="91"/>
      <c r="L12" s="91"/>
      <c r="M12" s="91"/>
    </row>
    <row r="13" spans="2:20" ht="13.8">
      <c r="B13" s="91" t="s">
        <v>283</v>
      </c>
      <c r="C13" s="91"/>
      <c r="D13" s="91"/>
      <c r="E13" s="91"/>
      <c r="F13" s="91"/>
      <c r="G13" s="91"/>
      <c r="H13" s="91"/>
      <c r="I13" s="91"/>
      <c r="J13" s="91"/>
      <c r="K13" s="91"/>
      <c r="L13" s="91"/>
      <c r="M13" s="91"/>
    </row>
    <row r="14" spans="2:20" ht="13.8">
      <c r="B14" s="91" t="s">
        <v>3556</v>
      </c>
      <c r="C14" s="91"/>
      <c r="D14" s="91"/>
      <c r="E14" s="91"/>
      <c r="F14" s="91"/>
      <c r="G14" s="91"/>
      <c r="H14" s="91"/>
      <c r="I14" s="91"/>
      <c r="J14" s="91"/>
      <c r="K14" s="91"/>
      <c r="L14" s="91"/>
      <c r="M14" s="91"/>
    </row>
    <row r="17" spans="2:25" ht="13.8">
      <c r="B17" s="91" t="s">
        <v>285</v>
      </c>
      <c r="C17" s="91"/>
      <c r="D17" s="91"/>
      <c r="E17" s="91"/>
      <c r="F17" s="91"/>
      <c r="G17" s="91"/>
      <c r="H17" s="91"/>
      <c r="I17" s="91"/>
      <c r="J17" s="91"/>
      <c r="K17" s="91"/>
      <c r="L17" s="91"/>
      <c r="M17" s="91"/>
    </row>
    <row r="18" spans="2:25" ht="13.8">
      <c r="B18" s="91" t="s">
        <v>286</v>
      </c>
      <c r="C18" s="91"/>
      <c r="D18" s="91"/>
      <c r="E18" s="91"/>
      <c r="F18" s="91"/>
      <c r="G18" s="91"/>
      <c r="H18" s="91"/>
      <c r="I18" s="91"/>
      <c r="J18" s="91"/>
      <c r="K18" s="91"/>
      <c r="L18" s="91"/>
      <c r="M18" s="91"/>
    </row>
    <row r="19" spans="2:25" ht="13.8">
      <c r="B19" s="91" t="s">
        <v>724</v>
      </c>
      <c r="C19" s="91"/>
      <c r="D19" s="91"/>
      <c r="E19" s="91"/>
      <c r="F19" s="91"/>
      <c r="G19" s="91"/>
      <c r="H19" s="91"/>
      <c r="I19" s="91"/>
      <c r="J19" s="91"/>
      <c r="K19" s="91"/>
      <c r="L19" s="91"/>
      <c r="M19" s="91"/>
    </row>
    <row r="20" spans="2:25" ht="13.8">
      <c r="B20" s="91" t="s">
        <v>3382</v>
      </c>
      <c r="C20" s="91"/>
      <c r="D20" s="91"/>
      <c r="E20" s="91"/>
      <c r="F20" s="91"/>
      <c r="G20" s="91" t="s">
        <v>3383</v>
      </c>
      <c r="H20" s="91"/>
      <c r="I20" s="91"/>
      <c r="J20" s="91"/>
      <c r="K20" s="91"/>
      <c r="L20" s="91"/>
      <c r="M20" s="91" t="s">
        <v>374</v>
      </c>
      <c r="Q20" s="679" t="s">
        <v>3350</v>
      </c>
    </row>
    <row r="21" spans="2:25" ht="13.8">
      <c r="B21" s="91" t="s">
        <v>3380</v>
      </c>
      <c r="C21" s="91"/>
      <c r="D21" s="91"/>
      <c r="E21" s="90" t="s">
        <v>3384</v>
      </c>
      <c r="F21" s="91"/>
      <c r="G21" s="276" t="s">
        <v>3385</v>
      </c>
      <c r="I21" s="91"/>
      <c r="J21" s="91"/>
      <c r="K21" s="91"/>
      <c r="L21" s="91"/>
      <c r="M21" s="91"/>
      <c r="P21" s="114" t="s">
        <v>3398</v>
      </c>
    </row>
    <row r="22" spans="2:25" ht="13.8">
      <c r="B22" s="91" t="str">
        <f>"Financial Statement for the year ended "&amp;IF('KEY INPUTS'!C42 = "State Fiscal Year", 'KEY INPUTS'!F47, "December 31, "&amp;'KEY INPUTS'!D34&amp;"")&amp;" is not in substantial compliance with the"</f>
        <v>Financial Statement for the year ended December 31, 2021 is not in substantial compliance with the</v>
      </c>
      <c r="C22" s="91"/>
      <c r="D22" s="91"/>
      <c r="E22" s="91"/>
      <c r="F22" s="91"/>
      <c r="G22" s="91"/>
      <c r="H22" s="1534"/>
      <c r="I22" s="1535"/>
      <c r="J22" s="91"/>
      <c r="K22" s="91"/>
      <c r="L22" s="91"/>
      <c r="M22" s="91"/>
      <c r="P22" s="114" t="s">
        <v>3381</v>
      </c>
      <c r="Y22" s="311" t="s">
        <v>3379</v>
      </c>
    </row>
    <row r="23" spans="2:25" ht="13.8">
      <c r="B23" s="91" t="s">
        <v>733</v>
      </c>
      <c r="C23" s="91"/>
      <c r="D23" s="91"/>
      <c r="E23" s="91"/>
      <c r="F23" s="91"/>
      <c r="G23" s="91"/>
      <c r="H23" s="91"/>
      <c r="I23" s="91"/>
      <c r="J23" s="91"/>
      <c r="K23" s="91"/>
      <c r="L23" s="91"/>
      <c r="M23" s="91"/>
      <c r="P23" s="789"/>
      <c r="Y23" s="311" t="s">
        <v>3380</v>
      </c>
    </row>
    <row r="24" spans="2:25" ht="13.8">
      <c r="B24" s="91" t="s">
        <v>665</v>
      </c>
      <c r="C24" s="91"/>
      <c r="D24" s="91"/>
      <c r="E24" s="91"/>
      <c r="F24" s="91"/>
      <c r="G24" s="91"/>
      <c r="H24" s="91"/>
      <c r="I24" s="91"/>
      <c r="J24" s="91"/>
      <c r="K24" s="91"/>
      <c r="L24" s="91"/>
      <c r="M24" s="91"/>
      <c r="Y24" s="311" t="s">
        <v>3378</v>
      </c>
    </row>
    <row r="25" spans="2:25" ht="13.8">
      <c r="B25" s="91" t="s">
        <v>666</v>
      </c>
      <c r="C25" s="91"/>
      <c r="D25" s="91"/>
      <c r="E25" s="91"/>
      <c r="F25" s="91"/>
      <c r="G25" s="91"/>
      <c r="H25" s="91"/>
      <c r="I25" s="91"/>
      <c r="J25" s="91"/>
      <c r="K25" s="91"/>
      <c r="L25" s="91"/>
      <c r="M25" s="91"/>
    </row>
    <row r="26" spans="2:25" ht="13.8">
      <c r="B26" s="91" t="s">
        <v>670</v>
      </c>
      <c r="C26" s="91"/>
      <c r="D26" s="91"/>
      <c r="E26" s="91"/>
      <c r="F26" s="91"/>
      <c r="G26" s="91"/>
      <c r="H26" s="91"/>
      <c r="I26" s="91"/>
      <c r="J26" s="91"/>
      <c r="K26" s="91"/>
      <c r="L26" s="91"/>
      <c r="M26" s="91"/>
    </row>
    <row r="27" spans="2:25" ht="13.8">
      <c r="B27" s="91" t="s">
        <v>671</v>
      </c>
      <c r="C27" s="91"/>
      <c r="D27" s="91"/>
      <c r="E27" s="91"/>
      <c r="F27" s="91"/>
      <c r="G27" s="91"/>
      <c r="H27" s="91"/>
      <c r="I27" s="91"/>
      <c r="J27" s="91"/>
      <c r="K27" s="91"/>
      <c r="L27" s="91"/>
      <c r="M27" s="91"/>
    </row>
    <row r="28" spans="2:25" ht="13.8">
      <c r="B28" s="91" t="s">
        <v>288</v>
      </c>
      <c r="C28" s="91"/>
      <c r="D28" s="91"/>
      <c r="E28" s="91"/>
      <c r="F28" s="91"/>
      <c r="G28" s="91"/>
      <c r="H28" s="91"/>
      <c r="I28" s="91"/>
      <c r="J28" s="91"/>
      <c r="K28" s="91"/>
      <c r="L28" s="91"/>
      <c r="M28" s="91"/>
    </row>
    <row r="29" spans="2:25" ht="13.8">
      <c r="B29" s="91" t="s">
        <v>736</v>
      </c>
      <c r="C29" s="91"/>
      <c r="D29" s="91"/>
      <c r="E29" s="91"/>
      <c r="F29" s="91"/>
      <c r="G29" s="91"/>
      <c r="H29" s="91"/>
      <c r="I29" s="91"/>
      <c r="J29" s="91"/>
      <c r="K29" s="91"/>
      <c r="L29" s="91"/>
      <c r="M29" s="91"/>
    </row>
    <row r="31" spans="2:25" ht="13.8">
      <c r="B31" s="91" t="s">
        <v>512</v>
      </c>
    </row>
    <row r="32" spans="2:25" ht="13.8">
      <c r="B32" s="91" t="s">
        <v>737</v>
      </c>
    </row>
    <row r="33" spans="2:19">
      <c r="B33" s="268"/>
      <c r="C33" s="268"/>
      <c r="D33" s="268"/>
      <c r="E33" s="268"/>
      <c r="F33" s="268"/>
      <c r="G33" s="268"/>
      <c r="H33" s="268"/>
      <c r="I33" s="268"/>
      <c r="J33" s="268"/>
      <c r="K33" s="268"/>
      <c r="L33" s="268"/>
      <c r="M33" s="268"/>
      <c r="N33" s="268"/>
      <c r="O33" s="268"/>
    </row>
    <row r="34" spans="2:19" ht="13.8">
      <c r="B34" s="1580"/>
      <c r="C34" s="1581"/>
      <c r="D34" s="1581"/>
      <c r="E34" s="1581"/>
      <c r="F34" s="1581"/>
      <c r="G34" s="1581"/>
      <c r="H34" s="1581"/>
      <c r="I34" s="1581"/>
      <c r="J34" s="1581"/>
      <c r="K34" s="1581"/>
      <c r="L34" s="1581"/>
      <c r="M34" s="1582"/>
      <c r="N34" s="276"/>
      <c r="O34" s="276"/>
    </row>
    <row r="35" spans="2:19" ht="13.8">
      <c r="B35" s="1583"/>
      <c r="C35" s="1584"/>
      <c r="D35" s="1584"/>
      <c r="E35" s="1584"/>
      <c r="F35" s="1584"/>
      <c r="G35" s="1584"/>
      <c r="H35" s="1584"/>
      <c r="I35" s="1584"/>
      <c r="J35" s="1584"/>
      <c r="K35" s="1584"/>
      <c r="L35" s="1584"/>
      <c r="M35" s="1585"/>
      <c r="N35" s="276"/>
      <c r="O35" s="276"/>
    </row>
    <row r="36" spans="2:19" ht="13.8">
      <c r="B36" s="1586"/>
      <c r="C36" s="1587"/>
      <c r="D36" s="1588"/>
      <c r="E36" s="1587"/>
      <c r="F36" s="1584"/>
      <c r="G36" s="1584"/>
      <c r="H36" s="1584"/>
      <c r="I36" s="1584"/>
      <c r="J36" s="1584"/>
      <c r="K36" s="1584"/>
      <c r="L36" s="1584"/>
      <c r="M36" s="1585"/>
      <c r="N36" s="276"/>
      <c r="O36" s="276"/>
    </row>
    <row r="37" spans="2:19" ht="13.8">
      <c r="B37" s="1586"/>
      <c r="C37" s="1587"/>
      <c r="D37" s="1587"/>
      <c r="E37" s="1587"/>
      <c r="F37" s="1584"/>
      <c r="G37" s="1584"/>
      <c r="H37" s="1584"/>
      <c r="I37" s="1584"/>
      <c r="J37" s="1584"/>
      <c r="K37" s="1584"/>
      <c r="L37" s="1584"/>
      <c r="M37" s="1585"/>
      <c r="N37" s="276"/>
      <c r="O37" s="276"/>
    </row>
    <row r="38" spans="2:19" ht="13.8">
      <c r="B38" s="1586"/>
      <c r="C38" s="1587"/>
      <c r="D38" s="1588"/>
      <c r="E38" s="1587"/>
      <c r="F38" s="1584"/>
      <c r="G38" s="1584"/>
      <c r="H38" s="1584"/>
      <c r="I38" s="1584"/>
      <c r="J38" s="1584"/>
      <c r="K38" s="1584"/>
      <c r="L38" s="1584"/>
      <c r="M38" s="1585"/>
      <c r="N38" s="276"/>
      <c r="O38" s="276"/>
    </row>
    <row r="39" spans="2:19" s="268" customFormat="1" ht="13.8">
      <c r="B39" s="1586"/>
      <c r="C39" s="1587"/>
      <c r="D39" s="1588"/>
      <c r="E39" s="1587"/>
      <c r="F39" s="1584"/>
      <c r="G39" s="1584"/>
      <c r="H39" s="1584"/>
      <c r="I39" s="1584"/>
      <c r="J39" s="1584"/>
      <c r="K39" s="1584"/>
      <c r="L39" s="1584"/>
      <c r="M39" s="1585"/>
      <c r="N39" s="276"/>
      <c r="O39" s="276"/>
      <c r="S39"/>
    </row>
    <row r="40" spans="2:19" s="268" customFormat="1" ht="13.8">
      <c r="B40" s="1586"/>
      <c r="C40" s="1587"/>
      <c r="D40" s="1587"/>
      <c r="E40" s="1587"/>
      <c r="F40" s="1584"/>
      <c r="G40" s="1584"/>
      <c r="H40" s="1584"/>
      <c r="I40" s="1584"/>
      <c r="J40" s="1584"/>
      <c r="K40" s="1584"/>
      <c r="L40" s="1584"/>
      <c r="M40" s="1585"/>
      <c r="N40" s="276"/>
      <c r="O40" s="276"/>
    </row>
    <row r="41" spans="2:19" ht="13.8">
      <c r="B41" s="1586"/>
      <c r="C41" s="1589"/>
      <c r="D41" s="1588"/>
      <c r="E41" s="1587"/>
      <c r="F41" s="1584"/>
      <c r="G41" s="1584"/>
      <c r="H41" s="1584"/>
      <c r="I41" s="1584"/>
      <c r="J41" s="1584"/>
      <c r="K41" s="1584"/>
      <c r="L41" s="1584"/>
      <c r="M41" s="1585"/>
      <c r="N41" s="276"/>
      <c r="O41" s="276"/>
    </row>
    <row r="42" spans="2:19" ht="13.8">
      <c r="B42" s="1586"/>
      <c r="C42" s="1587"/>
      <c r="D42" s="1588"/>
      <c r="E42" s="1587"/>
      <c r="F42" s="1584"/>
      <c r="G42" s="1584"/>
      <c r="H42" s="1584"/>
      <c r="I42" s="1584"/>
      <c r="J42" s="1584"/>
      <c r="K42" s="1584"/>
      <c r="L42" s="1584"/>
      <c r="M42" s="1585"/>
      <c r="N42" s="276"/>
      <c r="O42" s="276"/>
    </row>
    <row r="43" spans="2:19" ht="13.8">
      <c r="B43" s="1586"/>
      <c r="C43" s="1587"/>
      <c r="D43" s="1587"/>
      <c r="E43" s="1587"/>
      <c r="F43" s="1584"/>
      <c r="G43" s="1584"/>
      <c r="H43" s="1584"/>
      <c r="I43" s="1584"/>
      <c r="J43" s="1584"/>
      <c r="K43" s="1584"/>
      <c r="L43" s="1584"/>
      <c r="M43" s="1585"/>
      <c r="N43" s="276"/>
      <c r="O43" s="276"/>
    </row>
    <row r="44" spans="2:19" ht="13.8">
      <c r="B44" s="1586"/>
      <c r="C44" s="1587"/>
      <c r="D44" s="1588"/>
      <c r="E44" s="1587"/>
      <c r="F44" s="1584"/>
      <c r="G44" s="1584"/>
      <c r="H44" s="1584"/>
      <c r="I44" s="1584"/>
      <c r="J44" s="1584"/>
      <c r="K44" s="1584"/>
      <c r="L44" s="1584"/>
      <c r="M44" s="1585"/>
      <c r="N44" s="276"/>
      <c r="O44" s="276"/>
    </row>
    <row r="45" spans="2:19" ht="13.8">
      <c r="B45" s="1586"/>
      <c r="C45" s="1587"/>
      <c r="D45" s="1588"/>
      <c r="E45" s="1587"/>
      <c r="F45" s="1584"/>
      <c r="G45" s="1584"/>
      <c r="H45" s="1584"/>
      <c r="I45" s="1584"/>
      <c r="J45" s="1584"/>
      <c r="K45" s="1584"/>
      <c r="L45" s="1584"/>
      <c r="M45" s="1585"/>
      <c r="N45" s="276"/>
      <c r="O45" s="276"/>
    </row>
    <row r="46" spans="2:19" ht="13.8">
      <c r="B46" s="1586"/>
      <c r="C46" s="1587"/>
      <c r="D46" s="1587"/>
      <c r="E46" s="1587"/>
      <c r="F46" s="1584"/>
      <c r="G46" s="1584"/>
      <c r="H46" s="1584"/>
      <c r="I46" s="1584"/>
      <c r="J46" s="1584"/>
      <c r="K46" s="1584"/>
      <c r="L46" s="1584"/>
      <c r="M46" s="1585"/>
      <c r="N46" s="276"/>
      <c r="O46" s="276"/>
    </row>
    <row r="47" spans="2:19" ht="13.8">
      <c r="B47" s="1586"/>
      <c r="C47" s="1587"/>
      <c r="D47" s="1587"/>
      <c r="E47" s="1587"/>
      <c r="F47" s="1584"/>
      <c r="G47" s="1584"/>
      <c r="H47" s="1584"/>
      <c r="I47" s="1584"/>
      <c r="J47" s="1584"/>
      <c r="K47" s="1584"/>
      <c r="L47" s="1584"/>
      <c r="M47" s="1585"/>
      <c r="N47" s="276"/>
      <c r="O47" s="276"/>
    </row>
    <row r="48" spans="2:19" ht="13.8">
      <c r="B48" s="1590"/>
      <c r="C48" s="1591"/>
      <c r="D48" s="1591"/>
      <c r="E48" s="1591"/>
      <c r="F48" s="1592"/>
      <c r="G48" s="1592"/>
      <c r="H48" s="1592"/>
      <c r="I48" s="1592"/>
      <c r="J48" s="1592"/>
      <c r="K48" s="1592"/>
      <c r="L48" s="1592"/>
      <c r="M48" s="1593"/>
      <c r="N48" s="276"/>
      <c r="O48" s="276"/>
    </row>
    <row r="49" spans="2:13">
      <c r="B49" s="300"/>
      <c r="C49" s="300"/>
      <c r="D49" s="300"/>
      <c r="E49" s="300"/>
    </row>
    <row r="50" spans="2:13">
      <c r="I50" s="1647" t="str">
        <f>IF('KEY INPUTS'!D22=0,"NO ENTRY",'KEY INPUTS'!D22)</f>
        <v>NO ENTRY</v>
      </c>
      <c r="J50" s="1647"/>
      <c r="K50" s="1647"/>
      <c r="L50" s="1647"/>
      <c r="M50" s="1647"/>
    </row>
    <row r="51" spans="2:13">
      <c r="I51" s="1652" t="s">
        <v>649</v>
      </c>
      <c r="J51" s="1652"/>
      <c r="K51" s="1652"/>
      <c r="L51" s="1652"/>
      <c r="M51" s="1652"/>
    </row>
    <row r="53" spans="2:13">
      <c r="I53" s="1651"/>
      <c r="J53" s="1651"/>
      <c r="K53" s="1651"/>
      <c r="L53" s="1651"/>
      <c r="M53" s="1651"/>
    </row>
    <row r="54" spans="2:13">
      <c r="I54" s="1652" t="s">
        <v>650</v>
      </c>
      <c r="J54" s="1652"/>
      <c r="K54" s="1652"/>
      <c r="L54" s="1652"/>
      <c r="M54" s="1652"/>
    </row>
    <row r="56" spans="2:13">
      <c r="I56" s="1651"/>
      <c r="J56" s="1651"/>
      <c r="K56" s="1651"/>
      <c r="L56" s="1651"/>
      <c r="M56" s="1651"/>
    </row>
    <row r="57" spans="2:13">
      <c r="I57" s="1652" t="s">
        <v>651</v>
      </c>
      <c r="J57" s="1652"/>
      <c r="K57" s="1652"/>
      <c r="L57" s="1652"/>
      <c r="M57" s="1652"/>
    </row>
    <row r="59" spans="2:13">
      <c r="B59" t="s">
        <v>646</v>
      </c>
      <c r="I59" s="1651"/>
      <c r="J59" s="1651"/>
      <c r="K59" s="1651"/>
      <c r="L59" s="1651"/>
      <c r="M59" s="1651"/>
    </row>
    <row r="60" spans="2:13">
      <c r="I60" s="1652" t="s">
        <v>651</v>
      </c>
      <c r="J60" s="1652"/>
      <c r="K60" s="1652"/>
      <c r="L60" s="1652"/>
      <c r="M60" s="1652"/>
    </row>
    <row r="61" spans="2:13">
      <c r="B61" t="s">
        <v>647</v>
      </c>
      <c r="C61" s="680"/>
      <c r="D61" t="s">
        <v>648</v>
      </c>
      <c r="E61" s="1654"/>
      <c r="F61" s="1651"/>
      <c r="G61" s="1651"/>
      <c r="H61" s="273" t="str">
        <f>", "&amp;TEXT('KEY INPUTS'!D33,"0")</f>
        <v>, 2022</v>
      </c>
    </row>
    <row r="62" spans="2:13">
      <c r="C62" s="128"/>
      <c r="E62" s="128"/>
      <c r="F62" s="128"/>
      <c r="G62" s="128"/>
      <c r="I62" s="42"/>
      <c r="J62" s="1651"/>
      <c r="K62" s="1651"/>
      <c r="L62" s="1651"/>
      <c r="M62" s="42"/>
    </row>
    <row r="63" spans="2:13">
      <c r="I63" s="1655" t="s">
        <v>652</v>
      </c>
      <c r="J63" s="1652"/>
      <c r="K63" s="1652"/>
      <c r="L63" s="1652"/>
      <c r="M63" s="1655"/>
    </row>
    <row r="65" spans="1:14">
      <c r="I65" s="42"/>
      <c r="J65" s="1651"/>
      <c r="K65" s="1651"/>
      <c r="L65" s="1651"/>
      <c r="M65" s="42"/>
    </row>
    <row r="66" spans="1:14">
      <c r="I66" s="1655" t="s">
        <v>83</v>
      </c>
      <c r="J66" s="1652"/>
      <c r="K66" s="1652"/>
      <c r="L66" s="1652"/>
      <c r="M66" s="1655"/>
    </row>
    <row r="70" spans="1:14" ht="13.8">
      <c r="A70" s="1618" t="s">
        <v>819</v>
      </c>
      <c r="B70" s="1618"/>
      <c r="C70" s="1618"/>
      <c r="D70" s="1618"/>
      <c r="E70" s="1618"/>
      <c r="F70" s="1618"/>
      <c r="G70" s="1618"/>
      <c r="H70" s="1618"/>
      <c r="I70" s="1618"/>
      <c r="J70" s="1618"/>
      <c r="K70" s="1618"/>
      <c r="L70" s="1618"/>
      <c r="M70" s="1618"/>
      <c r="N70" s="1618"/>
    </row>
  </sheetData>
  <sheetProtection algorithmName="SHA-512" hashValue="UEOrJgTjUJq/8+6FfwINkoOU3vYt0k8ebVKyoklLvOLwSSOIj3nR1kNgsO3m1kFCIdh5hwjNeGrLx581Z8PyJA==" saltValue="T0ULJIdezHwMcTG+rHk6jw==" spinCount="100000" sheet="1" objects="1" scenarios="1"/>
  <mergeCells count="16">
    <mergeCell ref="A70:N70"/>
    <mergeCell ref="I60:M60"/>
    <mergeCell ref="J62:L62"/>
    <mergeCell ref="I56:M56"/>
    <mergeCell ref="I57:M57"/>
    <mergeCell ref="J65:L65"/>
    <mergeCell ref="I63:M63"/>
    <mergeCell ref="I66:M66"/>
    <mergeCell ref="I59:M59"/>
    <mergeCell ref="I53:M53"/>
    <mergeCell ref="I54:M54"/>
    <mergeCell ref="I10:L10"/>
    <mergeCell ref="F10:G10"/>
    <mergeCell ref="E61:G61"/>
    <mergeCell ref="I50:M50"/>
    <mergeCell ref="I51:M51"/>
  </mergeCells>
  <phoneticPr fontId="0" type="noConversion"/>
  <conditionalFormatting sqref="G20">
    <cfRule type="expression" dxfId="9" priority="4">
      <formula>UPPER($P$23)="N"</formula>
    </cfRule>
  </conditionalFormatting>
  <conditionalFormatting sqref="B21">
    <cfRule type="expression" dxfId="8" priority="3">
      <formula>UPPER($P$23)="Y"</formula>
    </cfRule>
  </conditionalFormatting>
  <conditionalFormatting sqref="E21">
    <cfRule type="expression" dxfId="7" priority="1">
      <formula>UPPER($P$23)="N"</formula>
    </cfRule>
    <cfRule type="expression" dxfId="6" priority="2">
      <formula>UPPER($P$23)="Y"</formula>
    </cfRule>
  </conditionalFormatting>
  <pageMargins left="0.25" right="0.25" top="0.5" bottom="0.5" header="0.25" footer="0.25"/>
  <pageSetup paperSize="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C4:P67"/>
  <sheetViews>
    <sheetView topLeftCell="A46" zoomScaleNormal="100" workbookViewId="0">
      <selection activeCell="H50" sqref="H50:L50"/>
    </sheetView>
  </sheetViews>
  <sheetFormatPr defaultRowHeight="13.2"/>
  <cols>
    <col min="1" max="5" width="4.6640625" customWidth="1"/>
    <col min="13" max="13" width="11.109375" customWidth="1"/>
  </cols>
  <sheetData>
    <row r="4" spans="3:13" ht="15.6">
      <c r="C4" s="1656" t="s">
        <v>655</v>
      </c>
      <c r="D4" s="1656"/>
      <c r="E4" s="1656"/>
      <c r="F4" s="1656"/>
      <c r="G4" s="1656"/>
      <c r="H4" s="1656"/>
      <c r="I4" s="1656"/>
      <c r="J4" s="1656"/>
      <c r="K4" s="1656"/>
      <c r="L4" s="1656"/>
      <c r="M4" s="1656"/>
    </row>
    <row r="5" spans="3:13" ht="15.6">
      <c r="C5" s="1656" t="s">
        <v>656</v>
      </c>
      <c r="D5" s="1656"/>
      <c r="E5" s="1656"/>
      <c r="F5" s="1656"/>
      <c r="G5" s="1656"/>
      <c r="H5" s="1656"/>
      <c r="I5" s="1656"/>
      <c r="J5" s="1656"/>
      <c r="K5" s="1656"/>
      <c r="L5" s="1656"/>
      <c r="M5" s="1656"/>
    </row>
    <row r="6" spans="3:13" ht="15.6">
      <c r="C6" s="1656" t="s">
        <v>657</v>
      </c>
      <c r="D6" s="1656"/>
      <c r="E6" s="1656"/>
      <c r="F6" s="1656"/>
      <c r="G6" s="1656"/>
      <c r="H6" s="1656"/>
      <c r="I6" s="1656"/>
      <c r="J6" s="1656"/>
      <c r="K6" s="1656"/>
      <c r="L6" s="1656"/>
      <c r="M6" s="1656"/>
    </row>
    <row r="9" spans="3:13">
      <c r="D9" s="167" t="s">
        <v>658</v>
      </c>
    </row>
    <row r="10" spans="3:13">
      <c r="D10" s="167" t="s">
        <v>659</v>
      </c>
    </row>
    <row r="11" spans="3:13" ht="13.8" thickBot="1"/>
    <row r="12" spans="3:13">
      <c r="C12" s="168"/>
      <c r="D12" s="169"/>
      <c r="E12" s="169"/>
      <c r="F12" s="169"/>
      <c r="G12" s="169"/>
      <c r="H12" s="169"/>
      <c r="I12" s="169"/>
      <c r="J12" s="169"/>
      <c r="K12" s="169"/>
      <c r="L12" s="169"/>
      <c r="M12" s="170"/>
    </row>
    <row r="13" spans="3:13">
      <c r="C13" s="171"/>
      <c r="D13" s="1657" t="s">
        <v>660</v>
      </c>
      <c r="E13" s="1657"/>
      <c r="F13" s="1657"/>
      <c r="G13" s="1657"/>
      <c r="H13" s="1657"/>
      <c r="I13" s="1657"/>
      <c r="J13" s="1657"/>
      <c r="K13" s="1657"/>
      <c r="L13" s="1657"/>
      <c r="M13" s="172"/>
    </row>
    <row r="14" spans="3:13">
      <c r="C14" s="171"/>
      <c r="D14" s="42"/>
      <c r="E14" s="42"/>
      <c r="F14" s="42"/>
      <c r="G14" s="42"/>
      <c r="H14" s="42"/>
      <c r="I14" s="42"/>
      <c r="J14" s="42"/>
      <c r="K14" s="42"/>
      <c r="L14" s="42"/>
      <c r="M14" s="172"/>
    </row>
    <row r="15" spans="3:13">
      <c r="C15" s="171"/>
      <c r="D15" s="173" t="s">
        <v>292</v>
      </c>
      <c r="E15" s="42"/>
      <c r="F15" s="42" t="s">
        <v>661</v>
      </c>
      <c r="G15" s="42"/>
      <c r="H15" s="42"/>
      <c r="I15" s="42"/>
      <c r="J15" s="42"/>
      <c r="K15" s="42"/>
      <c r="L15" s="42"/>
      <c r="M15" s="172"/>
    </row>
    <row r="16" spans="3:13">
      <c r="C16" s="171"/>
      <c r="D16" s="173"/>
      <c r="E16" s="42"/>
      <c r="F16" s="42"/>
      <c r="G16" s="42"/>
      <c r="H16" s="42"/>
      <c r="I16" s="42"/>
      <c r="J16" s="42"/>
      <c r="K16" s="42"/>
      <c r="L16" s="42"/>
      <c r="M16" s="172"/>
    </row>
    <row r="17" spans="3:16">
      <c r="C17" s="171"/>
      <c r="D17" s="173" t="s">
        <v>293</v>
      </c>
      <c r="E17" s="42"/>
      <c r="F17" s="42" t="s">
        <v>663</v>
      </c>
      <c r="G17" s="42"/>
      <c r="H17" s="42"/>
      <c r="I17" s="42"/>
      <c r="J17" s="42"/>
      <c r="K17" s="42"/>
      <c r="L17" s="42"/>
      <c r="M17" s="172"/>
    </row>
    <row r="18" spans="3:16">
      <c r="C18" s="171"/>
      <c r="D18" s="173"/>
      <c r="E18" s="42"/>
      <c r="F18" s="42" t="s">
        <v>662</v>
      </c>
      <c r="G18" s="42"/>
      <c r="H18" s="42"/>
      <c r="I18" s="42"/>
      <c r="J18" s="42"/>
      <c r="K18" s="42"/>
      <c r="L18" s="42"/>
      <c r="M18" s="172"/>
    </row>
    <row r="19" spans="3:16">
      <c r="C19" s="171"/>
      <c r="D19" s="173"/>
      <c r="E19" s="42"/>
      <c r="F19" s="42"/>
      <c r="G19" s="42"/>
      <c r="H19" s="42"/>
      <c r="I19" s="42"/>
      <c r="J19" s="42"/>
      <c r="K19" s="42"/>
      <c r="L19" s="42"/>
      <c r="M19" s="172"/>
    </row>
    <row r="20" spans="3:16">
      <c r="C20" s="171"/>
      <c r="D20" s="173" t="s">
        <v>294</v>
      </c>
      <c r="E20" s="42"/>
      <c r="F20" s="42" t="s">
        <v>631</v>
      </c>
      <c r="G20" s="42"/>
      <c r="H20" s="42"/>
      <c r="I20" s="42"/>
      <c r="J20" s="42"/>
      <c r="K20" s="42"/>
      <c r="L20" s="42"/>
      <c r="M20" s="172"/>
    </row>
    <row r="21" spans="3:16">
      <c r="C21" s="171"/>
      <c r="D21" s="173"/>
      <c r="E21" s="42"/>
      <c r="F21" s="42"/>
      <c r="G21" s="42"/>
      <c r="H21" s="42"/>
      <c r="I21" s="42"/>
      <c r="J21" s="42"/>
      <c r="K21" s="42"/>
      <c r="L21" s="42"/>
      <c r="M21" s="172"/>
    </row>
    <row r="22" spans="3:16">
      <c r="C22" s="171"/>
      <c r="D22" s="173" t="s">
        <v>295</v>
      </c>
      <c r="E22" s="42"/>
      <c r="F22" s="42" t="s">
        <v>821</v>
      </c>
      <c r="G22" s="42"/>
      <c r="H22" s="42"/>
      <c r="I22" s="42"/>
      <c r="J22" s="42"/>
      <c r="K22" s="42"/>
      <c r="L22" s="42"/>
      <c r="M22" s="172"/>
    </row>
    <row r="23" spans="3:16">
      <c r="C23" s="171"/>
      <c r="D23" s="173"/>
      <c r="E23" s="42"/>
      <c r="F23" s="42"/>
      <c r="G23" s="42"/>
      <c r="H23" s="42"/>
      <c r="I23" s="42"/>
      <c r="J23" s="42"/>
      <c r="K23" s="42"/>
      <c r="L23" s="42"/>
      <c r="M23" s="172"/>
    </row>
    <row r="24" spans="3:16">
      <c r="C24" s="171"/>
      <c r="D24" s="173" t="s">
        <v>296</v>
      </c>
      <c r="E24" s="42"/>
      <c r="F24" s="42" t="s">
        <v>72</v>
      </c>
      <c r="G24" s="42"/>
      <c r="H24" s="42"/>
      <c r="I24" s="42"/>
      <c r="J24" s="42"/>
      <c r="K24" s="42"/>
      <c r="L24" s="42"/>
      <c r="M24" s="172"/>
    </row>
    <row r="25" spans="3:16">
      <c r="C25" s="171"/>
      <c r="D25" s="173"/>
      <c r="E25" s="42"/>
      <c r="F25" s="42" t="s">
        <v>822</v>
      </c>
      <c r="G25" s="42"/>
      <c r="H25" s="42"/>
      <c r="I25" s="42"/>
      <c r="J25" s="42"/>
      <c r="K25" s="42"/>
      <c r="L25" s="42"/>
      <c r="M25" s="172"/>
    </row>
    <row r="26" spans="3:16">
      <c r="C26" s="171"/>
      <c r="D26" s="173"/>
      <c r="E26" s="42"/>
      <c r="F26" s="42"/>
      <c r="G26" s="42"/>
      <c r="H26" s="42"/>
      <c r="I26" s="42"/>
      <c r="J26" s="42"/>
      <c r="K26" s="42"/>
      <c r="L26" s="42"/>
      <c r="M26" s="172"/>
    </row>
    <row r="27" spans="3:16">
      <c r="C27" s="171"/>
      <c r="D27" s="173" t="s">
        <v>297</v>
      </c>
      <c r="E27" s="42"/>
      <c r="F27" s="42" t="s">
        <v>73</v>
      </c>
      <c r="G27" s="42"/>
      <c r="H27" s="42"/>
      <c r="I27" s="42"/>
      <c r="J27" s="42"/>
      <c r="K27" s="42"/>
      <c r="L27" s="42"/>
      <c r="M27" s="172"/>
    </row>
    <row r="28" spans="3:16">
      <c r="C28" s="171"/>
      <c r="D28" s="173"/>
      <c r="E28" s="42"/>
      <c r="F28" s="42"/>
      <c r="G28" s="42"/>
      <c r="H28" s="42"/>
      <c r="I28" s="42"/>
      <c r="J28" s="42"/>
      <c r="K28" s="42"/>
      <c r="L28" s="42"/>
      <c r="M28" s="172"/>
    </row>
    <row r="29" spans="3:16">
      <c r="C29" s="171"/>
      <c r="D29" s="173" t="s">
        <v>298</v>
      </c>
      <c r="E29" s="42"/>
      <c r="F29" s="350" t="s">
        <v>3536</v>
      </c>
      <c r="G29" s="42"/>
      <c r="H29" s="42"/>
      <c r="I29" s="42"/>
      <c r="J29" s="42"/>
      <c r="K29" s="42"/>
      <c r="L29" s="42"/>
      <c r="M29" s="172"/>
      <c r="P29" s="356"/>
    </row>
    <row r="30" spans="3:16">
      <c r="C30" s="171"/>
      <c r="D30" s="173"/>
      <c r="E30" s="42"/>
      <c r="F30" s="42" t="s">
        <v>88</v>
      </c>
      <c r="G30" s="42"/>
      <c r="H30" s="42"/>
      <c r="I30" s="42"/>
      <c r="J30" s="42"/>
      <c r="K30" s="42"/>
      <c r="L30" s="42"/>
      <c r="M30" s="172"/>
    </row>
    <row r="31" spans="3:16">
      <c r="C31" s="171"/>
      <c r="D31" s="173"/>
      <c r="E31" s="42"/>
      <c r="F31" s="42"/>
      <c r="G31" s="42"/>
      <c r="H31" s="42"/>
      <c r="I31" s="42"/>
      <c r="J31" s="42"/>
      <c r="K31" s="42"/>
      <c r="L31" s="42"/>
      <c r="M31" s="172"/>
    </row>
    <row r="32" spans="3:16">
      <c r="C32" s="171"/>
      <c r="D32" s="173" t="s">
        <v>384</v>
      </c>
      <c r="E32" s="42"/>
      <c r="F32" s="350" t="s">
        <v>3537</v>
      </c>
      <c r="G32" s="42"/>
      <c r="H32" s="42"/>
      <c r="I32" s="42"/>
      <c r="J32" s="42"/>
      <c r="K32" s="42"/>
      <c r="L32" s="42"/>
      <c r="M32" s="172"/>
    </row>
    <row r="33" spans="3:13">
      <c r="C33" s="171"/>
      <c r="D33" s="173"/>
      <c r="E33" s="42"/>
      <c r="F33" s="42" t="s">
        <v>483</v>
      </c>
      <c r="G33" s="42"/>
      <c r="H33" s="42"/>
      <c r="I33" s="42"/>
      <c r="J33" s="42"/>
      <c r="K33" s="42"/>
      <c r="L33" s="42"/>
      <c r="M33" s="172"/>
    </row>
    <row r="34" spans="3:13">
      <c r="C34" s="171"/>
      <c r="D34" s="173"/>
      <c r="E34" s="42"/>
      <c r="F34" s="42"/>
      <c r="G34" s="42"/>
      <c r="H34" s="42"/>
      <c r="I34" s="42"/>
      <c r="J34" s="42"/>
      <c r="K34" s="42"/>
      <c r="L34" s="42"/>
      <c r="M34" s="172"/>
    </row>
    <row r="35" spans="3:13">
      <c r="C35" s="171"/>
      <c r="D35" s="173" t="s">
        <v>385</v>
      </c>
      <c r="E35" s="42"/>
      <c r="F35" s="350" t="s">
        <v>3535</v>
      </c>
      <c r="G35" s="42"/>
      <c r="H35" s="42"/>
      <c r="I35" s="42"/>
      <c r="J35" s="42"/>
      <c r="K35" s="42"/>
      <c r="L35" s="42"/>
      <c r="M35" s="172"/>
    </row>
    <row r="36" spans="3:13">
      <c r="C36" s="171"/>
      <c r="D36" s="173"/>
      <c r="E36" s="42"/>
      <c r="F36" s="42"/>
      <c r="G36" s="42"/>
      <c r="H36" s="42"/>
      <c r="I36" s="42"/>
      <c r="J36" s="42"/>
      <c r="K36" s="42"/>
      <c r="L36" s="42"/>
      <c r="M36" s="172"/>
    </row>
    <row r="37" spans="3:13">
      <c r="C37" s="171"/>
      <c r="D37" s="173" t="s">
        <v>386</v>
      </c>
      <c r="E37" s="42"/>
      <c r="F37" s="274" t="str">
        <f>"The municipality has not applied for Transitional Aid for "&amp;IF('KEY INPUTS'!C42="State Fiscal Year","Fiscal Year "&amp;TEXT('KEY INPUTS'!D33+1,"0")&amp;"",'KEY INPUTS'!D33)&amp;"."</f>
        <v>The municipality has not applied for Transitional Aid for 2022.</v>
      </c>
      <c r="G37" s="42"/>
      <c r="H37" s="42"/>
      <c r="I37" s="42"/>
      <c r="J37" s="42"/>
      <c r="K37" s="42"/>
      <c r="L37" s="42"/>
      <c r="M37" s="172"/>
    </row>
    <row r="38" spans="3:13" s="309" customFormat="1">
      <c r="C38" s="171"/>
      <c r="D38" s="173"/>
      <c r="E38" s="274"/>
      <c r="F38" s="274"/>
      <c r="G38" s="274"/>
      <c r="H38" s="274"/>
      <c r="I38" s="274"/>
      <c r="J38" s="274"/>
      <c r="K38" s="274"/>
      <c r="L38" s="274"/>
      <c r="M38" s="172"/>
    </row>
    <row r="39" spans="3:13" s="309" customFormat="1">
      <c r="C39" s="171"/>
      <c r="D39" s="173" t="s">
        <v>223</v>
      </c>
      <c r="E39" s="274"/>
      <c r="F39" s="350" t="s">
        <v>3534</v>
      </c>
      <c r="G39" s="274"/>
      <c r="H39" s="274"/>
      <c r="I39" s="274"/>
      <c r="J39" s="274"/>
      <c r="K39" s="274"/>
      <c r="L39" s="274"/>
      <c r="M39" s="172"/>
    </row>
    <row r="40" spans="3:13" s="309" customFormat="1">
      <c r="C40" s="171"/>
      <c r="D40" s="173"/>
      <c r="E40" s="274"/>
      <c r="F40" s="350" t="s">
        <v>3533</v>
      </c>
      <c r="G40" s="274"/>
      <c r="H40" s="274"/>
      <c r="I40" s="274"/>
      <c r="J40" s="274"/>
      <c r="K40" s="274"/>
      <c r="L40" s="274"/>
      <c r="M40" s="172"/>
    </row>
    <row r="41" spans="3:13">
      <c r="C41" s="171"/>
      <c r="D41" s="173"/>
      <c r="E41" s="42"/>
      <c r="F41" s="42"/>
      <c r="G41" s="42"/>
      <c r="H41" s="42"/>
      <c r="I41" s="42"/>
      <c r="J41" s="42"/>
      <c r="K41" s="42"/>
      <c r="L41" s="42"/>
      <c r="M41" s="172"/>
    </row>
    <row r="42" spans="3:13">
      <c r="C42" s="171"/>
      <c r="D42" s="42" t="s">
        <v>158</v>
      </c>
      <c r="E42" s="42"/>
      <c r="F42" s="42"/>
      <c r="G42" s="42"/>
      <c r="H42" s="42"/>
      <c r="I42" s="42"/>
      <c r="J42" s="42"/>
      <c r="K42" s="42"/>
      <c r="L42" s="42"/>
      <c r="M42" s="172"/>
    </row>
    <row r="43" spans="3:13">
      <c r="C43" s="171"/>
      <c r="D43" s="178" t="s">
        <v>767</v>
      </c>
      <c r="E43" s="42"/>
      <c r="F43" s="42"/>
      <c r="G43" s="42"/>
      <c r="H43" s="42"/>
      <c r="I43" s="42"/>
      <c r="J43" s="42"/>
      <c r="K43" s="42"/>
      <c r="L43" s="42"/>
      <c r="M43" s="172"/>
    </row>
    <row r="44" spans="3:13">
      <c r="C44" s="171"/>
      <c r="D44" s="350" t="s">
        <v>3557</v>
      </c>
      <c r="E44" s="42"/>
      <c r="F44" s="42"/>
      <c r="G44" s="42"/>
      <c r="H44" s="42"/>
      <c r="I44" s="42"/>
      <c r="J44" s="42"/>
      <c r="K44" s="42"/>
      <c r="L44" s="42"/>
      <c r="M44" s="172"/>
    </row>
    <row r="45" spans="3:13">
      <c r="C45" s="171"/>
      <c r="D45" s="173"/>
      <c r="E45" s="42"/>
      <c r="F45" s="42"/>
      <c r="G45" s="42"/>
      <c r="H45" s="42"/>
      <c r="I45" s="42"/>
      <c r="J45" s="42"/>
      <c r="K45" s="42"/>
      <c r="L45" s="42"/>
      <c r="M45" s="172"/>
    </row>
    <row r="46" spans="3:13" ht="21" customHeight="1">
      <c r="C46" s="171"/>
      <c r="D46" s="177" t="s">
        <v>74</v>
      </c>
      <c r="E46" s="42"/>
      <c r="F46" s="42"/>
      <c r="G46" s="42"/>
      <c r="H46" s="1658" t="str">
        <f>'KEY INPUTS'!D9</f>
        <v>BOROUGH OF WENONAH</v>
      </c>
      <c r="I46" s="1658"/>
      <c r="J46" s="1658"/>
      <c r="K46" s="1658"/>
      <c r="L46" s="1658"/>
      <c r="M46" s="172"/>
    </row>
    <row r="47" spans="3:13" ht="21" customHeight="1">
      <c r="C47" s="171"/>
      <c r="D47" s="177" t="s">
        <v>75</v>
      </c>
      <c r="E47" s="42"/>
      <c r="F47" s="42"/>
      <c r="G47" s="42"/>
      <c r="H47" s="1641" t="s">
        <v>3655</v>
      </c>
      <c r="I47" s="1642"/>
      <c r="J47" s="1642"/>
      <c r="K47" s="1642"/>
      <c r="L47" s="1642"/>
      <c r="M47" s="172"/>
    </row>
    <row r="48" spans="3:13" ht="21" customHeight="1">
      <c r="C48" s="171"/>
      <c r="D48" s="177" t="s">
        <v>117</v>
      </c>
      <c r="E48" s="42"/>
      <c r="F48" s="42"/>
      <c r="G48" s="42"/>
      <c r="H48" s="1641" t="s">
        <v>3658</v>
      </c>
      <c r="I48" s="1642"/>
      <c r="J48" s="1642"/>
      <c r="K48" s="1642"/>
      <c r="L48" s="1642"/>
      <c r="M48" s="172"/>
    </row>
    <row r="49" spans="3:15" ht="21" customHeight="1">
      <c r="C49" s="171"/>
      <c r="D49" s="147" t="s">
        <v>76</v>
      </c>
      <c r="E49" s="42"/>
      <c r="F49" s="42"/>
      <c r="G49" s="42"/>
      <c r="H49" s="1641" t="s">
        <v>3656</v>
      </c>
      <c r="I49" s="1642"/>
      <c r="J49" s="1642"/>
      <c r="K49" s="1642"/>
      <c r="L49" s="1642"/>
      <c r="M49" s="172"/>
    </row>
    <row r="50" spans="3:15" ht="21" customHeight="1">
      <c r="C50" s="171"/>
      <c r="D50" s="147" t="s">
        <v>653</v>
      </c>
      <c r="E50" s="42"/>
      <c r="F50" s="42"/>
      <c r="G50" s="42"/>
      <c r="H50" s="1641" t="s">
        <v>3133</v>
      </c>
      <c r="I50" s="1641"/>
      <c r="J50" s="1641"/>
      <c r="K50" s="1641"/>
      <c r="L50" s="1641"/>
      <c r="M50" s="172"/>
    </row>
    <row r="51" spans="3:15" ht="13.8" thickBot="1">
      <c r="C51" s="174"/>
      <c r="D51" s="175"/>
      <c r="E51" s="175"/>
      <c r="F51" s="175"/>
      <c r="G51" s="175"/>
      <c r="H51" s="175"/>
      <c r="I51" s="175"/>
      <c r="J51" s="175"/>
      <c r="K51" s="175"/>
      <c r="L51" s="175"/>
      <c r="M51" s="176"/>
    </row>
    <row r="52" spans="3:15" ht="13.8" thickBot="1">
      <c r="O52" s="723"/>
    </row>
    <row r="53" spans="3:15">
      <c r="C53" s="168"/>
      <c r="D53" s="169"/>
      <c r="E53" s="169"/>
      <c r="F53" s="169"/>
      <c r="G53" s="169"/>
      <c r="H53" s="169"/>
      <c r="I53" s="169"/>
      <c r="J53" s="169"/>
      <c r="K53" s="169"/>
      <c r="L53" s="169"/>
      <c r="M53" s="170"/>
    </row>
    <row r="54" spans="3:15">
      <c r="C54" s="171"/>
      <c r="D54" s="1657" t="s">
        <v>823</v>
      </c>
      <c r="E54" s="1657"/>
      <c r="F54" s="1657"/>
      <c r="G54" s="1657"/>
      <c r="H54" s="1657"/>
      <c r="I54" s="1657"/>
      <c r="J54" s="1657"/>
      <c r="K54" s="1657"/>
      <c r="L54" s="1657"/>
      <c r="M54" s="172"/>
    </row>
    <row r="55" spans="3:15">
      <c r="C55" s="171"/>
      <c r="D55" s="42"/>
      <c r="E55" s="42"/>
      <c r="F55" s="42"/>
      <c r="G55" s="42"/>
      <c r="H55" s="42"/>
      <c r="I55" s="42"/>
      <c r="J55" s="42"/>
      <c r="K55" s="42"/>
      <c r="L55" s="42"/>
      <c r="M55" s="172"/>
    </row>
    <row r="56" spans="3:15">
      <c r="C56" s="171"/>
      <c r="D56" s="42" t="s">
        <v>3349</v>
      </c>
      <c r="E56" s="42"/>
      <c r="F56" s="42"/>
      <c r="G56" s="42"/>
      <c r="H56" s="42"/>
      <c r="I56" s="42"/>
      <c r="J56" s="42"/>
      <c r="K56" s="42"/>
      <c r="L56" s="42"/>
      <c r="M56" s="172"/>
    </row>
    <row r="57" spans="3:15">
      <c r="C57" s="171"/>
      <c r="D57" s="635"/>
      <c r="E57" s="635"/>
      <c r="F57" s="635"/>
      <c r="G57" s="178" t="s">
        <v>3480</v>
      </c>
      <c r="H57" s="42"/>
      <c r="I57" s="42"/>
      <c r="J57" s="42"/>
      <c r="K57" s="42"/>
      <c r="L57" s="42"/>
      <c r="M57" s="172"/>
    </row>
    <row r="58" spans="3:15">
      <c r="C58" s="171"/>
      <c r="D58" s="42" t="s">
        <v>119</v>
      </c>
      <c r="E58" s="42"/>
      <c r="F58" s="42"/>
      <c r="G58" s="42"/>
      <c r="H58" s="42"/>
      <c r="I58" s="42"/>
      <c r="J58" s="42"/>
      <c r="K58" s="42"/>
      <c r="L58" s="42"/>
      <c r="M58" s="172"/>
    </row>
    <row r="59" spans="3:15">
      <c r="C59" s="171"/>
      <c r="D59" s="42"/>
      <c r="E59" s="42"/>
      <c r="F59" s="42"/>
      <c r="G59" s="42"/>
      <c r="H59" s="42"/>
      <c r="I59" s="42"/>
      <c r="J59" s="42"/>
      <c r="K59" s="42"/>
      <c r="L59" s="42"/>
      <c r="M59" s="172"/>
    </row>
    <row r="60" spans="3:15">
      <c r="C60" s="171"/>
      <c r="D60" s="42"/>
      <c r="E60" s="42"/>
      <c r="F60" s="42"/>
      <c r="G60" s="42"/>
      <c r="H60" s="42"/>
      <c r="I60" s="42"/>
      <c r="J60" s="42"/>
      <c r="K60" s="42"/>
      <c r="L60" s="42"/>
      <c r="M60" s="172"/>
    </row>
    <row r="61" spans="3:15" ht="21" customHeight="1">
      <c r="C61" s="171"/>
      <c r="D61" s="177" t="s">
        <v>74</v>
      </c>
      <c r="E61" s="42"/>
      <c r="F61" s="42"/>
      <c r="G61" s="42"/>
      <c r="H61" s="1659" t="str">
        <f>+'KEY INPUTS'!D9</f>
        <v>BOROUGH OF WENONAH</v>
      </c>
      <c r="I61" s="1659"/>
      <c r="J61" s="1659"/>
      <c r="K61" s="1659"/>
      <c r="L61" s="1659"/>
      <c r="M61" s="172"/>
    </row>
    <row r="62" spans="3:15" ht="21" customHeight="1">
      <c r="C62" s="171"/>
      <c r="D62" s="177" t="s">
        <v>75</v>
      </c>
      <c r="E62" s="42"/>
      <c r="F62" s="42"/>
      <c r="G62" s="42"/>
      <c r="H62" s="1642"/>
      <c r="I62" s="1642"/>
      <c r="J62" s="1642"/>
      <c r="K62" s="1642"/>
      <c r="L62" s="1642"/>
      <c r="M62" s="172"/>
      <c r="O62" s="723"/>
    </row>
    <row r="63" spans="3:15" ht="21" customHeight="1">
      <c r="C63" s="171"/>
      <c r="D63" s="177" t="s">
        <v>117</v>
      </c>
      <c r="E63" s="42"/>
      <c r="F63" s="42"/>
      <c r="G63" s="42"/>
      <c r="H63" s="1642"/>
      <c r="I63" s="1642"/>
      <c r="J63" s="1642"/>
      <c r="K63" s="1642"/>
      <c r="L63" s="1642"/>
      <c r="M63" s="172"/>
    </row>
    <row r="64" spans="3:15" ht="21" customHeight="1">
      <c r="C64" s="171"/>
      <c r="D64" s="147" t="s">
        <v>76</v>
      </c>
      <c r="E64" s="42"/>
      <c r="F64" s="42"/>
      <c r="G64" s="42"/>
      <c r="H64" s="1642"/>
      <c r="I64" s="1642"/>
      <c r="J64" s="1642"/>
      <c r="K64" s="1642"/>
      <c r="L64" s="1642"/>
      <c r="M64" s="172"/>
    </row>
    <row r="65" spans="3:13" ht="21" customHeight="1">
      <c r="C65" s="171"/>
      <c r="D65" s="147" t="s">
        <v>653</v>
      </c>
      <c r="E65" s="42"/>
      <c r="F65" s="42"/>
      <c r="G65" s="42"/>
      <c r="H65" s="1642"/>
      <c r="I65" s="1642"/>
      <c r="J65" s="1642"/>
      <c r="K65" s="1642"/>
      <c r="L65" s="1642"/>
      <c r="M65" s="172"/>
    </row>
    <row r="66" spans="3:13" ht="13.8" thickBot="1">
      <c r="C66" s="174"/>
      <c r="D66" s="175"/>
      <c r="E66" s="175"/>
      <c r="F66" s="175"/>
      <c r="G66" s="175"/>
      <c r="H66" s="175"/>
      <c r="I66" s="175"/>
      <c r="J66" s="175"/>
      <c r="K66" s="175"/>
      <c r="L66" s="175"/>
      <c r="M66" s="176"/>
    </row>
    <row r="67" spans="3:13" ht="13.8">
      <c r="C67" s="1618" t="s">
        <v>654</v>
      </c>
      <c r="D67" s="1618"/>
      <c r="E67" s="1618"/>
      <c r="F67" s="1618"/>
      <c r="G67" s="1618"/>
      <c r="H67" s="1618"/>
      <c r="I67" s="1618"/>
      <c r="J67" s="1618"/>
      <c r="K67" s="1618"/>
      <c r="L67" s="1618"/>
      <c r="M67" s="1618"/>
    </row>
  </sheetData>
  <sheetProtection algorithmName="SHA-512" hashValue="qpslh6P/OAwvp8YqYlMZNKIQCRefz1XgStvr7CHqE+0YvPz2fQV3aJTKz4+CPPQQoSg5uKeFzCDaWs03Mjw2uA==" saltValue="DePSb4+I3arPjwCzZCdoxA==" spinCount="100000" sheet="1" objects="1" scenarios="1"/>
  <mergeCells count="16">
    <mergeCell ref="C67:M67"/>
    <mergeCell ref="D54:L54"/>
    <mergeCell ref="H46:L46"/>
    <mergeCell ref="H47:L47"/>
    <mergeCell ref="H49:L49"/>
    <mergeCell ref="H62:L62"/>
    <mergeCell ref="H61:L61"/>
    <mergeCell ref="H65:L65"/>
    <mergeCell ref="C4:M4"/>
    <mergeCell ref="C5:M5"/>
    <mergeCell ref="C6:M6"/>
    <mergeCell ref="D13:L13"/>
    <mergeCell ref="H64:L64"/>
    <mergeCell ref="H48:L48"/>
    <mergeCell ref="H63:L63"/>
    <mergeCell ref="H50:L50"/>
  </mergeCells>
  <phoneticPr fontId="0" type="noConversion"/>
  <pageMargins left="0.25" right="0.25" top="0.5" bottom="0.5" header="0.25" footer="0.25"/>
  <pageSetup paperSize="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4:P71"/>
  <sheetViews>
    <sheetView topLeftCell="A28" zoomScaleNormal="100" workbookViewId="0">
      <selection activeCell="K61" sqref="K61"/>
    </sheetView>
  </sheetViews>
  <sheetFormatPr defaultRowHeight="13.2"/>
  <cols>
    <col min="1" max="1" width="4" customWidth="1"/>
    <col min="2" max="2" width="5.44140625" customWidth="1"/>
    <col min="3" max="3" width="2.6640625" customWidth="1"/>
    <col min="4" max="4" width="12.6640625" customWidth="1"/>
    <col min="5" max="5" width="15.44140625" bestFit="1" customWidth="1"/>
    <col min="6" max="6" width="1.6640625" customWidth="1"/>
    <col min="7" max="7" width="4.6640625" customWidth="1"/>
    <col min="8" max="8" width="12.6640625" customWidth="1"/>
    <col min="9" max="9" width="4.5546875" customWidth="1"/>
    <col min="10" max="10" width="1.6640625" customWidth="1"/>
    <col min="11" max="11" width="16.6640625" customWidth="1"/>
    <col min="13" max="13" width="9.44140625" customWidth="1"/>
    <col min="14" max="14" width="12.88671875" bestFit="1" customWidth="1"/>
    <col min="16" max="16" width="11.88671875" hidden="1" customWidth="1"/>
  </cols>
  <sheetData>
    <row r="4" spans="2:13">
      <c r="B4" s="1647" t="str">
        <f>IF('KEY INPUTS'!D13=0,"NO ENTRY",'KEY INPUTS'!D13)</f>
        <v>21-6001345</v>
      </c>
      <c r="C4" s="1647"/>
      <c r="D4" s="1647"/>
      <c r="E4" s="1647"/>
    </row>
    <row r="5" spans="2:13">
      <c r="B5" s="1660" t="s">
        <v>345</v>
      </c>
      <c r="C5" s="1660"/>
      <c r="D5" s="1660"/>
      <c r="E5" s="1660"/>
    </row>
    <row r="8" spans="2:13">
      <c r="B8" s="1647" t="str">
        <f>+'KEY INPUTS'!D9</f>
        <v>BOROUGH OF WENONAH</v>
      </c>
      <c r="C8" s="1647"/>
      <c r="D8" s="1647"/>
      <c r="E8" s="1647"/>
    </row>
    <row r="9" spans="2:13">
      <c r="B9" s="1660" t="s">
        <v>346</v>
      </c>
      <c r="C9" s="1660"/>
      <c r="D9" s="1660"/>
      <c r="E9" s="1660"/>
    </row>
    <row r="12" spans="2:13">
      <c r="B12" s="1647" t="str">
        <f>+'KEY INPUTS'!D10</f>
        <v>GLOUCESTER</v>
      </c>
      <c r="C12" s="1647"/>
      <c r="D12" s="1647"/>
      <c r="E12" s="1647"/>
    </row>
    <row r="13" spans="2:13">
      <c r="B13" s="1660" t="s">
        <v>347</v>
      </c>
      <c r="C13" s="1660"/>
      <c r="D13" s="1660"/>
      <c r="E13" s="1660"/>
    </row>
    <row r="16" spans="2:13" ht="17.100000000000001" customHeight="1">
      <c r="B16" s="1618" t="s">
        <v>348</v>
      </c>
      <c r="C16" s="1618"/>
      <c r="D16" s="1618"/>
      <c r="E16" s="1618"/>
      <c r="F16" s="1618"/>
      <c r="G16" s="1618"/>
      <c r="H16" s="1618"/>
      <c r="I16" s="1618"/>
      <c r="J16" s="1618"/>
      <c r="K16" s="1618"/>
      <c r="L16" s="1618"/>
      <c r="M16" s="1618"/>
    </row>
    <row r="17" spans="2:16" ht="17.100000000000001" customHeight="1">
      <c r="B17" s="1618" t="s">
        <v>349</v>
      </c>
      <c r="C17" s="1618"/>
      <c r="D17" s="1618"/>
      <c r="E17" s="1618"/>
      <c r="F17" s="1618"/>
      <c r="G17" s="1618"/>
      <c r="H17" s="1618"/>
      <c r="I17" s="1618"/>
      <c r="J17" s="1618"/>
      <c r="K17" s="1618"/>
      <c r="L17" s="1618"/>
      <c r="M17" s="1618"/>
    </row>
    <row r="20" spans="2:16">
      <c r="G20" t="s">
        <v>350</v>
      </c>
      <c r="I20" s="1661">
        <f>IF('KEY INPUTS'!C42 = "State Fiscal Year", 'KEY INPUTS'!F47, 'KEY INPUTS'!D29)</f>
        <v>44561</v>
      </c>
      <c r="J20" s="1661"/>
      <c r="K20" s="1661"/>
    </row>
    <row r="23" spans="2:16">
      <c r="E23" s="239" t="s">
        <v>491</v>
      </c>
      <c r="G23" s="1662" t="s">
        <v>725</v>
      </c>
      <c r="H23" s="1662"/>
      <c r="I23" s="83"/>
      <c r="K23" s="83" t="s">
        <v>144</v>
      </c>
    </row>
    <row r="24" spans="2:16">
      <c r="E24" s="1" t="s">
        <v>770</v>
      </c>
      <c r="I24" s="1"/>
    </row>
    <row r="25" spans="2:16">
      <c r="E25" s="1" t="s">
        <v>235</v>
      </c>
      <c r="G25" s="1663" t="s">
        <v>726</v>
      </c>
      <c r="H25" s="1663"/>
      <c r="I25" s="1"/>
      <c r="K25" s="1" t="s">
        <v>771</v>
      </c>
    </row>
    <row r="26" spans="2:16">
      <c r="E26" s="1" t="s">
        <v>500</v>
      </c>
      <c r="G26" s="1663" t="s">
        <v>772</v>
      </c>
      <c r="H26" s="1663"/>
      <c r="K26" s="1" t="s">
        <v>772</v>
      </c>
    </row>
    <row r="27" spans="2:16">
      <c r="E27" s="1" t="s">
        <v>773</v>
      </c>
      <c r="G27" s="1663" t="s">
        <v>235</v>
      </c>
      <c r="H27" s="1663"/>
      <c r="K27" s="1" t="s">
        <v>235</v>
      </c>
    </row>
    <row r="29" spans="2:16">
      <c r="B29" s="1663" t="s">
        <v>787</v>
      </c>
      <c r="C29" s="1663"/>
      <c r="D29" s="38" t="s">
        <v>373</v>
      </c>
      <c r="E29" s="355" t="s">
        <v>3133</v>
      </c>
      <c r="F29" t="s">
        <v>373</v>
      </c>
      <c r="G29" s="1664">
        <v>486103.29</v>
      </c>
      <c r="H29" s="1664"/>
      <c r="J29" t="s">
        <v>373</v>
      </c>
      <c r="K29" s="355">
        <v>100742</v>
      </c>
      <c r="N29" s="218"/>
      <c r="P29" s="299" t="e">
        <f>+#REF!-G29</f>
        <v>#REF!</v>
      </c>
    </row>
    <row r="30" spans="2:16">
      <c r="H30" s="186"/>
      <c r="K30" s="218"/>
    </row>
    <row r="32" spans="2:16" ht="21" customHeight="1">
      <c r="G32" s="308" t="s">
        <v>882</v>
      </c>
      <c r="H32" s="311"/>
      <c r="I32" s="311"/>
      <c r="J32" s="311"/>
      <c r="K32" s="311"/>
      <c r="L32" s="311"/>
      <c r="M32" s="311"/>
    </row>
    <row r="33" spans="2:15" s="305" customFormat="1" ht="21" customHeight="1">
      <c r="G33" s="308" t="s">
        <v>883</v>
      </c>
      <c r="H33" s="311"/>
      <c r="I33" s="311"/>
      <c r="J33" s="311"/>
      <c r="K33" s="311"/>
      <c r="L33" s="311"/>
      <c r="M33" s="311"/>
    </row>
    <row r="34" spans="2:15" ht="21" customHeight="1">
      <c r="G34" s="680" t="s">
        <v>3133</v>
      </c>
      <c r="H34" t="s">
        <v>788</v>
      </c>
    </row>
    <row r="35" spans="2:15" ht="21" customHeight="1">
      <c r="G35" s="685" t="s">
        <v>3133</v>
      </c>
      <c r="H35" t="s">
        <v>789</v>
      </c>
    </row>
    <row r="36" spans="2:15" ht="21" customHeight="1">
      <c r="G36" s="680" t="s">
        <v>3133</v>
      </c>
      <c r="H36" t="s">
        <v>790</v>
      </c>
    </row>
    <row r="37" spans="2:15">
      <c r="H37" t="s">
        <v>791</v>
      </c>
    </row>
    <row r="40" spans="2:15">
      <c r="B40" t="s">
        <v>721</v>
      </c>
      <c r="D40" s="318" t="s">
        <v>884</v>
      </c>
      <c r="E40" s="318"/>
      <c r="F40" s="318"/>
      <c r="G40" s="318"/>
      <c r="H40" s="309"/>
      <c r="I40" s="309"/>
      <c r="J40" s="309"/>
      <c r="K40" s="309"/>
      <c r="L40" s="309"/>
      <c r="M40" s="309"/>
      <c r="N40" s="309"/>
      <c r="O40" s="309"/>
    </row>
    <row r="41" spans="2:15">
      <c r="D41" s="318" t="s">
        <v>885</v>
      </c>
      <c r="E41" s="318"/>
      <c r="F41" s="318"/>
      <c r="G41" s="318"/>
      <c r="H41" s="309"/>
      <c r="I41" s="309"/>
      <c r="J41" s="309"/>
      <c r="K41" s="309"/>
      <c r="L41" s="309"/>
      <c r="M41" s="309"/>
      <c r="N41" s="309"/>
      <c r="O41" s="309"/>
    </row>
    <row r="42" spans="2:15">
      <c r="D42" s="320" t="s">
        <v>3561</v>
      </c>
      <c r="E42" s="318"/>
      <c r="F42" s="318"/>
      <c r="G42" s="318"/>
      <c r="H42" s="309"/>
      <c r="I42" s="309"/>
      <c r="J42" s="309"/>
      <c r="K42" s="309"/>
      <c r="L42" s="309"/>
      <c r="M42" s="309"/>
      <c r="N42" s="309"/>
      <c r="O42" s="309"/>
    </row>
    <row r="43" spans="2:15">
      <c r="D43" s="320" t="s">
        <v>886</v>
      </c>
      <c r="E43" s="318"/>
      <c r="F43" s="318"/>
      <c r="G43" s="318"/>
      <c r="H43" s="309"/>
      <c r="I43" s="309"/>
      <c r="J43" s="309"/>
      <c r="K43" s="309"/>
      <c r="L43" s="309"/>
      <c r="M43" s="309"/>
      <c r="N43" s="309"/>
      <c r="O43" s="309"/>
    </row>
    <row r="44" spans="2:15">
      <c r="D44" s="320" t="s">
        <v>887</v>
      </c>
      <c r="E44" s="318"/>
      <c r="F44" s="318"/>
      <c r="G44" s="318"/>
      <c r="H44" s="309"/>
      <c r="I44" s="309"/>
      <c r="J44" s="309"/>
      <c r="K44" s="309"/>
      <c r="L44" s="309"/>
      <c r="M44" s="309"/>
      <c r="N44" s="309"/>
      <c r="O44" s="309"/>
    </row>
    <row r="45" spans="2:15">
      <c r="D45" s="320" t="s">
        <v>888</v>
      </c>
      <c r="E45" s="318"/>
      <c r="F45" s="318"/>
      <c r="G45" s="318"/>
      <c r="H45" s="309"/>
      <c r="I45" s="309"/>
      <c r="J45" s="309"/>
      <c r="K45" s="309"/>
      <c r="L45" s="309"/>
      <c r="M45" s="309"/>
      <c r="N45" s="309"/>
      <c r="O45" s="309"/>
    </row>
    <row r="46" spans="2:15" s="309" customFormat="1">
      <c r="D46" s="320"/>
      <c r="E46" s="318"/>
      <c r="F46" s="318"/>
      <c r="G46" s="318"/>
    </row>
    <row r="47" spans="2:15">
      <c r="B47" s="83" t="s">
        <v>491</v>
      </c>
      <c r="D47" t="s">
        <v>501</v>
      </c>
    </row>
    <row r="48" spans="2:15">
      <c r="D48" t="s">
        <v>774</v>
      </c>
    </row>
    <row r="49" spans="2:11">
      <c r="D49" t="s">
        <v>775</v>
      </c>
    </row>
    <row r="51" spans="2:11">
      <c r="B51" s="83" t="s">
        <v>725</v>
      </c>
      <c r="D51" t="s">
        <v>502</v>
      </c>
    </row>
    <row r="52" spans="2:11">
      <c r="D52" t="s">
        <v>109</v>
      </c>
    </row>
    <row r="53" spans="2:11">
      <c r="D53" s="114" t="s">
        <v>110</v>
      </c>
    </row>
    <row r="55" spans="2:11">
      <c r="B55" s="83" t="s">
        <v>144</v>
      </c>
      <c r="D55" t="s">
        <v>111</v>
      </c>
    </row>
    <row r="56" spans="2:11">
      <c r="D56" t="s">
        <v>112</v>
      </c>
    </row>
    <row r="60" spans="2:11">
      <c r="C60" s="1654" t="s">
        <v>3658</v>
      </c>
      <c r="D60" s="1651"/>
      <c r="E60" s="1651"/>
      <c r="F60" s="1651"/>
      <c r="K60" s="1617">
        <v>44576</v>
      </c>
    </row>
    <row r="61" spans="2:11">
      <c r="C61" s="1660" t="s">
        <v>786</v>
      </c>
      <c r="D61" s="1660"/>
      <c r="E61" s="1660"/>
      <c r="F61" s="1660"/>
      <c r="K61" s="1" t="s">
        <v>17</v>
      </c>
    </row>
    <row r="71" spans="2:13" ht="13.8">
      <c r="B71" s="1618" t="s">
        <v>77</v>
      </c>
      <c r="C71" s="1618"/>
      <c r="D71" s="1618"/>
      <c r="E71" s="1618"/>
      <c r="F71" s="1618"/>
      <c r="G71" s="1618"/>
      <c r="H71" s="1618"/>
      <c r="I71" s="1618"/>
      <c r="J71" s="1618"/>
      <c r="K71" s="1618"/>
      <c r="L71" s="1618"/>
      <c r="M71" s="1618"/>
    </row>
  </sheetData>
  <sheetProtection algorithmName="SHA-512" hashValue="GqMQAP2w1RqBIyrYn3U2Gw3PK76vr/y6rLY9nEyaCUE2eGoCtE9VGEoUwIWZyp9VbMIqrysyg8Aq+qVslPe7jQ==" saltValue="5t9DnctxnSToOxItQSO4pA==" spinCount="100000" sheet="1" objects="1" scenarios="1"/>
  <mergeCells count="18">
    <mergeCell ref="B71:M71"/>
    <mergeCell ref="I20:K20"/>
    <mergeCell ref="G23:H23"/>
    <mergeCell ref="G26:H26"/>
    <mergeCell ref="G27:H27"/>
    <mergeCell ref="G25:H25"/>
    <mergeCell ref="C60:F60"/>
    <mergeCell ref="C61:F61"/>
    <mergeCell ref="B29:C29"/>
    <mergeCell ref="G29:H29"/>
    <mergeCell ref="B16:M16"/>
    <mergeCell ref="B17:M17"/>
    <mergeCell ref="B4:E4"/>
    <mergeCell ref="B5:E5"/>
    <mergeCell ref="B8:E8"/>
    <mergeCell ref="B9:E9"/>
    <mergeCell ref="B12:E12"/>
    <mergeCell ref="B13:E13"/>
  </mergeCells>
  <phoneticPr fontId="0" type="noConversion"/>
  <pageMargins left="0.25" right="0.25" top="0.5" bottom="0.5" header="0.25" footer="0.25"/>
  <pageSetup paperSize="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2:P59"/>
  <sheetViews>
    <sheetView topLeftCell="A25" zoomScaleNormal="100" workbookViewId="0">
      <selection activeCell="I51" sqref="I51:L51"/>
    </sheetView>
  </sheetViews>
  <sheetFormatPr defaultRowHeight="13.2"/>
  <cols>
    <col min="1" max="1" width="7.5546875" customWidth="1"/>
    <col min="2" max="2" width="4.5546875" customWidth="1"/>
    <col min="3" max="4" width="4.6640625" customWidth="1"/>
    <col min="5" max="5" width="18.6640625" customWidth="1"/>
    <col min="6" max="6" width="8.33203125" customWidth="1"/>
    <col min="7" max="7" width="6.33203125" customWidth="1"/>
    <col min="8" max="8" width="7" customWidth="1"/>
    <col min="9" max="9" width="4.33203125" customWidth="1"/>
    <col min="10" max="10" width="12.88671875" customWidth="1"/>
    <col min="13" max="13" width="7" customWidth="1"/>
  </cols>
  <sheetData>
    <row r="2" spans="2:16" ht="22.8">
      <c r="B2" s="1665" t="s">
        <v>614</v>
      </c>
      <c r="C2" s="1665"/>
      <c r="D2" s="1665"/>
      <c r="E2" s="1665"/>
      <c r="F2" s="1665"/>
      <c r="G2" s="1665"/>
      <c r="H2" s="1665"/>
      <c r="I2" s="1665"/>
      <c r="J2" s="1665"/>
      <c r="K2" s="1665"/>
      <c r="L2" s="1665"/>
      <c r="M2" s="1665"/>
    </row>
    <row r="4" spans="2:16" ht="20.399999999999999">
      <c r="B4" s="1619" t="s">
        <v>615</v>
      </c>
      <c r="C4" s="1619"/>
      <c r="D4" s="1619"/>
      <c r="E4" s="1619"/>
      <c r="F4" s="1619"/>
      <c r="G4" s="1619"/>
      <c r="H4" s="1619"/>
      <c r="I4" s="1619"/>
      <c r="J4" s="1619"/>
      <c r="K4" s="1619"/>
      <c r="L4" s="1619"/>
      <c r="M4" s="1619"/>
    </row>
    <row r="7" spans="2:16" ht="17.399999999999999">
      <c r="B7" s="115" t="s">
        <v>616</v>
      </c>
    </row>
    <row r="9" spans="2:16" ht="21" customHeight="1">
      <c r="C9" s="91" t="s">
        <v>617</v>
      </c>
    </row>
    <row r="10" spans="2:16" ht="21" customHeight="1">
      <c r="B10" s="91" t="s">
        <v>159</v>
      </c>
    </row>
    <row r="13" spans="2:16" ht="21" customHeight="1">
      <c r="B13" s="91"/>
      <c r="C13" s="91" t="s">
        <v>303</v>
      </c>
    </row>
    <row r="14" spans="2:16" ht="21" customHeight="1">
      <c r="B14" s="91" t="s">
        <v>304</v>
      </c>
      <c r="C14" s="91"/>
      <c r="P14" s="356"/>
    </row>
    <row r="15" spans="2:16" ht="21" customHeight="1">
      <c r="B15" s="91" t="s">
        <v>305</v>
      </c>
      <c r="C15" s="91"/>
    </row>
    <row r="17" spans="2:13" ht="17.399999999999999">
      <c r="B17" s="115" t="s">
        <v>306</v>
      </c>
    </row>
    <row r="19" spans="2:13" ht="21" customHeight="1">
      <c r="C19" t="s">
        <v>307</v>
      </c>
    </row>
    <row r="20" spans="2:13" ht="21" customHeight="1">
      <c r="B20" t="s">
        <v>86</v>
      </c>
      <c r="F20" s="1636" t="str">
        <f>+'KEY INPUTS'!D12</f>
        <v>BOROUGH</v>
      </c>
      <c r="G20" s="1636"/>
      <c r="H20" s="1636"/>
      <c r="I20" t="s">
        <v>541</v>
      </c>
      <c r="J20" s="1636" t="str">
        <f>+'KEY INPUTS'!D11</f>
        <v>WENONAH</v>
      </c>
      <c r="K20" s="1636"/>
      <c r="L20" s="1636"/>
      <c r="M20" t="s">
        <v>309</v>
      </c>
    </row>
    <row r="21" spans="2:13" ht="21" customHeight="1">
      <c r="B21" t="s">
        <v>308</v>
      </c>
      <c r="D21" s="1636" t="str">
        <f>+'KEY INPUTS'!D10</f>
        <v>GLOUCESTER</v>
      </c>
      <c r="E21" s="1636"/>
      <c r="F21" s="268" t="str">
        <f>"during the "&amp;IF('KEY INPUTS'!C42 =  "State Fiscal Year", "Fiscal Year "&amp;'KEY INPUTS'!D33&amp;"","year "&amp;'KEY INPUTS'!D34&amp;"")&amp;" and that sheets 40 to 68 are unnecessary."</f>
        <v>during the year 2021 and that sheets 40 to 68 are unnecessary.</v>
      </c>
    </row>
    <row r="22" spans="2:13" ht="13.5" customHeight="1"/>
    <row r="23" spans="2:13" ht="21" customHeight="1">
      <c r="C23" t="s">
        <v>310</v>
      </c>
    </row>
    <row r="25" spans="2:13" ht="21" customHeight="1">
      <c r="H25" t="s">
        <v>311</v>
      </c>
      <c r="I25" s="1651"/>
      <c r="J25" s="1651"/>
      <c r="K25" s="1651"/>
      <c r="L25" s="1651"/>
    </row>
    <row r="26" spans="2:13" ht="21" customHeight="1">
      <c r="H26" t="s">
        <v>312</v>
      </c>
      <c r="I26" s="1651"/>
      <c r="J26" s="1651"/>
      <c r="K26" s="1651"/>
      <c r="L26" s="1651"/>
    </row>
    <row r="28" spans="2:13" ht="21" customHeight="1">
      <c r="C28" t="s">
        <v>3611</v>
      </c>
    </row>
    <row r="29" spans="2:13" ht="21" customHeight="1">
      <c r="B29" t="s">
        <v>3612</v>
      </c>
    </row>
    <row r="34" spans="2:13" ht="21" customHeight="1"/>
    <row r="35" spans="2:13" ht="21" customHeight="1"/>
    <row r="38" spans="2:13" ht="4.5" customHeight="1">
      <c r="B38" s="30"/>
      <c r="C38" s="30"/>
      <c r="D38" s="30"/>
      <c r="E38" s="30"/>
      <c r="F38" s="30"/>
      <c r="G38" s="30"/>
      <c r="H38" s="30"/>
      <c r="I38" s="30"/>
      <c r="J38" s="30"/>
      <c r="K38" s="30"/>
      <c r="L38" s="30"/>
      <c r="M38" s="30"/>
    </row>
    <row r="39" spans="2:13" ht="3" customHeight="1" thickBot="1">
      <c r="B39" s="28"/>
      <c r="C39" s="28"/>
      <c r="D39" s="28"/>
      <c r="E39" s="28"/>
      <c r="F39" s="28"/>
      <c r="G39" s="28"/>
      <c r="H39" s="28"/>
      <c r="I39" s="28"/>
      <c r="J39" s="28"/>
      <c r="K39" s="28"/>
      <c r="L39" s="28"/>
      <c r="M39" s="28"/>
    </row>
    <row r="40" spans="2:13" ht="3" customHeight="1" thickTop="1">
      <c r="B40" s="30"/>
      <c r="C40" s="30"/>
      <c r="D40" s="30"/>
      <c r="E40" s="30"/>
      <c r="F40" s="30"/>
      <c r="G40" s="30"/>
      <c r="H40" s="30"/>
      <c r="I40" s="30"/>
      <c r="J40" s="30"/>
      <c r="K40" s="30"/>
      <c r="L40" s="30"/>
      <c r="M40" s="30"/>
    </row>
    <row r="43" spans="2:13" ht="13.8">
      <c r="B43" s="1666" t="str">
        <f>"MUNICIPAL  CERTIFICATION  OF  TAXABLE  PROPERTY  AS  OF  OCTOBER  1,  "&amp;TEXT('KEY INPUTS'!D34,"0")</f>
        <v>MUNICIPAL  CERTIFICATION  OF  TAXABLE  PROPERTY  AS  OF  OCTOBER  1,  2021</v>
      </c>
      <c r="C43" s="1666"/>
      <c r="D43" s="1666"/>
      <c r="E43" s="1666"/>
      <c r="F43" s="1666"/>
      <c r="G43" s="1666"/>
      <c r="H43" s="1666"/>
      <c r="I43" s="1666"/>
      <c r="J43" s="1666"/>
      <c r="K43" s="1666"/>
      <c r="L43" s="1666"/>
      <c r="M43" s="1666"/>
    </row>
    <row r="45" spans="2:13" ht="21" customHeight="1">
      <c r="D45" t="s">
        <v>340</v>
      </c>
    </row>
    <row r="46" spans="2:13" ht="21" customHeight="1">
      <c r="C46" s="268" t="str">
        <f>"the tax year "&amp;TEXT('KEY INPUTS'!D33,"0")&amp;" and filed with the County Board of Taxation on January 10, "&amp;TEXT('KEY INPUTS'!D33,"0")&amp;" in accordance"</f>
        <v>the tax year 2022 and filed with the County Board of Taxation on January 10, 2022 in accordance</v>
      </c>
    </row>
    <row r="47" spans="2:13" ht="21" customHeight="1">
      <c r="C47" t="s">
        <v>3562</v>
      </c>
      <c r="J47" s="1667"/>
      <c r="K47" s="1667"/>
      <c r="L47" s="1667"/>
    </row>
    <row r="50" spans="2:13">
      <c r="I50" s="1654" t="s">
        <v>3660</v>
      </c>
      <c r="J50" s="1651"/>
      <c r="K50" s="1651"/>
      <c r="L50" s="1651"/>
    </row>
    <row r="51" spans="2:13">
      <c r="I51" s="1660" t="s">
        <v>341</v>
      </c>
      <c r="J51" s="1660"/>
      <c r="K51" s="1660"/>
      <c r="L51" s="1660"/>
    </row>
    <row r="53" spans="2:13">
      <c r="I53" s="1636" t="str">
        <f>+'KEY INPUTS'!D9</f>
        <v>BOROUGH OF WENONAH</v>
      </c>
      <c r="J53" s="1636"/>
      <c r="K53" s="1636"/>
      <c r="L53" s="1636"/>
    </row>
    <row r="54" spans="2:13">
      <c r="I54" s="1660" t="s">
        <v>342</v>
      </c>
      <c r="J54" s="1660"/>
      <c r="K54" s="1660"/>
      <c r="L54" s="1660"/>
    </row>
    <row r="56" spans="2:13">
      <c r="I56" s="1636" t="str">
        <f>+'KEY INPUTS'!D10</f>
        <v>GLOUCESTER</v>
      </c>
      <c r="J56" s="1636"/>
      <c r="K56" s="1636"/>
      <c r="L56" s="1636"/>
    </row>
    <row r="57" spans="2:13">
      <c r="I57" s="1660" t="s">
        <v>343</v>
      </c>
      <c r="J57" s="1660"/>
      <c r="K57" s="1660"/>
      <c r="L57" s="1660"/>
    </row>
    <row r="58" spans="2:13">
      <c r="I58" s="128"/>
      <c r="J58" s="128"/>
      <c r="K58" s="128"/>
      <c r="L58" s="128"/>
    </row>
    <row r="59" spans="2:13" ht="13.8">
      <c r="B59" s="1618" t="s">
        <v>344</v>
      </c>
      <c r="C59" s="1618"/>
      <c r="D59" s="1618"/>
      <c r="E59" s="1618"/>
      <c r="F59" s="1618"/>
      <c r="G59" s="1618"/>
      <c r="H59" s="1618"/>
      <c r="I59" s="1618"/>
      <c r="J59" s="1618"/>
      <c r="K59" s="1618"/>
      <c r="L59" s="1618"/>
      <c r="M59" s="1618"/>
    </row>
  </sheetData>
  <sheetProtection algorithmName="SHA-512" hashValue="twbQdONDeSNUTQ1CcYGUOWO8IuCsD0d7mRCGmGTtC1WnGLrpN12HibCxmcMQJbuN/J8ksgK7YlS/ksbOgRve7A==" saltValue="eQ1ofIAVgcOTIKtQdLa9rw==" spinCount="100000" sheet="1" objects="1" scenarios="1"/>
  <mergeCells count="16">
    <mergeCell ref="B2:M2"/>
    <mergeCell ref="B4:M4"/>
    <mergeCell ref="B43:M43"/>
    <mergeCell ref="J20:L20"/>
    <mergeCell ref="I51:L51"/>
    <mergeCell ref="D21:E21"/>
    <mergeCell ref="J47:L47"/>
    <mergeCell ref="F20:H20"/>
    <mergeCell ref="I25:L25"/>
    <mergeCell ref="I26:L26"/>
    <mergeCell ref="I50:L50"/>
    <mergeCell ref="B59:M59"/>
    <mergeCell ref="I54:L54"/>
    <mergeCell ref="I56:L56"/>
    <mergeCell ref="I53:L53"/>
    <mergeCell ref="I57:L57"/>
  </mergeCells>
  <phoneticPr fontId="0" type="noConversion"/>
  <pageMargins left="0.25" right="0.25" top="0.5" bottom="0.5" header="0.25" footer="0.25"/>
  <pageSetup paperSize="5" scale="9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2:P51"/>
  <sheetViews>
    <sheetView topLeftCell="A22" zoomScaleNormal="100" zoomScaleSheetLayoutView="90" workbookViewId="0">
      <selection activeCell="G26" sqref="G26"/>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7" width="21" style="266" bestFit="1" customWidth="1"/>
    <col min="8" max="8" width="21" bestFit="1" customWidth="1"/>
    <col min="9" max="9" width="12.88671875" bestFit="1" customWidth="1"/>
  </cols>
  <sheetData>
    <row r="2" spans="2:16">
      <c r="B2" s="1670" t="s">
        <v>100</v>
      </c>
      <c r="C2" s="1670"/>
      <c r="D2" s="1670"/>
      <c r="E2" s="1670"/>
      <c r="F2" s="1670"/>
      <c r="G2" s="1670"/>
      <c r="H2" s="1670"/>
    </row>
    <row r="4" spans="2:16" ht="22.8">
      <c r="B4" s="1665" t="s">
        <v>424</v>
      </c>
      <c r="C4" s="1665"/>
      <c r="D4" s="1665"/>
      <c r="E4" s="1665"/>
      <c r="F4" s="1665"/>
      <c r="G4" s="1665"/>
      <c r="H4" s="1665"/>
    </row>
    <row r="5" spans="2:16" ht="22.8">
      <c r="B5" s="1665" t="s">
        <v>558</v>
      </c>
      <c r="C5" s="1665"/>
      <c r="D5" s="1665"/>
      <c r="E5" s="1665"/>
      <c r="F5" s="1665"/>
      <c r="G5" s="1665"/>
      <c r="H5" s="1665"/>
    </row>
    <row r="6" spans="2:16" ht="15.6">
      <c r="B6" s="1671" t="str">
        <f>IF('KEY INPUTS'!C42 = "State Fiscal Year", 'KEY INPUTS'!F45,'KEY INPUTS'!D45)</f>
        <v>AS  AT  DECEMBER  31, 2021</v>
      </c>
      <c r="C6" s="1620"/>
      <c r="D6" s="1620"/>
      <c r="E6" s="1620"/>
      <c r="F6" s="1620"/>
      <c r="G6" s="1620"/>
      <c r="H6" s="1620"/>
    </row>
    <row r="8" spans="2:16" ht="15" customHeight="1" thickBot="1">
      <c r="B8" s="1672" t="s">
        <v>94</v>
      </c>
      <c r="C8" s="1672"/>
      <c r="D8" s="1672"/>
      <c r="E8" s="1672"/>
      <c r="F8" s="1672"/>
      <c r="G8" s="1672"/>
      <c r="H8" s="1672"/>
    </row>
    <row r="9" spans="2:16" ht="36" customHeight="1" thickTop="1" thickBot="1">
      <c r="B9" s="1668" t="s">
        <v>95</v>
      </c>
      <c r="C9" s="1668"/>
      <c r="D9" s="1668"/>
      <c r="E9" s="1668"/>
      <c r="F9" s="1669"/>
      <c r="G9" s="249" t="s">
        <v>96</v>
      </c>
      <c r="H9" s="3" t="s">
        <v>97</v>
      </c>
    </row>
    <row r="10" spans="2:16" ht="21" customHeight="1" thickTop="1">
      <c r="G10" s="348"/>
      <c r="H10" s="220"/>
    </row>
    <row r="11" spans="2:16" ht="21" customHeight="1">
      <c r="B11" s="5"/>
      <c r="C11" s="5" t="s">
        <v>351</v>
      </c>
      <c r="D11" s="5"/>
      <c r="E11" s="5"/>
      <c r="F11" s="5"/>
      <c r="G11" s="324">
        <f>+'9-Cash Reconciliation'!I6</f>
        <v>2692629.56</v>
      </c>
      <c r="H11" s="686"/>
      <c r="I11" s="299"/>
    </row>
    <row r="12" spans="2:16" s="309" customFormat="1" ht="21" customHeight="1">
      <c r="B12" s="310"/>
      <c r="C12" s="313" t="s">
        <v>3193</v>
      </c>
      <c r="D12" s="310"/>
      <c r="E12" s="310"/>
      <c r="F12" s="310"/>
      <c r="G12" s="351"/>
      <c r="H12" s="559"/>
      <c r="I12" s="312"/>
    </row>
    <row r="13" spans="2:16" ht="21" customHeight="1">
      <c r="B13" s="5"/>
      <c r="C13" s="313" t="s">
        <v>3192</v>
      </c>
      <c r="D13" s="5"/>
      <c r="E13" s="5"/>
      <c r="F13" s="5"/>
      <c r="G13" s="324">
        <f>'23-SCVet Deductions'!J21</f>
        <v>0</v>
      </c>
      <c r="H13" s="792">
        <f>'23-SCVet Deductions'!I22</f>
        <v>536.25</v>
      </c>
      <c r="I13" s="683"/>
      <c r="J13" s="266"/>
      <c r="K13" s="266"/>
      <c r="L13" s="266"/>
      <c r="M13" s="266"/>
      <c r="N13" s="266"/>
      <c r="O13" s="266"/>
      <c r="P13" s="266"/>
    </row>
    <row r="14" spans="2:16" ht="21" customHeight="1">
      <c r="B14" s="5"/>
      <c r="C14" s="538"/>
      <c r="D14" s="538"/>
      <c r="E14" s="538"/>
      <c r="F14" s="538"/>
      <c r="G14" s="351"/>
      <c r="H14" s="559"/>
    </row>
    <row r="15" spans="2:16" ht="21" customHeight="1">
      <c r="B15" s="310"/>
      <c r="C15" s="538"/>
      <c r="D15" s="538"/>
      <c r="E15" s="538"/>
      <c r="F15" s="538"/>
      <c r="G15" s="565"/>
      <c r="H15" s="565"/>
    </row>
    <row r="16" spans="2:16" ht="21" customHeight="1">
      <c r="B16" s="114" t="s">
        <v>3220</v>
      </c>
      <c r="G16" s="712"/>
      <c r="H16" s="713"/>
      <c r="I16" s="312"/>
    </row>
    <row r="17" spans="2:9" ht="21" customHeight="1" thickBot="1">
      <c r="B17" s="5"/>
      <c r="C17" s="5" t="s">
        <v>352</v>
      </c>
      <c r="D17" s="5"/>
      <c r="E17" s="5"/>
      <c r="F17" s="7"/>
      <c r="G17" s="324"/>
      <c r="H17" s="209"/>
      <c r="I17" s="312"/>
    </row>
    <row r="18" spans="2:9" ht="21" customHeight="1">
      <c r="B18" s="5"/>
      <c r="C18" s="5" t="s">
        <v>353</v>
      </c>
      <c r="D18" s="5"/>
      <c r="E18" s="5"/>
      <c r="F18" s="716">
        <f>+'26-Delinquent Taxes and Liens'!I29-'3-Trial Bal-Current Fund'!F19</f>
        <v>0</v>
      </c>
      <c r="G18" s="691"/>
      <c r="H18" s="686"/>
      <c r="I18" s="299"/>
    </row>
    <row r="19" spans="2:9" ht="21" customHeight="1" thickBot="1">
      <c r="B19" s="310"/>
      <c r="C19" s="310" t="s">
        <v>354</v>
      </c>
      <c r="D19" s="310"/>
      <c r="E19" s="310"/>
      <c r="F19" s="1594">
        <f>+'22-CY Levy'!N35</f>
        <v>75203.210000000894</v>
      </c>
      <c r="G19" s="692"/>
      <c r="H19" s="686"/>
      <c r="I19" s="299"/>
    </row>
    <row r="20" spans="2:9" ht="21" customHeight="1">
      <c r="B20" s="310"/>
      <c r="C20" s="310"/>
      <c r="D20" s="310" t="s">
        <v>355</v>
      </c>
      <c r="E20" s="310"/>
      <c r="F20" s="272"/>
      <c r="G20" s="324">
        <f>+F19+F18</f>
        <v>75203.210000000894</v>
      </c>
      <c r="H20" s="686"/>
      <c r="I20" s="299"/>
    </row>
    <row r="21" spans="2:9" ht="21" customHeight="1">
      <c r="B21" s="310"/>
      <c r="C21" s="310" t="s">
        <v>356</v>
      </c>
      <c r="D21" s="310"/>
      <c r="E21" s="310"/>
      <c r="F21" s="310"/>
      <c r="G21" s="324">
        <f>+'26-Delinquent Taxes and Liens'!I30</f>
        <v>0</v>
      </c>
      <c r="H21" s="686"/>
    </row>
    <row r="22" spans="2:9" ht="21" customHeight="1">
      <c r="B22" s="310"/>
      <c r="C22" s="310" t="s">
        <v>357</v>
      </c>
      <c r="D22" s="310"/>
      <c r="E22" s="310"/>
      <c r="F22" s="310"/>
      <c r="G22" s="324">
        <f>+'27-Foreclosed Property'!L20</f>
        <v>162500</v>
      </c>
      <c r="H22" s="686"/>
    </row>
    <row r="23" spans="2:9" ht="21" customHeight="1">
      <c r="B23" s="310"/>
      <c r="C23" s="701" t="s">
        <v>3221</v>
      </c>
      <c r="D23" s="693"/>
      <c r="E23" s="693"/>
      <c r="F23" s="693"/>
      <c r="G23" s="699">
        <f>'27-Foreclosed Property'!L30</f>
        <v>0</v>
      </c>
      <c r="H23" s="209"/>
      <c r="I23" s="263"/>
    </row>
    <row r="24" spans="2:9" ht="21" customHeight="1">
      <c r="B24" s="310"/>
      <c r="C24" s="701" t="s">
        <v>3222</v>
      </c>
      <c r="D24" s="693"/>
      <c r="E24" s="693"/>
      <c r="F24" s="693"/>
      <c r="G24" s="699">
        <f>'27-Foreclosed Property'!L40</f>
        <v>0</v>
      </c>
      <c r="H24" s="209"/>
      <c r="I24" s="312"/>
    </row>
    <row r="25" spans="2:9" ht="21" customHeight="1">
      <c r="B25" s="5"/>
      <c r="C25" s="538" t="s">
        <v>3738</v>
      </c>
      <c r="D25" s="728"/>
      <c r="E25" s="729"/>
      <c r="F25" s="538"/>
      <c r="G25" s="351">
        <v>135.62</v>
      </c>
      <c r="H25" s="559"/>
    </row>
    <row r="26" spans="2:9" ht="21" customHeight="1">
      <c r="B26" s="5"/>
      <c r="C26" s="538"/>
      <c r="D26" s="729"/>
      <c r="E26" s="729"/>
      <c r="F26" s="538"/>
      <c r="G26" s="351"/>
      <c r="H26" s="559"/>
    </row>
    <row r="27" spans="2:9" ht="21" customHeight="1">
      <c r="B27" s="5"/>
      <c r="C27" s="538"/>
      <c r="D27" s="729"/>
      <c r="E27" s="729"/>
      <c r="F27" s="538"/>
      <c r="G27" s="351"/>
      <c r="H27" s="559"/>
      <c r="I27" s="299"/>
    </row>
    <row r="28" spans="2:9" ht="21" customHeight="1">
      <c r="B28" s="5"/>
      <c r="C28" s="538"/>
      <c r="D28" s="729"/>
      <c r="E28" s="729"/>
      <c r="F28" s="538"/>
      <c r="G28" s="351"/>
      <c r="H28" s="559"/>
      <c r="I28" s="299"/>
    </row>
    <row r="29" spans="2:9" ht="21" customHeight="1">
      <c r="B29" s="5"/>
      <c r="C29" s="538"/>
      <c r="D29" s="729"/>
      <c r="E29" s="729"/>
      <c r="F29" s="538"/>
      <c r="G29" s="351"/>
      <c r="H29" s="559"/>
      <c r="I29" s="312"/>
    </row>
    <row r="30" spans="2:9" ht="21" customHeight="1">
      <c r="B30" s="310"/>
      <c r="C30" s="539"/>
      <c r="D30" s="729"/>
      <c r="E30" s="729"/>
      <c r="F30" s="538"/>
      <c r="G30" s="351"/>
      <c r="H30" s="559"/>
      <c r="I30" s="311"/>
    </row>
    <row r="31" spans="2:9" ht="21" customHeight="1">
      <c r="B31" s="310"/>
      <c r="C31" s="538"/>
      <c r="D31" s="729"/>
      <c r="E31" s="729"/>
      <c r="F31" s="538"/>
      <c r="G31" s="351"/>
      <c r="H31" s="559"/>
      <c r="I31" s="311"/>
    </row>
    <row r="32" spans="2:9" ht="21" customHeight="1">
      <c r="B32" s="310"/>
      <c r="C32" s="538"/>
      <c r="D32" s="729"/>
      <c r="E32" s="729"/>
      <c r="F32" s="538"/>
      <c r="G32" s="351"/>
      <c r="H32" s="559"/>
      <c r="I32" s="311"/>
    </row>
    <row r="33" spans="2:9" ht="21" customHeight="1">
      <c r="B33" s="313"/>
      <c r="C33" s="539"/>
      <c r="D33" s="729"/>
      <c r="E33" s="729"/>
      <c r="F33" s="538"/>
      <c r="G33" s="351"/>
      <c r="H33" s="559"/>
      <c r="I33" s="311"/>
    </row>
    <row r="34" spans="2:9" ht="21" customHeight="1">
      <c r="B34" s="310"/>
      <c r="C34" s="354"/>
      <c r="D34" s="729"/>
      <c r="E34" s="729"/>
      <c r="F34" s="538"/>
      <c r="G34" s="351"/>
      <c r="H34" s="559"/>
      <c r="I34" s="311"/>
    </row>
    <row r="35" spans="2:9" ht="21" customHeight="1">
      <c r="B35" s="310"/>
      <c r="C35" s="354"/>
      <c r="D35" s="729"/>
      <c r="E35" s="729"/>
      <c r="F35" s="538"/>
      <c r="G35" s="351"/>
      <c r="H35" s="559"/>
    </row>
    <row r="36" spans="2:9" s="309" customFormat="1" ht="21" customHeight="1">
      <c r="B36" s="310"/>
      <c r="C36" s="354"/>
      <c r="D36" s="777"/>
      <c r="E36" s="787"/>
      <c r="F36" s="538"/>
      <c r="G36" s="351"/>
      <c r="H36" s="559"/>
    </row>
    <row r="37" spans="2:9" ht="21" customHeight="1">
      <c r="B37" s="5"/>
      <c r="C37" s="310" t="s">
        <v>792</v>
      </c>
      <c r="D37" s="310"/>
      <c r="E37" s="310"/>
      <c r="F37" s="310"/>
      <c r="G37" s="352"/>
      <c r="H37" s="209"/>
    </row>
    <row r="38" spans="2:9" ht="21" customHeight="1">
      <c r="B38" s="5"/>
      <c r="C38" s="310"/>
      <c r="D38" s="336" t="s">
        <v>452</v>
      </c>
      <c r="E38" s="336"/>
      <c r="F38" s="310"/>
      <c r="G38" s="351"/>
      <c r="H38" s="687"/>
      <c r="I38" s="710"/>
    </row>
    <row r="39" spans="2:9" ht="21" customHeight="1">
      <c r="B39" s="5"/>
      <c r="C39" s="5"/>
      <c r="D39" s="336" t="s">
        <v>793</v>
      </c>
      <c r="E39" s="336"/>
      <c r="F39" s="5"/>
      <c r="G39" s="864">
        <f>+'29-Special Emergency'!L$24+'30-Special Emergency'!L24</f>
        <v>600000</v>
      </c>
      <c r="H39" s="559"/>
      <c r="I39" s="710"/>
    </row>
    <row r="40" spans="2:9" ht="21" customHeight="1">
      <c r="B40" s="5"/>
      <c r="C40" s="5"/>
      <c r="D40" s="336" t="s">
        <v>892</v>
      </c>
      <c r="E40" s="336"/>
      <c r="F40" s="5"/>
      <c r="G40" s="831">
        <f>'19-Results of Op-Cur Fnd'!I43</f>
        <v>0</v>
      </c>
      <c r="H40" s="559"/>
      <c r="I40" s="311"/>
    </row>
    <row r="41" spans="2:9" s="309" customFormat="1" ht="21" customHeight="1">
      <c r="B41" s="310"/>
      <c r="C41" s="354"/>
      <c r="D41" s="777"/>
      <c r="E41" s="787"/>
      <c r="F41" s="538"/>
      <c r="G41" s="351"/>
      <c r="H41" s="559"/>
    </row>
    <row r="42" spans="2:9" s="309" customFormat="1" ht="21" customHeight="1">
      <c r="B42" s="310"/>
      <c r="C42" s="354"/>
      <c r="D42" s="777"/>
      <c r="E42" s="787"/>
      <c r="F42" s="538"/>
      <c r="G42" s="351"/>
      <c r="H42" s="559"/>
    </row>
    <row r="43" spans="2:9" s="309" customFormat="1" ht="21" customHeight="1">
      <c r="B43" s="310"/>
      <c r="C43" s="354"/>
      <c r="D43" s="777"/>
      <c r="E43" s="787"/>
      <c r="F43" s="538"/>
      <c r="G43" s="351"/>
      <c r="H43" s="559"/>
    </row>
    <row r="44" spans="2:9" ht="21" customHeight="1">
      <c r="B44" s="5"/>
      <c r="C44" s="354"/>
      <c r="D44" s="777"/>
      <c r="E44" s="777"/>
      <c r="F44" s="538"/>
      <c r="G44" s="351"/>
      <c r="H44" s="559"/>
    </row>
    <row r="45" spans="2:9" ht="21" customHeight="1">
      <c r="B45" s="5"/>
      <c r="C45" s="354"/>
      <c r="D45" s="777"/>
      <c r="E45" s="777"/>
      <c r="F45" s="538"/>
      <c r="G45" s="351"/>
      <c r="H45" s="559"/>
    </row>
    <row r="46" spans="2:9" ht="21" customHeight="1">
      <c r="B46" s="5"/>
      <c r="C46" s="5"/>
      <c r="D46" s="5"/>
      <c r="E46" s="313" t="s">
        <v>3613</v>
      </c>
      <c r="F46" s="5"/>
      <c r="G46" s="324">
        <f>SUM(G10:G45)</f>
        <v>3530468.3900000011</v>
      </c>
      <c r="H46" s="209">
        <f>SUM(H10:H45)</f>
        <v>536.25</v>
      </c>
    </row>
    <row r="47" spans="2:9">
      <c r="B47" s="1644" t="s">
        <v>98</v>
      </c>
      <c r="C47" s="1644"/>
      <c r="D47" s="1644"/>
      <c r="E47" s="1644"/>
      <c r="F47" s="1644"/>
      <c r="G47" s="1644"/>
      <c r="H47" s="1644"/>
    </row>
    <row r="48" spans="2:9" ht="13.8">
      <c r="B48" s="1618" t="s">
        <v>99</v>
      </c>
      <c r="C48" s="1618"/>
      <c r="D48" s="1618"/>
      <c r="E48" s="1618"/>
      <c r="F48" s="1618"/>
      <c r="G48" s="1618"/>
      <c r="H48" s="1618"/>
    </row>
    <row r="51" spans="7:7">
      <c r="G51" s="314"/>
    </row>
  </sheetData>
  <sheetProtection algorithmName="SHA-512" hashValue="erpITqAnp7/S0nHqsk7ZGyeVu1JKFLJIYCppmuTmrQI1K7l8IIYu58jp2C4SkfdDLCiD2Rn7OCIZ3hn3yDm5bw==" saltValue="M4eUm5zMQME1IlMmRPa+QA==" spinCount="100000" sheet="1" objects="1" scenarios="1"/>
  <mergeCells count="8">
    <mergeCell ref="B47:H47"/>
    <mergeCell ref="B48:H48"/>
    <mergeCell ref="B9:F9"/>
    <mergeCell ref="B2:H2"/>
    <mergeCell ref="B4:H4"/>
    <mergeCell ref="B5:H5"/>
    <mergeCell ref="B6:H6"/>
    <mergeCell ref="B8:H8"/>
  </mergeCells>
  <phoneticPr fontId="0" type="noConversion"/>
  <pageMargins left="0.25" right="0.25" top="0.5" bottom="0.5" header="0.25" footer="0.25"/>
  <pageSetup paperSize="5" scale="96"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2:K57"/>
  <sheetViews>
    <sheetView topLeftCell="A19" zoomScaleNormal="100" zoomScaleSheetLayoutView="80" workbookViewId="0">
      <selection activeCell="H31" sqref="H31"/>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21" style="266" bestFit="1" customWidth="1"/>
    <col min="9" max="9" width="2.88671875" customWidth="1"/>
    <col min="10" max="10" width="13.5546875" bestFit="1" customWidth="1"/>
    <col min="11" max="11" width="11.109375" bestFit="1" customWidth="1"/>
  </cols>
  <sheetData>
    <row r="2" spans="2:11">
      <c r="B2" s="1670" t="s">
        <v>100</v>
      </c>
      <c r="C2" s="1670"/>
      <c r="D2" s="1670"/>
      <c r="E2" s="1670"/>
      <c r="F2" s="1670"/>
      <c r="G2" s="1670"/>
      <c r="H2" s="1670"/>
    </row>
    <row r="4" spans="2:11" ht="22.8">
      <c r="B4" s="1665" t="s">
        <v>424</v>
      </c>
      <c r="C4" s="1665"/>
      <c r="D4" s="1665"/>
      <c r="E4" s="1665"/>
      <c r="F4" s="1665"/>
      <c r="G4" s="1665"/>
      <c r="H4" s="1665"/>
    </row>
    <row r="5" spans="2:11" ht="22.8">
      <c r="B5" s="1665" t="s">
        <v>448</v>
      </c>
      <c r="C5" s="1665"/>
      <c r="D5" s="1665"/>
      <c r="E5" s="1665"/>
      <c r="F5" s="1665"/>
      <c r="G5" s="1665"/>
      <c r="H5" s="1665"/>
    </row>
    <row r="6" spans="2:11" ht="15.6">
      <c r="B6" s="1671" t="str">
        <f>IF('KEY INPUTS'!C42 = "State Fiscal Year", 'KEY INPUTS'!F45,'KEY INPUTS'!D45)</f>
        <v>AS  AT  DECEMBER  31, 2021</v>
      </c>
      <c r="C6" s="1620"/>
      <c r="D6" s="1620"/>
      <c r="E6" s="1620"/>
      <c r="F6" s="1620"/>
      <c r="G6" s="1620"/>
      <c r="H6" s="1620"/>
    </row>
    <row r="8" spans="2:11" ht="15" customHeight="1" thickBot="1">
      <c r="B8" s="1672" t="s">
        <v>94</v>
      </c>
      <c r="C8" s="1672"/>
      <c r="D8" s="1672"/>
      <c r="E8" s="1672"/>
      <c r="F8" s="1672"/>
      <c r="G8" s="1672"/>
      <c r="H8" s="1672"/>
    </row>
    <row r="9" spans="2:11" ht="36" customHeight="1" thickTop="1" thickBot="1">
      <c r="B9" s="1668" t="s">
        <v>95</v>
      </c>
      <c r="C9" s="1668"/>
      <c r="D9" s="1668"/>
      <c r="E9" s="1668"/>
      <c r="F9" s="1669"/>
      <c r="G9" s="249" t="s">
        <v>96</v>
      </c>
      <c r="H9" s="250" t="s">
        <v>97</v>
      </c>
    </row>
    <row r="10" spans="2:11" s="309" customFormat="1" ht="21" customHeight="1" thickTop="1">
      <c r="B10" s="1595" t="s">
        <v>3490</v>
      </c>
      <c r="C10" s="739"/>
      <c r="D10" s="739"/>
      <c r="E10" s="739"/>
      <c r="F10" s="706"/>
      <c r="G10" s="740">
        <f>+'3-Trial Bal-Current Fund'!G46</f>
        <v>3530468.3900000011</v>
      </c>
      <c r="H10" s="791">
        <f>+'3-Trial Bal-Current Fund'!H46</f>
        <v>536.25</v>
      </c>
    </row>
    <row r="11" spans="2:11" ht="21" customHeight="1">
      <c r="B11" s="836" t="s">
        <v>794</v>
      </c>
      <c r="C11" s="794"/>
      <c r="D11" s="795"/>
      <c r="E11" s="795"/>
      <c r="F11" s="796"/>
      <c r="G11" s="831"/>
      <c r="H11" s="792">
        <f>'18-Budget Appropriations'!I16</f>
        <v>188500.5</v>
      </c>
      <c r="J11" s="362"/>
    </row>
    <row r="12" spans="2:11" ht="21" customHeight="1">
      <c r="B12" s="539" t="s">
        <v>795</v>
      </c>
      <c r="C12" s="685"/>
      <c r="D12" s="775"/>
      <c r="E12" s="775"/>
      <c r="F12" s="782"/>
      <c r="G12" s="351"/>
      <c r="H12" s="559">
        <v>239542.48</v>
      </c>
      <c r="I12" s="114"/>
      <c r="J12" s="218"/>
      <c r="K12" s="218"/>
    </row>
    <row r="13" spans="2:11" ht="21" customHeight="1">
      <c r="B13" s="539" t="s">
        <v>3139</v>
      </c>
      <c r="C13" s="685"/>
      <c r="D13" s="775"/>
      <c r="E13" s="775"/>
      <c r="F13" s="782"/>
      <c r="G13" s="351"/>
      <c r="H13" s="559">
        <v>0</v>
      </c>
      <c r="I13" s="114"/>
      <c r="J13" s="218"/>
      <c r="K13" s="218"/>
    </row>
    <row r="14" spans="2:11" ht="21" customHeight="1">
      <c r="B14" s="539" t="s">
        <v>3194</v>
      </c>
      <c r="C14" s="685"/>
      <c r="D14" s="775"/>
      <c r="E14" s="775"/>
      <c r="F14" s="782"/>
      <c r="G14" s="351"/>
      <c r="H14" s="559">
        <v>0</v>
      </c>
      <c r="I14" s="114"/>
      <c r="J14" s="218"/>
      <c r="K14" s="218"/>
    </row>
    <row r="15" spans="2:11" ht="21" customHeight="1">
      <c r="B15" s="539" t="s">
        <v>3195</v>
      </c>
      <c r="C15" s="685"/>
      <c r="D15" s="775"/>
      <c r="E15" s="775"/>
      <c r="F15" s="782"/>
      <c r="G15" s="351"/>
      <c r="H15" s="559">
        <v>65603.61</v>
      </c>
      <c r="I15" s="114"/>
      <c r="J15" s="218"/>
      <c r="K15" s="218"/>
    </row>
    <row r="16" spans="2:11" ht="21" customHeight="1">
      <c r="B16" s="539" t="s">
        <v>3739</v>
      </c>
      <c r="C16" s="685"/>
      <c r="D16" s="775"/>
      <c r="E16" s="775"/>
      <c r="F16" s="782"/>
      <c r="G16" s="351"/>
      <c r="H16" s="559">
        <v>15940.32</v>
      </c>
      <c r="I16" s="114"/>
      <c r="J16" s="218"/>
      <c r="K16" s="218"/>
    </row>
    <row r="17" spans="2:11" ht="21" customHeight="1">
      <c r="B17" s="539"/>
      <c r="C17" s="685"/>
      <c r="D17" s="775"/>
      <c r="E17" s="775"/>
      <c r="F17" s="782"/>
      <c r="G17" s="351"/>
      <c r="H17" s="559"/>
      <c r="I17" s="114"/>
      <c r="J17" s="218"/>
      <c r="K17" s="218"/>
    </row>
    <row r="18" spans="2:11" ht="21" customHeight="1">
      <c r="B18" s="539" t="s">
        <v>3196</v>
      </c>
      <c r="C18" s="685"/>
      <c r="D18" s="775"/>
      <c r="E18" s="775"/>
      <c r="F18" s="782"/>
      <c r="G18" s="351"/>
      <c r="H18" s="559"/>
      <c r="I18" s="114"/>
      <c r="J18" s="312"/>
    </row>
    <row r="19" spans="2:11" ht="21" customHeight="1">
      <c r="B19" s="539" t="s">
        <v>3223</v>
      </c>
      <c r="C19" s="685"/>
      <c r="D19" s="775"/>
      <c r="E19" s="775"/>
      <c r="F19" s="782"/>
      <c r="G19" s="351"/>
      <c r="H19" s="559">
        <v>0</v>
      </c>
      <c r="I19" s="114"/>
      <c r="J19" s="312"/>
    </row>
    <row r="20" spans="2:11" ht="21" customHeight="1">
      <c r="B20" s="539" t="s">
        <v>3197</v>
      </c>
      <c r="C20" s="685"/>
      <c r="D20" s="775"/>
      <c r="E20" s="775"/>
      <c r="F20" s="782"/>
      <c r="G20" s="351"/>
      <c r="H20" s="559">
        <v>0</v>
      </c>
      <c r="I20" s="114"/>
      <c r="J20" s="218"/>
      <c r="K20" s="218"/>
    </row>
    <row r="21" spans="2:11" ht="21" customHeight="1">
      <c r="B21" s="539"/>
      <c r="C21" s="685"/>
      <c r="D21" s="775"/>
      <c r="E21" s="775"/>
      <c r="F21" s="782"/>
      <c r="G21" s="351"/>
      <c r="H21" s="559"/>
      <c r="I21" s="114"/>
      <c r="J21" s="218"/>
      <c r="K21" s="218"/>
    </row>
    <row r="22" spans="2:11" ht="21" customHeight="1">
      <c r="B22" s="793" t="s">
        <v>3224</v>
      </c>
      <c r="C22" s="794"/>
      <c r="D22" s="795"/>
      <c r="E22" s="795"/>
      <c r="F22" s="796"/>
      <c r="G22" s="831"/>
      <c r="H22" s="792">
        <f>MAX(0,'13-Other Taxes'!G16)</f>
        <v>0.52000000001862645</v>
      </c>
      <c r="I22" s="114"/>
    </row>
    <row r="23" spans="2:11" ht="21" customHeight="1">
      <c r="B23" s="793" t="s">
        <v>3225</v>
      </c>
      <c r="C23" s="794"/>
      <c r="D23" s="795"/>
      <c r="E23" s="795"/>
      <c r="F23" s="796"/>
      <c r="G23" s="831"/>
      <c r="H23" s="792">
        <f>MAX(0,'14-Other Taxes'!G17)</f>
        <v>0</v>
      </c>
      <c r="I23" s="114"/>
      <c r="J23" s="312"/>
    </row>
    <row r="24" spans="2:11" ht="21" customHeight="1">
      <c r="B24" s="793" t="s">
        <v>3226</v>
      </c>
      <c r="C24" s="794"/>
      <c r="D24" s="795"/>
      <c r="E24" s="795"/>
      <c r="F24" s="796"/>
      <c r="G24" s="831"/>
      <c r="H24" s="792">
        <f>MAX(0,'14-Other Taxes'!G38)</f>
        <v>1313345.7800000003</v>
      </c>
      <c r="I24" s="114"/>
      <c r="J24" s="218"/>
    </row>
    <row r="25" spans="2:11" ht="21" customHeight="1">
      <c r="B25" s="801" t="s">
        <v>3479</v>
      </c>
      <c r="C25" s="1192"/>
      <c r="D25" s="1193"/>
      <c r="E25" s="1193"/>
      <c r="F25" s="1194"/>
      <c r="G25" s="864"/>
      <c r="H25" s="870">
        <f>MAX(0,'15-Other Taxes'!I18)</f>
        <v>0</v>
      </c>
      <c r="I25" s="114"/>
      <c r="J25" s="218"/>
      <c r="K25" s="218"/>
    </row>
    <row r="26" spans="2:11" ht="21" customHeight="1">
      <c r="B26" s="793" t="s">
        <v>3227</v>
      </c>
      <c r="C26" s="794"/>
      <c r="D26" s="795"/>
      <c r="E26" s="795"/>
      <c r="F26" s="796"/>
      <c r="G26" s="831"/>
      <c r="H26" s="792">
        <f>MAX(0,'15-Other Taxes'!I19)</f>
        <v>1201.3500000000931</v>
      </c>
      <c r="I26" s="114"/>
      <c r="J26" s="218"/>
    </row>
    <row r="27" spans="2:11" ht="21" customHeight="1">
      <c r="B27" s="793" t="s">
        <v>3228</v>
      </c>
      <c r="C27" s="794"/>
      <c r="D27" s="795"/>
      <c r="E27" s="795"/>
      <c r="F27" s="796"/>
      <c r="G27" s="831"/>
      <c r="H27" s="792">
        <f>MAX(0,'15-Other Taxes'!I38)</f>
        <v>0</v>
      </c>
      <c r="I27" s="114"/>
      <c r="J27" s="218"/>
      <c r="K27" s="218"/>
    </row>
    <row r="28" spans="2:11" ht="21" customHeight="1">
      <c r="B28" s="793" t="s">
        <v>3229</v>
      </c>
      <c r="C28" s="794"/>
      <c r="D28" s="795"/>
      <c r="E28" s="795"/>
      <c r="F28" s="796"/>
      <c r="G28" s="831"/>
      <c r="H28" s="792">
        <f>MAX(0,'24-Reserves for Tax Appeals'!I17)</f>
        <v>0</v>
      </c>
      <c r="I28" s="114"/>
      <c r="J28" s="218"/>
      <c r="K28" s="218"/>
    </row>
    <row r="29" spans="2:11" ht="21" customHeight="1">
      <c r="B29" s="1673" t="s">
        <v>3740</v>
      </c>
      <c r="C29" s="1673"/>
      <c r="D29" s="1673"/>
      <c r="E29" s="1673"/>
      <c r="F29" s="1674"/>
      <c r="G29" s="351"/>
      <c r="H29" s="559">
        <v>273427.63</v>
      </c>
      <c r="I29" s="114"/>
      <c r="J29" s="218"/>
      <c r="K29" s="218"/>
    </row>
    <row r="30" spans="2:11" ht="21" customHeight="1">
      <c r="B30" s="1673" t="s">
        <v>3741</v>
      </c>
      <c r="C30" s="1673"/>
      <c r="D30" s="1673"/>
      <c r="E30" s="1673"/>
      <c r="F30" s="1674"/>
      <c r="G30" s="351"/>
      <c r="H30" s="559">
        <v>235351.45</v>
      </c>
      <c r="I30" s="114"/>
    </row>
    <row r="31" spans="2:11" ht="21" customHeight="1">
      <c r="B31" s="1673"/>
      <c r="C31" s="1673"/>
      <c r="D31" s="1673"/>
      <c r="E31" s="1673"/>
      <c r="F31" s="1674"/>
      <c r="G31" s="351"/>
      <c r="H31" s="559"/>
      <c r="I31" s="114"/>
      <c r="J31" s="218"/>
      <c r="K31" s="218"/>
    </row>
    <row r="32" spans="2:11" ht="21" customHeight="1">
      <c r="B32" s="1673"/>
      <c r="C32" s="1673"/>
      <c r="D32" s="1673"/>
      <c r="E32" s="1673"/>
      <c r="F32" s="1674"/>
      <c r="G32" s="351"/>
      <c r="H32" s="559"/>
      <c r="I32" s="114"/>
      <c r="J32" s="218"/>
      <c r="K32" s="218"/>
    </row>
    <row r="33" spans="2:11" ht="21" customHeight="1">
      <c r="B33" s="1673"/>
      <c r="C33" s="1673"/>
      <c r="D33" s="1673"/>
      <c r="E33" s="1673"/>
      <c r="F33" s="1674"/>
      <c r="G33" s="351"/>
      <c r="H33" s="559"/>
      <c r="I33" s="114"/>
      <c r="J33" s="218"/>
      <c r="K33" s="218"/>
    </row>
    <row r="34" spans="2:11" ht="21" customHeight="1">
      <c r="B34" s="1673"/>
      <c r="C34" s="1673"/>
      <c r="D34" s="1673"/>
      <c r="E34" s="1673"/>
      <c r="F34" s="1674"/>
      <c r="G34" s="351"/>
      <c r="H34" s="559"/>
      <c r="I34" s="114"/>
      <c r="J34" s="218"/>
      <c r="K34" s="218"/>
    </row>
    <row r="35" spans="2:11" ht="21" customHeight="1">
      <c r="B35" s="1673"/>
      <c r="C35" s="1673"/>
      <c r="D35" s="1673"/>
      <c r="E35" s="1673"/>
      <c r="F35" s="1674"/>
      <c r="G35" s="351"/>
      <c r="H35" s="630"/>
      <c r="I35" s="114"/>
      <c r="J35" s="218"/>
      <c r="K35" s="218"/>
    </row>
    <row r="36" spans="2:11" ht="21" customHeight="1">
      <c r="B36" s="1673"/>
      <c r="C36" s="1673"/>
      <c r="D36" s="1673"/>
      <c r="E36" s="1673"/>
      <c r="F36" s="1674"/>
      <c r="G36" s="351"/>
      <c r="H36" s="540"/>
      <c r="I36" s="114"/>
    </row>
    <row r="37" spans="2:11" ht="21" customHeight="1">
      <c r="B37" s="538"/>
      <c r="C37" s="538"/>
      <c r="D37" s="538"/>
      <c r="E37" s="538"/>
      <c r="F37" s="538"/>
      <c r="G37" s="351"/>
      <c r="H37" s="1419"/>
      <c r="I37" s="114"/>
      <c r="J37" s="679"/>
    </row>
    <row r="38" spans="2:11" ht="21" customHeight="1">
      <c r="B38" s="538"/>
      <c r="C38" s="538"/>
      <c r="D38" s="538"/>
      <c r="E38" s="538"/>
      <c r="F38" s="538"/>
      <c r="G38" s="351"/>
      <c r="H38" s="559"/>
      <c r="I38" s="114"/>
    </row>
    <row r="39" spans="2:11" ht="21" customHeight="1">
      <c r="B39" s="538"/>
      <c r="C39" s="538"/>
      <c r="D39" s="538"/>
      <c r="E39" s="538"/>
      <c r="F39" s="538"/>
      <c r="G39" s="351"/>
      <c r="H39" s="559"/>
      <c r="I39" s="114"/>
      <c r="J39" s="218"/>
      <c r="K39" s="218"/>
    </row>
    <row r="40" spans="2:11" ht="21" customHeight="1">
      <c r="B40" s="538"/>
      <c r="C40" s="538"/>
      <c r="D40" s="538"/>
      <c r="E40" s="538"/>
      <c r="F40" s="538"/>
      <c r="G40" s="351"/>
      <c r="H40" s="559"/>
      <c r="I40" s="114"/>
      <c r="J40" s="218"/>
      <c r="K40" s="218"/>
    </row>
    <row r="41" spans="2:11" ht="21" customHeight="1">
      <c r="B41" s="538"/>
      <c r="C41" s="538"/>
      <c r="D41" s="538"/>
      <c r="E41" s="538"/>
      <c r="F41" s="538"/>
      <c r="G41" s="351"/>
      <c r="H41" s="559"/>
      <c r="I41" s="114"/>
      <c r="J41" s="218"/>
      <c r="K41" s="218"/>
    </row>
    <row r="42" spans="2:11" ht="21" customHeight="1">
      <c r="B42" s="538"/>
      <c r="C42" s="538"/>
      <c r="D42" s="538"/>
      <c r="E42" s="538"/>
      <c r="F42" s="538"/>
      <c r="G42" s="351"/>
      <c r="H42" s="559"/>
      <c r="I42" s="114"/>
      <c r="J42" s="218"/>
      <c r="K42" s="218"/>
    </row>
    <row r="43" spans="2:11" ht="21" customHeight="1" thickBot="1">
      <c r="B43" s="538"/>
      <c r="C43" s="538"/>
      <c r="D43" s="538"/>
      <c r="E43" s="538"/>
      <c r="F43" s="538"/>
      <c r="G43" s="556"/>
      <c r="H43" s="1420"/>
      <c r="I43" s="114"/>
    </row>
    <row r="44" spans="2:11" ht="21" customHeight="1" thickBot="1">
      <c r="B44" s="5"/>
      <c r="C44" s="5"/>
      <c r="D44" s="5"/>
      <c r="E44" s="5"/>
      <c r="F44" s="313" t="s">
        <v>3258</v>
      </c>
      <c r="G44" s="349">
        <f>SUM(G10:G43)</f>
        <v>3530468.3900000011</v>
      </c>
      <c r="H44" s="260">
        <f>SUM(H10:H43)</f>
        <v>2333449.8900000006</v>
      </c>
      <c r="I44" s="114"/>
      <c r="J44" s="218"/>
    </row>
    <row r="45" spans="2:11" ht="21" customHeight="1" thickTop="1">
      <c r="B45" s="5"/>
      <c r="C45" s="5"/>
      <c r="D45" s="5"/>
      <c r="E45" s="5"/>
      <c r="F45" s="5"/>
      <c r="G45" s="296"/>
      <c r="H45" s="258"/>
    </row>
    <row r="46" spans="2:11" ht="21" customHeight="1">
      <c r="B46" s="5"/>
      <c r="C46" s="5"/>
      <c r="D46" s="5"/>
      <c r="E46" s="5"/>
      <c r="F46" s="5"/>
      <c r="G46" s="324"/>
      <c r="H46" s="298"/>
    </row>
    <row r="47" spans="2:11">
      <c r="B47" s="1644" t="s">
        <v>98</v>
      </c>
      <c r="C47" s="1644"/>
      <c r="D47" s="1644"/>
      <c r="E47" s="1644"/>
      <c r="F47" s="1644"/>
      <c r="G47" s="1644"/>
      <c r="H47" s="1644"/>
    </row>
    <row r="48" spans="2:11" ht="13.8">
      <c r="B48" s="1618" t="s">
        <v>101</v>
      </c>
      <c r="C48" s="1618"/>
      <c r="D48" s="1618"/>
      <c r="E48" s="1618"/>
      <c r="F48" s="1618"/>
      <c r="G48" s="1618"/>
      <c r="H48" s="1618"/>
    </row>
    <row r="49" spans="7:8">
      <c r="H49" s="314"/>
    </row>
    <row r="50" spans="7:8">
      <c r="G50" s="314"/>
      <c r="H50" s="314"/>
    </row>
    <row r="51" spans="7:8">
      <c r="H51" s="314"/>
    </row>
    <row r="52" spans="7:8">
      <c r="G52" s="314"/>
      <c r="H52" s="314"/>
    </row>
    <row r="53" spans="7:8">
      <c r="G53" s="314"/>
      <c r="H53" s="314"/>
    </row>
    <row r="54" spans="7:8">
      <c r="H54" s="314"/>
    </row>
    <row r="55" spans="7:8">
      <c r="G55" s="314"/>
    </row>
    <row r="57" spans="7:8">
      <c r="H57" s="314"/>
    </row>
  </sheetData>
  <sheetProtection algorithmName="SHA-512" hashValue="bRjvWG0dYNrEgvbIxq24qO5klei6m2pln7bA98LPCCnsSKUbRQ1YR+eZiS6wzs8MB1ZX4dFN0rF4oXz8HnyIIw==" saltValue="D4+pImkws06s4cZClw8geQ==" spinCount="100000" sheet="1" objects="1" scenarios="1"/>
  <mergeCells count="16">
    <mergeCell ref="B47:H47"/>
    <mergeCell ref="B48:H48"/>
    <mergeCell ref="B2:H2"/>
    <mergeCell ref="B4:H4"/>
    <mergeCell ref="B5:H5"/>
    <mergeCell ref="B6:H6"/>
    <mergeCell ref="B8:H8"/>
    <mergeCell ref="B9:F9"/>
    <mergeCell ref="B29:F29"/>
    <mergeCell ref="B30:F30"/>
    <mergeCell ref="B31:F31"/>
    <mergeCell ref="B32:F32"/>
    <mergeCell ref="B33:F33"/>
    <mergeCell ref="B34:F34"/>
    <mergeCell ref="B35:F35"/>
    <mergeCell ref="B36:F36"/>
  </mergeCells>
  <phoneticPr fontId="0" type="noConversion"/>
  <pageMargins left="0.25" right="0.25" top="0.5" bottom="0.5" header="0.25" footer="0.25"/>
  <pageSetup paperSize="5" scale="96" orientation="portrait" r:id="rId1"/>
  <headerFooter alignWithMargins="0"/>
  <colBreaks count="1" manualBreakCount="1">
    <brk id="8" max="4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3"/>
  <dimension ref="B2:K57"/>
  <sheetViews>
    <sheetView topLeftCell="A19" zoomScaleNormal="100" zoomScaleSheetLayoutView="80" workbookViewId="0">
      <selection activeCell="H42" sqref="H42"/>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7" width="21" style="266" bestFit="1" customWidth="1"/>
    <col min="8" max="8" width="19.88671875" style="266" bestFit="1" customWidth="1"/>
    <col min="9" max="9" width="3.6640625" style="309" bestFit="1" customWidth="1"/>
    <col min="10" max="10" width="13.5546875" style="309" bestFit="1" customWidth="1"/>
    <col min="11" max="11" width="11.109375" style="309" bestFit="1" customWidth="1"/>
    <col min="12" max="16384" width="9.109375" style="309"/>
  </cols>
  <sheetData>
    <row r="2" spans="2:11">
      <c r="B2" s="1670" t="s">
        <v>100</v>
      </c>
      <c r="C2" s="1670"/>
      <c r="D2" s="1670"/>
      <c r="E2" s="1670"/>
      <c r="F2" s="1670"/>
      <c r="G2" s="1670"/>
      <c r="H2" s="1670"/>
    </row>
    <row r="4" spans="2:11" ht="22.8">
      <c r="B4" s="1665" t="s">
        <v>424</v>
      </c>
      <c r="C4" s="1665"/>
      <c r="D4" s="1665"/>
      <c r="E4" s="1665"/>
      <c r="F4" s="1665"/>
      <c r="G4" s="1665"/>
      <c r="H4" s="1665"/>
    </row>
    <row r="5" spans="2:11" ht="22.8">
      <c r="B5" s="1665" t="s">
        <v>448</v>
      </c>
      <c r="C5" s="1665"/>
      <c r="D5" s="1665"/>
      <c r="E5" s="1665"/>
      <c r="F5" s="1665"/>
      <c r="G5" s="1665"/>
      <c r="H5" s="1665"/>
    </row>
    <row r="6" spans="2:11" ht="15.6">
      <c r="B6" s="1671" t="str">
        <f>IF('KEY INPUTS'!C42 = "State Fiscal Year", 'KEY INPUTS'!F45,'KEY INPUTS'!D45)</f>
        <v>AS  AT  DECEMBER  31, 2021</v>
      </c>
      <c r="C6" s="1620"/>
      <c r="D6" s="1620"/>
      <c r="E6" s="1620"/>
      <c r="F6" s="1620"/>
      <c r="G6" s="1620"/>
      <c r="H6" s="1620"/>
    </row>
    <row r="8" spans="2:11" ht="15" customHeight="1" thickBot="1">
      <c r="B8" s="1672" t="s">
        <v>94</v>
      </c>
      <c r="C8" s="1672"/>
      <c r="D8" s="1672"/>
      <c r="E8" s="1672"/>
      <c r="F8" s="1672"/>
      <c r="G8" s="1672"/>
      <c r="H8" s="1672"/>
    </row>
    <row r="9" spans="2:11" ht="36" customHeight="1" thickTop="1" thickBot="1">
      <c r="B9" s="1668" t="s">
        <v>95</v>
      </c>
      <c r="C9" s="1668"/>
      <c r="D9" s="1668"/>
      <c r="E9" s="1668"/>
      <c r="F9" s="1669"/>
      <c r="G9" s="249" t="s">
        <v>96</v>
      </c>
      <c r="H9" s="250" t="s">
        <v>97</v>
      </c>
    </row>
    <row r="10" spans="2:11" ht="21" customHeight="1" thickTop="1">
      <c r="B10" s="187" t="s">
        <v>3489</v>
      </c>
      <c r="C10" s="739"/>
      <c r="D10" s="739"/>
      <c r="E10" s="739"/>
      <c r="F10" s="1416"/>
      <c r="G10" s="740">
        <f>'3a-Trial Bal-Current Fund'!G44</f>
        <v>3530468.3900000011</v>
      </c>
      <c r="H10" s="791">
        <f>'3a-Trial Bal-Current Fund'!H44</f>
        <v>2333449.8900000006</v>
      </c>
    </row>
    <row r="11" spans="2:11" ht="21" customHeight="1">
      <c r="B11" s="790"/>
      <c r="C11" s="1413"/>
      <c r="D11" s="1414"/>
      <c r="E11" s="1414"/>
      <c r="F11" s="1415"/>
      <c r="G11" s="351"/>
      <c r="H11" s="559"/>
      <c r="J11" s="362"/>
    </row>
    <row r="12" spans="2:11" ht="21" customHeight="1">
      <c r="B12" s="539"/>
      <c r="C12" s="1413"/>
      <c r="D12" s="1414"/>
      <c r="E12" s="1414"/>
      <c r="F12" s="1415"/>
      <c r="G12" s="351"/>
      <c r="H12" s="559"/>
      <c r="I12" s="114"/>
      <c r="J12" s="312"/>
      <c r="K12" s="312"/>
    </row>
    <row r="13" spans="2:11" ht="21" customHeight="1">
      <c r="B13" s="539"/>
      <c r="C13" s="1413"/>
      <c r="D13" s="1414"/>
      <c r="E13" s="1414"/>
      <c r="F13" s="1415"/>
      <c r="G13" s="351"/>
      <c r="H13" s="559"/>
      <c r="I13" s="114"/>
      <c r="J13" s="312"/>
      <c r="K13" s="312"/>
    </row>
    <row r="14" spans="2:11" ht="21" customHeight="1">
      <c r="B14" s="539"/>
      <c r="C14" s="1413"/>
      <c r="D14" s="1414"/>
      <c r="E14" s="1414"/>
      <c r="F14" s="1415"/>
      <c r="G14" s="351"/>
      <c r="H14" s="559"/>
      <c r="I14" s="114"/>
      <c r="J14" s="312"/>
      <c r="K14" s="312"/>
    </row>
    <row r="15" spans="2:11" ht="21" customHeight="1">
      <c r="B15" s="539"/>
      <c r="C15" s="1413"/>
      <c r="D15" s="1414"/>
      <c r="E15" s="1414"/>
      <c r="F15" s="1415"/>
      <c r="G15" s="351"/>
      <c r="H15" s="559"/>
      <c r="I15" s="114"/>
      <c r="J15" s="312"/>
      <c r="K15" s="312"/>
    </row>
    <row r="16" spans="2:11" ht="21" customHeight="1">
      <c r="B16" s="539"/>
      <c r="C16" s="1413"/>
      <c r="D16" s="1414"/>
      <c r="E16" s="1414"/>
      <c r="F16" s="1415"/>
      <c r="G16" s="351"/>
      <c r="H16" s="559"/>
      <c r="I16" s="114"/>
      <c r="J16" s="312"/>
      <c r="K16" s="312"/>
    </row>
    <row r="17" spans="2:11" ht="21" customHeight="1">
      <c r="B17" s="539"/>
      <c r="C17" s="1413"/>
      <c r="D17" s="1414"/>
      <c r="E17" s="1414"/>
      <c r="F17" s="1415"/>
      <c r="G17" s="351"/>
      <c r="H17" s="559"/>
      <c r="I17" s="114"/>
      <c r="J17" s="312"/>
      <c r="K17" s="312"/>
    </row>
    <row r="18" spans="2:11" ht="21" customHeight="1">
      <c r="B18" s="539"/>
      <c r="C18" s="1413"/>
      <c r="D18" s="1414"/>
      <c r="E18" s="1414"/>
      <c r="F18" s="1415"/>
      <c r="G18" s="351"/>
      <c r="H18" s="559"/>
      <c r="I18" s="114"/>
      <c r="J18" s="312"/>
    </row>
    <row r="19" spans="2:11" ht="21" customHeight="1">
      <c r="B19" s="539"/>
      <c r="C19" s="1413"/>
      <c r="D19" s="1414"/>
      <c r="E19" s="1414"/>
      <c r="F19" s="1415"/>
      <c r="G19" s="351"/>
      <c r="H19" s="559"/>
      <c r="I19" s="114"/>
      <c r="J19" s="312"/>
    </row>
    <row r="20" spans="2:11" ht="21" customHeight="1">
      <c r="B20" s="539"/>
      <c r="C20" s="1413"/>
      <c r="D20" s="1414"/>
      <c r="E20" s="1414"/>
      <c r="F20" s="1415"/>
      <c r="G20" s="351"/>
      <c r="H20" s="559"/>
      <c r="I20" s="114"/>
      <c r="J20" s="312"/>
      <c r="K20" s="312"/>
    </row>
    <row r="21" spans="2:11" ht="21" customHeight="1">
      <c r="B21" s="539"/>
      <c r="C21" s="1413"/>
      <c r="D21" s="1414"/>
      <c r="E21" s="1414"/>
      <c r="F21" s="1415"/>
      <c r="G21" s="351"/>
      <c r="H21" s="559"/>
      <c r="I21" s="114"/>
      <c r="J21" s="312"/>
      <c r="K21" s="312"/>
    </row>
    <row r="22" spans="2:11" ht="21" customHeight="1">
      <c r="B22" s="539"/>
      <c r="C22" s="1413"/>
      <c r="D22" s="1414"/>
      <c r="E22" s="1414"/>
      <c r="F22" s="1415"/>
      <c r="G22" s="351"/>
      <c r="H22" s="559"/>
      <c r="I22" s="114"/>
    </row>
    <row r="23" spans="2:11" ht="21" customHeight="1">
      <c r="B23" s="539"/>
      <c r="C23" s="1413"/>
      <c r="D23" s="1414"/>
      <c r="E23" s="1414"/>
      <c r="F23" s="1415"/>
      <c r="G23" s="351"/>
      <c r="H23" s="559"/>
      <c r="I23" s="114"/>
      <c r="J23" s="312"/>
    </row>
    <row r="24" spans="2:11" ht="21" customHeight="1" thickBot="1">
      <c r="B24" s="539"/>
      <c r="C24" s="1413"/>
      <c r="D24" s="1414"/>
      <c r="E24" s="1414"/>
      <c r="F24" s="1415"/>
      <c r="G24" s="556"/>
      <c r="H24" s="1420"/>
      <c r="I24" s="114"/>
      <c r="J24" s="312"/>
    </row>
    <row r="25" spans="2:11" ht="21" customHeight="1">
      <c r="B25" s="801"/>
      <c r="C25" s="1192"/>
      <c r="D25" s="1193"/>
      <c r="E25" s="1193"/>
      <c r="F25" s="608" t="s">
        <v>355</v>
      </c>
      <c r="G25" s="1421">
        <f>SUM(G10:G24)</f>
        <v>3530468.3900000011</v>
      </c>
      <c r="H25" s="1418">
        <f>SUM(H10:H24)</f>
        <v>2333449.8900000006</v>
      </c>
      <c r="I25" s="114" t="s">
        <v>796</v>
      </c>
      <c r="J25" s="312"/>
      <c r="K25" s="312"/>
    </row>
    <row r="26" spans="2:11" ht="21" customHeight="1">
      <c r="B26" s="539"/>
      <c r="C26" s="1413"/>
      <c r="D26" s="1414"/>
      <c r="E26" s="1414"/>
      <c r="F26" s="1415"/>
      <c r="G26" s="351"/>
      <c r="H26" s="559"/>
      <c r="I26" s="114"/>
      <c r="J26" s="312"/>
    </row>
    <row r="27" spans="2:11" ht="21" customHeight="1">
      <c r="B27" s="539"/>
      <c r="C27" s="1413"/>
      <c r="D27" s="1414"/>
      <c r="E27" s="1414"/>
      <c r="F27" s="1415"/>
      <c r="G27" s="351"/>
      <c r="H27" s="559"/>
      <c r="I27" s="114"/>
      <c r="J27" s="312"/>
      <c r="K27" s="312"/>
    </row>
    <row r="28" spans="2:11" ht="21" customHeight="1">
      <c r="B28" s="539"/>
      <c r="C28" s="1413"/>
      <c r="D28" s="1414"/>
      <c r="E28" s="1414"/>
      <c r="F28" s="1415"/>
      <c r="G28" s="351"/>
      <c r="H28" s="559"/>
      <c r="I28" s="114"/>
      <c r="J28" s="312"/>
      <c r="K28" s="312"/>
    </row>
    <row r="29" spans="2:11" ht="21" customHeight="1">
      <c r="B29" s="1673"/>
      <c r="C29" s="1673"/>
      <c r="D29" s="1673"/>
      <c r="E29" s="1673"/>
      <c r="F29" s="1674"/>
      <c r="G29" s="351"/>
      <c r="H29" s="559"/>
      <c r="I29" s="114"/>
      <c r="J29" s="312"/>
      <c r="K29" s="312"/>
    </row>
    <row r="30" spans="2:11" ht="21" customHeight="1">
      <c r="B30" s="1673"/>
      <c r="C30" s="1673"/>
      <c r="D30" s="1673"/>
      <c r="E30" s="1673"/>
      <c r="F30" s="1674"/>
      <c r="G30" s="351"/>
      <c r="H30" s="559"/>
      <c r="I30" s="114"/>
    </row>
    <row r="31" spans="2:11" ht="21" customHeight="1">
      <c r="B31" s="1673"/>
      <c r="C31" s="1673"/>
      <c r="D31" s="1673"/>
      <c r="E31" s="1673"/>
      <c r="F31" s="1674"/>
      <c r="G31" s="351"/>
      <c r="H31" s="559"/>
      <c r="I31" s="114"/>
      <c r="J31" s="312"/>
      <c r="K31" s="312"/>
    </row>
    <row r="32" spans="2:11" ht="21" customHeight="1">
      <c r="B32" s="1673"/>
      <c r="C32" s="1673"/>
      <c r="D32" s="1673"/>
      <c r="E32" s="1673"/>
      <c r="F32" s="1674"/>
      <c r="G32" s="351"/>
      <c r="H32" s="559"/>
      <c r="I32" s="114"/>
      <c r="J32" s="312"/>
      <c r="K32" s="312"/>
    </row>
    <row r="33" spans="2:11" ht="21" customHeight="1">
      <c r="B33" s="1673"/>
      <c r="C33" s="1673"/>
      <c r="D33" s="1673"/>
      <c r="E33" s="1673"/>
      <c r="F33" s="1674"/>
      <c r="G33" s="351"/>
      <c r="H33" s="559"/>
      <c r="I33" s="114"/>
      <c r="J33" s="312"/>
      <c r="K33" s="312"/>
    </row>
    <row r="34" spans="2:11" ht="21" customHeight="1">
      <c r="B34" s="1673"/>
      <c r="C34" s="1673"/>
      <c r="D34" s="1673"/>
      <c r="E34" s="1673"/>
      <c r="F34" s="1674"/>
      <c r="G34" s="351"/>
      <c r="H34" s="559"/>
      <c r="I34" s="114"/>
      <c r="J34" s="312"/>
      <c r="K34" s="312"/>
    </row>
    <row r="35" spans="2:11" ht="21" customHeight="1">
      <c r="B35" s="1673"/>
      <c r="C35" s="1673"/>
      <c r="D35" s="1673"/>
      <c r="E35" s="1673"/>
      <c r="F35" s="1674"/>
      <c r="G35" s="351"/>
      <c r="H35" s="630"/>
      <c r="I35" s="114"/>
      <c r="J35" s="312"/>
      <c r="K35" s="312"/>
    </row>
    <row r="36" spans="2:11" ht="21" customHeight="1">
      <c r="B36" s="1673"/>
      <c r="C36" s="1673"/>
      <c r="D36" s="1673"/>
      <c r="E36" s="1673"/>
      <c r="F36" s="1674"/>
      <c r="G36" s="351"/>
      <c r="H36" s="540"/>
      <c r="I36" s="114"/>
    </row>
    <row r="37" spans="2:11" ht="21" customHeight="1">
      <c r="B37" s="310"/>
      <c r="C37" s="310"/>
      <c r="D37" s="310"/>
      <c r="E37" s="310"/>
      <c r="F37" s="310"/>
      <c r="G37" s="324"/>
      <c r="H37" s="258"/>
      <c r="I37" s="114"/>
      <c r="J37" s="679"/>
    </row>
    <row r="38" spans="2:11" ht="21" customHeight="1">
      <c r="B38" s="310"/>
      <c r="C38" s="310"/>
      <c r="D38" s="310"/>
      <c r="E38" s="310"/>
      <c r="F38" s="310"/>
      <c r="G38" s="324"/>
      <c r="H38" s="298"/>
      <c r="I38" s="114"/>
    </row>
    <row r="39" spans="2:11" ht="21" customHeight="1">
      <c r="B39" s="310"/>
      <c r="C39" s="310" t="s">
        <v>797</v>
      </c>
      <c r="D39" s="310"/>
      <c r="E39" s="310"/>
      <c r="F39" s="310"/>
      <c r="G39" s="690"/>
      <c r="H39" s="298">
        <f>SUM('3-Trial Bal-Current Fund'!G17:G35)</f>
        <v>237838.83000000089</v>
      </c>
      <c r="I39" s="114"/>
      <c r="J39" s="312"/>
      <c r="K39" s="312"/>
    </row>
    <row r="40" spans="2:11" ht="21" customHeight="1">
      <c r="B40" s="310"/>
      <c r="C40" s="310" t="s">
        <v>120</v>
      </c>
      <c r="D40" s="310"/>
      <c r="E40" s="310"/>
      <c r="F40" s="310"/>
      <c r="G40" s="324">
        <f>+'13-Other Taxes'!G18+'14-Other Taxes'!G40+'14-Other Taxes'!G19</f>
        <v>238358.08</v>
      </c>
      <c r="H40" s="870"/>
      <c r="I40" s="114"/>
      <c r="J40" s="312"/>
      <c r="K40" s="312"/>
    </row>
    <row r="41" spans="2:11" ht="21" customHeight="1">
      <c r="B41" s="310"/>
      <c r="C41" s="310" t="s">
        <v>121</v>
      </c>
      <c r="D41" s="310"/>
      <c r="E41" s="310"/>
      <c r="F41" s="310"/>
      <c r="G41" s="864"/>
      <c r="H41" s="298">
        <f>+G40</f>
        <v>238358.08</v>
      </c>
      <c r="I41" s="114"/>
      <c r="J41" s="312"/>
      <c r="K41" s="312"/>
    </row>
    <row r="42" spans="2:11" ht="21" customHeight="1">
      <c r="B42" s="310"/>
      <c r="C42" s="310" t="s">
        <v>798</v>
      </c>
      <c r="D42" s="310"/>
      <c r="E42" s="310"/>
      <c r="F42" s="310"/>
      <c r="G42" s="690"/>
      <c r="H42" s="298">
        <f>+'21-Current Fund Surplus'!K14</f>
        <v>959179.67000000132</v>
      </c>
      <c r="I42" s="114"/>
      <c r="J42" s="312"/>
      <c r="K42" s="312"/>
    </row>
    <row r="43" spans="2:11" ht="21" customHeight="1" thickBot="1">
      <c r="B43" s="310"/>
      <c r="C43" s="310"/>
      <c r="D43" s="310"/>
      <c r="E43" s="310"/>
      <c r="F43" s="310"/>
      <c r="G43" s="301"/>
      <c r="H43" s="259"/>
      <c r="I43" s="114"/>
    </row>
    <row r="44" spans="2:11" ht="21" customHeight="1" thickBot="1">
      <c r="B44" s="310"/>
      <c r="C44" s="310"/>
      <c r="D44" s="310"/>
      <c r="E44" s="310"/>
      <c r="F44" s="310" t="s">
        <v>799</v>
      </c>
      <c r="G44" s="349">
        <f>SUM(G25:G43)</f>
        <v>3768826.4700000011</v>
      </c>
      <c r="H44" s="260">
        <f>SUM(H25:H42)</f>
        <v>3768826.470000003</v>
      </c>
      <c r="I44" s="114"/>
      <c r="J44" s="312"/>
    </row>
    <row r="45" spans="2:11" ht="21" customHeight="1" thickTop="1">
      <c r="B45" s="310"/>
      <c r="C45" s="310"/>
      <c r="D45" s="310"/>
      <c r="E45" s="310"/>
      <c r="F45" s="310"/>
      <c r="G45" s="296"/>
      <c r="H45" s="258"/>
    </row>
    <row r="46" spans="2:11" ht="21" customHeight="1">
      <c r="B46" s="310"/>
      <c r="C46" s="310"/>
      <c r="D46" s="310"/>
      <c r="E46" s="310"/>
      <c r="F46" s="310"/>
      <c r="G46" s="324"/>
      <c r="H46" s="298"/>
    </row>
    <row r="47" spans="2:11">
      <c r="B47" s="1644" t="s">
        <v>98</v>
      </c>
      <c r="C47" s="1644"/>
      <c r="D47" s="1644"/>
      <c r="E47" s="1644"/>
      <c r="F47" s="1644"/>
      <c r="G47" s="1644"/>
      <c r="H47" s="1644"/>
    </row>
    <row r="48" spans="2:11" ht="13.8">
      <c r="B48" s="1618" t="s">
        <v>3488</v>
      </c>
      <c r="C48" s="1618"/>
      <c r="D48" s="1618"/>
      <c r="E48" s="1618"/>
      <c r="F48" s="1618"/>
      <c r="G48" s="1618"/>
      <c r="H48" s="1618"/>
    </row>
    <row r="49" spans="7:8">
      <c r="H49" s="314"/>
    </row>
    <row r="50" spans="7:8">
      <c r="G50" s="314"/>
      <c r="H50" s="314"/>
    </row>
    <row r="51" spans="7:8">
      <c r="H51" s="314"/>
    </row>
    <row r="52" spans="7:8">
      <c r="G52" s="314"/>
      <c r="H52" s="314"/>
    </row>
    <row r="53" spans="7:8">
      <c r="G53" s="314"/>
      <c r="H53" s="314"/>
    </row>
    <row r="54" spans="7:8">
      <c r="H54" s="314"/>
    </row>
    <row r="55" spans="7:8">
      <c r="G55" s="314"/>
    </row>
    <row r="57" spans="7:8">
      <c r="H57" s="314"/>
    </row>
  </sheetData>
  <sheetProtection algorithmName="SHA-512" hashValue="vpbKueVxT02y2TWAZiMsPimaRiwbJo/mGUgc54Zjfkuu8C3zKB71QmrPCJpnKHsNbvoqxs/B9AzKZgBTTogyrg==" saltValue="uj3YpRUJPLl5jVVcBeP8tA==" spinCount="100000" sheet="1" objects="1" scenarios="1"/>
  <mergeCells count="16">
    <mergeCell ref="B35:F35"/>
    <mergeCell ref="B36:F36"/>
    <mergeCell ref="B47:H47"/>
    <mergeCell ref="B48:H48"/>
    <mergeCell ref="B29:F29"/>
    <mergeCell ref="B30:F30"/>
    <mergeCell ref="B31:F31"/>
    <mergeCell ref="B32:F32"/>
    <mergeCell ref="B33:F33"/>
    <mergeCell ref="B34:F34"/>
    <mergeCell ref="B9:F9"/>
    <mergeCell ref="B2:H2"/>
    <mergeCell ref="B4:H4"/>
    <mergeCell ref="B5:H5"/>
    <mergeCell ref="B6:H6"/>
    <mergeCell ref="B8:H8"/>
  </mergeCells>
  <pageMargins left="0.25" right="0.25" top="0.5" bottom="0.5" header="0.25" footer="0.25"/>
  <pageSetup paperSize="5" scale="94"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3:R46"/>
  <sheetViews>
    <sheetView zoomScaleNormal="100" workbookViewId="0">
      <selection activeCell="B10" sqref="B10"/>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8.6640625" bestFit="1" customWidth="1"/>
  </cols>
  <sheetData>
    <row r="3" spans="2:18" ht="22.8">
      <c r="B3" s="1665" t="s">
        <v>424</v>
      </c>
      <c r="C3" s="1665"/>
      <c r="D3" s="1665"/>
      <c r="E3" s="1665"/>
      <c r="F3" s="1665"/>
      <c r="G3" s="1665"/>
      <c r="H3" s="1665"/>
    </row>
    <row r="4" spans="2:18" ht="22.8">
      <c r="B4" s="1665" t="s">
        <v>102</v>
      </c>
      <c r="C4" s="1665"/>
      <c r="D4" s="1665"/>
      <c r="E4" s="1665"/>
      <c r="F4" s="1665"/>
      <c r="G4" s="1665"/>
      <c r="H4" s="1665"/>
    </row>
    <row r="5" spans="2:18" ht="15.6">
      <c r="B5" s="1620" t="s">
        <v>619</v>
      </c>
      <c r="C5" s="1620"/>
      <c r="D5" s="1620"/>
      <c r="E5" s="1620"/>
      <c r="F5" s="1620"/>
      <c r="G5" s="1620"/>
      <c r="H5" s="1620"/>
    </row>
    <row r="6" spans="2:18" ht="15.6">
      <c r="B6" s="1671" t="str">
        <f>IF('KEY INPUTS'!C42 = "State Fiscal Year", 'KEY INPUTS'!F45,'KEY INPUTS'!D45)</f>
        <v>AS  AT  DECEMBER  31, 2021</v>
      </c>
      <c r="C6" s="1620"/>
      <c r="D6" s="1620"/>
      <c r="E6" s="1620"/>
      <c r="F6" s="1620"/>
      <c r="G6" s="1620"/>
      <c r="H6" s="1620"/>
    </row>
    <row r="7" spans="2:18" ht="13.8" thickBot="1"/>
    <row r="8" spans="2:18" ht="36" customHeight="1" thickTop="1" thickBot="1">
      <c r="B8" s="1668" t="s">
        <v>95</v>
      </c>
      <c r="C8" s="1668"/>
      <c r="D8" s="1668"/>
      <c r="E8" s="1668"/>
      <c r="F8" s="1669"/>
      <c r="G8" s="4" t="s">
        <v>96</v>
      </c>
      <c r="H8" s="778" t="s">
        <v>97</v>
      </c>
      <c r="K8" s="309"/>
      <c r="L8" s="309"/>
      <c r="M8" s="309"/>
      <c r="N8" s="309"/>
      <c r="O8" s="309"/>
      <c r="P8" s="309"/>
      <c r="Q8" s="309"/>
      <c r="R8" s="309"/>
    </row>
    <row r="9" spans="2:18" ht="21" customHeight="1" thickTop="1">
      <c r="B9" s="790" t="s">
        <v>3745</v>
      </c>
      <c r="C9" s="369"/>
      <c r="D9" s="369"/>
      <c r="E9" s="369"/>
      <c r="F9" s="369"/>
      <c r="G9" s="631"/>
      <c r="H9" s="629"/>
      <c r="K9" s="309"/>
      <c r="L9" s="309"/>
      <c r="M9" s="309"/>
      <c r="N9" s="309"/>
      <c r="O9" s="309"/>
      <c r="P9" s="309"/>
      <c r="Q9" s="309"/>
      <c r="R9" s="309"/>
    </row>
    <row r="10" spans="2:18" ht="21" customHeight="1">
      <c r="B10" s="538"/>
      <c r="C10" s="538"/>
      <c r="D10" s="538"/>
      <c r="E10" s="538"/>
      <c r="F10" s="538"/>
      <c r="G10" s="353"/>
      <c r="H10" s="550"/>
      <c r="K10" s="356"/>
      <c r="L10" s="309"/>
      <c r="M10" s="309"/>
      <c r="N10" s="309"/>
      <c r="O10" s="309"/>
      <c r="P10" s="309"/>
      <c r="Q10" s="309"/>
      <c r="R10" s="309"/>
    </row>
    <row r="11" spans="2:18" ht="21" customHeight="1">
      <c r="B11" s="538"/>
      <c r="C11" s="538"/>
      <c r="D11" s="538"/>
      <c r="E11" s="538"/>
      <c r="F11" s="538"/>
      <c r="G11" s="353"/>
      <c r="H11" s="550"/>
      <c r="I11" s="218"/>
      <c r="K11" s="309"/>
      <c r="L11" s="309"/>
      <c r="M11" s="309"/>
      <c r="N11" s="309"/>
      <c r="O11" s="309"/>
      <c r="P11" s="309"/>
      <c r="Q11" s="309"/>
      <c r="R11" s="309"/>
    </row>
    <row r="12" spans="2:18" ht="21" customHeight="1">
      <c r="B12" s="538"/>
      <c r="C12" s="538"/>
      <c r="D12" s="538"/>
      <c r="E12" s="538"/>
      <c r="F12" s="538"/>
      <c r="G12" s="353"/>
      <c r="H12" s="550"/>
      <c r="K12" s="309"/>
      <c r="L12" s="309"/>
      <c r="M12" s="309"/>
      <c r="N12" s="309"/>
      <c r="O12" s="309"/>
      <c r="P12" s="309"/>
      <c r="Q12" s="309"/>
      <c r="R12" s="309"/>
    </row>
    <row r="13" spans="2:18" ht="21" customHeight="1">
      <c r="B13" s="538"/>
      <c r="C13" s="538"/>
      <c r="D13" s="538"/>
      <c r="E13" s="538"/>
      <c r="F13" s="538"/>
      <c r="G13" s="353"/>
      <c r="H13" s="550"/>
      <c r="K13" s="309"/>
      <c r="L13" s="309"/>
      <c r="M13" s="309"/>
      <c r="N13" s="309"/>
      <c r="O13" s="309"/>
      <c r="P13" s="309"/>
      <c r="Q13" s="309"/>
      <c r="R13" s="309"/>
    </row>
    <row r="14" spans="2:18" ht="21" customHeight="1">
      <c r="B14" s="538"/>
      <c r="C14" s="538"/>
      <c r="D14" s="538"/>
      <c r="E14" s="538"/>
      <c r="F14" s="538"/>
      <c r="G14" s="353"/>
      <c r="H14" s="550"/>
      <c r="K14" s="309"/>
      <c r="L14" s="309"/>
      <c r="M14" s="309"/>
      <c r="N14" s="309"/>
      <c r="O14" s="309"/>
      <c r="P14" s="309"/>
      <c r="Q14" s="309"/>
      <c r="R14" s="309"/>
    </row>
    <row r="15" spans="2:18" ht="21" customHeight="1">
      <c r="B15" s="538"/>
      <c r="C15" s="538"/>
      <c r="D15" s="538"/>
      <c r="E15" s="538"/>
      <c r="F15" s="538"/>
      <c r="G15" s="353"/>
      <c r="H15" s="550"/>
      <c r="K15" s="309"/>
      <c r="L15" s="309"/>
      <c r="M15" s="309"/>
      <c r="N15" s="309"/>
      <c r="O15" s="309"/>
      <c r="P15" s="309"/>
      <c r="Q15" s="309"/>
      <c r="R15" s="309"/>
    </row>
    <row r="16" spans="2:18" ht="21" customHeight="1">
      <c r="B16" s="538"/>
      <c r="C16" s="538"/>
      <c r="D16" s="538"/>
      <c r="E16" s="538"/>
      <c r="F16" s="538"/>
      <c r="G16" s="353"/>
      <c r="H16" s="550"/>
      <c r="K16" s="309"/>
      <c r="L16" s="309"/>
      <c r="M16" s="309"/>
      <c r="N16" s="309"/>
      <c r="O16" s="309"/>
      <c r="P16" s="309"/>
      <c r="Q16" s="309"/>
      <c r="R16" s="309"/>
    </row>
    <row r="17" spans="2:18" ht="21" customHeight="1">
      <c r="B17" s="538"/>
      <c r="C17" s="538"/>
      <c r="D17" s="538"/>
      <c r="E17" s="538"/>
      <c r="F17" s="538"/>
      <c r="G17" s="353"/>
      <c r="H17" s="550"/>
      <c r="K17" s="309"/>
      <c r="L17" s="309"/>
      <c r="M17" s="309"/>
      <c r="N17" s="309"/>
      <c r="O17" s="309"/>
      <c r="P17" s="309"/>
      <c r="Q17" s="309"/>
      <c r="R17" s="309"/>
    </row>
    <row r="18" spans="2:18" ht="21" customHeight="1">
      <c r="B18" s="538"/>
      <c r="C18" s="538"/>
      <c r="D18" s="538"/>
      <c r="E18" s="538"/>
      <c r="F18" s="538"/>
      <c r="G18" s="353"/>
      <c r="H18" s="550"/>
      <c r="K18" s="309"/>
      <c r="L18" s="309"/>
      <c r="M18" s="309"/>
      <c r="N18" s="309"/>
      <c r="O18" s="309"/>
      <c r="P18" s="309"/>
      <c r="Q18" s="309"/>
      <c r="R18" s="309"/>
    </row>
    <row r="19" spans="2:18" ht="21" customHeight="1">
      <c r="B19" s="538"/>
      <c r="C19" s="538"/>
      <c r="D19" s="538"/>
      <c r="E19" s="538"/>
      <c r="F19" s="538"/>
      <c r="G19" s="353"/>
      <c r="H19" s="550"/>
      <c r="K19" s="309"/>
      <c r="L19" s="309"/>
      <c r="M19" s="309"/>
      <c r="N19" s="309"/>
      <c r="O19" s="309"/>
      <c r="P19" s="309"/>
      <c r="Q19" s="309"/>
      <c r="R19" s="309"/>
    </row>
    <row r="20" spans="2:18" ht="21" customHeight="1">
      <c r="B20" s="538"/>
      <c r="C20" s="538"/>
      <c r="D20" s="538"/>
      <c r="E20" s="538"/>
      <c r="F20" s="538"/>
      <c r="G20" s="353"/>
      <c r="H20" s="550"/>
      <c r="K20" s="309"/>
      <c r="L20" s="309"/>
      <c r="M20" s="309"/>
      <c r="N20" s="309"/>
      <c r="O20" s="309"/>
      <c r="P20" s="309"/>
      <c r="Q20" s="309"/>
      <c r="R20" s="309"/>
    </row>
    <row r="21" spans="2:18" ht="21" customHeight="1">
      <c r="B21" s="538"/>
      <c r="C21" s="538"/>
      <c r="D21" s="538"/>
      <c r="E21" s="538"/>
      <c r="F21" s="538"/>
      <c r="G21" s="353"/>
      <c r="H21" s="550"/>
      <c r="K21" s="309"/>
      <c r="L21" s="309"/>
      <c r="M21" s="309"/>
      <c r="N21" s="309"/>
      <c r="O21" s="309"/>
      <c r="P21" s="309"/>
      <c r="Q21" s="309"/>
      <c r="R21" s="309"/>
    </row>
    <row r="22" spans="2:18" ht="21" customHeight="1">
      <c r="B22" s="538"/>
      <c r="C22" s="538"/>
      <c r="D22" s="538"/>
      <c r="E22" s="538"/>
      <c r="F22" s="538"/>
      <c r="G22" s="353"/>
      <c r="H22" s="550"/>
      <c r="K22" s="309"/>
      <c r="L22" s="309"/>
      <c r="M22" s="309"/>
      <c r="N22" s="309"/>
      <c r="O22" s="309"/>
      <c r="P22" s="309"/>
      <c r="Q22" s="309"/>
      <c r="R22" s="309"/>
    </row>
    <row r="23" spans="2:18" ht="21" customHeight="1">
      <c r="B23" s="538"/>
      <c r="C23" s="538"/>
      <c r="D23" s="538"/>
      <c r="E23" s="538"/>
      <c r="F23" s="538"/>
      <c r="G23" s="353"/>
      <c r="H23" s="550"/>
      <c r="K23" s="309"/>
      <c r="L23" s="309"/>
      <c r="M23" s="309"/>
      <c r="N23" s="309"/>
      <c r="O23" s="309"/>
      <c r="P23" s="309"/>
      <c r="Q23" s="309"/>
      <c r="R23" s="309"/>
    </row>
    <row r="24" spans="2:18" ht="21" customHeight="1">
      <c r="B24" s="538"/>
      <c r="C24" s="538"/>
      <c r="D24" s="538"/>
      <c r="E24" s="538"/>
      <c r="F24" s="538"/>
      <c r="G24" s="353"/>
      <c r="H24" s="550"/>
      <c r="K24" s="309"/>
      <c r="L24" s="309"/>
      <c r="M24" s="309"/>
      <c r="N24" s="309"/>
      <c r="O24" s="309"/>
      <c r="P24" s="309"/>
      <c r="Q24" s="309"/>
      <c r="R24" s="309"/>
    </row>
    <row r="25" spans="2:18" ht="21" customHeight="1">
      <c r="B25" s="538"/>
      <c r="C25" s="538"/>
      <c r="D25" s="538"/>
      <c r="E25" s="538"/>
      <c r="F25" s="538"/>
      <c r="G25" s="353"/>
      <c r="H25" s="550"/>
      <c r="K25" s="309"/>
      <c r="L25" s="309"/>
      <c r="M25" s="309"/>
      <c r="N25" s="309"/>
      <c r="O25" s="309"/>
      <c r="P25" s="309"/>
      <c r="Q25" s="309"/>
      <c r="R25" s="309"/>
    </row>
    <row r="26" spans="2:18" ht="21" customHeight="1">
      <c r="B26" s="538"/>
      <c r="C26" s="538"/>
      <c r="D26" s="538"/>
      <c r="E26" s="538"/>
      <c r="F26" s="538"/>
      <c r="G26" s="353"/>
      <c r="H26" s="550"/>
      <c r="K26" s="309"/>
      <c r="L26" s="309"/>
      <c r="M26" s="309"/>
      <c r="N26" s="309"/>
      <c r="O26" s="309"/>
      <c r="P26" s="309"/>
      <c r="Q26" s="309"/>
      <c r="R26" s="309"/>
    </row>
    <row r="27" spans="2:18" ht="21" customHeight="1">
      <c r="B27" s="538"/>
      <c r="C27" s="538"/>
      <c r="D27" s="538"/>
      <c r="E27" s="538"/>
      <c r="F27" s="538"/>
      <c r="G27" s="353"/>
      <c r="H27" s="550"/>
      <c r="K27" s="309"/>
      <c r="L27" s="309"/>
      <c r="M27" s="309"/>
      <c r="N27" s="309"/>
      <c r="O27" s="309"/>
      <c r="P27" s="309"/>
      <c r="Q27" s="309"/>
      <c r="R27" s="309"/>
    </row>
    <row r="28" spans="2:18" ht="21" customHeight="1">
      <c r="B28" s="538"/>
      <c r="C28" s="538"/>
      <c r="D28" s="538"/>
      <c r="E28" s="538"/>
      <c r="F28" s="538"/>
      <c r="G28" s="353"/>
      <c r="H28" s="550"/>
      <c r="K28" s="309"/>
      <c r="L28" s="309"/>
      <c r="M28" s="309"/>
      <c r="N28" s="309"/>
      <c r="O28" s="309"/>
      <c r="P28" s="309"/>
      <c r="Q28" s="309"/>
      <c r="R28" s="309"/>
    </row>
    <row r="29" spans="2:18" ht="21" customHeight="1">
      <c r="B29" s="538"/>
      <c r="C29" s="538"/>
      <c r="D29" s="538"/>
      <c r="E29" s="538"/>
      <c r="F29" s="538"/>
      <c r="G29" s="353"/>
      <c r="H29" s="550"/>
      <c r="K29" s="309"/>
      <c r="L29" s="309"/>
      <c r="M29" s="309"/>
      <c r="N29" s="309"/>
      <c r="O29" s="309"/>
      <c r="P29" s="309"/>
      <c r="Q29" s="309"/>
      <c r="R29" s="309"/>
    </row>
    <row r="30" spans="2:18" ht="21" customHeight="1">
      <c r="B30" s="538"/>
      <c r="C30" s="538"/>
      <c r="D30" s="538"/>
      <c r="E30" s="538"/>
      <c r="F30" s="538"/>
      <c r="G30" s="353"/>
      <c r="H30" s="550"/>
      <c r="K30" s="309"/>
      <c r="L30" s="309"/>
      <c r="M30" s="309"/>
      <c r="N30" s="309"/>
      <c r="O30" s="309"/>
      <c r="P30" s="309"/>
      <c r="Q30" s="309"/>
      <c r="R30" s="309"/>
    </row>
    <row r="31" spans="2:18" ht="21" customHeight="1">
      <c r="B31" s="538"/>
      <c r="C31" s="538"/>
      <c r="D31" s="538"/>
      <c r="E31" s="538"/>
      <c r="F31" s="538"/>
      <c r="G31" s="353"/>
      <c r="H31" s="550"/>
      <c r="K31" s="309"/>
      <c r="L31" s="309"/>
      <c r="M31" s="309"/>
      <c r="N31" s="309"/>
      <c r="O31" s="309"/>
      <c r="P31" s="309"/>
      <c r="Q31" s="309"/>
      <c r="R31" s="309"/>
    </row>
    <row r="32" spans="2:18" ht="21" customHeight="1">
      <c r="B32" s="538"/>
      <c r="C32" s="538"/>
      <c r="D32" s="538"/>
      <c r="E32" s="538"/>
      <c r="F32" s="538"/>
      <c r="G32" s="353"/>
      <c r="H32" s="550"/>
    </row>
    <row r="33" spans="2:8" ht="21" customHeight="1">
      <c r="B33" s="538"/>
      <c r="C33" s="538"/>
      <c r="D33" s="538"/>
      <c r="E33" s="538"/>
      <c r="F33" s="538"/>
      <c r="G33" s="353"/>
      <c r="H33" s="550"/>
    </row>
    <row r="34" spans="2:8" ht="21" customHeight="1">
      <c r="B34" s="538"/>
      <c r="C34" s="538"/>
      <c r="D34" s="538"/>
      <c r="E34" s="538"/>
      <c r="F34" s="538"/>
      <c r="G34" s="353"/>
      <c r="H34" s="550"/>
    </row>
    <row r="35" spans="2:8" ht="21" customHeight="1">
      <c r="B35" s="538"/>
      <c r="C35" s="538"/>
      <c r="D35" s="538"/>
      <c r="E35" s="538"/>
      <c r="F35" s="538"/>
      <c r="G35" s="353"/>
      <c r="H35" s="550"/>
    </row>
    <row r="36" spans="2:8" ht="21" customHeight="1">
      <c r="B36" s="538"/>
      <c r="C36" s="538"/>
      <c r="D36" s="538"/>
      <c r="E36" s="538"/>
      <c r="F36" s="538"/>
      <c r="G36" s="353"/>
      <c r="H36" s="550"/>
    </row>
    <row r="37" spans="2:8" ht="21" customHeight="1">
      <c r="B37" s="538"/>
      <c r="C37" s="538"/>
      <c r="D37" s="538"/>
      <c r="E37" s="538"/>
      <c r="F37" s="538"/>
      <c r="G37" s="353"/>
      <c r="H37" s="550"/>
    </row>
    <row r="38" spans="2:8" ht="21" customHeight="1">
      <c r="B38" s="538"/>
      <c r="C38" s="538"/>
      <c r="D38" s="538"/>
      <c r="E38" s="538"/>
      <c r="F38" s="538"/>
      <c r="G38" s="353"/>
      <c r="H38" s="550"/>
    </row>
    <row r="39" spans="2:8" ht="21" customHeight="1" thickBot="1">
      <c r="B39" s="538"/>
      <c r="C39" s="538"/>
      <c r="D39" s="538"/>
      <c r="E39" s="538"/>
      <c r="F39" s="538"/>
      <c r="G39" s="353"/>
      <c r="H39" s="550"/>
    </row>
    <row r="40" spans="2:8" ht="21" customHeight="1" thickBot="1">
      <c r="B40" s="310"/>
      <c r="C40" s="310"/>
      <c r="D40" s="310" t="s">
        <v>799</v>
      </c>
      <c r="E40" s="310"/>
      <c r="F40" s="310"/>
      <c r="G40" s="230">
        <f>SUM(G9:G39)</f>
        <v>0</v>
      </c>
      <c r="H40" s="231">
        <f>SUM(H9:H39)</f>
        <v>0</v>
      </c>
    </row>
    <row r="41" spans="2:8" ht="13.8" thickTop="1">
      <c r="B41" s="1644" t="s">
        <v>98</v>
      </c>
      <c r="C41" s="1644"/>
      <c r="D41" s="1644"/>
      <c r="E41" s="1644"/>
      <c r="F41" s="1644"/>
      <c r="G41" s="1644"/>
      <c r="H41" s="1644"/>
    </row>
    <row r="42" spans="2:8">
      <c r="B42" s="8" t="s">
        <v>104</v>
      </c>
      <c r="C42" s="9"/>
      <c r="D42" s="1"/>
      <c r="E42" s="1"/>
      <c r="F42" s="1"/>
      <c r="G42" s="1"/>
      <c r="H42" s="1"/>
    </row>
    <row r="43" spans="2:8">
      <c r="B43" s="9"/>
      <c r="C43" s="8" t="s">
        <v>620</v>
      </c>
      <c r="D43" s="1"/>
      <c r="E43" s="1"/>
      <c r="F43" s="1"/>
      <c r="G43" s="1"/>
      <c r="H43" s="1"/>
    </row>
    <row r="44" spans="2:8">
      <c r="B44" s="9"/>
      <c r="C44" s="8"/>
      <c r="D44" s="1"/>
      <c r="E44" s="1"/>
      <c r="F44" s="1"/>
      <c r="G44" s="1"/>
      <c r="H44" s="1"/>
    </row>
    <row r="45" spans="2:8">
      <c r="B45" s="1"/>
      <c r="C45" s="1"/>
      <c r="D45" s="1"/>
      <c r="E45" s="1"/>
      <c r="F45" s="1"/>
      <c r="G45" s="1"/>
      <c r="H45" s="1"/>
    </row>
    <row r="46" spans="2:8" ht="13.8">
      <c r="B46" s="1618" t="s">
        <v>103</v>
      </c>
      <c r="C46" s="1618"/>
      <c r="D46" s="1618"/>
      <c r="E46" s="1618"/>
      <c r="F46" s="1618"/>
      <c r="G46" s="1618"/>
      <c r="H46" s="1618"/>
    </row>
  </sheetData>
  <sheetProtection algorithmName="SHA-512" hashValue="IEd1ERKyWF7z5LimWBm8NuQ5lozI5QgFcfazCTQaFrgjo8IGbQFnT9CHAMvw8X3XiO7G8ON4KJ1X1wXmbr3Piw==" saltValue="jZ8VZPjrl4a0d5LnpJIpOA==" spinCount="100000" sheet="1" objects="1" scenarios="1"/>
  <mergeCells count="7">
    <mergeCell ref="B8:F8"/>
    <mergeCell ref="B41:H41"/>
    <mergeCell ref="B46:H46"/>
    <mergeCell ref="B3:H3"/>
    <mergeCell ref="B4:H4"/>
    <mergeCell ref="B5:H5"/>
    <mergeCell ref="B6:H6"/>
  </mergeCells>
  <phoneticPr fontId="0" type="noConversion"/>
  <pageMargins left="0.25" right="0.25" top="0.5" bottom="0.5" header="0.25" footer="0.25"/>
  <pageSetup paperSize="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B3:Q48"/>
  <sheetViews>
    <sheetView topLeftCell="A10" zoomScaleNormal="100" workbookViewId="0">
      <selection activeCell="H25" sqref="H25"/>
    </sheetView>
  </sheetViews>
  <sheetFormatPr defaultRowHeight="13.2"/>
  <cols>
    <col min="1" max="1" width="4.6640625" customWidth="1"/>
    <col min="2" max="2" width="4.88671875" customWidth="1"/>
    <col min="3" max="4" width="4.6640625" customWidth="1"/>
    <col min="5" max="5" width="30.88671875" customWidth="1"/>
    <col min="6" max="6" width="15.6640625" customWidth="1"/>
    <col min="7" max="8" width="18.6640625" bestFit="1" customWidth="1"/>
    <col min="9" max="9" width="12.109375" bestFit="1" customWidth="1"/>
  </cols>
  <sheetData>
    <row r="3" spans="2:17" ht="22.8">
      <c r="B3" s="1665" t="s">
        <v>105</v>
      </c>
      <c r="C3" s="1665"/>
      <c r="D3" s="1665"/>
      <c r="E3" s="1665"/>
      <c r="F3" s="1665"/>
      <c r="G3" s="1665"/>
      <c r="H3" s="1665"/>
    </row>
    <row r="4" spans="2:17" ht="22.8">
      <c r="B4" s="1665" t="s">
        <v>106</v>
      </c>
      <c r="C4" s="1665"/>
      <c r="D4" s="1665"/>
      <c r="E4" s="1665"/>
      <c r="F4" s="1665"/>
      <c r="G4" s="1665"/>
      <c r="H4" s="1665"/>
    </row>
    <row r="5" spans="2:17" ht="12.75" customHeight="1">
      <c r="B5" s="2"/>
      <c r="C5" s="2"/>
      <c r="D5" s="2"/>
      <c r="E5" s="2"/>
      <c r="F5" s="2"/>
      <c r="G5" s="2"/>
      <c r="H5" s="2"/>
    </row>
    <row r="6" spans="2:17" ht="15.6">
      <c r="B6" s="1671" t="str">
        <f>IF('KEY INPUTS'!C42 = "State Fiscal Year", 'KEY INPUTS'!F45,'KEY INPUTS'!D45)</f>
        <v>AS  AT  DECEMBER  31, 2021</v>
      </c>
      <c r="C6" s="1620"/>
      <c r="D6" s="1620"/>
      <c r="E6" s="1620"/>
      <c r="F6" s="1620"/>
      <c r="G6" s="1620"/>
      <c r="H6" s="1620"/>
    </row>
    <row r="7" spans="2:17" ht="13.8" thickBot="1"/>
    <row r="8" spans="2:17" ht="36" customHeight="1" thickTop="1" thickBot="1">
      <c r="B8" s="1668" t="s">
        <v>95</v>
      </c>
      <c r="C8" s="1668"/>
      <c r="D8" s="1668"/>
      <c r="E8" s="1668"/>
      <c r="F8" s="1669"/>
      <c r="G8" s="4" t="s">
        <v>96</v>
      </c>
      <c r="H8" s="3" t="s">
        <v>97</v>
      </c>
      <c r="J8" s="309"/>
      <c r="K8" s="309"/>
      <c r="L8" s="309"/>
      <c r="M8" s="309"/>
      <c r="N8" s="309"/>
      <c r="O8" s="309"/>
      <c r="P8" s="309"/>
      <c r="Q8" s="309"/>
    </row>
    <row r="9" spans="2:17" ht="21" customHeight="1" thickTop="1">
      <c r="G9" s="161"/>
      <c r="H9" s="63"/>
      <c r="J9" s="309"/>
      <c r="K9" s="309"/>
      <c r="L9" s="309"/>
      <c r="M9" s="309"/>
      <c r="N9" s="309"/>
      <c r="O9" s="309"/>
      <c r="P9" s="309"/>
      <c r="Q9" s="309"/>
    </row>
    <row r="10" spans="2:17" s="309" customFormat="1" ht="21" customHeight="1">
      <c r="B10" s="310"/>
      <c r="C10" s="313" t="s">
        <v>351</v>
      </c>
      <c r="D10" s="310"/>
      <c r="E10" s="310"/>
      <c r="F10" s="310"/>
      <c r="G10" s="66">
        <f>+'9-Cash Reconciliation'!I7</f>
        <v>0</v>
      </c>
      <c r="H10" s="67"/>
    </row>
    <row r="11" spans="2:17" ht="21" customHeight="1">
      <c r="B11" s="5"/>
      <c r="C11" s="5" t="s">
        <v>556</v>
      </c>
      <c r="D11" s="5"/>
      <c r="E11" s="5"/>
      <c r="F11" s="5"/>
      <c r="G11" s="66">
        <f>'10 Totals Grants Receivable'!K27</f>
        <v>16000</v>
      </c>
      <c r="H11" s="550"/>
      <c r="I11" s="218"/>
      <c r="J11" s="356"/>
      <c r="K11" s="309"/>
      <c r="L11" s="309"/>
      <c r="M11" s="309"/>
      <c r="N11" s="309"/>
      <c r="O11" s="309"/>
      <c r="P11" s="309"/>
      <c r="Q11" s="309"/>
    </row>
    <row r="12" spans="2:17" ht="21" customHeight="1">
      <c r="B12" s="5"/>
      <c r="C12" s="538"/>
      <c r="D12" s="538"/>
      <c r="E12" s="538"/>
      <c r="F12" s="538"/>
      <c r="G12" s="353"/>
      <c r="H12" s="550"/>
      <c r="J12" s="309"/>
      <c r="K12" s="309"/>
      <c r="L12" s="309"/>
      <c r="M12" s="309"/>
      <c r="N12" s="309"/>
      <c r="O12" s="309"/>
      <c r="P12" s="309"/>
      <c r="Q12" s="309"/>
    </row>
    <row r="13" spans="2:17" s="309" customFormat="1" ht="21" customHeight="1">
      <c r="B13" s="310"/>
      <c r="C13" s="538"/>
      <c r="D13" s="538"/>
      <c r="E13" s="538"/>
      <c r="F13" s="538"/>
      <c r="G13" s="353"/>
      <c r="H13" s="550"/>
    </row>
    <row r="14" spans="2:17" s="309" customFormat="1" ht="21" customHeight="1">
      <c r="B14" s="310"/>
      <c r="C14" s="538"/>
      <c r="D14" s="538"/>
      <c r="E14" s="538"/>
      <c r="F14" s="538"/>
      <c r="G14" s="353"/>
      <c r="H14" s="550"/>
    </row>
    <row r="15" spans="2:17" s="309" customFormat="1" ht="21" customHeight="1">
      <c r="B15" s="310"/>
      <c r="C15" s="538"/>
      <c r="D15" s="538"/>
      <c r="E15" s="538"/>
      <c r="F15" s="538"/>
      <c r="G15" s="353"/>
      <c r="H15" s="550"/>
    </row>
    <row r="16" spans="2:17" s="309" customFormat="1" ht="21" customHeight="1">
      <c r="B16" s="310"/>
      <c r="C16" s="538"/>
      <c r="D16" s="538"/>
      <c r="E16" s="538"/>
      <c r="F16" s="538"/>
      <c r="G16" s="353"/>
      <c r="H16" s="550"/>
    </row>
    <row r="17" spans="2:17" s="309" customFormat="1" ht="21" customHeight="1">
      <c r="B17" s="310"/>
      <c r="C17" s="538"/>
      <c r="D17" s="538"/>
      <c r="E17" s="538"/>
      <c r="F17" s="538"/>
      <c r="G17" s="353"/>
      <c r="H17" s="550"/>
    </row>
    <row r="18" spans="2:17" s="309" customFormat="1" ht="21" customHeight="1">
      <c r="B18" s="310"/>
      <c r="C18" s="538"/>
      <c r="D18" s="538"/>
      <c r="E18" s="538"/>
      <c r="F18" s="538"/>
      <c r="G18" s="353"/>
      <c r="H18" s="550"/>
    </row>
    <row r="19" spans="2:17" s="268" customFormat="1" ht="21" customHeight="1">
      <c r="B19" s="269"/>
      <c r="C19" s="538"/>
      <c r="D19" s="538"/>
      <c r="E19" s="538"/>
      <c r="F19" s="538"/>
      <c r="G19" s="353"/>
      <c r="H19" s="550"/>
      <c r="I19" s="299"/>
      <c r="J19" s="309"/>
      <c r="K19" s="309"/>
      <c r="L19" s="309"/>
      <c r="M19" s="309"/>
      <c r="N19" s="309"/>
      <c r="O19" s="309"/>
      <c r="P19" s="309"/>
      <c r="Q19" s="309"/>
    </row>
    <row r="20" spans="2:17" s="268" customFormat="1" ht="21" customHeight="1">
      <c r="B20" s="269"/>
      <c r="C20" s="538"/>
      <c r="D20" s="538"/>
      <c r="E20" s="538"/>
      <c r="F20" s="538"/>
      <c r="G20" s="353"/>
      <c r="H20" s="550"/>
      <c r="J20" s="309"/>
      <c r="K20" s="309"/>
      <c r="L20" s="309"/>
      <c r="M20" s="309"/>
      <c r="N20" s="309"/>
      <c r="O20" s="309"/>
      <c r="P20" s="309"/>
      <c r="Q20" s="309"/>
    </row>
    <row r="21" spans="2:17" ht="21" customHeight="1">
      <c r="B21" s="5"/>
      <c r="C21" s="538" t="s">
        <v>128</v>
      </c>
      <c r="D21" s="538"/>
      <c r="E21" s="538"/>
      <c r="F21" s="538"/>
      <c r="G21" s="353">
        <v>15940.32</v>
      </c>
      <c r="H21" s="550"/>
      <c r="I21" s="218"/>
      <c r="J21" s="309"/>
      <c r="K21" s="309"/>
      <c r="L21" s="309"/>
      <c r="M21" s="309"/>
      <c r="N21" s="309"/>
      <c r="O21" s="309"/>
      <c r="P21" s="309"/>
      <c r="Q21" s="309"/>
    </row>
    <row r="22" spans="2:17" ht="21" customHeight="1">
      <c r="B22" s="5"/>
      <c r="C22" s="538"/>
      <c r="D22" s="538"/>
      <c r="E22" s="538"/>
      <c r="F22" s="538"/>
      <c r="G22" s="353"/>
      <c r="H22" s="550"/>
      <c r="J22" s="309"/>
      <c r="K22" s="309"/>
      <c r="L22" s="309"/>
      <c r="M22" s="309"/>
      <c r="N22" s="309"/>
      <c r="O22" s="309"/>
      <c r="P22" s="309"/>
      <c r="Q22" s="309"/>
    </row>
    <row r="23" spans="2:17" ht="21" customHeight="1">
      <c r="B23" s="5"/>
      <c r="C23" s="538"/>
      <c r="D23" s="538"/>
      <c r="E23" s="538"/>
      <c r="F23" s="538"/>
      <c r="G23" s="353"/>
      <c r="H23" s="550"/>
      <c r="I23" s="218"/>
      <c r="J23" s="309"/>
      <c r="K23" s="309"/>
      <c r="L23" s="309"/>
      <c r="M23" s="309"/>
      <c r="N23" s="309"/>
      <c r="O23" s="309"/>
      <c r="P23" s="309"/>
      <c r="Q23" s="309"/>
    </row>
    <row r="24" spans="2:17" ht="21" customHeight="1">
      <c r="B24" s="5"/>
      <c r="C24" s="538" t="s">
        <v>795</v>
      </c>
      <c r="D24" s="538"/>
      <c r="E24" s="538"/>
      <c r="F24" s="538"/>
      <c r="G24" s="353"/>
      <c r="H24" s="550">
        <v>1010.97</v>
      </c>
      <c r="I24" s="299"/>
      <c r="J24" s="309"/>
      <c r="K24" s="309"/>
      <c r="L24" s="309"/>
      <c r="M24" s="309"/>
      <c r="N24" s="309"/>
      <c r="O24" s="309"/>
      <c r="P24" s="309"/>
      <c r="Q24" s="309"/>
    </row>
    <row r="25" spans="2:17" s="309" customFormat="1" ht="21" customHeight="1">
      <c r="B25" s="310"/>
      <c r="C25" s="538"/>
      <c r="D25" s="538"/>
      <c r="E25" s="538"/>
      <c r="F25" s="538"/>
      <c r="G25" s="353"/>
      <c r="H25" s="550"/>
      <c r="I25" s="312"/>
    </row>
    <row r="26" spans="2:17" s="309" customFormat="1" ht="21" customHeight="1">
      <c r="B26" s="310"/>
      <c r="C26" s="538"/>
      <c r="D26" s="538"/>
      <c r="E26" s="538"/>
      <c r="F26" s="538"/>
      <c r="G26" s="353"/>
      <c r="H26" s="550"/>
      <c r="I26" s="312"/>
    </row>
    <row r="27" spans="2:17" s="309" customFormat="1" ht="21" customHeight="1">
      <c r="B27" s="310"/>
      <c r="C27" s="538"/>
      <c r="D27" s="538"/>
      <c r="E27" s="538"/>
      <c r="F27" s="538"/>
      <c r="G27" s="353"/>
      <c r="H27" s="550"/>
      <c r="I27" s="312"/>
    </row>
    <row r="28" spans="2:17" s="309" customFormat="1" ht="21" customHeight="1">
      <c r="B28" s="310"/>
      <c r="C28" s="538"/>
      <c r="D28" s="538"/>
      <c r="E28" s="538"/>
      <c r="F28" s="538"/>
      <c r="G28" s="353"/>
      <c r="H28" s="550"/>
      <c r="I28" s="312"/>
    </row>
    <row r="29" spans="2:17" s="309" customFormat="1" ht="21" customHeight="1">
      <c r="B29" s="310"/>
      <c r="C29" s="538"/>
      <c r="D29" s="538"/>
      <c r="E29" s="538"/>
      <c r="F29" s="538"/>
      <c r="G29" s="353"/>
      <c r="H29" s="550"/>
      <c r="I29" s="312"/>
    </row>
    <row r="30" spans="2:17" s="309" customFormat="1" ht="21" customHeight="1">
      <c r="B30" s="310"/>
      <c r="C30" s="538"/>
      <c r="D30" s="538"/>
      <c r="E30" s="538"/>
      <c r="F30" s="538"/>
      <c r="G30" s="353"/>
      <c r="H30" s="550"/>
      <c r="I30" s="312"/>
    </row>
    <row r="31" spans="2:17" ht="21" customHeight="1">
      <c r="B31" s="5"/>
      <c r="C31" s="538"/>
      <c r="D31" s="538"/>
      <c r="E31" s="538"/>
      <c r="F31" s="538"/>
      <c r="G31" s="353"/>
      <c r="H31" s="550"/>
      <c r="J31" s="309"/>
      <c r="K31" s="309"/>
      <c r="L31" s="309"/>
      <c r="M31" s="309"/>
      <c r="N31" s="309"/>
      <c r="O31" s="309"/>
      <c r="P31" s="309"/>
      <c r="Q31" s="309"/>
    </row>
    <row r="32" spans="2:17" ht="21" customHeight="1">
      <c r="B32" s="5"/>
      <c r="C32" s="538"/>
      <c r="D32" s="538"/>
      <c r="E32" s="538"/>
      <c r="F32" s="538"/>
      <c r="G32" s="353"/>
      <c r="H32" s="550"/>
      <c r="J32" s="309"/>
      <c r="K32" s="309"/>
      <c r="L32" s="309"/>
      <c r="M32" s="309"/>
      <c r="N32" s="309"/>
      <c r="O32" s="309"/>
      <c r="P32" s="309"/>
      <c r="Q32" s="309"/>
    </row>
    <row r="33" spans="2:17" ht="21" customHeight="1">
      <c r="B33" s="5"/>
      <c r="C33" s="5" t="s">
        <v>284</v>
      </c>
      <c r="D33" s="5"/>
      <c r="E33" s="5"/>
      <c r="F33" s="5"/>
      <c r="G33" s="353"/>
      <c r="H33" s="632">
        <f>+'11- Totals Grants Approp Rsrv'!L27</f>
        <v>22747.510000000002</v>
      </c>
      <c r="I33" s="683"/>
      <c r="J33" s="309"/>
      <c r="K33" s="309"/>
      <c r="L33" s="309"/>
      <c r="M33" s="309"/>
      <c r="N33" s="309"/>
      <c r="O33" s="309"/>
      <c r="P33" s="309"/>
      <c r="Q33" s="309"/>
    </row>
    <row r="34" spans="2:17" ht="21" customHeight="1">
      <c r="B34" s="5"/>
      <c r="C34" s="5" t="s">
        <v>557</v>
      </c>
      <c r="D34" s="5"/>
      <c r="E34" s="5"/>
      <c r="F34" s="5"/>
      <c r="G34" s="353"/>
      <c r="H34" s="632">
        <f>+'12 Total-Grants Unappropriated'!K27</f>
        <v>8181.84</v>
      </c>
      <c r="I34" s="681"/>
      <c r="J34" s="309"/>
      <c r="K34" s="309"/>
      <c r="L34" s="309"/>
      <c r="M34" s="309"/>
      <c r="N34" s="309"/>
      <c r="O34" s="309"/>
      <c r="P34" s="309"/>
      <c r="Q34" s="309"/>
    </row>
    <row r="35" spans="2:17" ht="21" customHeight="1" thickBot="1">
      <c r="B35" s="5"/>
      <c r="C35" s="5"/>
      <c r="D35" s="5"/>
      <c r="E35" s="5"/>
      <c r="F35" s="5"/>
      <c r="G35" s="131"/>
      <c r="H35" s="71"/>
      <c r="J35" s="309"/>
      <c r="K35" s="309"/>
      <c r="L35" s="309"/>
      <c r="M35" s="309"/>
      <c r="N35" s="309"/>
      <c r="O35" s="309"/>
      <c r="P35" s="309"/>
      <c r="Q35" s="309"/>
    </row>
    <row r="36" spans="2:17" ht="21" customHeight="1" thickBot="1">
      <c r="B36" s="5"/>
      <c r="C36" s="5"/>
      <c r="D36" s="5" t="s">
        <v>799</v>
      </c>
      <c r="E36" s="5"/>
      <c r="F36" s="5"/>
      <c r="G36" s="230">
        <f>SUM(G9:G35)</f>
        <v>31940.32</v>
      </c>
      <c r="H36" s="231">
        <f>SUM(H9:H35)</f>
        <v>31940.320000000003</v>
      </c>
      <c r="I36" s="218"/>
      <c r="J36" s="309"/>
      <c r="K36" s="309"/>
      <c r="L36" s="309"/>
      <c r="M36" s="309"/>
      <c r="N36" s="309"/>
      <c r="O36" s="309"/>
      <c r="P36" s="309"/>
      <c r="Q36" s="309"/>
    </row>
    <row r="37" spans="2:17" ht="21" customHeight="1" thickTop="1">
      <c r="B37" s="5"/>
      <c r="C37" s="5"/>
      <c r="D37" s="5"/>
      <c r="E37" s="5"/>
      <c r="F37" s="5"/>
      <c r="G37" s="64"/>
      <c r="H37" s="65"/>
      <c r="I37" s="218"/>
      <c r="J37" s="309"/>
      <c r="K37" s="309"/>
      <c r="L37" s="309"/>
      <c r="M37" s="309"/>
      <c r="N37" s="309"/>
      <c r="O37" s="309"/>
      <c r="P37" s="309"/>
      <c r="Q37" s="309"/>
    </row>
    <row r="38" spans="2:17" ht="21" customHeight="1">
      <c r="B38" s="5"/>
      <c r="C38" s="5"/>
      <c r="D38" s="5"/>
      <c r="E38" s="5"/>
      <c r="F38" s="5"/>
      <c r="G38" s="66"/>
      <c r="H38" s="67"/>
    </row>
    <row r="39" spans="2:17" ht="21" customHeight="1">
      <c r="B39" s="5"/>
      <c r="C39" s="5"/>
      <c r="D39" s="5"/>
      <c r="E39" s="5"/>
      <c r="F39" s="5"/>
      <c r="G39" s="66"/>
      <c r="H39" s="67"/>
    </row>
    <row r="40" spans="2:17" ht="21" customHeight="1">
      <c r="B40" s="5"/>
      <c r="C40" s="5"/>
      <c r="D40" s="5"/>
      <c r="E40" s="5"/>
      <c r="F40" s="5"/>
      <c r="G40" s="66"/>
      <c r="H40" s="67"/>
    </row>
    <row r="41" spans="2:17" ht="21" customHeight="1">
      <c r="B41" s="5"/>
      <c r="C41" s="5"/>
      <c r="D41" s="5"/>
      <c r="E41" s="5"/>
      <c r="F41" s="5"/>
      <c r="G41" s="66"/>
      <c r="H41" s="67"/>
    </row>
    <row r="42" spans="2:17" ht="21" customHeight="1">
      <c r="B42" s="5"/>
      <c r="C42" s="5"/>
      <c r="D42" s="5"/>
      <c r="E42" s="5"/>
      <c r="F42" s="5"/>
      <c r="G42" s="66"/>
      <c r="H42" s="67"/>
    </row>
    <row r="43" spans="2:17" ht="21" customHeight="1">
      <c r="B43" s="5"/>
      <c r="C43" s="5"/>
      <c r="D43" s="5"/>
      <c r="E43" s="5"/>
      <c r="F43" s="5"/>
      <c r="G43" s="66"/>
      <c r="H43" s="67"/>
    </row>
    <row r="44" spans="2:17" ht="21" customHeight="1">
      <c r="B44" s="5"/>
      <c r="C44" s="5"/>
      <c r="D44" s="5"/>
      <c r="E44" s="5"/>
      <c r="F44" s="5"/>
      <c r="G44" s="66"/>
      <c r="H44" s="67"/>
    </row>
    <row r="45" spans="2:17">
      <c r="B45" s="1644" t="s">
        <v>98</v>
      </c>
      <c r="C45" s="1644"/>
      <c r="D45" s="1644"/>
      <c r="E45" s="1644"/>
      <c r="F45" s="1644"/>
      <c r="G45" s="1644"/>
      <c r="H45" s="1644"/>
    </row>
    <row r="46" spans="2:17">
      <c r="B46" s="1"/>
      <c r="C46" s="1"/>
      <c r="D46" s="1"/>
      <c r="E46" s="1"/>
      <c r="F46" s="1"/>
      <c r="G46" s="1"/>
      <c r="H46" s="1"/>
    </row>
    <row r="48" spans="2:17" ht="13.8">
      <c r="B48" s="1618" t="s">
        <v>479</v>
      </c>
      <c r="C48" s="1618"/>
      <c r="D48" s="1618"/>
      <c r="E48" s="1618"/>
      <c r="F48" s="1618"/>
      <c r="G48" s="1618"/>
      <c r="H48" s="1618"/>
    </row>
  </sheetData>
  <sheetProtection algorithmName="SHA-512" hashValue="Y+ETW9NRkPOpD3JPx5jvDWJ1WLJOKyZYEV5GhCzsB13DosF1JjfJHo1RbMrZTXcbbHApmPPqyLAyTV9RTFO01A==" saltValue="jgXYPjmLFrNZI5F8W9R7Zw==" spinCount="100000" sheet="1" objects="1" scenarios="1"/>
  <mergeCells count="6">
    <mergeCell ref="B8:F8"/>
    <mergeCell ref="B45:H45"/>
    <mergeCell ref="B48:H48"/>
    <mergeCell ref="B3:H3"/>
    <mergeCell ref="B4:H4"/>
    <mergeCell ref="B6:H6"/>
  </mergeCells>
  <phoneticPr fontId="0" type="noConversion"/>
  <pageMargins left="0.25" right="0.25" top="0.5" bottom="0.5" header="0.25" footer="0.25"/>
  <pageSetup paperSize="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B1:Q47"/>
  <sheetViews>
    <sheetView topLeftCell="A22" zoomScaleNormal="100" zoomScaleSheetLayoutView="100" workbookViewId="0">
      <selection activeCell="H44" sqref="H44"/>
    </sheetView>
  </sheetViews>
  <sheetFormatPr defaultRowHeight="13.2"/>
  <cols>
    <col min="1" max="1" width="4.6640625" customWidth="1"/>
    <col min="2" max="2" width="4.88671875" customWidth="1"/>
    <col min="3" max="4" width="4.6640625" customWidth="1"/>
    <col min="5" max="5" width="31.5546875" customWidth="1"/>
    <col min="6" max="6" width="15.6640625" customWidth="1"/>
    <col min="7" max="7" width="18.6640625" style="236" bestFit="1" customWidth="1"/>
    <col min="8" max="8" width="18.6640625" style="266" bestFit="1" customWidth="1"/>
    <col min="9" max="9" width="13.5546875" style="266" bestFit="1" customWidth="1"/>
    <col min="10" max="10" width="10.88671875" style="266" bestFit="1" customWidth="1"/>
  </cols>
  <sheetData>
    <row r="1" spans="2:17">
      <c r="K1" s="266"/>
    </row>
    <row r="2" spans="2:17">
      <c r="K2" s="266"/>
    </row>
    <row r="3" spans="2:17" ht="22.8">
      <c r="B3" s="1665" t="s">
        <v>424</v>
      </c>
      <c r="C3" s="1665"/>
      <c r="D3" s="1665"/>
      <c r="E3" s="1665"/>
      <c r="F3" s="1665"/>
      <c r="G3" s="1665"/>
      <c r="H3" s="1665"/>
    </row>
    <row r="4" spans="2:17" ht="22.8">
      <c r="B4" s="1665" t="s">
        <v>3614</v>
      </c>
      <c r="C4" s="1665"/>
      <c r="D4" s="1665"/>
      <c r="E4" s="1665"/>
      <c r="F4" s="1665"/>
      <c r="G4" s="1665"/>
      <c r="H4" s="1665"/>
    </row>
    <row r="5" spans="2:17" ht="17.399999999999999">
      <c r="B5" s="1675" t="s">
        <v>621</v>
      </c>
      <c r="C5" s="1675"/>
      <c r="D5" s="1675"/>
      <c r="E5" s="1675"/>
      <c r="F5" s="1675"/>
      <c r="G5" s="1675"/>
      <c r="H5" s="1675"/>
    </row>
    <row r="6" spans="2:17" ht="15.6">
      <c r="B6" s="1671" t="str">
        <f>IF('KEY INPUTS'!C42 = "State Fiscal Year", 'KEY INPUTS'!F45,'KEY INPUTS'!D45)</f>
        <v>AS  AT  DECEMBER  31, 2021</v>
      </c>
      <c r="C6" s="1620"/>
      <c r="D6" s="1620"/>
      <c r="E6" s="1620"/>
      <c r="F6" s="1620"/>
      <c r="G6" s="1620"/>
      <c r="H6" s="1620"/>
    </row>
    <row r="7" spans="2:17" ht="13.8" thickBot="1"/>
    <row r="8" spans="2:17" ht="36" customHeight="1" thickTop="1" thickBot="1">
      <c r="B8" s="1668" t="s">
        <v>95</v>
      </c>
      <c r="C8" s="1668"/>
      <c r="D8" s="1668"/>
      <c r="E8" s="1668"/>
      <c r="F8" s="1669"/>
      <c r="G8" s="249" t="s">
        <v>96</v>
      </c>
      <c r="H8" s="250" t="s">
        <v>97</v>
      </c>
    </row>
    <row r="9" spans="2:17" ht="21" customHeight="1" thickTop="1">
      <c r="B9" s="797"/>
      <c r="C9" s="797"/>
      <c r="D9" s="797"/>
      <c r="E9" s="797"/>
      <c r="F9" s="797"/>
      <c r="G9" s="798"/>
      <c r="H9" s="799"/>
      <c r="K9" s="309"/>
      <c r="L9" s="309"/>
      <c r="M9" s="309"/>
      <c r="N9" s="309"/>
      <c r="O9" s="309"/>
      <c r="P9" s="309"/>
      <c r="Q9" s="309"/>
    </row>
    <row r="10" spans="2:17" ht="21" customHeight="1">
      <c r="B10" s="801" t="s">
        <v>3540</v>
      </c>
      <c r="C10" s="608"/>
      <c r="D10" s="608"/>
      <c r="E10" s="608"/>
      <c r="F10" s="608"/>
      <c r="G10" s="800"/>
      <c r="H10" s="632"/>
      <c r="K10" s="309"/>
      <c r="L10" s="356"/>
      <c r="M10" s="309"/>
      <c r="N10" s="309"/>
      <c r="O10" s="309"/>
      <c r="P10" s="309"/>
      <c r="Q10" s="309"/>
    </row>
    <row r="11" spans="2:17" ht="21" customHeight="1">
      <c r="B11" s="608"/>
      <c r="C11" s="801" t="s">
        <v>351</v>
      </c>
      <c r="D11" s="608"/>
      <c r="E11" s="608"/>
      <c r="F11" s="608"/>
      <c r="G11" s="800">
        <f>+'9-Cash Reconciliation'!I8</f>
        <v>3251.9</v>
      </c>
      <c r="H11" s="632"/>
      <c r="I11" s="1536"/>
      <c r="K11" s="309"/>
      <c r="L11" s="309"/>
      <c r="M11" s="309"/>
      <c r="N11" s="309"/>
      <c r="O11" s="309"/>
      <c r="P11" s="309"/>
      <c r="Q11" s="309"/>
    </row>
    <row r="12" spans="2:17" ht="21" customHeight="1">
      <c r="B12" s="538"/>
      <c r="C12" s="539" t="s">
        <v>3199</v>
      </c>
      <c r="D12" s="538"/>
      <c r="E12" s="538"/>
      <c r="F12" s="538"/>
      <c r="G12" s="353"/>
      <c r="H12" s="550"/>
      <c r="K12" s="309"/>
      <c r="L12" s="309"/>
      <c r="M12" s="309"/>
      <c r="N12" s="309"/>
      <c r="O12" s="309"/>
      <c r="P12" s="309"/>
      <c r="Q12" s="309"/>
    </row>
    <row r="13" spans="2:17" ht="21" customHeight="1">
      <c r="B13" s="538"/>
      <c r="C13" s="539" t="s">
        <v>3230</v>
      </c>
      <c r="D13" s="538"/>
      <c r="E13" s="538"/>
      <c r="F13" s="538"/>
      <c r="G13" s="353"/>
      <c r="H13" s="550"/>
      <c r="K13" s="309"/>
      <c r="L13" s="309"/>
      <c r="M13" s="309"/>
      <c r="N13" s="309"/>
      <c r="O13" s="309"/>
      <c r="P13" s="309"/>
      <c r="Q13" s="309"/>
    </row>
    <row r="14" spans="2:17" ht="21" customHeight="1">
      <c r="B14" s="538"/>
      <c r="C14" s="539" t="s">
        <v>3541</v>
      </c>
      <c r="D14" s="538"/>
      <c r="E14" s="538"/>
      <c r="F14" s="538"/>
      <c r="G14" s="353"/>
      <c r="H14" s="550">
        <v>3251.9</v>
      </c>
      <c r="I14" s="314"/>
      <c r="K14" s="309"/>
      <c r="L14" s="309"/>
      <c r="M14" s="309"/>
      <c r="N14" s="309"/>
      <c r="O14" s="309"/>
      <c r="P14" s="309"/>
      <c r="Q14" s="309"/>
    </row>
    <row r="15" spans="2:17" ht="21" customHeight="1">
      <c r="B15" s="538"/>
      <c r="C15" s="538"/>
      <c r="D15" s="538"/>
      <c r="E15" s="538"/>
      <c r="F15" s="538"/>
      <c r="G15" s="567"/>
      <c r="H15" s="551"/>
      <c r="I15" s="314"/>
      <c r="K15" s="309"/>
      <c r="L15" s="309"/>
      <c r="M15" s="309"/>
      <c r="N15" s="309"/>
      <c r="O15" s="309"/>
      <c r="P15" s="309"/>
      <c r="Q15" s="309"/>
    </row>
    <row r="16" spans="2:17" ht="21" customHeight="1" thickBot="1">
      <c r="B16" s="538"/>
      <c r="C16" s="538"/>
      <c r="D16" s="538"/>
      <c r="E16" s="538"/>
      <c r="F16" s="538"/>
      <c r="G16" s="567"/>
      <c r="H16" s="724"/>
      <c r="K16" s="309"/>
      <c r="L16" s="309"/>
      <c r="M16" s="309"/>
      <c r="N16" s="309"/>
      <c r="O16" s="309"/>
      <c r="P16" s="309"/>
      <c r="Q16" s="309"/>
    </row>
    <row r="17" spans="2:17" ht="21" customHeight="1" thickTop="1" thickBot="1">
      <c r="B17" s="714"/>
      <c r="C17" s="793" t="s">
        <v>3231</v>
      </c>
      <c r="D17" s="803"/>
      <c r="E17" s="803"/>
      <c r="F17" s="803"/>
      <c r="G17" s="804">
        <f>SUM(G9:G16)</f>
        <v>3251.9</v>
      </c>
      <c r="H17" s="805">
        <f>SUM(H9:H16)</f>
        <v>3251.9</v>
      </c>
      <c r="I17" s="314"/>
      <c r="K17" s="309"/>
      <c r="L17" s="309"/>
      <c r="M17" s="309"/>
      <c r="N17" s="309"/>
      <c r="O17" s="309"/>
      <c r="P17" s="309"/>
      <c r="Q17" s="309"/>
    </row>
    <row r="18" spans="2:17" ht="21" customHeight="1" thickTop="1">
      <c r="B18" s="608"/>
      <c r="C18" s="608"/>
      <c r="D18" s="608"/>
      <c r="E18" s="608"/>
      <c r="F18" s="608"/>
      <c r="G18" s="806"/>
      <c r="H18" s="807"/>
      <c r="K18" s="309"/>
      <c r="L18" s="309"/>
      <c r="M18" s="309"/>
      <c r="N18" s="309"/>
      <c r="O18" s="309"/>
      <c r="P18" s="309"/>
      <c r="Q18" s="309"/>
    </row>
    <row r="19" spans="2:17" ht="21" customHeight="1">
      <c r="B19" s="801" t="s">
        <v>3233</v>
      </c>
      <c r="C19" s="608"/>
      <c r="D19" s="608"/>
      <c r="E19" s="608"/>
      <c r="F19" s="608"/>
      <c r="G19" s="800"/>
      <c r="H19" s="632"/>
      <c r="K19" s="309"/>
      <c r="L19" s="309"/>
      <c r="M19" s="309"/>
      <c r="N19" s="309"/>
      <c r="O19" s="309"/>
      <c r="P19" s="309"/>
      <c r="Q19" s="309"/>
    </row>
    <row r="20" spans="2:17" ht="21" customHeight="1">
      <c r="B20" s="608"/>
      <c r="C20" s="801" t="s">
        <v>351</v>
      </c>
      <c r="D20" s="608"/>
      <c r="E20" s="608"/>
      <c r="F20" s="608"/>
      <c r="G20" s="800">
        <f>+'9-Cash Reconciliation'!I9</f>
        <v>0</v>
      </c>
      <c r="H20" s="632"/>
      <c r="I20" s="1536"/>
      <c r="K20" s="309"/>
      <c r="L20" s="309"/>
      <c r="M20" s="309"/>
      <c r="N20" s="309"/>
      <c r="O20" s="309"/>
      <c r="P20" s="309"/>
      <c r="Q20" s="309"/>
    </row>
    <row r="21" spans="2:17" ht="21" customHeight="1">
      <c r="B21" s="538"/>
      <c r="C21" s="539" t="s">
        <v>3199</v>
      </c>
      <c r="D21" s="538"/>
      <c r="E21" s="538"/>
      <c r="F21" s="538"/>
      <c r="G21" s="353"/>
      <c r="H21" s="550"/>
      <c r="K21" s="309"/>
      <c r="L21" s="309"/>
      <c r="M21" s="309"/>
      <c r="N21" s="309"/>
      <c r="O21" s="309"/>
      <c r="P21" s="309"/>
      <c r="Q21" s="309"/>
    </row>
    <row r="22" spans="2:17" ht="21" customHeight="1">
      <c r="B22" s="538"/>
      <c r="C22" s="538"/>
      <c r="D22" s="538"/>
      <c r="E22" s="538"/>
      <c r="F22" s="538"/>
      <c r="G22" s="353"/>
      <c r="H22" s="550"/>
      <c r="K22" s="309"/>
      <c r="L22" s="309"/>
      <c r="M22" s="309"/>
      <c r="N22" s="309"/>
      <c r="O22" s="309"/>
      <c r="P22" s="309"/>
      <c r="Q22" s="309"/>
    </row>
    <row r="23" spans="2:17" ht="21" customHeight="1">
      <c r="B23" s="538"/>
      <c r="C23" s="538"/>
      <c r="D23" s="538"/>
      <c r="E23" s="538"/>
      <c r="F23" s="538"/>
      <c r="G23" s="353"/>
      <c r="H23" s="550"/>
      <c r="I23" s="314"/>
      <c r="K23" s="309"/>
      <c r="L23" s="309"/>
      <c r="M23" s="309"/>
      <c r="N23" s="309"/>
      <c r="O23" s="309"/>
      <c r="P23" s="309"/>
      <c r="Q23" s="309"/>
    </row>
    <row r="24" spans="2:17" ht="21" customHeight="1">
      <c r="B24" s="538"/>
      <c r="C24" s="539" t="s">
        <v>3232</v>
      </c>
      <c r="D24" s="545"/>
      <c r="E24" s="538"/>
      <c r="F24" s="538"/>
      <c r="G24" s="353"/>
      <c r="H24" s="550"/>
      <c r="I24" s="1537"/>
      <c r="K24" s="309"/>
      <c r="L24" s="309"/>
      <c r="M24" s="309"/>
      <c r="N24" s="309"/>
      <c r="O24" s="309"/>
      <c r="P24" s="309"/>
      <c r="Q24" s="309"/>
    </row>
    <row r="25" spans="2:17" ht="21" customHeight="1">
      <c r="B25" s="538"/>
      <c r="C25" s="539"/>
      <c r="D25" s="538"/>
      <c r="E25" s="538"/>
      <c r="F25" s="538"/>
      <c r="G25" s="353"/>
      <c r="H25" s="550"/>
      <c r="I25" s="314"/>
      <c r="K25" s="309"/>
      <c r="L25" s="309"/>
      <c r="M25" s="309"/>
      <c r="N25" s="309"/>
      <c r="O25" s="309"/>
      <c r="P25" s="309"/>
      <c r="Q25" s="309"/>
    </row>
    <row r="26" spans="2:17" ht="21" customHeight="1">
      <c r="B26" s="538"/>
      <c r="C26" s="538"/>
      <c r="D26" s="538"/>
      <c r="E26" s="538"/>
      <c r="F26" s="538"/>
      <c r="G26" s="353"/>
      <c r="H26" s="550"/>
      <c r="I26" s="314"/>
      <c r="K26" s="309"/>
      <c r="L26" s="309"/>
      <c r="M26" s="309"/>
      <c r="N26" s="309"/>
      <c r="O26" s="309"/>
      <c r="P26" s="309"/>
      <c r="Q26" s="309"/>
    </row>
    <row r="27" spans="2:17" s="309" customFormat="1" ht="21" customHeight="1" thickBot="1">
      <c r="B27" s="538"/>
      <c r="C27" s="538"/>
      <c r="D27" s="538"/>
      <c r="E27" s="538"/>
      <c r="F27" s="538"/>
      <c r="G27" s="567"/>
      <c r="H27" s="551"/>
      <c r="I27" s="314"/>
      <c r="J27" s="266"/>
    </row>
    <row r="28" spans="2:17" s="309" customFormat="1" ht="21" customHeight="1" thickTop="1" thickBot="1">
      <c r="B28" s="803"/>
      <c r="C28" s="793" t="s">
        <v>3231</v>
      </c>
      <c r="D28" s="803"/>
      <c r="E28" s="803"/>
      <c r="F28" s="803"/>
      <c r="G28" s="804">
        <f>SUM(G20:G27)</f>
        <v>0</v>
      </c>
      <c r="H28" s="805">
        <f>SUM(H20:H27)</f>
        <v>0</v>
      </c>
      <c r="I28" s="314"/>
      <c r="J28" s="266"/>
    </row>
    <row r="29" spans="2:17" ht="21" customHeight="1" thickTop="1">
      <c r="B29" s="608"/>
      <c r="C29" s="608"/>
      <c r="D29" s="608"/>
      <c r="E29" s="608"/>
      <c r="F29" s="608"/>
      <c r="G29" s="806"/>
      <c r="H29" s="807"/>
      <c r="I29" s="1537"/>
      <c r="K29" s="309"/>
      <c r="L29" s="309"/>
      <c r="M29" s="309"/>
      <c r="N29" s="309"/>
      <c r="O29" s="309"/>
      <c r="P29" s="309"/>
      <c r="Q29" s="309"/>
    </row>
    <row r="30" spans="2:17" ht="21" customHeight="1">
      <c r="B30" s="801" t="s">
        <v>3234</v>
      </c>
      <c r="C30" s="608"/>
      <c r="D30" s="608"/>
      <c r="E30" s="608"/>
      <c r="F30" s="608"/>
      <c r="G30" s="800"/>
      <c r="H30" s="632"/>
      <c r="I30" s="314"/>
      <c r="K30" s="309"/>
      <c r="L30" s="309"/>
      <c r="M30" s="309"/>
      <c r="N30" s="309"/>
      <c r="O30" s="309"/>
      <c r="P30" s="309"/>
      <c r="Q30" s="309"/>
    </row>
    <row r="31" spans="2:17" s="309" customFormat="1" ht="21" customHeight="1">
      <c r="B31" s="608"/>
      <c r="C31" s="801" t="s">
        <v>351</v>
      </c>
      <c r="D31" s="608"/>
      <c r="E31" s="608"/>
      <c r="F31" s="608"/>
      <c r="G31" s="800">
        <f>+'9-Cash Reconciliation'!I10</f>
        <v>0</v>
      </c>
      <c r="H31" s="632"/>
      <c r="I31" s="314"/>
      <c r="J31" s="266"/>
    </row>
    <row r="32" spans="2:17" ht="21" customHeight="1">
      <c r="B32" s="538"/>
      <c r="C32" s="538"/>
      <c r="D32" s="538"/>
      <c r="E32" s="538"/>
      <c r="F32" s="538"/>
      <c r="G32" s="353"/>
      <c r="H32" s="550"/>
      <c r="I32" s="314"/>
    </row>
    <row r="33" spans="2:10" ht="21" customHeight="1">
      <c r="B33" s="538"/>
      <c r="C33" s="538"/>
      <c r="D33" s="538"/>
      <c r="E33" s="538"/>
      <c r="F33" s="538"/>
      <c r="G33" s="353"/>
      <c r="H33" s="550"/>
      <c r="I33" s="314"/>
    </row>
    <row r="34" spans="2:10" ht="21" customHeight="1">
      <c r="B34" s="538"/>
      <c r="C34" s="538"/>
      <c r="D34" s="538"/>
      <c r="E34" s="538"/>
      <c r="F34" s="538"/>
      <c r="G34" s="353"/>
      <c r="H34" s="550"/>
      <c r="I34" s="264"/>
    </row>
    <row r="35" spans="2:10" ht="21" customHeight="1">
      <c r="B35" s="538"/>
      <c r="C35" s="538"/>
      <c r="D35" s="538"/>
      <c r="E35" s="538"/>
      <c r="F35" s="538"/>
      <c r="G35" s="353"/>
      <c r="H35" s="550"/>
      <c r="I35" s="314"/>
    </row>
    <row r="36" spans="2:10" ht="21" customHeight="1">
      <c r="B36" s="538"/>
      <c r="C36" s="538"/>
      <c r="D36" s="538"/>
      <c r="E36" s="538"/>
      <c r="F36" s="538"/>
      <c r="G36" s="353"/>
      <c r="H36" s="550"/>
      <c r="I36" s="314"/>
    </row>
    <row r="37" spans="2:10" ht="21" customHeight="1" thickBot="1">
      <c r="B37" s="538"/>
      <c r="C37" s="538"/>
      <c r="D37" s="538"/>
      <c r="E37" s="538"/>
      <c r="F37" s="538"/>
      <c r="G37" s="567"/>
      <c r="H37" s="551"/>
    </row>
    <row r="38" spans="2:10" s="309" customFormat="1" ht="21" customHeight="1" thickTop="1" thickBot="1">
      <c r="B38" s="803"/>
      <c r="C38" s="793" t="s">
        <v>3231</v>
      </c>
      <c r="D38" s="803"/>
      <c r="E38" s="803"/>
      <c r="F38" s="803"/>
      <c r="G38" s="804">
        <f>SUM(G31:G37)</f>
        <v>0</v>
      </c>
      <c r="H38" s="805">
        <f>SUM(H31:H37)</f>
        <v>0</v>
      </c>
      <c r="I38" s="266"/>
      <c r="J38" s="266"/>
    </row>
    <row r="39" spans="2:10" s="309" customFormat="1" ht="21" customHeight="1" thickTop="1">
      <c r="B39" s="608"/>
      <c r="C39" s="608"/>
      <c r="D39" s="608"/>
      <c r="E39" s="608"/>
      <c r="F39" s="608"/>
      <c r="G39" s="806"/>
      <c r="H39" s="807"/>
      <c r="I39" s="266"/>
      <c r="J39" s="266"/>
    </row>
    <row r="40" spans="2:10" s="309" customFormat="1" ht="21" customHeight="1">
      <c r="B40" s="801" t="s">
        <v>3235</v>
      </c>
      <c r="C40" s="608"/>
      <c r="D40" s="608"/>
      <c r="E40" s="608"/>
      <c r="F40" s="608"/>
      <c r="G40" s="806"/>
      <c r="H40" s="807"/>
      <c r="I40" s="266"/>
      <c r="J40" s="266"/>
    </row>
    <row r="41" spans="2:10" s="309" customFormat="1" ht="21" customHeight="1">
      <c r="B41" s="608"/>
      <c r="C41" s="801" t="s">
        <v>351</v>
      </c>
      <c r="D41" s="608"/>
      <c r="E41" s="608"/>
      <c r="F41" s="608"/>
      <c r="G41" s="806">
        <f>+'9-Cash Reconciliation'!I11</f>
        <v>0</v>
      </c>
      <c r="H41" s="807"/>
      <c r="I41" s="266"/>
      <c r="J41" s="266"/>
    </row>
    <row r="42" spans="2:10" s="309" customFormat="1" ht="21" customHeight="1">
      <c r="B42" s="538"/>
      <c r="C42" s="539" t="s">
        <v>315</v>
      </c>
      <c r="D42" s="538"/>
      <c r="E42" s="538"/>
      <c r="F42" s="538"/>
      <c r="G42" s="353">
        <v>349497.48</v>
      </c>
      <c r="H42" s="550"/>
      <c r="I42" s="266"/>
      <c r="J42" s="266"/>
    </row>
    <row r="43" spans="2:10" s="309" customFormat="1" ht="21" customHeight="1">
      <c r="B43" s="538"/>
      <c r="C43" s="539" t="s">
        <v>3744</v>
      </c>
      <c r="D43" s="538"/>
      <c r="E43" s="538"/>
      <c r="F43" s="538"/>
      <c r="G43" s="353"/>
      <c r="H43" s="550">
        <v>349497.48</v>
      </c>
      <c r="I43" s="266"/>
      <c r="J43" s="266"/>
    </row>
    <row r="44" spans="2:10" s="309" customFormat="1" ht="21" customHeight="1" thickBot="1">
      <c r="B44" s="538"/>
      <c r="C44" s="538"/>
      <c r="D44" s="538"/>
      <c r="E44" s="538"/>
      <c r="F44" s="538"/>
      <c r="G44" s="567"/>
      <c r="H44" s="551"/>
      <c r="I44" s="266"/>
      <c r="J44" s="266"/>
    </row>
    <row r="45" spans="2:10" ht="21" customHeight="1" thickTop="1" thickBot="1">
      <c r="B45" s="803"/>
      <c r="C45" s="793" t="s">
        <v>3231</v>
      </c>
      <c r="D45" s="803"/>
      <c r="E45" s="803"/>
      <c r="F45" s="803"/>
      <c r="G45" s="804">
        <f>SUM(G41:G44)</f>
        <v>349497.48</v>
      </c>
      <c r="H45" s="805">
        <f>SUM(H41:H44)</f>
        <v>349497.48</v>
      </c>
    </row>
    <row r="46" spans="2:10" ht="13.8" thickTop="1">
      <c r="B46" s="1644" t="s">
        <v>98</v>
      </c>
      <c r="C46" s="1644"/>
      <c r="D46" s="1644"/>
      <c r="E46" s="1644"/>
      <c r="F46" s="1644"/>
      <c r="G46" s="1644"/>
      <c r="H46" s="1644"/>
    </row>
    <row r="47" spans="2:10" ht="13.8">
      <c r="B47" s="1618" t="s">
        <v>480</v>
      </c>
      <c r="C47" s="1618"/>
      <c r="D47" s="1618"/>
      <c r="E47" s="1618"/>
      <c r="F47" s="1618"/>
      <c r="G47" s="1618"/>
      <c r="H47" s="1618"/>
    </row>
  </sheetData>
  <sheetProtection algorithmName="SHA-512" hashValue="y0mDa7ZxAdgmJLjBGNK20gGE8Hiy1/nLLI4a2vTLGS3QV8FCP5XY71EQAp1PyRuDb0sRLtQLOoE1iPBQg9Zr0w==" saltValue="ZYs0cg1iNZPIjk5sfucDPQ==" spinCount="100000" sheet="1" objects="1" scenarios="1"/>
  <mergeCells count="7">
    <mergeCell ref="B8:F8"/>
    <mergeCell ref="B47:H47"/>
    <mergeCell ref="B3:H3"/>
    <mergeCell ref="B4:H4"/>
    <mergeCell ref="B6:H6"/>
    <mergeCell ref="B5:H5"/>
    <mergeCell ref="B46:H46"/>
  </mergeCells>
  <phoneticPr fontId="0" type="noConversion"/>
  <pageMargins left="0.25" right="0.25" top="0.5" bottom="0.5" header="0.25" footer="0.25"/>
  <pageSetup paperSize="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3:K48"/>
  <sheetViews>
    <sheetView zoomScaleNormal="100" workbookViewId="0">
      <selection activeCell="H42" sqref="H42"/>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18.6640625" customWidth="1"/>
  </cols>
  <sheetData>
    <row r="3" spans="2:9" ht="22.8">
      <c r="B3" s="1665" t="s">
        <v>424</v>
      </c>
      <c r="C3" s="1665"/>
      <c r="D3" s="1665"/>
      <c r="E3" s="1665"/>
      <c r="F3" s="1665"/>
      <c r="G3" s="1665"/>
      <c r="H3" s="1665"/>
    </row>
    <row r="4" spans="2:9" ht="22.8">
      <c r="B4" s="1665" t="s">
        <v>3615</v>
      </c>
      <c r="C4" s="1665"/>
      <c r="D4" s="1665"/>
      <c r="E4" s="1665"/>
      <c r="F4" s="1665"/>
      <c r="G4" s="1665"/>
      <c r="H4" s="1665"/>
    </row>
    <row r="5" spans="2:9" ht="17.399999999999999">
      <c r="B5" s="1675" t="s">
        <v>621</v>
      </c>
      <c r="C5" s="1675"/>
      <c r="D5" s="1675"/>
      <c r="E5" s="1675"/>
      <c r="F5" s="1675"/>
      <c r="G5" s="1675"/>
      <c r="H5" s="1675"/>
    </row>
    <row r="6" spans="2:9" ht="15.6">
      <c r="B6" s="1671" t="str">
        <f>IF('KEY INPUTS'!C42 = "State Fiscal Year", 'KEY INPUTS'!F45,'KEY INPUTS'!D45)</f>
        <v>AS  AT  DECEMBER  31, 2021</v>
      </c>
      <c r="C6" s="1620"/>
      <c r="D6" s="1620"/>
      <c r="E6" s="1620"/>
      <c r="F6" s="1620"/>
      <c r="G6" s="1620"/>
      <c r="H6" s="1620"/>
    </row>
    <row r="7" spans="2:9" ht="13.8" thickBot="1"/>
    <row r="8" spans="2:9" ht="36" customHeight="1" thickTop="1" thickBot="1">
      <c r="B8" s="1668" t="s">
        <v>95</v>
      </c>
      <c r="C8" s="1668"/>
      <c r="D8" s="1668"/>
      <c r="E8" s="1668"/>
      <c r="F8" s="1669"/>
      <c r="G8" s="4" t="s">
        <v>96</v>
      </c>
      <c r="H8" s="3" t="s">
        <v>97</v>
      </c>
    </row>
    <row r="9" spans="2:9" ht="21" customHeight="1" thickTop="1">
      <c r="B9" s="797"/>
      <c r="C9" s="797"/>
      <c r="D9" s="797"/>
      <c r="E9" s="797"/>
      <c r="F9" s="797"/>
      <c r="G9" s="798"/>
      <c r="H9" s="799"/>
      <c r="I9" s="710"/>
    </row>
    <row r="10" spans="2:9" ht="21" customHeight="1">
      <c r="B10" s="801" t="s">
        <v>3236</v>
      </c>
      <c r="C10" s="608"/>
      <c r="D10" s="608"/>
      <c r="E10" s="608"/>
      <c r="F10" s="608"/>
      <c r="G10" s="800"/>
      <c r="H10" s="632"/>
    </row>
    <row r="11" spans="2:9" ht="21" customHeight="1">
      <c r="B11" s="608"/>
      <c r="C11" s="801" t="s">
        <v>351</v>
      </c>
      <c r="D11" s="608"/>
      <c r="E11" s="608"/>
      <c r="F11" s="608"/>
      <c r="G11" s="800">
        <f>+'9-Cash Reconciliation'!I12</f>
        <v>0</v>
      </c>
      <c r="H11" s="632"/>
      <c r="I11" s="710"/>
    </row>
    <row r="12" spans="2:9" ht="21" customHeight="1">
      <c r="B12" s="538"/>
      <c r="C12" s="539" t="s">
        <v>3199</v>
      </c>
      <c r="D12" s="538"/>
      <c r="E12" s="538"/>
      <c r="F12" s="538"/>
      <c r="G12" s="353"/>
      <c r="H12" s="550"/>
    </row>
    <row r="13" spans="2:9" ht="21" customHeight="1">
      <c r="B13" s="1678"/>
      <c r="C13" s="1678"/>
      <c r="D13" s="1678"/>
      <c r="E13" s="1678"/>
      <c r="F13" s="1679"/>
      <c r="G13" s="353"/>
      <c r="H13" s="550"/>
    </row>
    <row r="14" spans="2:9" s="309" customFormat="1" ht="21" customHeight="1">
      <c r="B14" s="1481"/>
      <c r="C14" s="1481"/>
      <c r="D14" s="1481"/>
      <c r="E14" s="1481"/>
      <c r="F14" s="1482"/>
      <c r="G14" s="353"/>
      <c r="H14" s="550"/>
    </row>
    <row r="15" spans="2:9" s="309" customFormat="1" ht="21" customHeight="1">
      <c r="B15" s="1481"/>
      <c r="C15" s="1481"/>
      <c r="D15" s="1481"/>
      <c r="E15" s="1481"/>
      <c r="F15" s="1482"/>
      <c r="G15" s="353"/>
      <c r="H15" s="550"/>
    </row>
    <row r="16" spans="2:9" s="309" customFormat="1" ht="21" customHeight="1">
      <c r="B16" s="1481"/>
      <c r="C16" s="1481"/>
      <c r="D16" s="1481"/>
      <c r="E16" s="1481"/>
      <c r="F16" s="1482"/>
      <c r="G16" s="353"/>
      <c r="H16" s="550"/>
    </row>
    <row r="17" spans="2:11" ht="21" customHeight="1">
      <c r="B17" s="1678"/>
      <c r="C17" s="1678"/>
      <c r="D17" s="1678"/>
      <c r="E17" s="1678"/>
      <c r="F17" s="1679"/>
      <c r="G17" s="353"/>
      <c r="H17" s="550"/>
      <c r="K17" s="356"/>
    </row>
    <row r="18" spans="2:11" ht="21" customHeight="1">
      <c r="B18" s="1678"/>
      <c r="C18" s="1678"/>
      <c r="D18" s="1678"/>
      <c r="E18" s="1678"/>
      <c r="F18" s="1679"/>
      <c r="G18" s="353"/>
      <c r="H18" s="550"/>
    </row>
    <row r="19" spans="2:11" ht="21" customHeight="1" thickBot="1">
      <c r="B19" s="1678"/>
      <c r="C19" s="1678"/>
      <c r="D19" s="1678"/>
      <c r="E19" s="1678"/>
      <c r="F19" s="1679"/>
      <c r="G19" s="353"/>
      <c r="H19" s="550"/>
    </row>
    <row r="20" spans="2:11" ht="21" customHeight="1" thickTop="1" thickBot="1">
      <c r="B20" s="803"/>
      <c r="C20" s="793" t="s">
        <v>3231</v>
      </c>
      <c r="D20" s="803"/>
      <c r="E20" s="803"/>
      <c r="F20" s="803"/>
      <c r="G20" s="804">
        <f>SUM(G9:G19)</f>
        <v>0</v>
      </c>
      <c r="H20" s="808">
        <f>SUM(H9:H19)</f>
        <v>0</v>
      </c>
    </row>
    <row r="21" spans="2:11" ht="21" customHeight="1" thickTop="1">
      <c r="B21" s="608"/>
      <c r="C21" s="608"/>
      <c r="D21" s="608"/>
      <c r="E21" s="608"/>
      <c r="F21" s="608"/>
      <c r="G21" s="800"/>
      <c r="H21" s="632"/>
    </row>
    <row r="22" spans="2:11" ht="21" customHeight="1">
      <c r="B22" s="801" t="s">
        <v>3538</v>
      </c>
      <c r="C22" s="608"/>
      <c r="D22" s="608"/>
      <c r="E22" s="608"/>
      <c r="F22" s="608"/>
      <c r="G22" s="800"/>
      <c r="H22" s="632"/>
    </row>
    <row r="23" spans="2:11" ht="21" customHeight="1">
      <c r="B23" s="608"/>
      <c r="C23" s="801" t="s">
        <v>351</v>
      </c>
      <c r="D23" s="608"/>
      <c r="E23" s="608"/>
      <c r="F23" s="608"/>
      <c r="G23" s="800">
        <f>'9-Cash Reconciliation'!I14</f>
        <v>0</v>
      </c>
      <c r="H23" s="632"/>
    </row>
    <row r="24" spans="2:11" ht="21" customHeight="1">
      <c r="B24" s="538"/>
      <c r="C24" s="538"/>
      <c r="D24" s="538"/>
      <c r="E24" s="538"/>
      <c r="F24" s="538"/>
      <c r="G24" s="353"/>
      <c r="H24" s="550"/>
    </row>
    <row r="25" spans="2:11" ht="21" customHeight="1">
      <c r="B25" s="538"/>
      <c r="C25" s="538"/>
      <c r="D25" s="538"/>
      <c r="E25" s="538"/>
      <c r="F25" s="538"/>
      <c r="G25" s="353"/>
      <c r="H25" s="550"/>
    </row>
    <row r="26" spans="2:11" ht="21" customHeight="1">
      <c r="B26" s="538"/>
      <c r="C26" s="538"/>
      <c r="D26" s="538"/>
      <c r="E26" s="538"/>
      <c r="F26" s="538"/>
      <c r="G26" s="353"/>
      <c r="H26" s="550"/>
    </row>
    <row r="27" spans="2:11" ht="21" customHeight="1">
      <c r="B27" s="538"/>
      <c r="C27" s="538"/>
      <c r="D27" s="538"/>
      <c r="E27" s="538"/>
      <c r="F27" s="538"/>
      <c r="G27" s="353"/>
      <c r="H27" s="550"/>
    </row>
    <row r="28" spans="2:11" ht="21" customHeight="1">
      <c r="B28" s="538"/>
      <c r="C28" s="538"/>
      <c r="D28" s="538"/>
      <c r="E28" s="538"/>
      <c r="F28" s="538"/>
      <c r="G28" s="353"/>
      <c r="H28" s="550"/>
    </row>
    <row r="29" spans="2:11" ht="21" customHeight="1" thickBot="1">
      <c r="B29" s="538"/>
      <c r="C29" s="538"/>
      <c r="D29" s="538"/>
      <c r="E29" s="538"/>
      <c r="F29" s="538"/>
      <c r="G29" s="1461"/>
      <c r="H29" s="551"/>
    </row>
    <row r="30" spans="2:11" s="309" customFormat="1" ht="21" customHeight="1" thickTop="1" thickBot="1">
      <c r="B30" s="608"/>
      <c r="C30" s="608" t="s">
        <v>3231</v>
      </c>
      <c r="D30" s="608"/>
      <c r="E30" s="608"/>
      <c r="F30" s="608"/>
      <c r="G30" s="1483">
        <f>SUM(G23:G29)</f>
        <v>0</v>
      </c>
      <c r="H30" s="1484">
        <f>SUM(H23:H29)</f>
        <v>0</v>
      </c>
    </row>
    <row r="31" spans="2:11" s="309" customFormat="1" ht="21" customHeight="1" thickTop="1">
      <c r="B31" s="608"/>
      <c r="C31" s="608"/>
      <c r="D31" s="608"/>
      <c r="E31" s="608"/>
      <c r="F31" s="608"/>
      <c r="G31" s="806"/>
      <c r="H31" s="807"/>
    </row>
    <row r="32" spans="2:11" s="309" customFormat="1" ht="21" customHeight="1">
      <c r="B32" s="608" t="s">
        <v>3237</v>
      </c>
      <c r="C32" s="608"/>
      <c r="D32" s="608"/>
      <c r="E32" s="608"/>
      <c r="F32" s="608"/>
      <c r="G32" s="800"/>
      <c r="H32" s="632"/>
    </row>
    <row r="33" spans="2:8" s="309" customFormat="1" ht="21" customHeight="1">
      <c r="B33" s="608"/>
      <c r="C33" s="608" t="s">
        <v>351</v>
      </c>
      <c r="D33" s="608"/>
      <c r="E33" s="608"/>
      <c r="F33" s="608"/>
      <c r="G33" s="800">
        <f>'9-Cash Reconciliation'!I13</f>
        <v>85088.4</v>
      </c>
      <c r="H33" s="632"/>
    </row>
    <row r="34" spans="2:8" s="309" customFormat="1" ht="21" customHeight="1">
      <c r="B34" s="538"/>
      <c r="C34" s="538" t="s">
        <v>3743</v>
      </c>
      <c r="D34" s="538"/>
      <c r="E34" s="538"/>
      <c r="F34" s="538"/>
      <c r="G34" s="353"/>
      <c r="H34" s="550">
        <v>135.62</v>
      </c>
    </row>
    <row r="35" spans="2:8" ht="21" customHeight="1">
      <c r="B35" s="538"/>
      <c r="C35" s="538" t="s">
        <v>3661</v>
      </c>
      <c r="D35" s="538"/>
      <c r="E35" s="538"/>
      <c r="F35" s="538"/>
      <c r="G35" s="353"/>
      <c r="H35" s="550">
        <v>13944.81</v>
      </c>
    </row>
    <row r="36" spans="2:8" ht="21" customHeight="1">
      <c r="B36" s="538"/>
      <c r="C36" s="538" t="s">
        <v>3662</v>
      </c>
      <c r="D36" s="538"/>
      <c r="E36" s="538"/>
      <c r="F36" s="538"/>
      <c r="G36" s="353"/>
      <c r="H36" s="550">
        <v>100</v>
      </c>
    </row>
    <row r="37" spans="2:8" ht="21" customHeight="1">
      <c r="B37" s="538"/>
      <c r="C37" s="538" t="s">
        <v>3663</v>
      </c>
      <c r="D37" s="538"/>
      <c r="E37" s="538"/>
      <c r="F37" s="538"/>
      <c r="G37" s="353"/>
      <c r="H37" s="550">
        <v>27807.79</v>
      </c>
    </row>
    <row r="38" spans="2:8" ht="21" customHeight="1">
      <c r="B38" s="538"/>
      <c r="C38" s="538" t="s">
        <v>3664</v>
      </c>
      <c r="D38" s="538"/>
      <c r="E38" s="538"/>
      <c r="F38" s="538"/>
      <c r="G38" s="353"/>
      <c r="H38" s="550">
        <v>21995.77</v>
      </c>
    </row>
    <row r="39" spans="2:8" ht="21" customHeight="1">
      <c r="B39" s="538"/>
      <c r="C39" s="538" t="s">
        <v>3665</v>
      </c>
      <c r="D39" s="538"/>
      <c r="E39" s="538"/>
      <c r="F39" s="538"/>
      <c r="G39" s="353"/>
      <c r="H39" s="550">
        <v>110</v>
      </c>
    </row>
    <row r="40" spans="2:8" ht="21" customHeight="1">
      <c r="B40" s="538"/>
      <c r="C40" s="538" t="s">
        <v>3666</v>
      </c>
      <c r="D40" s="538"/>
      <c r="E40" s="538"/>
      <c r="F40" s="538"/>
      <c r="G40" s="353"/>
      <c r="H40" s="550">
        <v>20949.61</v>
      </c>
    </row>
    <row r="41" spans="2:8" ht="21" customHeight="1">
      <c r="B41" s="538"/>
      <c r="C41" s="538" t="s">
        <v>3668</v>
      </c>
      <c r="D41" s="538"/>
      <c r="E41" s="538"/>
      <c r="F41" s="538"/>
      <c r="G41" s="353"/>
      <c r="H41" s="550">
        <v>44.8</v>
      </c>
    </row>
    <row r="42" spans="2:8" ht="21" customHeight="1">
      <c r="B42" s="538"/>
      <c r="C42" s="538"/>
      <c r="D42" s="538"/>
      <c r="E42" s="538"/>
      <c r="F42" s="538"/>
      <c r="G42" s="353"/>
      <c r="H42" s="550"/>
    </row>
    <row r="43" spans="2:8" ht="21" customHeight="1">
      <c r="B43" s="538"/>
      <c r="C43" s="538"/>
      <c r="D43" s="538"/>
      <c r="E43" s="538"/>
      <c r="F43" s="538"/>
      <c r="G43" s="353"/>
      <c r="H43" s="550"/>
    </row>
    <row r="44" spans="2:8" ht="21" customHeight="1">
      <c r="B44" s="801" t="s">
        <v>3252</v>
      </c>
      <c r="C44" s="608"/>
      <c r="D44" s="608"/>
      <c r="E44" s="608"/>
      <c r="F44" s="608"/>
      <c r="G44" s="800">
        <f>SUM(G33:G43)</f>
        <v>85088.4</v>
      </c>
      <c r="H44" s="809">
        <f>SUM(H33:H43)</f>
        <v>85088.400000000009</v>
      </c>
    </row>
    <row r="45" spans="2:8">
      <c r="B45" s="1676" t="s">
        <v>98</v>
      </c>
      <c r="C45" s="1676"/>
      <c r="D45" s="1676"/>
      <c r="E45" s="1676"/>
      <c r="F45" s="1676"/>
      <c r="G45" s="1676"/>
      <c r="H45" s="1676"/>
    </row>
    <row r="46" spans="2:8">
      <c r="B46" s="810"/>
      <c r="C46" s="810"/>
      <c r="D46" s="810"/>
      <c r="E46" s="810"/>
      <c r="F46" s="810"/>
      <c r="G46" s="810"/>
      <c r="H46" s="810"/>
    </row>
    <row r="47" spans="2:8">
      <c r="B47" s="811"/>
      <c r="C47" s="811"/>
      <c r="D47" s="811"/>
      <c r="E47" s="811"/>
      <c r="F47" s="811"/>
      <c r="G47" s="811"/>
      <c r="H47" s="811"/>
    </row>
    <row r="48" spans="2:8" ht="13.8">
      <c r="B48" s="1677" t="s">
        <v>143</v>
      </c>
      <c r="C48" s="1677"/>
      <c r="D48" s="1677"/>
      <c r="E48" s="1677"/>
      <c r="F48" s="1677"/>
      <c r="G48" s="1677"/>
      <c r="H48" s="1677"/>
    </row>
  </sheetData>
  <sheetProtection algorithmName="SHA-512" hashValue="M2sPcxWsQgH69biKk+kAIC3vO0qMpEgapPXxK6EZzR4vCjNAfSjrGRlLwIna5D14lUnpiD3+MNdaXFCldeYGsg==" saltValue="WaYugXKP0g5BGOOenswDjA==" spinCount="100000" sheet="1" objects="1" scenarios="1"/>
  <mergeCells count="11">
    <mergeCell ref="B8:F8"/>
    <mergeCell ref="B45:H45"/>
    <mergeCell ref="B48:H48"/>
    <mergeCell ref="B3:H3"/>
    <mergeCell ref="B4:H4"/>
    <mergeCell ref="B6:H6"/>
    <mergeCell ref="B5:H5"/>
    <mergeCell ref="B13:F13"/>
    <mergeCell ref="B17:F17"/>
    <mergeCell ref="B18:F18"/>
    <mergeCell ref="B19:F19"/>
  </mergeCells>
  <phoneticPr fontId="0" type="noConversion"/>
  <pageMargins left="0.25" right="0.25" top="0.5" bottom="0.5" header="0.25" footer="0.25"/>
  <pageSetup paperSize="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3:M48"/>
  <sheetViews>
    <sheetView zoomScaleNormal="100" workbookViewId="0">
      <selection activeCell="J16" sqref="J16"/>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8" width="18.6640625" style="309" customWidth="1"/>
    <col min="9" max="12" width="9.109375" style="309"/>
    <col min="13" max="13" width="10.33203125" style="309" bestFit="1" customWidth="1"/>
    <col min="14" max="16384" width="9.109375" style="309"/>
  </cols>
  <sheetData>
    <row r="3" spans="2:11" ht="22.8">
      <c r="B3" s="1665" t="s">
        <v>424</v>
      </c>
      <c r="C3" s="1665"/>
      <c r="D3" s="1665"/>
      <c r="E3" s="1665"/>
      <c r="F3" s="1665"/>
      <c r="G3" s="1665"/>
      <c r="H3" s="1665"/>
    </row>
    <row r="4" spans="2:11" ht="22.8">
      <c r="B4" s="1665" t="s">
        <v>3615</v>
      </c>
      <c r="C4" s="1665"/>
      <c r="D4" s="1665"/>
      <c r="E4" s="1665"/>
      <c r="F4" s="1665"/>
      <c r="G4" s="1665"/>
      <c r="H4" s="1665"/>
    </row>
    <row r="5" spans="2:11" ht="17.399999999999999">
      <c r="B5" s="1675" t="s">
        <v>621</v>
      </c>
      <c r="C5" s="1675"/>
      <c r="D5" s="1675"/>
      <c r="E5" s="1675"/>
      <c r="F5" s="1675"/>
      <c r="G5" s="1675"/>
      <c r="H5" s="1675"/>
    </row>
    <row r="6" spans="2:11" ht="15.6">
      <c r="B6" s="1671" t="str">
        <f>IF('KEY INPUTS'!C42 = "State Fiscal Year", 'KEY INPUTS'!F45,'KEY INPUTS'!D45)</f>
        <v>AS  AT  DECEMBER  31, 2021</v>
      </c>
      <c r="C6" s="1620"/>
      <c r="D6" s="1620"/>
      <c r="E6" s="1620"/>
      <c r="F6" s="1620"/>
      <c r="G6" s="1620"/>
      <c r="H6" s="1620"/>
    </row>
    <row r="7" spans="2:11" ht="13.8" thickBot="1"/>
    <row r="8" spans="2:11" ht="36" customHeight="1" thickTop="1" thickBot="1">
      <c r="B8" s="1668" t="s">
        <v>95</v>
      </c>
      <c r="C8" s="1668"/>
      <c r="D8" s="1668"/>
      <c r="E8" s="1668"/>
      <c r="F8" s="1669"/>
      <c r="G8" s="4" t="s">
        <v>96</v>
      </c>
      <c r="H8" s="703" t="s">
        <v>97</v>
      </c>
    </row>
    <row r="9" spans="2:11" ht="21" customHeight="1" thickTop="1">
      <c r="B9" s="812" t="s">
        <v>3251</v>
      </c>
      <c r="C9" s="797"/>
      <c r="D9" s="797"/>
      <c r="E9" s="797"/>
      <c r="F9" s="797"/>
      <c r="G9" s="798">
        <f>+'6.1-Trial Bal-Trust Fnds'!G44</f>
        <v>85088.4</v>
      </c>
      <c r="H9" s="799">
        <f>+'6.1-Trial Bal-Trust Fnds'!H44</f>
        <v>85088.400000000009</v>
      </c>
      <c r="I9" s="710"/>
    </row>
    <row r="10" spans="2:11" ht="21" customHeight="1">
      <c r="B10" s="801" t="s">
        <v>3250</v>
      </c>
      <c r="C10" s="608"/>
      <c r="D10" s="608"/>
      <c r="E10" s="608"/>
      <c r="F10" s="608"/>
      <c r="G10" s="800"/>
      <c r="H10" s="632"/>
    </row>
    <row r="11" spans="2:11" ht="21" customHeight="1">
      <c r="B11" s="538"/>
      <c r="C11" s="538"/>
      <c r="D11" s="538"/>
      <c r="E11" s="538"/>
      <c r="F11" s="538"/>
      <c r="G11" s="353"/>
      <c r="H11" s="550"/>
      <c r="I11" s="710"/>
    </row>
    <row r="12" spans="2:11" ht="21" customHeight="1">
      <c r="B12" s="538"/>
      <c r="C12" s="538"/>
      <c r="D12" s="538"/>
      <c r="E12" s="538"/>
      <c r="F12" s="538"/>
      <c r="G12" s="353"/>
      <c r="H12" s="550"/>
    </row>
    <row r="13" spans="2:11" ht="21" customHeight="1">
      <c r="B13" s="538"/>
      <c r="C13" s="538"/>
      <c r="D13" s="538"/>
      <c r="E13" s="538"/>
      <c r="F13" s="538"/>
      <c r="G13" s="353"/>
      <c r="H13" s="550"/>
    </row>
    <row r="14" spans="2:11" ht="21" customHeight="1">
      <c r="B14" s="538"/>
      <c r="C14" s="538"/>
      <c r="D14" s="538"/>
      <c r="E14" s="538"/>
      <c r="F14" s="538"/>
      <c r="G14" s="353"/>
      <c r="H14" s="550"/>
      <c r="K14" s="356"/>
    </row>
    <row r="15" spans="2:11" ht="21" customHeight="1">
      <c r="B15" s="538"/>
      <c r="C15" s="538"/>
      <c r="D15" s="538"/>
      <c r="E15" s="538"/>
      <c r="F15" s="538"/>
      <c r="G15" s="353"/>
      <c r="H15" s="550"/>
    </row>
    <row r="16" spans="2:11" ht="21" customHeight="1">
      <c r="B16" s="538"/>
      <c r="C16" s="538"/>
      <c r="D16" s="538"/>
      <c r="E16" s="538"/>
      <c r="F16" s="538"/>
      <c r="G16" s="353"/>
      <c r="H16" s="550"/>
    </row>
    <row r="17" spans="2:8" ht="21" customHeight="1">
      <c r="B17" s="538"/>
      <c r="C17" s="538"/>
      <c r="D17" s="538"/>
      <c r="E17" s="538"/>
      <c r="F17" s="538"/>
      <c r="G17" s="353"/>
      <c r="H17" s="550"/>
    </row>
    <row r="18" spans="2:8" ht="21" customHeight="1">
      <c r="B18" s="538"/>
      <c r="C18" s="538"/>
      <c r="D18" s="538"/>
      <c r="E18" s="538"/>
      <c r="F18" s="538"/>
      <c r="G18" s="353"/>
      <c r="H18" s="550"/>
    </row>
    <row r="19" spans="2:8" ht="21" customHeight="1">
      <c r="B19" s="538"/>
      <c r="C19" s="538"/>
      <c r="D19" s="538"/>
      <c r="E19" s="538"/>
      <c r="F19" s="538"/>
      <c r="G19" s="353"/>
      <c r="H19" s="550"/>
    </row>
    <row r="20" spans="2:8" ht="21" customHeight="1">
      <c r="B20" s="538"/>
      <c r="C20" s="538"/>
      <c r="D20" s="538"/>
      <c r="E20" s="538"/>
      <c r="F20" s="538"/>
      <c r="G20" s="353"/>
      <c r="H20" s="550"/>
    </row>
    <row r="21" spans="2:8" ht="21" customHeight="1">
      <c r="B21" s="538"/>
      <c r="C21" s="538"/>
      <c r="D21" s="538"/>
      <c r="E21" s="538"/>
      <c r="F21" s="538"/>
      <c r="G21" s="353"/>
      <c r="H21" s="550"/>
    </row>
    <row r="22" spans="2:8" ht="21" customHeight="1">
      <c r="B22" s="538"/>
      <c r="C22" s="538"/>
      <c r="D22" s="538"/>
      <c r="E22" s="538"/>
      <c r="F22" s="538"/>
      <c r="G22" s="353"/>
      <c r="H22" s="550"/>
    </row>
    <row r="23" spans="2:8" ht="21" customHeight="1">
      <c r="B23" s="538"/>
      <c r="C23" s="538"/>
      <c r="D23" s="538"/>
      <c r="E23" s="538"/>
      <c r="F23" s="538"/>
      <c r="G23" s="353"/>
      <c r="H23" s="550"/>
    </row>
    <row r="24" spans="2:8" ht="21" customHeight="1">
      <c r="B24" s="538"/>
      <c r="C24" s="538"/>
      <c r="D24" s="538"/>
      <c r="E24" s="538"/>
      <c r="F24" s="538"/>
      <c r="G24" s="353"/>
      <c r="H24" s="550"/>
    </row>
    <row r="25" spans="2:8" ht="21" customHeight="1">
      <c r="B25" s="538"/>
      <c r="C25" s="538"/>
      <c r="D25" s="538"/>
      <c r="E25" s="538"/>
      <c r="F25" s="538"/>
      <c r="G25" s="353"/>
      <c r="H25" s="550"/>
    </row>
    <row r="26" spans="2:8" ht="21" customHeight="1">
      <c r="B26" s="538"/>
      <c r="C26" s="538"/>
      <c r="D26" s="538"/>
      <c r="E26" s="538"/>
      <c r="F26" s="538"/>
      <c r="G26" s="353"/>
      <c r="H26" s="550"/>
    </row>
    <row r="27" spans="2:8" ht="21" customHeight="1">
      <c r="B27" s="538"/>
      <c r="C27" s="538"/>
      <c r="D27" s="538"/>
      <c r="E27" s="538"/>
      <c r="F27" s="538"/>
      <c r="G27" s="353"/>
      <c r="H27" s="550"/>
    </row>
    <row r="28" spans="2:8" ht="21" customHeight="1">
      <c r="B28" s="538"/>
      <c r="C28" s="538"/>
      <c r="D28" s="538"/>
      <c r="E28" s="538"/>
      <c r="F28" s="538"/>
      <c r="G28" s="353"/>
      <c r="H28" s="550"/>
    </row>
    <row r="29" spans="2:8" ht="21" customHeight="1">
      <c r="B29" s="538"/>
      <c r="C29" s="538"/>
      <c r="D29" s="538"/>
      <c r="E29" s="538"/>
      <c r="F29" s="538"/>
      <c r="G29" s="353"/>
      <c r="H29" s="550"/>
    </row>
    <row r="30" spans="2:8" ht="21" customHeight="1">
      <c r="B30" s="538"/>
      <c r="C30" s="538"/>
      <c r="D30" s="538"/>
      <c r="E30" s="538"/>
      <c r="F30" s="538"/>
      <c r="G30" s="353"/>
      <c r="H30" s="550"/>
    </row>
    <row r="31" spans="2:8" ht="21" customHeight="1">
      <c r="B31" s="538"/>
      <c r="C31" s="538"/>
      <c r="D31" s="538"/>
      <c r="E31" s="538"/>
      <c r="F31" s="538"/>
      <c r="G31" s="353"/>
      <c r="H31" s="550"/>
    </row>
    <row r="32" spans="2:8" ht="21" customHeight="1">
      <c r="B32" s="538"/>
      <c r="C32" s="538"/>
      <c r="D32" s="538"/>
      <c r="E32" s="538"/>
      <c r="F32" s="538"/>
      <c r="G32" s="353"/>
      <c r="H32" s="550"/>
    </row>
    <row r="33" spans="2:13" ht="21" customHeight="1">
      <c r="B33" s="538"/>
      <c r="C33" s="538"/>
      <c r="D33" s="538"/>
      <c r="E33" s="538"/>
      <c r="F33" s="538"/>
      <c r="G33" s="353"/>
      <c r="H33" s="550"/>
      <c r="M33" s="312"/>
    </row>
    <row r="34" spans="2:13" ht="21" customHeight="1">
      <c r="B34" s="538"/>
      <c r="C34" s="538"/>
      <c r="D34" s="538"/>
      <c r="E34" s="538"/>
      <c r="F34" s="538"/>
      <c r="G34" s="353"/>
      <c r="H34" s="550"/>
    </row>
    <row r="35" spans="2:13" ht="21" customHeight="1">
      <c r="B35" s="538"/>
      <c r="C35" s="538"/>
      <c r="D35" s="538"/>
      <c r="E35" s="538"/>
      <c r="F35" s="538"/>
      <c r="G35" s="353"/>
      <c r="H35" s="550"/>
    </row>
    <row r="36" spans="2:13" ht="21" customHeight="1">
      <c r="B36" s="538"/>
      <c r="C36" s="538"/>
      <c r="D36" s="538"/>
      <c r="E36" s="538"/>
      <c r="F36" s="538"/>
      <c r="G36" s="353"/>
      <c r="H36" s="550"/>
    </row>
    <row r="37" spans="2:13" ht="21" customHeight="1">
      <c r="B37" s="538"/>
      <c r="C37" s="538"/>
      <c r="D37" s="538"/>
      <c r="E37" s="538"/>
      <c r="F37" s="538"/>
      <c r="G37" s="353"/>
      <c r="H37" s="550"/>
    </row>
    <row r="38" spans="2:13" ht="21" customHeight="1">
      <c r="B38" s="538"/>
      <c r="C38" s="538"/>
      <c r="D38" s="538"/>
      <c r="E38" s="538"/>
      <c r="F38" s="538"/>
      <c r="G38" s="353"/>
      <c r="H38" s="550"/>
    </row>
    <row r="39" spans="2:13" ht="21" customHeight="1">
      <c r="B39" s="538"/>
      <c r="C39" s="538"/>
      <c r="D39" s="538"/>
      <c r="E39" s="538"/>
      <c r="F39" s="538"/>
      <c r="G39" s="353"/>
      <c r="H39" s="550"/>
    </row>
    <row r="40" spans="2:13" ht="21" customHeight="1">
      <c r="B40" s="538"/>
      <c r="C40" s="538"/>
      <c r="D40" s="538"/>
      <c r="E40" s="538"/>
      <c r="F40" s="538"/>
      <c r="G40" s="353"/>
      <c r="H40" s="550"/>
    </row>
    <row r="41" spans="2:13" ht="21" customHeight="1">
      <c r="B41" s="538"/>
      <c r="C41" s="538"/>
      <c r="D41" s="538"/>
      <c r="E41" s="538"/>
      <c r="F41" s="538"/>
      <c r="G41" s="353"/>
      <c r="H41" s="550"/>
    </row>
    <row r="42" spans="2:13" ht="21" customHeight="1">
      <c r="B42" s="538"/>
      <c r="C42" s="538"/>
      <c r="D42" s="538"/>
      <c r="E42" s="538"/>
      <c r="F42" s="538"/>
      <c r="G42" s="353"/>
      <c r="H42" s="550"/>
    </row>
    <row r="43" spans="2:13" ht="21" customHeight="1">
      <c r="B43" s="538"/>
      <c r="C43" s="538"/>
      <c r="D43" s="538"/>
      <c r="E43" s="538"/>
      <c r="F43" s="538"/>
      <c r="G43" s="353"/>
      <c r="H43" s="550"/>
    </row>
    <row r="44" spans="2:13" ht="21" customHeight="1">
      <c r="B44" s="801" t="s">
        <v>799</v>
      </c>
      <c r="C44" s="608"/>
      <c r="D44" s="608"/>
      <c r="E44" s="608"/>
      <c r="F44" s="608"/>
      <c r="G44" s="800">
        <f>SUM(G9:G43)</f>
        <v>85088.4</v>
      </c>
      <c r="H44" s="809">
        <f>SUM(H9:H43)</f>
        <v>85088.400000000009</v>
      </c>
    </row>
    <row r="45" spans="2:13">
      <c r="B45" s="1676" t="s">
        <v>98</v>
      </c>
      <c r="C45" s="1676"/>
      <c r="D45" s="1676"/>
      <c r="E45" s="1676"/>
      <c r="F45" s="1676"/>
      <c r="G45" s="1676"/>
      <c r="H45" s="1676"/>
    </row>
    <row r="46" spans="2:13">
      <c r="B46" s="916"/>
      <c r="C46" s="916"/>
      <c r="D46" s="916"/>
      <c r="E46" s="916"/>
      <c r="F46" s="916"/>
      <c r="G46" s="916"/>
      <c r="H46" s="916"/>
    </row>
    <row r="47" spans="2:13">
      <c r="B47" s="811"/>
      <c r="C47" s="811"/>
      <c r="D47" s="811"/>
      <c r="E47" s="811"/>
      <c r="F47" s="811"/>
      <c r="G47" s="811"/>
      <c r="H47" s="811"/>
    </row>
    <row r="48" spans="2:13" ht="13.8">
      <c r="B48" s="1677" t="s">
        <v>3253</v>
      </c>
      <c r="C48" s="1677"/>
      <c r="D48" s="1677"/>
      <c r="E48" s="1677"/>
      <c r="F48" s="1677"/>
      <c r="G48" s="1677"/>
      <c r="H48" s="1677"/>
    </row>
  </sheetData>
  <sheetProtection algorithmName="SHA-512" hashValue="eX9war+LARCj9hQlYztH+Zl4+TNrYE1DJeGsvEHx/T191G43UI6IbMOhmMj1cu4GGAP1/ucLfnaeddRq/6ym7g==" saltValue="7cWGr7MjcGWgRX2E1GNJpA=="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3:M48"/>
  <sheetViews>
    <sheetView zoomScaleNormal="100" workbookViewId="0">
      <selection activeCell="M23" sqref="M23"/>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8" width="18.6640625" style="309" customWidth="1"/>
    <col min="9" max="12" width="9.109375" style="309"/>
    <col min="13" max="13" width="10.33203125" style="309" bestFit="1" customWidth="1"/>
    <col min="14" max="16384" width="9.109375" style="309"/>
  </cols>
  <sheetData>
    <row r="3" spans="2:11" ht="22.8">
      <c r="B3" s="1665" t="s">
        <v>424</v>
      </c>
      <c r="C3" s="1665"/>
      <c r="D3" s="1665"/>
      <c r="E3" s="1665"/>
      <c r="F3" s="1665"/>
      <c r="G3" s="1665"/>
      <c r="H3" s="1665"/>
    </row>
    <row r="4" spans="2:11" ht="22.8">
      <c r="B4" s="1665" t="s">
        <v>3615</v>
      </c>
      <c r="C4" s="1665"/>
      <c r="D4" s="1665"/>
      <c r="E4" s="1665"/>
      <c r="F4" s="1665"/>
      <c r="G4" s="1665"/>
      <c r="H4" s="1665"/>
    </row>
    <row r="5" spans="2:11" ht="17.399999999999999">
      <c r="B5" s="1675" t="s">
        <v>621</v>
      </c>
      <c r="C5" s="1675"/>
      <c r="D5" s="1675"/>
      <c r="E5" s="1675"/>
      <c r="F5" s="1675"/>
      <c r="G5" s="1675"/>
      <c r="H5" s="1675"/>
    </row>
    <row r="6" spans="2:11" ht="15.6">
      <c r="B6" s="1671" t="str">
        <f>IF('KEY INPUTS'!C42 = "State Fiscal Year", 'KEY INPUTS'!F45,'KEY INPUTS'!D45)</f>
        <v>AS  AT  DECEMBER  31, 2021</v>
      </c>
      <c r="C6" s="1620"/>
      <c r="D6" s="1620"/>
      <c r="E6" s="1620"/>
      <c r="F6" s="1620"/>
      <c r="G6" s="1620"/>
      <c r="H6" s="1620"/>
    </row>
    <row r="7" spans="2:11" ht="13.8" thickBot="1"/>
    <row r="8" spans="2:11" ht="36" customHeight="1" thickTop="1" thickBot="1">
      <c r="B8" s="1668" t="s">
        <v>95</v>
      </c>
      <c r="C8" s="1668"/>
      <c r="D8" s="1668"/>
      <c r="E8" s="1668"/>
      <c r="F8" s="1669"/>
      <c r="G8" s="4" t="s">
        <v>96</v>
      </c>
      <c r="H8" s="703" t="s">
        <v>97</v>
      </c>
    </row>
    <row r="9" spans="2:11" ht="21" customHeight="1" thickTop="1">
      <c r="B9" s="812" t="s">
        <v>3251</v>
      </c>
      <c r="C9" s="797"/>
      <c r="D9" s="797"/>
      <c r="E9" s="797"/>
      <c r="F9" s="797"/>
      <c r="G9" s="798">
        <f>+'6.2-Trial Bal-Trust Fnds'!G44</f>
        <v>85088.4</v>
      </c>
      <c r="H9" s="799">
        <f>+'6.2-Trial Bal-Trust Fnds'!H44</f>
        <v>85088.400000000009</v>
      </c>
      <c r="I9" s="710"/>
    </row>
    <row r="10" spans="2:11" ht="21" customHeight="1">
      <c r="B10" s="801" t="s">
        <v>3250</v>
      </c>
      <c r="C10" s="608"/>
      <c r="D10" s="608"/>
      <c r="E10" s="608"/>
      <c r="F10" s="608"/>
      <c r="G10" s="800"/>
      <c r="H10" s="632"/>
    </row>
    <row r="11" spans="2:11" ht="21" customHeight="1">
      <c r="B11" s="538"/>
      <c r="C11" s="538"/>
      <c r="D11" s="538"/>
      <c r="E11" s="538"/>
      <c r="F11" s="538"/>
      <c r="G11" s="353"/>
      <c r="H11" s="550"/>
      <c r="I11" s="710"/>
    </row>
    <row r="12" spans="2:11" ht="21" customHeight="1">
      <c r="B12" s="538"/>
      <c r="C12" s="538"/>
      <c r="D12" s="538"/>
      <c r="E12" s="538"/>
      <c r="F12" s="538"/>
      <c r="G12" s="353"/>
      <c r="H12" s="550"/>
    </row>
    <row r="13" spans="2:11" ht="21" customHeight="1">
      <c r="B13" s="538"/>
      <c r="C13" s="538"/>
      <c r="D13" s="538"/>
      <c r="E13" s="538"/>
      <c r="F13" s="538"/>
      <c r="G13" s="353"/>
      <c r="H13" s="550"/>
    </row>
    <row r="14" spans="2:11" ht="21" customHeight="1">
      <c r="B14" s="538"/>
      <c r="C14" s="538"/>
      <c r="D14" s="538"/>
      <c r="E14" s="538"/>
      <c r="F14" s="538"/>
      <c r="G14" s="353"/>
      <c r="H14" s="550"/>
      <c r="K14" s="356"/>
    </row>
    <row r="15" spans="2:11" ht="21" customHeight="1">
      <c r="B15" s="538"/>
      <c r="C15" s="538"/>
      <c r="D15" s="538"/>
      <c r="E15" s="538"/>
      <c r="F15" s="538"/>
      <c r="G15" s="353"/>
      <c r="H15" s="550"/>
    </row>
    <row r="16" spans="2:11" ht="21" customHeight="1">
      <c r="B16" s="538"/>
      <c r="C16" s="538"/>
      <c r="D16" s="538"/>
      <c r="E16" s="538"/>
      <c r="F16" s="538"/>
      <c r="G16" s="353"/>
      <c r="H16" s="550"/>
    </row>
    <row r="17" spans="2:8" ht="21" customHeight="1">
      <c r="B17" s="538"/>
      <c r="C17" s="538"/>
      <c r="D17" s="538"/>
      <c r="E17" s="538"/>
      <c r="F17" s="538"/>
      <c r="G17" s="353"/>
      <c r="H17" s="550"/>
    </row>
    <row r="18" spans="2:8" ht="21" customHeight="1">
      <c r="B18" s="538"/>
      <c r="C18" s="538"/>
      <c r="D18" s="538"/>
      <c r="E18" s="538"/>
      <c r="F18" s="538"/>
      <c r="G18" s="353"/>
      <c r="H18" s="550"/>
    </row>
    <row r="19" spans="2:8" ht="21" customHeight="1">
      <c r="B19" s="538"/>
      <c r="C19" s="538"/>
      <c r="D19" s="538"/>
      <c r="E19" s="538"/>
      <c r="F19" s="538"/>
      <c r="G19" s="353"/>
      <c r="H19" s="550"/>
    </row>
    <row r="20" spans="2:8" ht="21" customHeight="1">
      <c r="B20" s="538"/>
      <c r="C20" s="538"/>
      <c r="D20" s="538"/>
      <c r="E20" s="538"/>
      <c r="F20" s="538"/>
      <c r="G20" s="353"/>
      <c r="H20" s="550"/>
    </row>
    <row r="21" spans="2:8" ht="21" customHeight="1">
      <c r="B21" s="538"/>
      <c r="C21" s="538"/>
      <c r="D21" s="538"/>
      <c r="E21" s="538"/>
      <c r="F21" s="538"/>
      <c r="G21" s="353"/>
      <c r="H21" s="550"/>
    </row>
    <row r="22" spans="2:8" ht="21" customHeight="1">
      <c r="B22" s="538"/>
      <c r="C22" s="538"/>
      <c r="D22" s="538"/>
      <c r="E22" s="538"/>
      <c r="F22" s="538"/>
      <c r="G22" s="353"/>
      <c r="H22" s="550"/>
    </row>
    <row r="23" spans="2:8" ht="21" customHeight="1">
      <c r="B23" s="538"/>
      <c r="C23" s="538"/>
      <c r="D23" s="538"/>
      <c r="E23" s="538"/>
      <c r="F23" s="538"/>
      <c r="G23" s="353"/>
      <c r="H23" s="550"/>
    </row>
    <row r="24" spans="2:8" ht="21" customHeight="1">
      <c r="B24" s="538"/>
      <c r="C24" s="538"/>
      <c r="D24" s="538"/>
      <c r="E24" s="538"/>
      <c r="F24" s="538"/>
      <c r="G24" s="353"/>
      <c r="H24" s="550"/>
    </row>
    <row r="25" spans="2:8" ht="21" customHeight="1">
      <c r="B25" s="538"/>
      <c r="C25" s="538"/>
      <c r="D25" s="538"/>
      <c r="E25" s="538"/>
      <c r="F25" s="538"/>
      <c r="G25" s="353"/>
      <c r="H25" s="550"/>
    </row>
    <row r="26" spans="2:8" ht="21" customHeight="1">
      <c r="B26" s="538"/>
      <c r="C26" s="538"/>
      <c r="D26" s="538"/>
      <c r="E26" s="538"/>
      <c r="F26" s="538"/>
      <c r="G26" s="353"/>
      <c r="H26" s="550"/>
    </row>
    <row r="27" spans="2:8" ht="21" customHeight="1">
      <c r="B27" s="538"/>
      <c r="C27" s="538"/>
      <c r="D27" s="538"/>
      <c r="E27" s="538"/>
      <c r="F27" s="538"/>
      <c r="G27" s="353"/>
      <c r="H27" s="550"/>
    </row>
    <row r="28" spans="2:8" ht="21" customHeight="1">
      <c r="B28" s="538"/>
      <c r="C28" s="538"/>
      <c r="D28" s="538"/>
      <c r="E28" s="538"/>
      <c r="F28" s="538"/>
      <c r="G28" s="353"/>
      <c r="H28" s="550"/>
    </row>
    <row r="29" spans="2:8" ht="21" customHeight="1">
      <c r="B29" s="538"/>
      <c r="C29" s="538"/>
      <c r="D29" s="538"/>
      <c r="E29" s="538"/>
      <c r="F29" s="538"/>
      <c r="G29" s="353"/>
      <c r="H29" s="550"/>
    </row>
    <row r="30" spans="2:8" ht="21" customHeight="1">
      <c r="B30" s="538"/>
      <c r="C30" s="538"/>
      <c r="D30" s="538"/>
      <c r="E30" s="538"/>
      <c r="F30" s="538"/>
      <c r="G30" s="353"/>
      <c r="H30" s="550"/>
    </row>
    <row r="31" spans="2:8" ht="21" customHeight="1">
      <c r="B31" s="538"/>
      <c r="C31" s="538"/>
      <c r="D31" s="538"/>
      <c r="E31" s="538"/>
      <c r="F31" s="538"/>
      <c r="G31" s="353"/>
      <c r="H31" s="550"/>
    </row>
    <row r="32" spans="2:8" ht="21" customHeight="1">
      <c r="B32" s="538"/>
      <c r="C32" s="538"/>
      <c r="D32" s="538"/>
      <c r="E32" s="538"/>
      <c r="F32" s="538"/>
      <c r="G32" s="353"/>
      <c r="H32" s="550"/>
    </row>
    <row r="33" spans="2:13" ht="21" customHeight="1">
      <c r="B33" s="538"/>
      <c r="C33" s="538"/>
      <c r="D33" s="538"/>
      <c r="E33" s="538"/>
      <c r="F33" s="538"/>
      <c r="G33" s="353"/>
      <c r="H33" s="550"/>
      <c r="M33" s="312"/>
    </row>
    <row r="34" spans="2:13" ht="21" customHeight="1">
      <c r="B34" s="538"/>
      <c r="C34" s="538"/>
      <c r="D34" s="538"/>
      <c r="E34" s="538"/>
      <c r="F34" s="538"/>
      <c r="G34" s="353"/>
      <c r="H34" s="550"/>
    </row>
    <row r="35" spans="2:13" ht="21" customHeight="1">
      <c r="B35" s="538"/>
      <c r="C35" s="538"/>
      <c r="D35" s="538"/>
      <c r="E35" s="538"/>
      <c r="F35" s="538"/>
      <c r="G35" s="353"/>
      <c r="H35" s="550"/>
    </row>
    <row r="36" spans="2:13" ht="21" customHeight="1">
      <c r="B36" s="538"/>
      <c r="C36" s="538"/>
      <c r="D36" s="538"/>
      <c r="E36" s="538"/>
      <c r="F36" s="538"/>
      <c r="G36" s="353"/>
      <c r="H36" s="550"/>
    </row>
    <row r="37" spans="2:13" ht="21" customHeight="1">
      <c r="B37" s="538"/>
      <c r="C37" s="538"/>
      <c r="D37" s="538"/>
      <c r="E37" s="538"/>
      <c r="F37" s="538"/>
      <c r="G37" s="353"/>
      <c r="H37" s="550"/>
    </row>
    <row r="38" spans="2:13" ht="21" customHeight="1">
      <c r="B38" s="538"/>
      <c r="C38" s="538"/>
      <c r="D38" s="538"/>
      <c r="E38" s="538"/>
      <c r="F38" s="538"/>
      <c r="G38" s="353"/>
      <c r="H38" s="550"/>
    </row>
    <row r="39" spans="2:13" ht="21" customHeight="1">
      <c r="B39" s="538"/>
      <c r="C39" s="538"/>
      <c r="D39" s="538"/>
      <c r="E39" s="538"/>
      <c r="F39" s="538"/>
      <c r="G39" s="353"/>
      <c r="H39" s="550"/>
    </row>
    <row r="40" spans="2:13" ht="21" customHeight="1">
      <c r="B40" s="538"/>
      <c r="C40" s="538"/>
      <c r="D40" s="538"/>
      <c r="E40" s="538"/>
      <c r="F40" s="538"/>
      <c r="G40" s="353"/>
      <c r="H40" s="550"/>
    </row>
    <row r="41" spans="2:13" ht="21" customHeight="1">
      <c r="B41" s="538"/>
      <c r="C41" s="538"/>
      <c r="D41" s="538"/>
      <c r="E41" s="538"/>
      <c r="F41" s="538"/>
      <c r="G41" s="353"/>
      <c r="H41" s="550"/>
    </row>
    <row r="42" spans="2:13" ht="21" customHeight="1">
      <c r="B42" s="538"/>
      <c r="C42" s="538"/>
      <c r="D42" s="538"/>
      <c r="E42" s="538"/>
      <c r="F42" s="538"/>
      <c r="G42" s="353"/>
      <c r="H42" s="550"/>
    </row>
    <row r="43" spans="2:13" ht="21" customHeight="1">
      <c r="B43" s="538"/>
      <c r="C43" s="538"/>
      <c r="D43" s="538"/>
      <c r="E43" s="538"/>
      <c r="F43" s="538"/>
      <c r="G43" s="353"/>
      <c r="H43" s="550"/>
    </row>
    <row r="44" spans="2:13" ht="21" customHeight="1">
      <c r="B44" s="801" t="s">
        <v>799</v>
      </c>
      <c r="C44" s="608"/>
      <c r="D44" s="608"/>
      <c r="E44" s="608"/>
      <c r="F44" s="608"/>
      <c r="G44" s="800">
        <f>SUM(G9:G43)</f>
        <v>85088.4</v>
      </c>
      <c r="H44" s="809">
        <f>SUM(H9:H43)</f>
        <v>85088.400000000009</v>
      </c>
    </row>
    <row r="45" spans="2:13">
      <c r="B45" s="1676" t="s">
        <v>98</v>
      </c>
      <c r="C45" s="1676"/>
      <c r="D45" s="1676"/>
      <c r="E45" s="1676"/>
      <c r="F45" s="1676"/>
      <c r="G45" s="1676"/>
      <c r="H45" s="1676"/>
    </row>
    <row r="46" spans="2:13">
      <c r="B46" s="916"/>
      <c r="C46" s="916"/>
      <c r="D46" s="916"/>
      <c r="E46" s="916"/>
      <c r="F46" s="916"/>
      <c r="G46" s="916"/>
      <c r="H46" s="916"/>
    </row>
    <row r="47" spans="2:13">
      <c r="B47" s="811"/>
      <c r="C47" s="811"/>
      <c r="D47" s="811"/>
      <c r="E47" s="811"/>
      <c r="F47" s="811"/>
      <c r="G47" s="811"/>
      <c r="H47" s="811"/>
    </row>
    <row r="48" spans="2:13" ht="13.8">
      <c r="B48" s="1677" t="s">
        <v>3254</v>
      </c>
      <c r="C48" s="1677"/>
      <c r="D48" s="1677"/>
      <c r="E48" s="1677"/>
      <c r="F48" s="1677"/>
      <c r="G48" s="1677"/>
      <c r="H48" s="1677"/>
    </row>
  </sheetData>
  <sheetProtection algorithmName="SHA-512" hashValue="sFDvMMKdy2/IjsF5ThjWr6tHR50XXo+RDxCsfUWkMGlSB5fQSRKuQfFwrUhacIM6o5N2CuEZDt9L4L7ch72psw==" saltValue="w35H96ptnOR0yj9fLl3N1A=="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B3:M48"/>
  <sheetViews>
    <sheetView zoomScaleNormal="100" workbookViewId="0">
      <selection activeCell="Q15" sqref="Q15"/>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8" width="18.6640625" style="309" customWidth="1"/>
    <col min="9" max="12" width="9.109375" style="309"/>
    <col min="13" max="13" width="10.33203125" style="309" bestFit="1" customWidth="1"/>
    <col min="14" max="16384" width="9.109375" style="309"/>
  </cols>
  <sheetData>
    <row r="3" spans="2:11" ht="22.8">
      <c r="B3" s="1680" t="s">
        <v>424</v>
      </c>
      <c r="C3" s="1680"/>
      <c r="D3" s="1680"/>
      <c r="E3" s="1680"/>
      <c r="F3" s="1680"/>
      <c r="G3" s="1680"/>
      <c r="H3" s="1680"/>
    </row>
    <row r="4" spans="2:11" ht="22.8">
      <c r="B4" s="1680" t="s">
        <v>3615</v>
      </c>
      <c r="C4" s="1680"/>
      <c r="D4" s="1680"/>
      <c r="E4" s="1680"/>
      <c r="F4" s="1680"/>
      <c r="G4" s="1680"/>
      <c r="H4" s="1680"/>
    </row>
    <row r="5" spans="2:11" ht="17.399999999999999">
      <c r="B5" s="1681" t="s">
        <v>621</v>
      </c>
      <c r="C5" s="1681"/>
      <c r="D5" s="1681"/>
      <c r="E5" s="1681"/>
      <c r="F5" s="1681"/>
      <c r="G5" s="1681"/>
      <c r="H5" s="1681"/>
    </row>
    <row r="6" spans="2:11" ht="15.6">
      <c r="B6" s="1682" t="str">
        <f>IF('KEY INPUTS'!C42 = "State Fiscal Year", 'KEY INPUTS'!F45,'KEY INPUTS'!D45)</f>
        <v>AS  AT  DECEMBER  31, 2021</v>
      </c>
      <c r="C6" s="1683"/>
      <c r="D6" s="1683"/>
      <c r="E6" s="1683"/>
      <c r="F6" s="1683"/>
      <c r="G6" s="1683"/>
      <c r="H6" s="1683"/>
    </row>
    <row r="7" spans="2:11" ht="13.8" thickBot="1">
      <c r="B7" s="811"/>
      <c r="C7" s="811"/>
      <c r="D7" s="811"/>
      <c r="E7" s="811"/>
      <c r="F7" s="811"/>
      <c r="G7" s="811"/>
      <c r="H7" s="811"/>
    </row>
    <row r="8" spans="2:11" ht="36" customHeight="1" thickTop="1" thickBot="1">
      <c r="B8" s="1684" t="s">
        <v>95</v>
      </c>
      <c r="C8" s="1685"/>
      <c r="D8" s="1685"/>
      <c r="E8" s="1685"/>
      <c r="F8" s="1686"/>
      <c r="G8" s="921" t="s">
        <v>96</v>
      </c>
      <c r="H8" s="922" t="s">
        <v>97</v>
      </c>
    </row>
    <row r="9" spans="2:11" ht="21" customHeight="1" thickTop="1">
      <c r="B9" s="812" t="s">
        <v>3251</v>
      </c>
      <c r="C9" s="797"/>
      <c r="D9" s="797"/>
      <c r="E9" s="797"/>
      <c r="F9" s="797"/>
      <c r="G9" s="798">
        <f>+'6.3-Trial Bal-Trust Fnds'!G44</f>
        <v>85088.4</v>
      </c>
      <c r="H9" s="799">
        <f>+'6.3-Trial Bal-Trust Fnds'!H44</f>
        <v>85088.400000000009</v>
      </c>
      <c r="I9" s="710"/>
    </row>
    <row r="10" spans="2:11" ht="21" customHeight="1">
      <c r="B10" s="801" t="s">
        <v>3250</v>
      </c>
      <c r="C10" s="608"/>
      <c r="D10" s="608"/>
      <c r="E10" s="608"/>
      <c r="F10" s="608"/>
      <c r="G10" s="800"/>
      <c r="H10" s="632"/>
    </row>
    <row r="11" spans="2:11" ht="21" customHeight="1">
      <c r="B11" s="538"/>
      <c r="C11" s="538"/>
      <c r="D11" s="538"/>
      <c r="E11" s="538"/>
      <c r="F11" s="538"/>
      <c r="G11" s="353"/>
      <c r="H11" s="550"/>
      <c r="I11" s="710"/>
    </row>
    <row r="12" spans="2:11" ht="21" customHeight="1">
      <c r="B12" s="538"/>
      <c r="C12" s="538"/>
      <c r="D12" s="538"/>
      <c r="E12" s="538"/>
      <c r="F12" s="538"/>
      <c r="G12" s="353"/>
      <c r="H12" s="550"/>
    </row>
    <row r="13" spans="2:11" ht="21" customHeight="1">
      <c r="B13" s="538"/>
      <c r="C13" s="538"/>
      <c r="D13" s="538"/>
      <c r="E13" s="538"/>
      <c r="F13" s="538"/>
      <c r="G13" s="353"/>
      <c r="H13" s="550"/>
    </row>
    <row r="14" spans="2:11" ht="21" customHeight="1">
      <c r="B14" s="538"/>
      <c r="C14" s="538"/>
      <c r="D14" s="538"/>
      <c r="E14" s="538"/>
      <c r="F14" s="538"/>
      <c r="G14" s="353"/>
      <c r="H14" s="550"/>
      <c r="K14" s="356"/>
    </row>
    <row r="15" spans="2:11" ht="21" customHeight="1">
      <c r="B15" s="538"/>
      <c r="C15" s="538"/>
      <c r="D15" s="538"/>
      <c r="E15" s="538"/>
      <c r="F15" s="538"/>
      <c r="G15" s="353"/>
      <c r="H15" s="550"/>
    </row>
    <row r="16" spans="2:11" ht="21" customHeight="1">
      <c r="B16" s="538"/>
      <c r="C16" s="538"/>
      <c r="D16" s="538"/>
      <c r="E16" s="538"/>
      <c r="F16" s="538"/>
      <c r="G16" s="353"/>
      <c r="H16" s="550"/>
    </row>
    <row r="17" spans="2:8" ht="21" customHeight="1">
      <c r="B17" s="538"/>
      <c r="C17" s="538"/>
      <c r="D17" s="538"/>
      <c r="E17" s="538"/>
      <c r="F17" s="538"/>
      <c r="G17" s="353"/>
      <c r="H17" s="550"/>
    </row>
    <row r="18" spans="2:8" ht="21" customHeight="1">
      <c r="B18" s="538"/>
      <c r="C18" s="538"/>
      <c r="D18" s="538"/>
      <c r="E18" s="538"/>
      <c r="F18" s="538"/>
      <c r="G18" s="353"/>
      <c r="H18" s="550"/>
    </row>
    <row r="19" spans="2:8" ht="21" customHeight="1">
      <c r="B19" s="538"/>
      <c r="C19" s="538"/>
      <c r="D19" s="538"/>
      <c r="E19" s="538"/>
      <c r="F19" s="538"/>
      <c r="G19" s="353"/>
      <c r="H19" s="550"/>
    </row>
    <row r="20" spans="2:8" ht="21" customHeight="1">
      <c r="B20" s="538"/>
      <c r="C20" s="538"/>
      <c r="D20" s="538"/>
      <c r="E20" s="538"/>
      <c r="F20" s="538"/>
      <c r="G20" s="353"/>
      <c r="H20" s="550"/>
    </row>
    <row r="21" spans="2:8" ht="21" customHeight="1">
      <c r="B21" s="538"/>
      <c r="C21" s="538"/>
      <c r="D21" s="538"/>
      <c r="E21" s="538"/>
      <c r="F21" s="538"/>
      <c r="G21" s="353"/>
      <c r="H21" s="550"/>
    </row>
    <row r="22" spans="2:8" ht="21" customHeight="1">
      <c r="B22" s="538"/>
      <c r="C22" s="538"/>
      <c r="D22" s="538"/>
      <c r="E22" s="538"/>
      <c r="F22" s="538"/>
      <c r="G22" s="353"/>
      <c r="H22" s="550"/>
    </row>
    <row r="23" spans="2:8" ht="21" customHeight="1">
      <c r="B23" s="538"/>
      <c r="C23" s="538"/>
      <c r="D23" s="538"/>
      <c r="E23" s="538"/>
      <c r="F23" s="538"/>
      <c r="G23" s="353"/>
      <c r="H23" s="550"/>
    </row>
    <row r="24" spans="2:8" ht="21" customHeight="1">
      <c r="B24" s="538"/>
      <c r="C24" s="538"/>
      <c r="D24" s="538"/>
      <c r="E24" s="538"/>
      <c r="F24" s="538"/>
      <c r="G24" s="353"/>
      <c r="H24" s="550"/>
    </row>
    <row r="25" spans="2:8" ht="21" customHeight="1">
      <c r="B25" s="538"/>
      <c r="C25" s="538"/>
      <c r="D25" s="538"/>
      <c r="E25" s="538"/>
      <c r="F25" s="538"/>
      <c r="G25" s="353"/>
      <c r="H25" s="550"/>
    </row>
    <row r="26" spans="2:8" ht="21" customHeight="1">
      <c r="B26" s="538"/>
      <c r="C26" s="538"/>
      <c r="D26" s="538"/>
      <c r="E26" s="538"/>
      <c r="F26" s="538"/>
      <c r="G26" s="353"/>
      <c r="H26" s="550"/>
    </row>
    <row r="27" spans="2:8" ht="21" customHeight="1">
      <c r="B27" s="538"/>
      <c r="C27" s="538"/>
      <c r="D27" s="538"/>
      <c r="E27" s="538"/>
      <c r="F27" s="538"/>
      <c r="G27" s="353"/>
      <c r="H27" s="550"/>
    </row>
    <row r="28" spans="2:8" ht="21" customHeight="1">
      <c r="B28" s="538"/>
      <c r="C28" s="538"/>
      <c r="D28" s="538"/>
      <c r="E28" s="538"/>
      <c r="F28" s="538"/>
      <c r="G28" s="353"/>
      <c r="H28" s="550"/>
    </row>
    <row r="29" spans="2:8" ht="21" customHeight="1">
      <c r="B29" s="538"/>
      <c r="C29" s="538"/>
      <c r="D29" s="538"/>
      <c r="E29" s="538"/>
      <c r="F29" s="538"/>
      <c r="G29" s="353"/>
      <c r="H29" s="550"/>
    </row>
    <row r="30" spans="2:8" ht="21" customHeight="1">
      <c r="B30" s="538"/>
      <c r="C30" s="538"/>
      <c r="D30" s="538"/>
      <c r="E30" s="538"/>
      <c r="F30" s="538"/>
      <c r="G30" s="353"/>
      <c r="H30" s="550"/>
    </row>
    <row r="31" spans="2:8" ht="21" customHeight="1">
      <c r="B31" s="538"/>
      <c r="C31" s="538"/>
      <c r="D31" s="538"/>
      <c r="E31" s="538"/>
      <c r="F31" s="538"/>
      <c r="G31" s="353"/>
      <c r="H31" s="550"/>
    </row>
    <row r="32" spans="2:8" ht="21" customHeight="1">
      <c r="B32" s="538"/>
      <c r="C32" s="538"/>
      <c r="D32" s="538"/>
      <c r="E32" s="538"/>
      <c r="F32" s="538"/>
      <c r="G32" s="353"/>
      <c r="H32" s="550"/>
    </row>
    <row r="33" spans="2:13" ht="21" customHeight="1">
      <c r="B33" s="538"/>
      <c r="C33" s="538"/>
      <c r="D33" s="538"/>
      <c r="E33" s="538"/>
      <c r="F33" s="538"/>
      <c r="G33" s="353"/>
      <c r="H33" s="550"/>
      <c r="M33" s="312"/>
    </row>
    <row r="34" spans="2:13" ht="21" customHeight="1">
      <c r="B34" s="538"/>
      <c r="C34" s="538"/>
      <c r="D34" s="538"/>
      <c r="E34" s="538"/>
      <c r="F34" s="538"/>
      <c r="G34" s="353"/>
      <c r="H34" s="550"/>
    </row>
    <row r="35" spans="2:13" ht="21" customHeight="1">
      <c r="B35" s="538"/>
      <c r="C35" s="538"/>
      <c r="D35" s="538"/>
      <c r="E35" s="538"/>
      <c r="F35" s="538"/>
      <c r="G35" s="353"/>
      <c r="H35" s="550"/>
    </row>
    <row r="36" spans="2:13" ht="21" customHeight="1">
      <c r="B36" s="538"/>
      <c r="C36" s="538"/>
      <c r="D36" s="538"/>
      <c r="E36" s="538"/>
      <c r="F36" s="538"/>
      <c r="G36" s="353"/>
      <c r="H36" s="550"/>
    </row>
    <row r="37" spans="2:13" ht="21" customHeight="1">
      <c r="B37" s="538"/>
      <c r="C37" s="538"/>
      <c r="D37" s="538"/>
      <c r="E37" s="538"/>
      <c r="F37" s="538"/>
      <c r="G37" s="353"/>
      <c r="H37" s="550"/>
    </row>
    <row r="38" spans="2:13" ht="21" customHeight="1">
      <c r="B38" s="538"/>
      <c r="C38" s="538"/>
      <c r="D38" s="538"/>
      <c r="E38" s="538"/>
      <c r="F38" s="538"/>
      <c r="G38" s="353"/>
      <c r="H38" s="550"/>
    </row>
    <row r="39" spans="2:13" ht="21" customHeight="1">
      <c r="B39" s="538"/>
      <c r="C39" s="538"/>
      <c r="D39" s="538"/>
      <c r="E39" s="538"/>
      <c r="F39" s="538"/>
      <c r="G39" s="353"/>
      <c r="H39" s="550"/>
    </row>
    <row r="40" spans="2:13" ht="21" customHeight="1">
      <c r="B40" s="538"/>
      <c r="C40" s="538"/>
      <c r="D40" s="538"/>
      <c r="E40" s="538"/>
      <c r="F40" s="538"/>
      <c r="G40" s="353"/>
      <c r="H40" s="550"/>
    </row>
    <row r="41" spans="2:13" ht="21" customHeight="1">
      <c r="B41" s="538"/>
      <c r="C41" s="538"/>
      <c r="D41" s="538"/>
      <c r="E41" s="538"/>
      <c r="F41" s="538"/>
      <c r="G41" s="353"/>
      <c r="H41" s="550"/>
    </row>
    <row r="42" spans="2:13" ht="21" customHeight="1">
      <c r="B42" s="538"/>
      <c r="C42" s="538"/>
      <c r="D42" s="538"/>
      <c r="E42" s="538"/>
      <c r="F42" s="538"/>
      <c r="G42" s="353"/>
      <c r="H42" s="550"/>
    </row>
    <row r="43" spans="2:13" ht="21" customHeight="1">
      <c r="B43" s="538"/>
      <c r="C43" s="538"/>
      <c r="D43" s="538"/>
      <c r="E43" s="538"/>
      <c r="F43" s="538"/>
      <c r="G43" s="353"/>
      <c r="H43" s="550"/>
    </row>
    <row r="44" spans="2:13" ht="21" customHeight="1">
      <c r="B44" s="801" t="s">
        <v>799</v>
      </c>
      <c r="C44" s="608"/>
      <c r="D44" s="608"/>
      <c r="E44" s="608"/>
      <c r="F44" s="608"/>
      <c r="G44" s="800">
        <f>SUM(G9:G43)</f>
        <v>85088.4</v>
      </c>
      <c r="H44" s="809">
        <f>SUM(H9:H43)</f>
        <v>85088.400000000009</v>
      </c>
    </row>
    <row r="45" spans="2:13">
      <c r="B45" s="1644" t="s">
        <v>98</v>
      </c>
      <c r="C45" s="1644"/>
      <c r="D45" s="1644"/>
      <c r="E45" s="1644"/>
      <c r="F45" s="1644"/>
      <c r="G45" s="1644"/>
      <c r="H45" s="1644"/>
    </row>
    <row r="46" spans="2:13">
      <c r="B46" s="918"/>
      <c r="C46" s="918"/>
      <c r="D46" s="918"/>
      <c r="E46" s="918"/>
      <c r="F46" s="918"/>
      <c r="G46" s="918"/>
      <c r="H46" s="918"/>
    </row>
    <row r="48" spans="2:13" ht="13.8">
      <c r="B48" s="1618" t="s">
        <v>3255</v>
      </c>
      <c r="C48" s="1618"/>
      <c r="D48" s="1618"/>
      <c r="E48" s="1618"/>
      <c r="F48" s="1618"/>
      <c r="G48" s="1618"/>
      <c r="H48" s="1618"/>
    </row>
  </sheetData>
  <sheetProtection algorithmName="SHA-512" hashValue="2Kqsyps2T/h502c1hAFnaDp7Yhju2CzynVR/VEJlJzFzSdayW8k3m9v0TJxGqWrf3bObcB42gLdbQ0zn25Bazw==" saltValue="J+YI1GlobdrP5iMU/KL8Kg=="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B3:M55"/>
  <sheetViews>
    <sheetView zoomScaleNormal="100" workbookViewId="0">
      <selection activeCell="P21" sqref="P21"/>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8" width="18.6640625" style="309" customWidth="1"/>
    <col min="9" max="9" width="10.33203125" style="309" bestFit="1" customWidth="1"/>
    <col min="10" max="12" width="9.109375" style="309"/>
    <col min="13" max="13" width="10.33203125" style="309" bestFit="1" customWidth="1"/>
    <col min="14" max="16384" width="9.109375" style="309"/>
  </cols>
  <sheetData>
    <row r="3" spans="2:11" ht="22.8">
      <c r="B3" s="1665" t="s">
        <v>424</v>
      </c>
      <c r="C3" s="1665"/>
      <c r="D3" s="1665"/>
      <c r="E3" s="1665"/>
      <c r="F3" s="1665"/>
      <c r="G3" s="1665"/>
      <c r="H3" s="1665"/>
    </row>
    <row r="4" spans="2:11" ht="22.8">
      <c r="B4" s="1665" t="s">
        <v>3615</v>
      </c>
      <c r="C4" s="1665"/>
      <c r="D4" s="1665"/>
      <c r="E4" s="1665"/>
      <c r="F4" s="1665"/>
      <c r="G4" s="1665"/>
      <c r="H4" s="1665"/>
    </row>
    <row r="5" spans="2:11" ht="17.399999999999999">
      <c r="B5" s="1675" t="s">
        <v>621</v>
      </c>
      <c r="C5" s="1675"/>
      <c r="D5" s="1675"/>
      <c r="E5" s="1675"/>
      <c r="F5" s="1675"/>
      <c r="G5" s="1675"/>
      <c r="H5" s="1675"/>
    </row>
    <row r="6" spans="2:11" ht="15.6">
      <c r="B6" s="1671" t="str">
        <f>IF('KEY INPUTS'!C42 = "State Fiscal Year", 'KEY INPUTS'!F45,'KEY INPUTS'!D45)</f>
        <v>AS  AT  DECEMBER  31, 2021</v>
      </c>
      <c r="C6" s="1620"/>
      <c r="D6" s="1620"/>
      <c r="E6" s="1620"/>
      <c r="F6" s="1620"/>
      <c r="G6" s="1620"/>
      <c r="H6" s="1620"/>
    </row>
    <row r="7" spans="2:11" ht="13.8" thickBot="1"/>
    <row r="8" spans="2:11" ht="36" customHeight="1" thickTop="1" thickBot="1">
      <c r="B8" s="1668" t="s">
        <v>95</v>
      </c>
      <c r="C8" s="1668"/>
      <c r="D8" s="1668"/>
      <c r="E8" s="1668"/>
      <c r="F8" s="1669"/>
      <c r="G8" s="4" t="s">
        <v>96</v>
      </c>
      <c r="H8" s="919" t="s">
        <v>97</v>
      </c>
    </row>
    <row r="9" spans="2:11" ht="21" customHeight="1" thickTop="1">
      <c r="B9" s="812" t="s">
        <v>3251</v>
      </c>
      <c r="C9" s="797"/>
      <c r="D9" s="797"/>
      <c r="E9" s="797"/>
      <c r="F9" s="797"/>
      <c r="G9" s="798">
        <f>+'6.4-Trial Bal-Trust Fnds'!G44</f>
        <v>85088.4</v>
      </c>
      <c r="H9" s="799">
        <f>+'6.4-Trial Bal-Trust Fnds'!H44</f>
        <v>85088.400000000009</v>
      </c>
      <c r="I9" s="710"/>
    </row>
    <row r="10" spans="2:11" ht="21" customHeight="1">
      <c r="B10" s="801" t="s">
        <v>3250</v>
      </c>
      <c r="C10" s="608"/>
      <c r="D10" s="608"/>
      <c r="E10" s="608"/>
      <c r="F10" s="608"/>
      <c r="G10" s="800"/>
      <c r="H10" s="632"/>
    </row>
    <row r="11" spans="2:11" ht="21" customHeight="1">
      <c r="B11" s="538"/>
      <c r="C11" s="538"/>
      <c r="D11" s="538"/>
      <c r="E11" s="538"/>
      <c r="F11" s="538"/>
      <c r="G11" s="353"/>
      <c r="H11" s="550"/>
      <c r="I11" s="710"/>
    </row>
    <row r="12" spans="2:11" ht="21" customHeight="1">
      <c r="B12" s="538"/>
      <c r="C12" s="538"/>
      <c r="D12" s="538"/>
      <c r="E12" s="538"/>
      <c r="F12" s="538"/>
      <c r="G12" s="353"/>
      <c r="H12" s="550"/>
    </row>
    <row r="13" spans="2:11" ht="21" customHeight="1">
      <c r="B13" s="538"/>
      <c r="C13" s="538"/>
      <c r="D13" s="538"/>
      <c r="E13" s="538"/>
      <c r="F13" s="538"/>
      <c r="G13" s="353"/>
      <c r="H13" s="550"/>
    </row>
    <row r="14" spans="2:11" ht="21" customHeight="1">
      <c r="B14" s="538"/>
      <c r="C14" s="538"/>
      <c r="D14" s="538"/>
      <c r="E14" s="538"/>
      <c r="F14" s="538"/>
      <c r="G14" s="353"/>
      <c r="H14" s="550"/>
      <c r="K14" s="356"/>
    </row>
    <row r="15" spans="2:11" ht="21" customHeight="1">
      <c r="B15" s="538"/>
      <c r="C15" s="538"/>
      <c r="D15" s="538"/>
      <c r="E15" s="538"/>
      <c r="F15" s="538"/>
      <c r="G15" s="353"/>
      <c r="H15" s="550"/>
    </row>
    <row r="16" spans="2:11" ht="21" customHeight="1">
      <c r="B16" s="538"/>
      <c r="C16" s="538"/>
      <c r="D16" s="538"/>
      <c r="E16" s="538"/>
      <c r="F16" s="538"/>
      <c r="G16" s="353"/>
      <c r="H16" s="550"/>
    </row>
    <row r="17" spans="2:8" ht="21" customHeight="1">
      <c r="B17" s="538"/>
      <c r="C17" s="538"/>
      <c r="D17" s="538"/>
      <c r="E17" s="538"/>
      <c r="F17" s="538"/>
      <c r="G17" s="353"/>
      <c r="H17" s="550"/>
    </row>
    <row r="18" spans="2:8" ht="21" customHeight="1">
      <c r="B18" s="538"/>
      <c r="C18" s="538"/>
      <c r="D18" s="538"/>
      <c r="E18" s="538"/>
      <c r="F18" s="538"/>
      <c r="G18" s="353"/>
      <c r="H18" s="550"/>
    </row>
    <row r="19" spans="2:8" ht="21" customHeight="1">
      <c r="B19" s="538"/>
      <c r="C19" s="538"/>
      <c r="D19" s="538"/>
      <c r="E19" s="538"/>
      <c r="F19" s="538"/>
      <c r="G19" s="353"/>
      <c r="H19" s="550"/>
    </row>
    <row r="20" spans="2:8" ht="21" customHeight="1">
      <c r="B20" s="538"/>
      <c r="C20" s="538"/>
      <c r="D20" s="538"/>
      <c r="E20" s="538"/>
      <c r="F20" s="538"/>
      <c r="G20" s="353"/>
      <c r="H20" s="550"/>
    </row>
    <row r="21" spans="2:8" ht="21" customHeight="1">
      <c r="B21" s="538"/>
      <c r="C21" s="538"/>
      <c r="D21" s="538"/>
      <c r="E21" s="538"/>
      <c r="F21" s="538"/>
      <c r="G21" s="353"/>
      <c r="H21" s="550"/>
    </row>
    <row r="22" spans="2:8" ht="21" customHeight="1">
      <c r="B22" s="538"/>
      <c r="C22" s="538"/>
      <c r="D22" s="538"/>
      <c r="E22" s="538"/>
      <c r="F22" s="538"/>
      <c r="G22" s="353"/>
      <c r="H22" s="550"/>
    </row>
    <row r="23" spans="2:8" ht="21" customHeight="1">
      <c r="B23" s="538"/>
      <c r="C23" s="538"/>
      <c r="D23" s="538"/>
      <c r="E23" s="538"/>
      <c r="F23" s="538"/>
      <c r="G23" s="353"/>
      <c r="H23" s="550"/>
    </row>
    <row r="24" spans="2:8" ht="21" customHeight="1">
      <c r="B24" s="538"/>
      <c r="C24" s="538"/>
      <c r="D24" s="538"/>
      <c r="E24" s="538"/>
      <c r="F24" s="538"/>
      <c r="G24" s="353"/>
      <c r="H24" s="550"/>
    </row>
    <row r="25" spans="2:8" ht="21" customHeight="1">
      <c r="B25" s="538"/>
      <c r="C25" s="538"/>
      <c r="D25" s="538"/>
      <c r="E25" s="538"/>
      <c r="F25" s="538"/>
      <c r="G25" s="353"/>
      <c r="H25" s="550"/>
    </row>
    <row r="26" spans="2:8" ht="21" customHeight="1">
      <c r="B26" s="538"/>
      <c r="C26" s="538"/>
      <c r="D26" s="538"/>
      <c r="E26" s="538"/>
      <c r="F26" s="538"/>
      <c r="G26" s="353"/>
      <c r="H26" s="550"/>
    </row>
    <row r="27" spans="2:8" ht="21" customHeight="1">
      <c r="B27" s="538"/>
      <c r="C27" s="538"/>
      <c r="D27" s="538"/>
      <c r="E27" s="538"/>
      <c r="F27" s="538"/>
      <c r="G27" s="353"/>
      <c r="H27" s="550"/>
    </row>
    <row r="28" spans="2:8" ht="21" customHeight="1">
      <c r="B28" s="538"/>
      <c r="C28" s="538"/>
      <c r="D28" s="538"/>
      <c r="E28" s="538"/>
      <c r="F28" s="538"/>
      <c r="G28" s="353"/>
      <c r="H28" s="550"/>
    </row>
    <row r="29" spans="2:8" ht="21" customHeight="1">
      <c r="B29" s="538"/>
      <c r="C29" s="538"/>
      <c r="D29" s="538"/>
      <c r="E29" s="538"/>
      <c r="F29" s="538"/>
      <c r="G29" s="353"/>
      <c r="H29" s="550"/>
    </row>
    <row r="30" spans="2:8" ht="21" customHeight="1">
      <c r="B30" s="538"/>
      <c r="C30" s="538"/>
      <c r="D30" s="538"/>
      <c r="E30" s="538"/>
      <c r="F30" s="538"/>
      <c r="G30" s="353"/>
      <c r="H30" s="550"/>
    </row>
    <row r="31" spans="2:8" ht="21" customHeight="1">
      <c r="B31" s="538"/>
      <c r="C31" s="538"/>
      <c r="D31" s="538"/>
      <c r="E31" s="538"/>
      <c r="F31" s="538"/>
      <c r="G31" s="353"/>
      <c r="H31" s="550"/>
    </row>
    <row r="32" spans="2:8" ht="21" customHeight="1">
      <c r="B32" s="538"/>
      <c r="C32" s="538"/>
      <c r="D32" s="538"/>
      <c r="E32" s="538"/>
      <c r="F32" s="538"/>
      <c r="G32" s="353"/>
      <c r="H32" s="550"/>
    </row>
    <row r="33" spans="2:13" ht="21" customHeight="1">
      <c r="B33" s="538"/>
      <c r="C33" s="538"/>
      <c r="D33" s="538"/>
      <c r="E33" s="538"/>
      <c r="F33" s="538"/>
      <c r="G33" s="353"/>
      <c r="H33" s="550"/>
      <c r="M33" s="312"/>
    </row>
    <row r="34" spans="2:13" ht="21" customHeight="1">
      <c r="B34" s="538"/>
      <c r="C34" s="538"/>
      <c r="D34" s="538"/>
      <c r="E34" s="538"/>
      <c r="F34" s="538"/>
      <c r="G34" s="353"/>
      <c r="H34" s="550"/>
    </row>
    <row r="35" spans="2:13" ht="21" customHeight="1">
      <c r="B35" s="538"/>
      <c r="C35" s="538"/>
      <c r="D35" s="538"/>
      <c r="E35" s="538"/>
      <c r="F35" s="538"/>
      <c r="G35" s="353"/>
      <c r="H35" s="550"/>
    </row>
    <row r="36" spans="2:13" ht="21" customHeight="1">
      <c r="B36" s="538"/>
      <c r="C36" s="538"/>
      <c r="D36" s="538"/>
      <c r="E36" s="538"/>
      <c r="F36" s="538"/>
      <c r="G36" s="353"/>
      <c r="H36" s="550"/>
    </row>
    <row r="37" spans="2:13" ht="21" customHeight="1">
      <c r="B37" s="538"/>
      <c r="C37" s="538"/>
      <c r="D37" s="538"/>
      <c r="E37" s="538"/>
      <c r="F37" s="538"/>
      <c r="G37" s="353"/>
      <c r="H37" s="550"/>
    </row>
    <row r="38" spans="2:13" ht="21" customHeight="1">
      <c r="B38" s="538"/>
      <c r="C38" s="538"/>
      <c r="D38" s="538"/>
      <c r="E38" s="538"/>
      <c r="F38" s="538"/>
      <c r="G38" s="353"/>
      <c r="H38" s="550"/>
    </row>
    <row r="39" spans="2:13" ht="21" customHeight="1">
      <c r="B39" s="538"/>
      <c r="C39" s="538"/>
      <c r="D39" s="538"/>
      <c r="E39" s="538"/>
      <c r="F39" s="538"/>
      <c r="G39" s="353"/>
      <c r="H39" s="550"/>
    </row>
    <row r="40" spans="2:13" ht="21" customHeight="1">
      <c r="B40" s="538"/>
      <c r="C40" s="538"/>
      <c r="D40" s="538"/>
      <c r="E40" s="538"/>
      <c r="F40" s="538"/>
      <c r="G40" s="353"/>
      <c r="H40" s="550"/>
    </row>
    <row r="41" spans="2:13" ht="21" customHeight="1">
      <c r="B41" s="538"/>
      <c r="C41" s="538"/>
      <c r="D41" s="538"/>
      <c r="E41" s="538"/>
      <c r="F41" s="538"/>
      <c r="G41" s="353"/>
      <c r="H41" s="550"/>
    </row>
    <row r="42" spans="2:13" ht="21" customHeight="1">
      <c r="B42" s="538"/>
      <c r="C42" s="538"/>
      <c r="D42" s="538"/>
      <c r="E42" s="538"/>
      <c r="F42" s="538"/>
      <c r="G42" s="353"/>
      <c r="H42" s="550"/>
    </row>
    <row r="43" spans="2:13" ht="21" customHeight="1">
      <c r="B43" s="538"/>
      <c r="C43" s="538"/>
      <c r="D43" s="538"/>
      <c r="E43" s="538"/>
      <c r="F43" s="538"/>
      <c r="G43" s="353"/>
      <c r="H43" s="550"/>
    </row>
    <row r="44" spans="2:13" ht="21" customHeight="1">
      <c r="B44" s="801" t="s">
        <v>799</v>
      </c>
      <c r="C44" s="608"/>
      <c r="D44" s="608"/>
      <c r="E44" s="608"/>
      <c r="F44" s="608"/>
      <c r="G44" s="800">
        <f>SUM(G9:G43)</f>
        <v>85088.4</v>
      </c>
      <c r="H44" s="809">
        <f>SUM(H9:H43)</f>
        <v>85088.400000000009</v>
      </c>
    </row>
    <row r="45" spans="2:13">
      <c r="B45" s="1676" t="s">
        <v>98</v>
      </c>
      <c r="C45" s="1676"/>
      <c r="D45" s="1676"/>
      <c r="E45" s="1676"/>
      <c r="F45" s="1676"/>
      <c r="G45" s="1676"/>
      <c r="H45" s="1676"/>
    </row>
    <row r="46" spans="2:13">
      <c r="B46" s="920"/>
      <c r="C46" s="920"/>
      <c r="D46" s="920"/>
      <c r="E46" s="920"/>
      <c r="F46" s="920"/>
      <c r="G46" s="920"/>
      <c r="H46" s="920"/>
    </row>
    <row r="47" spans="2:13">
      <c r="B47" s="811"/>
      <c r="C47" s="811"/>
      <c r="D47" s="811"/>
      <c r="E47" s="811"/>
      <c r="F47" s="811"/>
      <c r="G47" s="811"/>
      <c r="H47" s="811"/>
    </row>
    <row r="48" spans="2:13" ht="13.8">
      <c r="B48" s="1677" t="s">
        <v>3257</v>
      </c>
      <c r="C48" s="1677"/>
      <c r="D48" s="1677"/>
      <c r="E48" s="1677"/>
      <c r="F48" s="1677"/>
      <c r="G48" s="1677"/>
      <c r="H48" s="1677"/>
    </row>
    <row r="55" spans="9:9">
      <c r="I55" s="312">
        <f>+G44-H44</f>
        <v>0</v>
      </c>
    </row>
  </sheetData>
  <sheetProtection algorithmName="SHA-512" hashValue="rb2PKUXHM+2jYm+e9ZoN4r9BcOOSqU0F+BH+LcCiQOkugo7ZtenzvnpH9y+xr8DS6wJ/kZjYEg77dJyYWYdBOg==" saltValue="aqrAPgNXFjWtYFfCxn+GYg==" spinCount="100000" sheet="1" objects="1" scenarios="1"/>
  <mergeCells count="7">
    <mergeCell ref="B48:H48"/>
    <mergeCell ref="B3:H3"/>
    <mergeCell ref="B4:H4"/>
    <mergeCell ref="B5:H5"/>
    <mergeCell ref="B6:H6"/>
    <mergeCell ref="B8:F8"/>
    <mergeCell ref="B45:H45"/>
  </mergeCells>
  <pageMargins left="0.25" right="0.25" top="0.5" bottom="0.5" header="0.25" footer="0.25"/>
  <pageSetup paperSize="5"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2:V52"/>
  <sheetViews>
    <sheetView zoomScaleNormal="100" workbookViewId="0">
      <selection activeCell="B19" sqref="B19"/>
    </sheetView>
  </sheetViews>
  <sheetFormatPr defaultRowHeight="13.2"/>
  <cols>
    <col min="1" max="3" width="4.6640625" customWidth="1"/>
    <col min="5" max="5" width="11.88671875" customWidth="1"/>
    <col min="6" max="6" width="1.6640625" customWidth="1"/>
    <col min="7" max="7" width="14.6640625" customWidth="1"/>
    <col min="8" max="8" width="1.6640625" customWidth="1"/>
    <col min="9" max="9" width="14.6640625" customWidth="1"/>
    <col min="10" max="10" width="1.6640625" customWidth="1"/>
    <col min="11" max="11" width="14.6640625" customWidth="1"/>
    <col min="12" max="12" width="1.6640625" customWidth="1"/>
    <col min="13" max="13" width="14.6640625" customWidth="1"/>
    <col min="14" max="14" width="10.88671875" bestFit="1" customWidth="1"/>
  </cols>
  <sheetData>
    <row r="2" spans="2:22" ht="20.399999999999999">
      <c r="B2" s="1619" t="s">
        <v>3351</v>
      </c>
      <c r="C2" s="1619"/>
      <c r="D2" s="1619"/>
      <c r="E2" s="1619"/>
      <c r="F2" s="1619"/>
      <c r="G2" s="1619"/>
      <c r="H2" s="1619"/>
      <c r="I2" s="1619"/>
      <c r="J2" s="1619"/>
      <c r="K2" s="1619"/>
      <c r="L2" s="1619"/>
      <c r="M2" s="1619"/>
    </row>
    <row r="3" spans="2:22">
      <c r="B3" s="1644"/>
      <c r="C3" s="1644"/>
      <c r="D3" s="1644"/>
      <c r="E3" s="1644"/>
      <c r="F3" s="1644"/>
      <c r="G3" s="1644"/>
      <c r="H3" s="1644"/>
      <c r="I3" s="1644"/>
      <c r="J3" s="1644"/>
      <c r="K3" s="1644"/>
      <c r="L3" s="1644"/>
      <c r="M3" s="1644"/>
    </row>
    <row r="5" spans="2:22">
      <c r="B5" s="1687"/>
      <c r="C5" s="1687"/>
      <c r="D5" s="1687"/>
      <c r="G5" s="1" t="s">
        <v>414</v>
      </c>
      <c r="I5" s="126"/>
      <c r="K5" s="126"/>
    </row>
    <row r="6" spans="2:22">
      <c r="B6" s="1687"/>
      <c r="C6" s="1687"/>
      <c r="D6" s="1687"/>
      <c r="G6" s="284" t="str">
        <f>IF('KEY INPUTS'!C42 = "State Fiscal Year", 'KEY INPUTS'!F46,'KEY INPUTS'!D46)</f>
        <v>Dec. 31, 2020</v>
      </c>
      <c r="I6" s="1"/>
      <c r="K6" s="1"/>
      <c r="M6" s="1" t="s">
        <v>530</v>
      </c>
    </row>
    <row r="7" spans="2:22">
      <c r="G7" s="1" t="s">
        <v>433</v>
      </c>
      <c r="I7" s="1"/>
      <c r="K7" s="1"/>
      <c r="M7" s="1" t="s">
        <v>437</v>
      </c>
    </row>
    <row r="8" spans="2:22">
      <c r="B8" s="1687" t="s">
        <v>413</v>
      </c>
      <c r="C8" s="1687"/>
      <c r="D8" s="1687"/>
      <c r="G8" s="126" t="s">
        <v>432</v>
      </c>
      <c r="I8" s="126" t="s">
        <v>427</v>
      </c>
      <c r="K8" s="126" t="s">
        <v>536</v>
      </c>
      <c r="M8" s="281" t="str">
        <f>IF('KEY INPUTS'!C42 = "State Fiscal Year", 'KEY INPUTS'!F47,'KEY INPUTS'!D47)</f>
        <v>Dec. 31, 2021</v>
      </c>
    </row>
    <row r="9" spans="2:22">
      <c r="B9" s="126"/>
      <c r="C9" s="126"/>
      <c r="D9" s="126"/>
      <c r="G9" s="240"/>
      <c r="I9" s="126"/>
      <c r="K9" s="126"/>
      <c r="M9" s="129"/>
    </row>
    <row r="10" spans="2:22" ht="21" customHeight="1">
      <c r="B10" s="635" t="s">
        <v>3661</v>
      </c>
      <c r="C10" s="354"/>
      <c r="D10" s="354"/>
      <c r="E10" s="354"/>
      <c r="F10" s="797"/>
      <c r="G10" s="355">
        <v>12628.21</v>
      </c>
      <c r="H10" s="797"/>
      <c r="I10" s="355">
        <v>597892.87</v>
      </c>
      <c r="J10" s="797"/>
      <c r="K10" s="355">
        <v>596576.27</v>
      </c>
      <c r="L10" s="357"/>
      <c r="M10" s="813">
        <f t="shared" ref="M10:M15" si="0">+G10+I10-K10</f>
        <v>13944.809999999939</v>
      </c>
      <c r="N10" s="218"/>
    </row>
    <row r="11" spans="2:22" ht="21" customHeight="1">
      <c r="B11" s="354" t="s">
        <v>3662</v>
      </c>
      <c r="C11" s="354"/>
      <c r="D11" s="354"/>
      <c r="E11" s="354"/>
      <c r="F11" s="797"/>
      <c r="G11" s="355">
        <v>25</v>
      </c>
      <c r="H11" s="797"/>
      <c r="I11" s="355">
        <v>275</v>
      </c>
      <c r="J11" s="797"/>
      <c r="K11" s="355">
        <v>200</v>
      </c>
      <c r="L11" s="357"/>
      <c r="M11" s="813">
        <f t="shared" si="0"/>
        <v>100</v>
      </c>
      <c r="N11" s="312"/>
      <c r="O11" s="309"/>
      <c r="P11" s="309"/>
      <c r="Q11" s="309"/>
      <c r="R11" s="309"/>
      <c r="S11" s="309"/>
      <c r="T11" s="309"/>
      <c r="U11" s="309"/>
      <c r="V11" s="309"/>
    </row>
    <row r="12" spans="2:22" ht="21" customHeight="1">
      <c r="B12" s="354" t="s">
        <v>3663</v>
      </c>
      <c r="C12" s="354"/>
      <c r="D12" s="354"/>
      <c r="E12" s="354"/>
      <c r="F12" s="797"/>
      <c r="G12" s="355">
        <v>30761.72</v>
      </c>
      <c r="H12" s="797"/>
      <c r="I12" s="355">
        <v>3500</v>
      </c>
      <c r="J12" s="797"/>
      <c r="K12" s="355">
        <v>6453.93</v>
      </c>
      <c r="L12" s="357"/>
      <c r="M12" s="813">
        <f t="shared" si="0"/>
        <v>27807.79</v>
      </c>
      <c r="N12" s="312"/>
      <c r="O12" s="309"/>
      <c r="P12" s="309"/>
      <c r="Q12" s="309"/>
      <c r="R12" s="309"/>
      <c r="S12" s="309"/>
      <c r="T12" s="309"/>
      <c r="U12" s="309"/>
      <c r="V12" s="309"/>
    </row>
    <row r="13" spans="2:22" ht="21" customHeight="1">
      <c r="B13" s="354" t="s">
        <v>3664</v>
      </c>
      <c r="C13" s="354"/>
      <c r="D13" s="354"/>
      <c r="E13" s="354"/>
      <c r="F13" s="797"/>
      <c r="G13" s="355">
        <v>22118.68</v>
      </c>
      <c r="H13" s="797"/>
      <c r="I13" s="634">
        <v>87.85</v>
      </c>
      <c r="J13" s="797"/>
      <c r="K13" s="355">
        <v>210.76</v>
      </c>
      <c r="L13" s="357"/>
      <c r="M13" s="813">
        <f t="shared" si="0"/>
        <v>21995.77</v>
      </c>
      <c r="N13" s="312"/>
      <c r="O13" s="356"/>
      <c r="P13" s="309"/>
      <c r="Q13" s="309"/>
      <c r="R13" s="309"/>
      <c r="S13" s="309"/>
      <c r="T13" s="309"/>
      <c r="U13" s="309"/>
      <c r="V13" s="309"/>
    </row>
    <row r="14" spans="2:22" ht="21" customHeight="1">
      <c r="B14" s="635" t="s">
        <v>3665</v>
      </c>
      <c r="C14" s="354"/>
      <c r="D14" s="354"/>
      <c r="E14" s="354"/>
      <c r="F14" s="797"/>
      <c r="G14" s="355">
        <v>110</v>
      </c>
      <c r="H14" s="797"/>
      <c r="I14" s="355">
        <v>0</v>
      </c>
      <c r="J14" s="797"/>
      <c r="K14" s="355">
        <v>0</v>
      </c>
      <c r="L14" s="357"/>
      <c r="M14" s="813">
        <f t="shared" si="0"/>
        <v>110</v>
      </c>
      <c r="N14" s="312"/>
      <c r="O14" s="309"/>
      <c r="P14" s="309"/>
      <c r="Q14" s="309"/>
      <c r="R14" s="309"/>
      <c r="S14" s="309"/>
      <c r="T14" s="309"/>
      <c r="U14" s="309"/>
      <c r="V14" s="309"/>
    </row>
    <row r="15" spans="2:22" ht="21" customHeight="1">
      <c r="B15" s="354" t="s">
        <v>3666</v>
      </c>
      <c r="C15" s="354"/>
      <c r="D15" s="354"/>
      <c r="E15" s="354"/>
      <c r="F15" s="797"/>
      <c r="G15" s="355">
        <v>20867</v>
      </c>
      <c r="H15" s="797"/>
      <c r="I15" s="355">
        <v>82.61</v>
      </c>
      <c r="J15" s="797"/>
      <c r="K15" s="355">
        <v>0</v>
      </c>
      <c r="L15" s="357"/>
      <c r="M15" s="813">
        <f t="shared" si="0"/>
        <v>20949.61</v>
      </c>
      <c r="N15" s="312"/>
      <c r="O15" s="309"/>
      <c r="P15" s="309"/>
      <c r="Q15" s="309"/>
      <c r="R15" s="309"/>
      <c r="S15" s="309"/>
      <c r="T15" s="309"/>
      <c r="U15" s="309"/>
      <c r="V15" s="309"/>
    </row>
    <row r="16" spans="2:22" ht="21" customHeight="1">
      <c r="B16" s="354" t="s">
        <v>3667</v>
      </c>
      <c r="C16" s="354"/>
      <c r="D16" s="354"/>
      <c r="E16" s="354"/>
      <c r="F16" s="797"/>
      <c r="G16" s="355">
        <v>0</v>
      </c>
      <c r="H16" s="797"/>
      <c r="I16" s="355">
        <v>0</v>
      </c>
      <c r="J16" s="797"/>
      <c r="K16" s="355">
        <v>0</v>
      </c>
      <c r="L16" s="357"/>
      <c r="M16" s="813">
        <f t="shared" ref="M16:M47" si="1">+G16+I16-K16</f>
        <v>0</v>
      </c>
      <c r="N16" s="312"/>
      <c r="O16" s="309"/>
      <c r="P16" s="309"/>
      <c r="Q16" s="309"/>
      <c r="R16" s="309"/>
      <c r="S16" s="309"/>
      <c r="T16" s="309"/>
      <c r="U16" s="309"/>
      <c r="V16" s="309"/>
    </row>
    <row r="17" spans="2:22" ht="21" customHeight="1">
      <c r="B17" s="354" t="s">
        <v>3668</v>
      </c>
      <c r="C17" s="354"/>
      <c r="D17" s="354"/>
      <c r="E17" s="354"/>
      <c r="F17" s="797"/>
      <c r="G17" s="355">
        <v>44.8</v>
      </c>
      <c r="H17" s="797"/>
      <c r="I17" s="355">
        <v>0</v>
      </c>
      <c r="J17" s="797"/>
      <c r="K17" s="355">
        <v>0</v>
      </c>
      <c r="L17" s="357"/>
      <c r="M17" s="813">
        <f t="shared" si="1"/>
        <v>44.8</v>
      </c>
      <c r="N17" s="312"/>
      <c r="O17" s="309"/>
      <c r="P17" s="309"/>
      <c r="Q17" s="309"/>
      <c r="R17" s="309"/>
      <c r="S17" s="309"/>
      <c r="T17" s="309"/>
      <c r="U17" s="309"/>
      <c r="V17" s="309"/>
    </row>
    <row r="18" spans="2:22" ht="21" customHeight="1">
      <c r="B18" s="354" t="s">
        <v>3669</v>
      </c>
      <c r="C18" s="354"/>
      <c r="D18" s="354"/>
      <c r="E18" s="354"/>
      <c r="F18" s="797"/>
      <c r="G18" s="355">
        <v>349497.48</v>
      </c>
      <c r="H18" s="797"/>
      <c r="I18" s="355">
        <v>0</v>
      </c>
      <c r="J18" s="797"/>
      <c r="K18" s="355">
        <v>0</v>
      </c>
      <c r="L18" s="357"/>
      <c r="M18" s="813">
        <f t="shared" si="1"/>
        <v>349497.48</v>
      </c>
      <c r="N18" s="312"/>
      <c r="O18" s="309"/>
      <c r="P18" s="309"/>
      <c r="Q18" s="309"/>
      <c r="R18" s="309"/>
      <c r="S18" s="309"/>
      <c r="T18" s="309"/>
      <c r="U18" s="309"/>
      <c r="V18" s="309"/>
    </row>
    <row r="19" spans="2:22" ht="21" customHeight="1">
      <c r="B19" s="538"/>
      <c r="C19" s="354"/>
      <c r="D19" s="354"/>
      <c r="E19" s="354"/>
      <c r="F19" s="797"/>
      <c r="G19" s="355"/>
      <c r="H19" s="797"/>
      <c r="I19" s="355"/>
      <c r="J19" s="797"/>
      <c r="K19" s="355"/>
      <c r="L19" s="357"/>
      <c r="M19" s="813">
        <f t="shared" si="1"/>
        <v>0</v>
      </c>
      <c r="N19" s="218"/>
      <c r="O19" s="309"/>
      <c r="P19" s="309"/>
      <c r="Q19" s="309"/>
      <c r="R19" s="309"/>
      <c r="S19" s="309"/>
      <c r="T19" s="309"/>
      <c r="U19" s="309"/>
      <c r="V19" s="309"/>
    </row>
    <row r="20" spans="2:22" ht="21" customHeight="1">
      <c r="B20" s="635"/>
      <c r="C20" s="354"/>
      <c r="D20" s="354"/>
      <c r="E20" s="354"/>
      <c r="F20" s="797"/>
      <c r="G20" s="355"/>
      <c r="H20" s="797"/>
      <c r="I20" s="355"/>
      <c r="J20" s="797"/>
      <c r="K20" s="355"/>
      <c r="L20" s="357"/>
      <c r="M20" s="813">
        <f t="shared" si="1"/>
        <v>0</v>
      </c>
      <c r="N20" s="312"/>
      <c r="O20" s="309"/>
      <c r="P20" s="309"/>
      <c r="Q20" s="309"/>
      <c r="R20" s="309"/>
      <c r="S20" s="309"/>
      <c r="T20" s="309"/>
      <c r="U20" s="309"/>
      <c r="V20" s="309"/>
    </row>
    <row r="21" spans="2:22" ht="21" customHeight="1">
      <c r="B21" s="635"/>
      <c r="C21" s="354"/>
      <c r="D21" s="354"/>
      <c r="E21" s="354"/>
      <c r="F21" s="797"/>
      <c r="G21" s="355"/>
      <c r="H21" s="797"/>
      <c r="I21" s="355"/>
      <c r="J21" s="797"/>
      <c r="K21" s="355"/>
      <c r="L21" s="357"/>
      <c r="M21" s="813">
        <f t="shared" si="1"/>
        <v>0</v>
      </c>
      <c r="N21" s="312"/>
      <c r="O21" s="309"/>
      <c r="P21" s="309"/>
      <c r="Q21" s="309"/>
      <c r="R21" s="309"/>
      <c r="S21" s="309"/>
      <c r="T21" s="309"/>
      <c r="U21" s="309"/>
      <c r="V21" s="309"/>
    </row>
    <row r="22" spans="2:22" ht="21" customHeight="1">
      <c r="B22" s="635"/>
      <c r="C22" s="354"/>
      <c r="D22" s="354"/>
      <c r="E22" s="354"/>
      <c r="F22" s="797"/>
      <c r="G22" s="355"/>
      <c r="H22" s="797"/>
      <c r="I22" s="355"/>
      <c r="J22" s="797"/>
      <c r="K22" s="355"/>
      <c r="L22" s="357"/>
      <c r="M22" s="813">
        <f t="shared" si="1"/>
        <v>0</v>
      </c>
      <c r="N22" s="312"/>
      <c r="O22" s="309"/>
      <c r="P22" s="309"/>
      <c r="Q22" s="309"/>
      <c r="R22" s="309"/>
      <c r="S22" s="309"/>
      <c r="T22" s="309"/>
      <c r="U22" s="309"/>
      <c r="V22" s="309"/>
    </row>
    <row r="23" spans="2:22" ht="21" customHeight="1">
      <c r="B23" s="635"/>
      <c r="C23" s="354"/>
      <c r="D23" s="354"/>
      <c r="E23" s="354"/>
      <c r="F23" s="797"/>
      <c r="G23" s="355"/>
      <c r="H23" s="797"/>
      <c r="I23" s="355"/>
      <c r="J23" s="797"/>
      <c r="K23" s="355"/>
      <c r="L23" s="357"/>
      <c r="M23" s="813">
        <f t="shared" si="1"/>
        <v>0</v>
      </c>
      <c r="N23" s="312"/>
      <c r="O23" s="309"/>
      <c r="P23" s="309"/>
      <c r="Q23" s="309"/>
      <c r="R23" s="309"/>
      <c r="S23" s="309"/>
      <c r="T23" s="309"/>
      <c r="U23" s="309"/>
      <c r="V23" s="309"/>
    </row>
    <row r="24" spans="2:22" ht="21" customHeight="1">
      <c r="B24" s="635"/>
      <c r="C24" s="354"/>
      <c r="D24" s="354"/>
      <c r="E24" s="354"/>
      <c r="F24" s="797"/>
      <c r="G24" s="355"/>
      <c r="H24" s="797"/>
      <c r="I24" s="355"/>
      <c r="J24" s="797"/>
      <c r="K24" s="355"/>
      <c r="L24" s="357"/>
      <c r="M24" s="813">
        <f t="shared" si="1"/>
        <v>0</v>
      </c>
      <c r="N24" s="312"/>
      <c r="O24" s="309"/>
      <c r="P24" s="309"/>
      <c r="Q24" s="309"/>
      <c r="R24" s="309"/>
      <c r="S24" s="309"/>
      <c r="T24" s="309"/>
      <c r="U24" s="309"/>
      <c r="V24" s="309"/>
    </row>
    <row r="25" spans="2:22" ht="21" customHeight="1">
      <c r="B25" s="354"/>
      <c r="C25" s="354"/>
      <c r="D25" s="354"/>
      <c r="E25" s="354"/>
      <c r="F25" s="797"/>
      <c r="G25" s="355"/>
      <c r="H25" s="797"/>
      <c r="I25" s="355"/>
      <c r="J25" s="797"/>
      <c r="K25" s="355"/>
      <c r="L25" s="357"/>
      <c r="M25" s="813">
        <f t="shared" si="1"/>
        <v>0</v>
      </c>
      <c r="N25" s="312"/>
      <c r="O25" s="309"/>
      <c r="P25" s="309"/>
      <c r="Q25" s="309"/>
      <c r="R25" s="309"/>
      <c r="S25" s="309"/>
      <c r="T25" s="309"/>
      <c r="U25" s="309"/>
      <c r="V25" s="309"/>
    </row>
    <row r="26" spans="2:22" ht="21" customHeight="1">
      <c r="B26" s="354"/>
      <c r="C26" s="354"/>
      <c r="D26" s="354"/>
      <c r="E26" s="354"/>
      <c r="F26" s="797"/>
      <c r="G26" s="355"/>
      <c r="H26" s="797"/>
      <c r="I26" s="355"/>
      <c r="J26" s="797"/>
      <c r="K26" s="355"/>
      <c r="L26" s="357"/>
      <c r="M26" s="813">
        <f t="shared" si="1"/>
        <v>0</v>
      </c>
      <c r="O26" s="309"/>
      <c r="P26" s="309"/>
      <c r="Q26" s="309"/>
      <c r="R26" s="309"/>
      <c r="S26" s="309"/>
      <c r="T26" s="309"/>
      <c r="U26" s="309"/>
      <c r="V26" s="309"/>
    </row>
    <row r="27" spans="2:22" ht="21" customHeight="1">
      <c r="B27" s="354"/>
      <c r="C27" s="354"/>
      <c r="D27" s="354"/>
      <c r="E27" s="354"/>
      <c r="F27" s="797"/>
      <c r="G27" s="355"/>
      <c r="H27" s="797"/>
      <c r="I27" s="355"/>
      <c r="J27" s="797"/>
      <c r="K27" s="355"/>
      <c r="L27" s="357"/>
      <c r="M27" s="813">
        <f t="shared" si="1"/>
        <v>0</v>
      </c>
      <c r="O27" s="309"/>
      <c r="P27" s="309"/>
      <c r="Q27" s="309"/>
      <c r="R27" s="309"/>
      <c r="S27" s="309"/>
      <c r="T27" s="309"/>
      <c r="U27" s="309"/>
      <c r="V27" s="309"/>
    </row>
    <row r="28" spans="2:22" ht="21" customHeight="1">
      <c r="B28" s="354"/>
      <c r="C28" s="354"/>
      <c r="D28" s="354"/>
      <c r="E28" s="354"/>
      <c r="F28" s="797"/>
      <c r="G28" s="355"/>
      <c r="H28" s="797"/>
      <c r="I28" s="355"/>
      <c r="J28" s="797"/>
      <c r="K28" s="355"/>
      <c r="L28" s="357"/>
      <c r="M28" s="813">
        <f t="shared" si="1"/>
        <v>0</v>
      </c>
      <c r="O28" s="309"/>
      <c r="P28" s="309"/>
      <c r="Q28" s="309"/>
      <c r="R28" s="309"/>
      <c r="S28" s="309"/>
      <c r="T28" s="309"/>
      <c r="U28" s="309"/>
      <c r="V28" s="309"/>
    </row>
    <row r="29" spans="2:22" ht="21" customHeight="1">
      <c r="B29" s="354"/>
      <c r="C29" s="354"/>
      <c r="D29" s="354"/>
      <c r="E29" s="354"/>
      <c r="F29" s="797"/>
      <c r="G29" s="355"/>
      <c r="H29" s="797"/>
      <c r="I29" s="355"/>
      <c r="J29" s="797"/>
      <c r="K29" s="355"/>
      <c r="L29" s="357"/>
      <c r="M29" s="813">
        <f t="shared" si="1"/>
        <v>0</v>
      </c>
      <c r="O29" s="309"/>
      <c r="P29" s="309"/>
      <c r="Q29" s="309"/>
      <c r="R29" s="309"/>
      <c r="S29" s="309"/>
      <c r="T29" s="309"/>
      <c r="U29" s="309"/>
      <c r="V29" s="309"/>
    </row>
    <row r="30" spans="2:22" ht="21" customHeight="1">
      <c r="B30" s="354"/>
      <c r="C30" s="354"/>
      <c r="D30" s="354"/>
      <c r="E30" s="354"/>
      <c r="F30" s="797"/>
      <c r="G30" s="355"/>
      <c r="H30" s="797"/>
      <c r="I30" s="355"/>
      <c r="J30" s="797"/>
      <c r="K30" s="355"/>
      <c r="L30" s="357"/>
      <c r="M30" s="813">
        <f t="shared" si="1"/>
        <v>0</v>
      </c>
      <c r="O30" s="309"/>
      <c r="P30" s="309"/>
      <c r="Q30" s="309"/>
      <c r="R30" s="309"/>
      <c r="S30" s="309"/>
      <c r="T30" s="309"/>
      <c r="U30" s="309"/>
      <c r="V30" s="309"/>
    </row>
    <row r="31" spans="2:22" ht="21" customHeight="1">
      <c r="B31" s="354"/>
      <c r="C31" s="354"/>
      <c r="D31" s="354"/>
      <c r="E31" s="354"/>
      <c r="F31" s="797"/>
      <c r="G31" s="355"/>
      <c r="H31" s="797"/>
      <c r="I31" s="355"/>
      <c r="J31" s="797"/>
      <c r="K31" s="355"/>
      <c r="L31" s="357"/>
      <c r="M31" s="813">
        <f t="shared" si="1"/>
        <v>0</v>
      </c>
      <c r="O31" s="309"/>
      <c r="P31" s="309"/>
      <c r="Q31" s="309"/>
      <c r="R31" s="309"/>
      <c r="S31" s="309"/>
      <c r="T31" s="309"/>
      <c r="U31" s="309"/>
      <c r="V31" s="309"/>
    </row>
    <row r="32" spans="2:22" ht="21" customHeight="1">
      <c r="B32" s="354"/>
      <c r="C32" s="354"/>
      <c r="D32" s="354"/>
      <c r="E32" s="354"/>
      <c r="F32" s="797"/>
      <c r="G32" s="355"/>
      <c r="H32" s="797"/>
      <c r="I32" s="355"/>
      <c r="J32" s="797"/>
      <c r="K32" s="355"/>
      <c r="L32" s="357"/>
      <c r="M32" s="813">
        <f t="shared" si="1"/>
        <v>0</v>
      </c>
      <c r="O32" s="309"/>
      <c r="P32" s="309"/>
      <c r="Q32" s="309"/>
      <c r="R32" s="309"/>
      <c r="S32" s="309"/>
      <c r="T32" s="309"/>
      <c r="U32" s="309"/>
      <c r="V32" s="309"/>
    </row>
    <row r="33" spans="2:22" ht="21" customHeight="1">
      <c r="B33" s="354"/>
      <c r="C33" s="354"/>
      <c r="D33" s="354"/>
      <c r="E33" s="354"/>
      <c r="F33" s="797"/>
      <c r="G33" s="355"/>
      <c r="H33" s="797"/>
      <c r="I33" s="355"/>
      <c r="J33" s="797"/>
      <c r="K33" s="355"/>
      <c r="L33" s="357"/>
      <c r="M33" s="813">
        <f t="shared" si="1"/>
        <v>0</v>
      </c>
      <c r="O33" s="309"/>
      <c r="P33" s="309"/>
      <c r="Q33" s="309"/>
      <c r="R33" s="309"/>
      <c r="S33" s="309"/>
      <c r="T33" s="309"/>
      <c r="U33" s="309"/>
      <c r="V33" s="309"/>
    </row>
    <row r="34" spans="2:22" ht="21" customHeight="1">
      <c r="B34" s="354"/>
      <c r="C34" s="354"/>
      <c r="D34" s="354"/>
      <c r="E34" s="354"/>
      <c r="F34" s="797"/>
      <c r="G34" s="355"/>
      <c r="H34" s="797"/>
      <c r="I34" s="355"/>
      <c r="J34" s="797"/>
      <c r="K34" s="355"/>
      <c r="L34" s="357"/>
      <c r="M34" s="813">
        <f t="shared" si="1"/>
        <v>0</v>
      </c>
      <c r="O34" s="309"/>
      <c r="P34" s="309"/>
      <c r="Q34" s="309"/>
      <c r="R34" s="309"/>
      <c r="S34" s="309"/>
      <c r="T34" s="309"/>
      <c r="U34" s="309"/>
      <c r="V34" s="309"/>
    </row>
    <row r="35" spans="2:22" ht="21" customHeight="1">
      <c r="B35" s="354"/>
      <c r="C35" s="354"/>
      <c r="D35" s="354"/>
      <c r="E35" s="354"/>
      <c r="F35" s="797"/>
      <c r="G35" s="355"/>
      <c r="H35" s="797"/>
      <c r="I35" s="355"/>
      <c r="J35" s="797"/>
      <c r="K35" s="355"/>
      <c r="L35" s="357"/>
      <c r="M35" s="813">
        <f t="shared" si="1"/>
        <v>0</v>
      </c>
    </row>
    <row r="36" spans="2:22" ht="21" customHeight="1">
      <c r="B36" s="354"/>
      <c r="C36" s="354"/>
      <c r="D36" s="354"/>
      <c r="E36" s="354"/>
      <c r="F36" s="797"/>
      <c r="G36" s="355"/>
      <c r="H36" s="797"/>
      <c r="I36" s="355"/>
      <c r="J36" s="797"/>
      <c r="K36" s="355"/>
      <c r="L36" s="357"/>
      <c r="M36" s="813">
        <f t="shared" si="1"/>
        <v>0</v>
      </c>
    </row>
    <row r="37" spans="2:22" s="309" customFormat="1" ht="21" customHeight="1">
      <c r="B37" s="354"/>
      <c r="C37" s="354"/>
      <c r="D37" s="354"/>
      <c r="E37" s="354"/>
      <c r="F37" s="797"/>
      <c r="G37" s="355"/>
      <c r="H37" s="797"/>
      <c r="I37" s="355"/>
      <c r="J37" s="797"/>
      <c r="K37" s="355"/>
      <c r="L37" s="357"/>
      <c r="M37" s="813">
        <f t="shared" si="1"/>
        <v>0</v>
      </c>
    </row>
    <row r="38" spans="2:22" s="309" customFormat="1" ht="21" customHeight="1">
      <c r="B38" s="354"/>
      <c r="C38" s="354"/>
      <c r="D38" s="354"/>
      <c r="E38" s="354"/>
      <c r="F38" s="797"/>
      <c r="G38" s="355"/>
      <c r="H38" s="797"/>
      <c r="I38" s="355"/>
      <c r="J38" s="797"/>
      <c r="K38" s="355"/>
      <c r="L38" s="357"/>
      <c r="M38" s="813">
        <f t="shared" si="1"/>
        <v>0</v>
      </c>
    </row>
    <row r="39" spans="2:22" s="309" customFormat="1" ht="21" customHeight="1">
      <c r="B39" s="354"/>
      <c r="C39" s="354"/>
      <c r="D39" s="354"/>
      <c r="E39" s="354"/>
      <c r="F39" s="797"/>
      <c r="G39" s="355"/>
      <c r="H39" s="797"/>
      <c r="I39" s="355"/>
      <c r="J39" s="797"/>
      <c r="K39" s="355"/>
      <c r="L39" s="357"/>
      <c r="M39" s="813">
        <f t="shared" si="1"/>
        <v>0</v>
      </c>
    </row>
    <row r="40" spans="2:22" s="309" customFormat="1" ht="21" customHeight="1">
      <c r="B40" s="354"/>
      <c r="C40" s="354"/>
      <c r="D40" s="354"/>
      <c r="E40" s="354"/>
      <c r="F40" s="797"/>
      <c r="G40" s="355"/>
      <c r="H40" s="797"/>
      <c r="I40" s="355"/>
      <c r="J40" s="797"/>
      <c r="K40" s="355"/>
      <c r="L40" s="357"/>
      <c r="M40" s="813">
        <f t="shared" si="1"/>
        <v>0</v>
      </c>
    </row>
    <row r="41" spans="2:22" s="309" customFormat="1" ht="21" customHeight="1">
      <c r="B41" s="354"/>
      <c r="C41" s="354"/>
      <c r="D41" s="354"/>
      <c r="E41" s="354"/>
      <c r="F41" s="797"/>
      <c r="G41" s="355"/>
      <c r="H41" s="797"/>
      <c r="I41" s="355"/>
      <c r="J41" s="797"/>
      <c r="K41" s="355"/>
      <c r="L41" s="357"/>
      <c r="M41" s="813">
        <f t="shared" si="1"/>
        <v>0</v>
      </c>
    </row>
    <row r="42" spans="2:22" s="309" customFormat="1" ht="21" customHeight="1">
      <c r="B42" s="354"/>
      <c r="C42" s="354"/>
      <c r="D42" s="354"/>
      <c r="E42" s="354"/>
      <c r="F42" s="797"/>
      <c r="G42" s="355"/>
      <c r="H42" s="797"/>
      <c r="I42" s="355"/>
      <c r="J42" s="797"/>
      <c r="K42" s="355"/>
      <c r="L42" s="357"/>
      <c r="M42" s="813">
        <f t="shared" si="1"/>
        <v>0</v>
      </c>
    </row>
    <row r="43" spans="2:22" s="309" customFormat="1" ht="21" customHeight="1">
      <c r="B43" s="354"/>
      <c r="C43" s="354"/>
      <c r="D43" s="354"/>
      <c r="E43" s="354"/>
      <c r="F43" s="797"/>
      <c r="G43" s="355"/>
      <c r="H43" s="797"/>
      <c r="I43" s="355"/>
      <c r="J43" s="797"/>
      <c r="K43" s="355"/>
      <c r="L43" s="357"/>
      <c r="M43" s="813">
        <f t="shared" si="1"/>
        <v>0</v>
      </c>
    </row>
    <row r="44" spans="2:22" s="309" customFormat="1" ht="21" customHeight="1">
      <c r="B44" s="354"/>
      <c r="C44" s="354"/>
      <c r="D44" s="354"/>
      <c r="E44" s="354"/>
      <c r="F44" s="797"/>
      <c r="G44" s="355"/>
      <c r="H44" s="797"/>
      <c r="I44" s="355"/>
      <c r="J44" s="797"/>
      <c r="K44" s="355"/>
      <c r="L44" s="357"/>
      <c r="M44" s="813">
        <f t="shared" si="1"/>
        <v>0</v>
      </c>
    </row>
    <row r="45" spans="2:22" ht="21" customHeight="1">
      <c r="B45" s="354"/>
      <c r="C45" s="354"/>
      <c r="D45" s="354"/>
      <c r="E45" s="354"/>
      <c r="F45" s="797"/>
      <c r="G45" s="355"/>
      <c r="H45" s="797"/>
      <c r="I45" s="355"/>
      <c r="J45" s="797"/>
      <c r="K45" s="355"/>
      <c r="L45" s="357"/>
      <c r="M45" s="813">
        <f t="shared" si="1"/>
        <v>0</v>
      </c>
    </row>
    <row r="46" spans="2:22" ht="21" customHeight="1">
      <c r="B46" s="354"/>
      <c r="C46" s="354"/>
      <c r="D46" s="354"/>
      <c r="E46" s="354"/>
      <c r="F46" s="797"/>
      <c r="G46" s="355"/>
      <c r="H46" s="797"/>
      <c r="I46" s="355"/>
      <c r="J46" s="797"/>
      <c r="K46" s="355"/>
      <c r="L46" s="357"/>
      <c r="M46" s="813">
        <f t="shared" si="1"/>
        <v>0</v>
      </c>
    </row>
    <row r="47" spans="2:22" ht="21" customHeight="1">
      <c r="B47" s="635"/>
      <c r="C47" s="354"/>
      <c r="D47" s="354"/>
      <c r="E47" s="354"/>
      <c r="F47" s="797"/>
      <c r="G47" s="355"/>
      <c r="H47" s="797"/>
      <c r="I47" s="355"/>
      <c r="J47" s="797"/>
      <c r="K47" s="355"/>
      <c r="L47" s="357"/>
      <c r="M47" s="813">
        <f t="shared" si="1"/>
        <v>0</v>
      </c>
    </row>
    <row r="48" spans="2:22" ht="21" customHeight="1">
      <c r="B48" s="274"/>
      <c r="C48" s="274"/>
      <c r="D48" s="147" t="s">
        <v>3258</v>
      </c>
      <c r="E48" s="274"/>
      <c r="F48" s="309" t="s">
        <v>373</v>
      </c>
      <c r="G48" s="156">
        <f>SUM(G10:G47)</f>
        <v>436052.89</v>
      </c>
      <c r="H48" s="309" t="s">
        <v>373</v>
      </c>
      <c r="I48" s="156">
        <f>SUM(I10:I47)</f>
        <v>601838.32999999996</v>
      </c>
      <c r="J48" s="309" t="s">
        <v>373</v>
      </c>
      <c r="K48" s="156">
        <f>SUM(K10:K47)</f>
        <v>603440.96000000008</v>
      </c>
      <c r="L48" s="309" t="s">
        <v>373</v>
      </c>
      <c r="M48" s="813">
        <f>SUM(M10:M47)</f>
        <v>434450.25999999989</v>
      </c>
    </row>
    <row r="50" spans="2:13" ht="13.8">
      <c r="B50" s="1618" t="s">
        <v>428</v>
      </c>
      <c r="C50" s="1618"/>
      <c r="D50" s="1618"/>
      <c r="E50" s="1618"/>
      <c r="F50" s="1618"/>
      <c r="G50" s="1618"/>
      <c r="H50" s="1618"/>
      <c r="I50" s="1618"/>
      <c r="J50" s="1618"/>
      <c r="K50" s="1618"/>
      <c r="L50" s="1618"/>
      <c r="M50" s="1618"/>
    </row>
    <row r="52" spans="2:13">
      <c r="G52" s="218"/>
      <c r="M52" s="218"/>
    </row>
  </sheetData>
  <sheetProtection algorithmName="SHA-512" hashValue="2oH26s9PNeYifG/93wozLoOelaYsXGIEcmGRev7dWypMQsUEu+HHY3sdhTUSxAXQ1oBYe7R6jb3MpBbm7PjsJw==" saltValue="loSXtmkRO7OkcTIFkyQGNQ==" spinCount="100000" sheet="1" scenarios="1"/>
  <mergeCells count="6">
    <mergeCell ref="B50:M50"/>
    <mergeCell ref="B5:D5"/>
    <mergeCell ref="B8:D8"/>
    <mergeCell ref="B2:M2"/>
    <mergeCell ref="B3:M3"/>
    <mergeCell ref="B6:D6"/>
  </mergeCells>
  <phoneticPr fontId="0" type="noConversion"/>
  <pageMargins left="0.25" right="0.25" top="0.5" bottom="0.5" header="0.25" footer="0.25"/>
  <pageSetup paperSize="5" scale="9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B2:O52"/>
  <sheetViews>
    <sheetView zoomScaleNormal="100" workbookViewId="0">
      <selection activeCell="I20" sqref="I20"/>
    </sheetView>
  </sheetViews>
  <sheetFormatPr defaultColWidth="9.109375" defaultRowHeight="13.2"/>
  <cols>
    <col min="1" max="3" width="4.6640625" style="309" customWidth="1"/>
    <col min="4" max="4" width="9.109375" style="309"/>
    <col min="5" max="5" width="11.88671875" style="309" customWidth="1"/>
    <col min="6" max="6" width="1.6640625" style="309" customWidth="1"/>
    <col min="7" max="7" width="14.6640625" style="309" customWidth="1"/>
    <col min="8" max="8" width="1.6640625" style="309" customWidth="1"/>
    <col min="9" max="9" width="14.6640625" style="309" customWidth="1"/>
    <col min="10" max="10" width="1.6640625" style="309" customWidth="1"/>
    <col min="11" max="11" width="14.6640625" style="309" customWidth="1"/>
    <col min="12" max="12" width="1.6640625" style="309" customWidth="1"/>
    <col min="13" max="13" width="14.6640625" style="309" customWidth="1"/>
    <col min="14" max="14" width="10.88671875" style="309" bestFit="1" customWidth="1"/>
    <col min="15" max="16384" width="9.109375" style="309"/>
  </cols>
  <sheetData>
    <row r="2" spans="2:15" ht="20.399999999999999">
      <c r="B2" s="1619" t="s">
        <v>3352</v>
      </c>
      <c r="C2" s="1619"/>
      <c r="D2" s="1619"/>
      <c r="E2" s="1619"/>
      <c r="F2" s="1619"/>
      <c r="G2" s="1619"/>
      <c r="H2" s="1619"/>
      <c r="I2" s="1619"/>
      <c r="J2" s="1619"/>
      <c r="K2" s="1619"/>
      <c r="L2" s="1619"/>
      <c r="M2" s="1619"/>
    </row>
    <row r="3" spans="2:15">
      <c r="B3" s="1644"/>
      <c r="C3" s="1644"/>
      <c r="D3" s="1644"/>
      <c r="E3" s="1644"/>
      <c r="F3" s="1644"/>
      <c r="G3" s="1644"/>
      <c r="H3" s="1644"/>
      <c r="I3" s="1644"/>
      <c r="J3" s="1644"/>
      <c r="K3" s="1644"/>
      <c r="L3" s="1644"/>
      <c r="M3" s="1644"/>
    </row>
    <row r="5" spans="2:15">
      <c r="B5" s="1687"/>
      <c r="C5" s="1687"/>
      <c r="D5" s="1687"/>
      <c r="G5" s="702" t="s">
        <v>414</v>
      </c>
      <c r="I5" s="704"/>
      <c r="K5" s="704"/>
    </row>
    <row r="6" spans="2:15">
      <c r="B6" s="1687"/>
      <c r="C6" s="1687"/>
      <c r="D6" s="1687"/>
      <c r="G6" s="284" t="str">
        <f>'6b-Trust Fund Reserves'!G6</f>
        <v>Dec. 31, 2020</v>
      </c>
      <c r="I6" s="702"/>
      <c r="K6" s="702"/>
      <c r="M6" s="702" t="s">
        <v>530</v>
      </c>
    </row>
    <row r="7" spans="2:15">
      <c r="G7" s="702" t="s">
        <v>433</v>
      </c>
      <c r="I7" s="702"/>
      <c r="K7" s="702"/>
      <c r="M7" s="702" t="s">
        <v>437</v>
      </c>
    </row>
    <row r="8" spans="2:15">
      <c r="B8" s="1687" t="s">
        <v>413</v>
      </c>
      <c r="C8" s="1687"/>
      <c r="D8" s="1687"/>
      <c r="G8" s="704" t="s">
        <v>432</v>
      </c>
      <c r="I8" s="704" t="s">
        <v>427</v>
      </c>
      <c r="K8" s="704" t="s">
        <v>536</v>
      </c>
      <c r="M8" s="281" t="str">
        <f>'6b-Trust Fund Reserves'!M8</f>
        <v>Dec. 31, 2021</v>
      </c>
    </row>
    <row r="9" spans="2:15">
      <c r="B9" s="704"/>
      <c r="C9" s="704"/>
      <c r="D9" s="704"/>
      <c r="G9" s="240"/>
      <c r="I9" s="704"/>
      <c r="K9" s="704"/>
      <c r="M9" s="129"/>
    </row>
    <row r="10" spans="2:15" ht="21" customHeight="1">
      <c r="B10" s="814" t="s">
        <v>3259</v>
      </c>
      <c r="C10" s="815"/>
      <c r="D10" s="815"/>
      <c r="E10" s="815"/>
      <c r="F10" s="797"/>
      <c r="G10" s="816">
        <f>+'6b-Trust Fund Reserves'!G48</f>
        <v>436052.89</v>
      </c>
      <c r="H10" s="797"/>
      <c r="I10" s="816">
        <f>+'6b-Trust Fund Reserves'!I48</f>
        <v>601838.32999999996</v>
      </c>
      <c r="J10" s="797"/>
      <c r="K10" s="816">
        <f>+'6b-Trust Fund Reserves'!K48</f>
        <v>603440.96000000008</v>
      </c>
      <c r="L10" s="797"/>
      <c r="M10" s="813">
        <f>+'6b-Trust Fund Reserves'!M48</f>
        <v>434450.25999999989</v>
      </c>
      <c r="N10" s="312"/>
    </row>
    <row r="11" spans="2:15" ht="21" customHeight="1">
      <c r="B11" s="354"/>
      <c r="C11" s="354"/>
      <c r="D11" s="354"/>
      <c r="E11" s="354"/>
      <c r="F11" s="797"/>
      <c r="G11" s="355"/>
      <c r="H11" s="797"/>
      <c r="I11" s="355"/>
      <c r="J11" s="797"/>
      <c r="K11" s="355"/>
      <c r="L11" s="357"/>
      <c r="M11" s="813">
        <f t="shared" ref="M11:M47" si="0">+G11+I11-K11</f>
        <v>0</v>
      </c>
      <c r="N11" s="312"/>
    </row>
    <row r="12" spans="2:15" ht="21" customHeight="1">
      <c r="B12" s="354"/>
      <c r="C12" s="354"/>
      <c r="D12" s="354"/>
      <c r="E12" s="354"/>
      <c r="F12" s="797"/>
      <c r="G12" s="355"/>
      <c r="H12" s="797"/>
      <c r="I12" s="355"/>
      <c r="J12" s="797"/>
      <c r="K12" s="355"/>
      <c r="L12" s="357"/>
      <c r="M12" s="813">
        <f t="shared" si="0"/>
        <v>0</v>
      </c>
      <c r="N12" s="312"/>
    </row>
    <row r="13" spans="2:15" ht="21" customHeight="1">
      <c r="B13" s="354"/>
      <c r="C13" s="354"/>
      <c r="D13" s="354"/>
      <c r="E13" s="354"/>
      <c r="F13" s="797"/>
      <c r="G13" s="355"/>
      <c r="H13" s="797"/>
      <c r="I13" s="634"/>
      <c r="J13" s="797"/>
      <c r="K13" s="355"/>
      <c r="L13" s="357"/>
      <c r="M13" s="813">
        <f t="shared" si="0"/>
        <v>0</v>
      </c>
      <c r="N13" s="312"/>
      <c r="O13" s="356"/>
    </row>
    <row r="14" spans="2:15" ht="21" customHeight="1">
      <c r="B14" s="635"/>
      <c r="C14" s="354"/>
      <c r="D14" s="354"/>
      <c r="E14" s="354"/>
      <c r="F14" s="797"/>
      <c r="G14" s="355"/>
      <c r="H14" s="797"/>
      <c r="I14" s="355"/>
      <c r="J14" s="797"/>
      <c r="K14" s="355"/>
      <c r="L14" s="357"/>
      <c r="M14" s="813">
        <f t="shared" si="0"/>
        <v>0</v>
      </c>
      <c r="N14" s="312"/>
    </row>
    <row r="15" spans="2:15" ht="21" customHeight="1">
      <c r="B15" s="354"/>
      <c r="C15" s="354"/>
      <c r="D15" s="354"/>
      <c r="E15" s="354"/>
      <c r="F15" s="797"/>
      <c r="G15" s="355"/>
      <c r="H15" s="797"/>
      <c r="I15" s="355"/>
      <c r="J15" s="797"/>
      <c r="K15" s="355"/>
      <c r="L15" s="357"/>
      <c r="M15" s="813">
        <f t="shared" si="0"/>
        <v>0</v>
      </c>
      <c r="N15" s="312"/>
    </row>
    <row r="16" spans="2:15" ht="21" customHeight="1">
      <c r="B16" s="354"/>
      <c r="C16" s="354"/>
      <c r="D16" s="354"/>
      <c r="E16" s="354"/>
      <c r="F16" s="797"/>
      <c r="G16" s="355"/>
      <c r="H16" s="797"/>
      <c r="I16" s="355"/>
      <c r="J16" s="797"/>
      <c r="K16" s="355"/>
      <c r="L16" s="357"/>
      <c r="M16" s="813">
        <f t="shared" si="0"/>
        <v>0</v>
      </c>
      <c r="N16" s="312"/>
    </row>
    <row r="17" spans="2:14" ht="21" customHeight="1">
      <c r="B17" s="354"/>
      <c r="C17" s="354"/>
      <c r="D17" s="354"/>
      <c r="E17" s="354"/>
      <c r="F17" s="797"/>
      <c r="G17" s="355"/>
      <c r="H17" s="797"/>
      <c r="I17" s="355"/>
      <c r="J17" s="797"/>
      <c r="K17" s="355"/>
      <c r="L17" s="357"/>
      <c r="M17" s="813">
        <f t="shared" si="0"/>
        <v>0</v>
      </c>
      <c r="N17" s="312"/>
    </row>
    <row r="18" spans="2:14" ht="21" customHeight="1">
      <c r="B18" s="354"/>
      <c r="C18" s="354"/>
      <c r="D18" s="354"/>
      <c r="E18" s="354"/>
      <c r="F18" s="797"/>
      <c r="G18" s="355"/>
      <c r="H18" s="797"/>
      <c r="I18" s="355"/>
      <c r="J18" s="797"/>
      <c r="K18" s="355"/>
      <c r="L18" s="357"/>
      <c r="M18" s="813">
        <f t="shared" si="0"/>
        <v>0</v>
      </c>
      <c r="N18" s="312"/>
    </row>
    <row r="19" spans="2:14" ht="21" customHeight="1">
      <c r="B19" s="635"/>
      <c r="C19" s="354"/>
      <c r="D19" s="354"/>
      <c r="E19" s="354"/>
      <c r="F19" s="797"/>
      <c r="G19" s="355"/>
      <c r="H19" s="797"/>
      <c r="I19" s="355"/>
      <c r="J19" s="797"/>
      <c r="K19" s="355"/>
      <c r="L19" s="357"/>
      <c r="M19" s="813">
        <f t="shared" si="0"/>
        <v>0</v>
      </c>
      <c r="N19" s="312"/>
    </row>
    <row r="20" spans="2:14" ht="21" customHeight="1">
      <c r="B20" s="635"/>
      <c r="C20" s="354"/>
      <c r="D20" s="354"/>
      <c r="E20" s="354"/>
      <c r="F20" s="797"/>
      <c r="G20" s="355"/>
      <c r="H20" s="797"/>
      <c r="I20" s="355"/>
      <c r="J20" s="797"/>
      <c r="K20" s="355"/>
      <c r="L20" s="357"/>
      <c r="M20" s="813">
        <f t="shared" si="0"/>
        <v>0</v>
      </c>
      <c r="N20" s="312"/>
    </row>
    <row r="21" spans="2:14" ht="21" customHeight="1">
      <c r="B21" s="635"/>
      <c r="C21" s="354"/>
      <c r="D21" s="354"/>
      <c r="E21" s="354"/>
      <c r="F21" s="797"/>
      <c r="G21" s="355"/>
      <c r="H21" s="797"/>
      <c r="I21" s="355"/>
      <c r="J21" s="797"/>
      <c r="K21" s="355"/>
      <c r="L21" s="357"/>
      <c r="M21" s="813">
        <f t="shared" si="0"/>
        <v>0</v>
      </c>
      <c r="N21" s="312"/>
    </row>
    <row r="22" spans="2:14" ht="21" customHeight="1">
      <c r="B22" s="635"/>
      <c r="C22" s="354"/>
      <c r="D22" s="354"/>
      <c r="E22" s="354"/>
      <c r="F22" s="797"/>
      <c r="G22" s="355"/>
      <c r="H22" s="797"/>
      <c r="I22" s="355"/>
      <c r="J22" s="797"/>
      <c r="K22" s="355"/>
      <c r="L22" s="357"/>
      <c r="M22" s="813">
        <f t="shared" si="0"/>
        <v>0</v>
      </c>
      <c r="N22" s="312"/>
    </row>
    <row r="23" spans="2:14" ht="21" customHeight="1">
      <c r="B23" s="635"/>
      <c r="C23" s="354"/>
      <c r="D23" s="354"/>
      <c r="E23" s="354"/>
      <c r="F23" s="797"/>
      <c r="G23" s="355"/>
      <c r="H23" s="797"/>
      <c r="I23" s="355"/>
      <c r="J23" s="797"/>
      <c r="K23" s="355"/>
      <c r="L23" s="357"/>
      <c r="M23" s="813">
        <f t="shared" si="0"/>
        <v>0</v>
      </c>
      <c r="N23" s="312"/>
    </row>
    <row r="24" spans="2:14" ht="21" customHeight="1">
      <c r="B24" s="635"/>
      <c r="C24" s="354"/>
      <c r="D24" s="354"/>
      <c r="E24" s="354"/>
      <c r="F24" s="797"/>
      <c r="G24" s="355"/>
      <c r="H24" s="797"/>
      <c r="I24" s="355"/>
      <c r="J24" s="797"/>
      <c r="K24" s="355"/>
      <c r="L24" s="357"/>
      <c r="M24" s="813">
        <f t="shared" si="0"/>
        <v>0</v>
      </c>
      <c r="N24" s="312"/>
    </row>
    <row r="25" spans="2:14" ht="21" customHeight="1">
      <c r="B25" s="354"/>
      <c r="C25" s="354"/>
      <c r="D25" s="354"/>
      <c r="E25" s="354"/>
      <c r="F25" s="797"/>
      <c r="G25" s="355"/>
      <c r="H25" s="797"/>
      <c r="I25" s="355"/>
      <c r="J25" s="797"/>
      <c r="K25" s="355"/>
      <c r="L25" s="357"/>
      <c r="M25" s="813">
        <f t="shared" si="0"/>
        <v>0</v>
      </c>
      <c r="N25" s="312"/>
    </row>
    <row r="26" spans="2:14" ht="21" customHeight="1">
      <c r="B26" s="354"/>
      <c r="C26" s="354"/>
      <c r="D26" s="354"/>
      <c r="E26" s="354"/>
      <c r="F26" s="797"/>
      <c r="G26" s="355"/>
      <c r="H26" s="797"/>
      <c r="I26" s="355"/>
      <c r="J26" s="797"/>
      <c r="K26" s="355"/>
      <c r="L26" s="357"/>
      <c r="M26" s="813">
        <f t="shared" si="0"/>
        <v>0</v>
      </c>
    </row>
    <row r="27" spans="2:14" ht="21" customHeight="1">
      <c r="B27" s="354"/>
      <c r="C27" s="354"/>
      <c r="D27" s="354"/>
      <c r="E27" s="354"/>
      <c r="F27" s="797"/>
      <c r="G27" s="355"/>
      <c r="H27" s="797"/>
      <c r="I27" s="355"/>
      <c r="J27" s="797"/>
      <c r="K27" s="355"/>
      <c r="L27" s="357"/>
      <c r="M27" s="813">
        <f t="shared" si="0"/>
        <v>0</v>
      </c>
    </row>
    <row r="28" spans="2:14" ht="21" customHeight="1">
      <c r="B28" s="354"/>
      <c r="C28" s="354"/>
      <c r="D28" s="354"/>
      <c r="E28" s="354"/>
      <c r="F28" s="797"/>
      <c r="G28" s="355"/>
      <c r="H28" s="797"/>
      <c r="I28" s="355"/>
      <c r="J28" s="797"/>
      <c r="K28" s="355"/>
      <c r="L28" s="357"/>
      <c r="M28" s="813">
        <f t="shared" si="0"/>
        <v>0</v>
      </c>
    </row>
    <row r="29" spans="2:14" ht="21" customHeight="1">
      <c r="B29" s="354"/>
      <c r="C29" s="354"/>
      <c r="D29" s="354"/>
      <c r="E29" s="354"/>
      <c r="F29" s="797"/>
      <c r="G29" s="355"/>
      <c r="H29" s="797"/>
      <c r="I29" s="355"/>
      <c r="J29" s="797"/>
      <c r="K29" s="355"/>
      <c r="L29" s="357"/>
      <c r="M29" s="813">
        <f t="shared" si="0"/>
        <v>0</v>
      </c>
    </row>
    <row r="30" spans="2:14" ht="21" customHeight="1">
      <c r="B30" s="354"/>
      <c r="C30" s="354"/>
      <c r="D30" s="354"/>
      <c r="E30" s="354"/>
      <c r="F30" s="797"/>
      <c r="G30" s="355"/>
      <c r="H30" s="797"/>
      <c r="I30" s="355"/>
      <c r="J30" s="797"/>
      <c r="K30" s="355"/>
      <c r="L30" s="357"/>
      <c r="M30" s="813">
        <f t="shared" si="0"/>
        <v>0</v>
      </c>
    </row>
    <row r="31" spans="2:14" ht="21" customHeight="1">
      <c r="B31" s="354"/>
      <c r="C31" s="354"/>
      <c r="D31" s="354"/>
      <c r="E31" s="354"/>
      <c r="F31" s="797"/>
      <c r="G31" s="355"/>
      <c r="H31" s="797"/>
      <c r="I31" s="355"/>
      <c r="J31" s="797"/>
      <c r="K31" s="355"/>
      <c r="L31" s="357"/>
      <c r="M31" s="813">
        <f t="shared" si="0"/>
        <v>0</v>
      </c>
    </row>
    <row r="32" spans="2:14" ht="21" customHeight="1">
      <c r="B32" s="354"/>
      <c r="C32" s="354"/>
      <c r="D32" s="354"/>
      <c r="E32" s="354"/>
      <c r="F32" s="797"/>
      <c r="G32" s="355"/>
      <c r="H32" s="797"/>
      <c r="I32" s="355"/>
      <c r="J32" s="797"/>
      <c r="K32" s="355"/>
      <c r="L32" s="357"/>
      <c r="M32" s="813">
        <f t="shared" si="0"/>
        <v>0</v>
      </c>
    </row>
    <row r="33" spans="2:13" ht="21" customHeight="1">
      <c r="B33" s="354"/>
      <c r="C33" s="354"/>
      <c r="D33" s="354"/>
      <c r="E33" s="354"/>
      <c r="F33" s="797"/>
      <c r="G33" s="355"/>
      <c r="H33" s="797"/>
      <c r="I33" s="355"/>
      <c r="J33" s="797"/>
      <c r="K33" s="355"/>
      <c r="L33" s="357"/>
      <c r="M33" s="813">
        <f t="shared" si="0"/>
        <v>0</v>
      </c>
    </row>
    <row r="34" spans="2:13" ht="21" customHeight="1">
      <c r="B34" s="354"/>
      <c r="C34" s="354"/>
      <c r="D34" s="354"/>
      <c r="E34" s="354"/>
      <c r="F34" s="797"/>
      <c r="G34" s="355"/>
      <c r="H34" s="797"/>
      <c r="I34" s="355"/>
      <c r="J34" s="797"/>
      <c r="K34" s="355"/>
      <c r="L34" s="357"/>
      <c r="M34" s="813">
        <f t="shared" si="0"/>
        <v>0</v>
      </c>
    </row>
    <row r="35" spans="2:13" ht="21" customHeight="1">
      <c r="B35" s="354"/>
      <c r="C35" s="354"/>
      <c r="D35" s="354"/>
      <c r="E35" s="354"/>
      <c r="F35" s="797"/>
      <c r="G35" s="355"/>
      <c r="H35" s="797"/>
      <c r="I35" s="355"/>
      <c r="J35" s="797"/>
      <c r="K35" s="355"/>
      <c r="L35" s="357"/>
      <c r="M35" s="813">
        <f t="shared" si="0"/>
        <v>0</v>
      </c>
    </row>
    <row r="36" spans="2:13" ht="21" customHeight="1">
      <c r="B36" s="354"/>
      <c r="C36" s="354"/>
      <c r="D36" s="354"/>
      <c r="E36" s="354"/>
      <c r="F36" s="797"/>
      <c r="G36" s="355"/>
      <c r="H36" s="797"/>
      <c r="I36" s="355"/>
      <c r="J36" s="797"/>
      <c r="K36" s="355"/>
      <c r="L36" s="357"/>
      <c r="M36" s="813">
        <f t="shared" si="0"/>
        <v>0</v>
      </c>
    </row>
    <row r="37" spans="2:13" ht="21" customHeight="1">
      <c r="B37" s="354"/>
      <c r="C37" s="354"/>
      <c r="D37" s="354"/>
      <c r="E37" s="354"/>
      <c r="F37" s="797"/>
      <c r="G37" s="355"/>
      <c r="H37" s="797"/>
      <c r="I37" s="355"/>
      <c r="J37" s="797"/>
      <c r="K37" s="355"/>
      <c r="L37" s="357"/>
      <c r="M37" s="813">
        <f t="shared" si="0"/>
        <v>0</v>
      </c>
    </row>
    <row r="38" spans="2:13" ht="21" customHeight="1">
      <c r="B38" s="354"/>
      <c r="C38" s="354"/>
      <c r="D38" s="354"/>
      <c r="E38" s="354"/>
      <c r="F38" s="797"/>
      <c r="G38" s="355"/>
      <c r="H38" s="797"/>
      <c r="I38" s="355"/>
      <c r="J38" s="797"/>
      <c r="K38" s="355"/>
      <c r="L38" s="357"/>
      <c r="M38" s="813">
        <f t="shared" si="0"/>
        <v>0</v>
      </c>
    </row>
    <row r="39" spans="2:13" ht="21" customHeight="1">
      <c r="B39" s="354"/>
      <c r="C39" s="354"/>
      <c r="D39" s="354"/>
      <c r="E39" s="354"/>
      <c r="F39" s="797"/>
      <c r="G39" s="355"/>
      <c r="H39" s="797"/>
      <c r="I39" s="355"/>
      <c r="J39" s="797"/>
      <c r="K39" s="355"/>
      <c r="L39" s="357"/>
      <c r="M39" s="813">
        <f t="shared" si="0"/>
        <v>0</v>
      </c>
    </row>
    <row r="40" spans="2:13" ht="21" customHeight="1">
      <c r="B40" s="354"/>
      <c r="C40" s="354"/>
      <c r="D40" s="354"/>
      <c r="E40" s="354"/>
      <c r="F40" s="797"/>
      <c r="G40" s="355"/>
      <c r="H40" s="797"/>
      <c r="I40" s="355"/>
      <c r="J40" s="797"/>
      <c r="K40" s="355"/>
      <c r="L40" s="357"/>
      <c r="M40" s="813">
        <f t="shared" si="0"/>
        <v>0</v>
      </c>
    </row>
    <row r="41" spans="2:13" ht="21" customHeight="1">
      <c r="B41" s="354"/>
      <c r="C41" s="354"/>
      <c r="D41" s="354"/>
      <c r="E41" s="354"/>
      <c r="F41" s="797"/>
      <c r="G41" s="355"/>
      <c r="H41" s="797"/>
      <c r="I41" s="355"/>
      <c r="J41" s="797"/>
      <c r="K41" s="355"/>
      <c r="L41" s="357"/>
      <c r="M41" s="813">
        <f t="shared" si="0"/>
        <v>0</v>
      </c>
    </row>
    <row r="42" spans="2:13" ht="21" customHeight="1">
      <c r="B42" s="354"/>
      <c r="C42" s="354"/>
      <c r="D42" s="354"/>
      <c r="E42" s="354"/>
      <c r="F42" s="797"/>
      <c r="G42" s="355"/>
      <c r="H42" s="797"/>
      <c r="I42" s="355"/>
      <c r="J42" s="797"/>
      <c r="K42" s="355"/>
      <c r="L42" s="357"/>
      <c r="M42" s="813">
        <f t="shared" si="0"/>
        <v>0</v>
      </c>
    </row>
    <row r="43" spans="2:13" ht="21" customHeight="1">
      <c r="B43" s="354"/>
      <c r="C43" s="354"/>
      <c r="D43" s="354"/>
      <c r="E43" s="354"/>
      <c r="F43" s="797"/>
      <c r="G43" s="355"/>
      <c r="H43" s="797"/>
      <c r="I43" s="355"/>
      <c r="J43" s="797"/>
      <c r="K43" s="355"/>
      <c r="L43" s="357"/>
      <c r="M43" s="813">
        <f t="shared" si="0"/>
        <v>0</v>
      </c>
    </row>
    <row r="44" spans="2:13" ht="21" customHeight="1">
      <c r="B44" s="354"/>
      <c r="C44" s="354"/>
      <c r="D44" s="354"/>
      <c r="E44" s="354"/>
      <c r="F44" s="797"/>
      <c r="G44" s="355"/>
      <c r="H44" s="797"/>
      <c r="I44" s="355"/>
      <c r="J44" s="797"/>
      <c r="K44" s="355"/>
      <c r="L44" s="357"/>
      <c r="M44" s="813">
        <f t="shared" si="0"/>
        <v>0</v>
      </c>
    </row>
    <row r="45" spans="2:13" ht="21" customHeight="1">
      <c r="B45" s="354"/>
      <c r="C45" s="354"/>
      <c r="D45" s="354"/>
      <c r="E45" s="354"/>
      <c r="F45" s="797"/>
      <c r="G45" s="355"/>
      <c r="H45" s="797"/>
      <c r="I45" s="355"/>
      <c r="J45" s="797"/>
      <c r="K45" s="355"/>
      <c r="L45" s="357"/>
      <c r="M45" s="813">
        <f t="shared" si="0"/>
        <v>0</v>
      </c>
    </row>
    <row r="46" spans="2:13" ht="21" customHeight="1">
      <c r="B46" s="354"/>
      <c r="C46" s="354"/>
      <c r="D46" s="354"/>
      <c r="E46" s="354"/>
      <c r="F46" s="797"/>
      <c r="G46" s="355"/>
      <c r="H46" s="797"/>
      <c r="I46" s="355"/>
      <c r="J46" s="797"/>
      <c r="K46" s="355"/>
      <c r="L46" s="357"/>
      <c r="M46" s="813">
        <f t="shared" si="0"/>
        <v>0</v>
      </c>
    </row>
    <row r="47" spans="2:13" ht="21" customHeight="1">
      <c r="B47" s="354"/>
      <c r="C47" s="354"/>
      <c r="D47" s="354"/>
      <c r="E47" s="354"/>
      <c r="F47" s="797"/>
      <c r="G47" s="355"/>
      <c r="H47" s="797"/>
      <c r="I47" s="355"/>
      <c r="J47" s="797"/>
      <c r="K47" s="355"/>
      <c r="L47" s="357"/>
      <c r="M47" s="813">
        <f t="shared" si="0"/>
        <v>0</v>
      </c>
    </row>
    <row r="48" spans="2:13" ht="21" customHeight="1">
      <c r="B48" s="274"/>
      <c r="C48" s="274"/>
      <c r="D48" s="147" t="s">
        <v>3258</v>
      </c>
      <c r="E48" s="274"/>
      <c r="F48" s="309" t="s">
        <v>373</v>
      </c>
      <c r="G48" s="156">
        <f>SUM(G10:G47)</f>
        <v>436052.89</v>
      </c>
      <c r="H48" s="309" t="s">
        <v>373</v>
      </c>
      <c r="I48" s="156">
        <f>SUM(I10:I47)</f>
        <v>601838.32999999996</v>
      </c>
      <c r="J48" s="309" t="s">
        <v>373</v>
      </c>
      <c r="K48" s="156">
        <f>SUM(K10:K47)</f>
        <v>603440.96000000008</v>
      </c>
      <c r="L48" s="309" t="s">
        <v>373</v>
      </c>
      <c r="M48" s="813">
        <f>SUM(M10:M47)</f>
        <v>434450.25999999989</v>
      </c>
    </row>
    <row r="50" spans="2:13" ht="13.8">
      <c r="B50" s="1688" t="s">
        <v>3256</v>
      </c>
      <c r="C50" s="1688"/>
      <c r="D50" s="1688"/>
      <c r="E50" s="1688"/>
      <c r="F50" s="1688"/>
      <c r="G50" s="1688"/>
      <c r="H50" s="1688"/>
      <c r="I50" s="1688"/>
      <c r="J50" s="1688"/>
      <c r="K50" s="1688"/>
      <c r="L50" s="1688"/>
      <c r="M50" s="1688"/>
    </row>
    <row r="52" spans="2:13">
      <c r="G52" s="312"/>
      <c r="M52" s="312"/>
    </row>
  </sheetData>
  <sheetProtection algorithmName="SHA-512" hashValue="4wrp/xft63svm73YTEfvplfYxXstl1C8lfqX0YajsUe3Zhm5VEn+KZzp67w9uTmYrebH6u+O3/HYB/3s6cK2eg==" saltValue="HJXBi0qkq0YosLCMj5ybag=="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B2:O52"/>
  <sheetViews>
    <sheetView zoomScaleNormal="100" workbookViewId="0">
      <selection activeCell="J23" sqref="J23"/>
    </sheetView>
  </sheetViews>
  <sheetFormatPr defaultColWidth="9.109375" defaultRowHeight="13.2"/>
  <cols>
    <col min="1" max="3" width="4.6640625" style="309" customWidth="1"/>
    <col min="4" max="4" width="9.109375" style="309"/>
    <col min="5" max="5" width="11.88671875" style="309" customWidth="1"/>
    <col min="6" max="6" width="1.6640625" style="309" customWidth="1"/>
    <col min="7" max="7" width="14.6640625" style="309" customWidth="1"/>
    <col min="8" max="8" width="1.6640625" style="309" customWidth="1"/>
    <col min="9" max="9" width="14.6640625" style="309" customWidth="1"/>
    <col min="10" max="10" width="1.6640625" style="309" customWidth="1"/>
    <col min="11" max="11" width="14.6640625" style="309" customWidth="1"/>
    <col min="12" max="12" width="1.6640625" style="309" customWidth="1"/>
    <col min="13" max="13" width="14.6640625" style="309" customWidth="1"/>
    <col min="14" max="14" width="10.88671875" style="309" bestFit="1" customWidth="1"/>
    <col min="15" max="15" width="13.5546875" style="309" bestFit="1" customWidth="1"/>
    <col min="16" max="16384" width="9.109375" style="309"/>
  </cols>
  <sheetData>
    <row r="2" spans="2:15" ht="20.399999999999999">
      <c r="B2" s="1619" t="s">
        <v>3352</v>
      </c>
      <c r="C2" s="1619"/>
      <c r="D2" s="1619"/>
      <c r="E2" s="1619"/>
      <c r="F2" s="1619"/>
      <c r="G2" s="1619"/>
      <c r="H2" s="1619"/>
      <c r="I2" s="1619"/>
      <c r="J2" s="1619"/>
      <c r="K2" s="1619"/>
      <c r="L2" s="1619"/>
      <c r="M2" s="1619"/>
    </row>
    <row r="3" spans="2:15">
      <c r="B3" s="1644"/>
      <c r="C3" s="1644"/>
      <c r="D3" s="1644"/>
      <c r="E3" s="1644"/>
      <c r="F3" s="1644"/>
      <c r="G3" s="1644"/>
      <c r="H3" s="1644"/>
      <c r="I3" s="1644"/>
      <c r="J3" s="1644"/>
      <c r="K3" s="1644"/>
      <c r="L3" s="1644"/>
      <c r="M3" s="1644"/>
    </row>
    <row r="5" spans="2:15">
      <c r="B5" s="1687"/>
      <c r="C5" s="1687"/>
      <c r="D5" s="1687"/>
      <c r="G5" s="702" t="s">
        <v>414</v>
      </c>
      <c r="I5" s="704"/>
      <c r="K5" s="704"/>
    </row>
    <row r="6" spans="2:15">
      <c r="B6" s="1687"/>
      <c r="C6" s="1687"/>
      <c r="D6" s="1687"/>
      <c r="G6" s="284" t="str">
        <f>'6b.1-Trust Fund Reserves'!G6</f>
        <v>Dec. 31, 2020</v>
      </c>
      <c r="I6" s="702"/>
      <c r="K6" s="702"/>
      <c r="M6" s="702" t="s">
        <v>530</v>
      </c>
    </row>
    <row r="7" spans="2:15">
      <c r="G7" s="702" t="s">
        <v>433</v>
      </c>
      <c r="I7" s="702"/>
      <c r="K7" s="702"/>
      <c r="M7" s="702" t="s">
        <v>437</v>
      </c>
    </row>
    <row r="8" spans="2:15">
      <c r="B8" s="1687" t="s">
        <v>413</v>
      </c>
      <c r="C8" s="1687"/>
      <c r="D8" s="1687"/>
      <c r="G8" s="704" t="s">
        <v>432</v>
      </c>
      <c r="I8" s="704" t="s">
        <v>427</v>
      </c>
      <c r="K8" s="704" t="s">
        <v>536</v>
      </c>
      <c r="M8" s="281" t="str">
        <f>'6b.1-Trust Fund Reserves'!M8</f>
        <v>Dec. 31, 2021</v>
      </c>
    </row>
    <row r="9" spans="2:15">
      <c r="B9" s="704"/>
      <c r="C9" s="704"/>
      <c r="D9" s="704"/>
      <c r="G9" s="240"/>
      <c r="I9" s="704"/>
      <c r="K9" s="704"/>
      <c r="M9" s="129"/>
    </row>
    <row r="10" spans="2:15" ht="21" customHeight="1">
      <c r="B10" s="814" t="s">
        <v>3259</v>
      </c>
      <c r="C10" s="815"/>
      <c r="D10" s="815"/>
      <c r="E10" s="815"/>
      <c r="F10" s="797"/>
      <c r="G10" s="816">
        <f>+'6b.1-Trust Fund Reserves'!G48</f>
        <v>436052.89</v>
      </c>
      <c r="H10" s="797"/>
      <c r="I10" s="816">
        <f>+'6b.1-Trust Fund Reserves'!I48</f>
        <v>601838.32999999996</v>
      </c>
      <c r="J10" s="797"/>
      <c r="K10" s="816">
        <f>+'6b.1-Trust Fund Reserves'!K48</f>
        <v>603440.96000000008</v>
      </c>
      <c r="L10" s="797"/>
      <c r="M10" s="813">
        <f>+'6b.1-Trust Fund Reserves'!M48</f>
        <v>434450.25999999989</v>
      </c>
      <c r="N10" s="312"/>
      <c r="O10" s="312"/>
    </row>
    <row r="11" spans="2:15" ht="21" customHeight="1">
      <c r="B11" s="354"/>
      <c r="C11" s="354"/>
      <c r="D11" s="354"/>
      <c r="E11" s="354"/>
      <c r="F11" s="797"/>
      <c r="G11" s="355"/>
      <c r="H11" s="797"/>
      <c r="I11" s="355"/>
      <c r="J11" s="797"/>
      <c r="K11" s="355"/>
      <c r="L11" s="357"/>
      <c r="M11" s="813">
        <f t="shared" ref="M11:M47" si="0">+G11+I11-K11</f>
        <v>0</v>
      </c>
      <c r="N11" s="312"/>
    </row>
    <row r="12" spans="2:15" ht="21" customHeight="1">
      <c r="B12" s="354"/>
      <c r="C12" s="354"/>
      <c r="D12" s="354"/>
      <c r="E12" s="354"/>
      <c r="F12" s="797"/>
      <c r="G12" s="355"/>
      <c r="H12" s="797"/>
      <c r="I12" s="355"/>
      <c r="J12" s="797"/>
      <c r="K12" s="355"/>
      <c r="L12" s="357"/>
      <c r="M12" s="813">
        <f t="shared" si="0"/>
        <v>0</v>
      </c>
      <c r="N12" s="312"/>
    </row>
    <row r="13" spans="2:15" ht="21" customHeight="1">
      <c r="B13" s="354"/>
      <c r="C13" s="354"/>
      <c r="D13" s="354"/>
      <c r="E13" s="354"/>
      <c r="F13" s="797"/>
      <c r="G13" s="355"/>
      <c r="H13" s="797"/>
      <c r="I13" s="634"/>
      <c r="J13" s="797"/>
      <c r="K13" s="355"/>
      <c r="L13" s="357"/>
      <c r="M13" s="813">
        <f t="shared" si="0"/>
        <v>0</v>
      </c>
      <c r="N13" s="312"/>
      <c r="O13" s="356"/>
    </row>
    <row r="14" spans="2:15" ht="21" customHeight="1">
      <c r="B14" s="635"/>
      <c r="C14" s="354"/>
      <c r="D14" s="354"/>
      <c r="E14" s="354"/>
      <c r="F14" s="797"/>
      <c r="G14" s="355"/>
      <c r="H14" s="797"/>
      <c r="I14" s="355"/>
      <c r="J14" s="797"/>
      <c r="K14" s="355"/>
      <c r="L14" s="357"/>
      <c r="M14" s="813">
        <f t="shared" si="0"/>
        <v>0</v>
      </c>
      <c r="N14" s="312"/>
    </row>
    <row r="15" spans="2:15" ht="21" customHeight="1">
      <c r="B15" s="354"/>
      <c r="C15" s="354"/>
      <c r="D15" s="354"/>
      <c r="E15" s="354"/>
      <c r="F15" s="797"/>
      <c r="G15" s="355"/>
      <c r="H15" s="797"/>
      <c r="I15" s="355"/>
      <c r="J15" s="797"/>
      <c r="K15" s="355"/>
      <c r="L15" s="357"/>
      <c r="M15" s="813">
        <f t="shared" si="0"/>
        <v>0</v>
      </c>
      <c r="N15" s="312"/>
    </row>
    <row r="16" spans="2:15" ht="21" customHeight="1">
      <c r="B16" s="354"/>
      <c r="C16" s="354"/>
      <c r="D16" s="354"/>
      <c r="E16" s="354"/>
      <c r="F16" s="797"/>
      <c r="G16" s="355"/>
      <c r="H16" s="797"/>
      <c r="I16" s="355"/>
      <c r="J16" s="797"/>
      <c r="K16" s="355"/>
      <c r="L16" s="357"/>
      <c r="M16" s="813">
        <f t="shared" si="0"/>
        <v>0</v>
      </c>
      <c r="N16" s="312"/>
    </row>
    <row r="17" spans="2:14" ht="21" customHeight="1">
      <c r="B17" s="354"/>
      <c r="C17" s="354"/>
      <c r="D17" s="354"/>
      <c r="E17" s="354"/>
      <c r="F17" s="797"/>
      <c r="G17" s="355"/>
      <c r="H17" s="797"/>
      <c r="I17" s="355"/>
      <c r="J17" s="797"/>
      <c r="K17" s="355"/>
      <c r="L17" s="357"/>
      <c r="M17" s="813">
        <f t="shared" si="0"/>
        <v>0</v>
      </c>
      <c r="N17" s="312"/>
    </row>
    <row r="18" spans="2:14" ht="21" customHeight="1">
      <c r="B18" s="354"/>
      <c r="C18" s="354"/>
      <c r="D18" s="354"/>
      <c r="E18" s="354"/>
      <c r="F18" s="797"/>
      <c r="G18" s="355"/>
      <c r="H18" s="797"/>
      <c r="I18" s="355"/>
      <c r="J18" s="797"/>
      <c r="K18" s="355"/>
      <c r="L18" s="357"/>
      <c r="M18" s="813">
        <f t="shared" si="0"/>
        <v>0</v>
      </c>
      <c r="N18" s="312"/>
    </row>
    <row r="19" spans="2:14" ht="21" customHeight="1">
      <c r="B19" s="635"/>
      <c r="C19" s="354"/>
      <c r="D19" s="354"/>
      <c r="E19" s="354"/>
      <c r="F19" s="797"/>
      <c r="G19" s="355"/>
      <c r="H19" s="797"/>
      <c r="I19" s="355"/>
      <c r="J19" s="797"/>
      <c r="K19" s="355"/>
      <c r="L19" s="357"/>
      <c r="M19" s="813">
        <f t="shared" si="0"/>
        <v>0</v>
      </c>
      <c r="N19" s="312"/>
    </row>
    <row r="20" spans="2:14" ht="21" customHeight="1">
      <c r="B20" s="635"/>
      <c r="C20" s="354"/>
      <c r="D20" s="354"/>
      <c r="E20" s="354"/>
      <c r="F20" s="797"/>
      <c r="G20" s="355"/>
      <c r="H20" s="797"/>
      <c r="I20" s="355"/>
      <c r="J20" s="797"/>
      <c r="K20" s="355"/>
      <c r="L20" s="357"/>
      <c r="M20" s="813">
        <f t="shared" si="0"/>
        <v>0</v>
      </c>
      <c r="N20" s="312"/>
    </row>
    <row r="21" spans="2:14" ht="21" customHeight="1">
      <c r="B21" s="635"/>
      <c r="C21" s="354"/>
      <c r="D21" s="354"/>
      <c r="E21" s="354"/>
      <c r="F21" s="797"/>
      <c r="G21" s="355"/>
      <c r="H21" s="797"/>
      <c r="I21" s="355"/>
      <c r="J21" s="797"/>
      <c r="K21" s="355"/>
      <c r="L21" s="357"/>
      <c r="M21" s="813">
        <f t="shared" si="0"/>
        <v>0</v>
      </c>
      <c r="N21" s="312"/>
    </row>
    <row r="22" spans="2:14" ht="21" customHeight="1">
      <c r="B22" s="635"/>
      <c r="C22" s="354"/>
      <c r="D22" s="354"/>
      <c r="E22" s="354"/>
      <c r="F22" s="797"/>
      <c r="G22" s="355"/>
      <c r="H22" s="797"/>
      <c r="I22" s="355"/>
      <c r="J22" s="797"/>
      <c r="K22" s="355"/>
      <c r="L22" s="357"/>
      <c r="M22" s="813">
        <f t="shared" si="0"/>
        <v>0</v>
      </c>
      <c r="N22" s="312"/>
    </row>
    <row r="23" spans="2:14" ht="21" customHeight="1">
      <c r="B23" s="635"/>
      <c r="C23" s="354"/>
      <c r="D23" s="354"/>
      <c r="E23" s="354"/>
      <c r="F23" s="797"/>
      <c r="G23" s="355"/>
      <c r="H23" s="797"/>
      <c r="I23" s="355"/>
      <c r="J23" s="797"/>
      <c r="K23" s="355"/>
      <c r="L23" s="357"/>
      <c r="M23" s="813">
        <f t="shared" si="0"/>
        <v>0</v>
      </c>
      <c r="N23" s="312"/>
    </row>
    <row r="24" spans="2:14" ht="21" customHeight="1">
      <c r="B24" s="635"/>
      <c r="C24" s="354"/>
      <c r="D24" s="354"/>
      <c r="E24" s="354"/>
      <c r="F24" s="797"/>
      <c r="G24" s="355"/>
      <c r="H24" s="797"/>
      <c r="I24" s="355"/>
      <c r="J24" s="797"/>
      <c r="K24" s="355"/>
      <c r="L24" s="357"/>
      <c r="M24" s="813">
        <f t="shared" si="0"/>
        <v>0</v>
      </c>
      <c r="N24" s="312"/>
    </row>
    <row r="25" spans="2:14" ht="21" customHeight="1">
      <c r="B25" s="354"/>
      <c r="C25" s="354"/>
      <c r="D25" s="354"/>
      <c r="E25" s="354"/>
      <c r="F25" s="797"/>
      <c r="G25" s="355"/>
      <c r="H25" s="797"/>
      <c r="I25" s="355"/>
      <c r="J25" s="797"/>
      <c r="K25" s="355"/>
      <c r="L25" s="357"/>
      <c r="M25" s="813">
        <f t="shared" si="0"/>
        <v>0</v>
      </c>
      <c r="N25" s="312"/>
    </row>
    <row r="26" spans="2:14" ht="21" customHeight="1">
      <c r="B26" s="354"/>
      <c r="C26" s="354"/>
      <c r="D26" s="354"/>
      <c r="E26" s="354"/>
      <c r="F26" s="797"/>
      <c r="G26" s="355"/>
      <c r="H26" s="797"/>
      <c r="I26" s="355"/>
      <c r="J26" s="797"/>
      <c r="K26" s="355"/>
      <c r="L26" s="357"/>
      <c r="M26" s="813">
        <f t="shared" si="0"/>
        <v>0</v>
      </c>
    </row>
    <row r="27" spans="2:14" ht="21" customHeight="1">
      <c r="B27" s="354"/>
      <c r="C27" s="354"/>
      <c r="D27" s="354"/>
      <c r="E27" s="354"/>
      <c r="F27" s="797"/>
      <c r="G27" s="355"/>
      <c r="H27" s="797"/>
      <c r="I27" s="355"/>
      <c r="J27" s="797"/>
      <c r="K27" s="355"/>
      <c r="L27" s="357"/>
      <c r="M27" s="813">
        <f t="shared" si="0"/>
        <v>0</v>
      </c>
    </row>
    <row r="28" spans="2:14" ht="21" customHeight="1">
      <c r="B28" s="354"/>
      <c r="C28" s="354"/>
      <c r="D28" s="354"/>
      <c r="E28" s="354"/>
      <c r="F28" s="797"/>
      <c r="G28" s="355"/>
      <c r="H28" s="797"/>
      <c r="I28" s="355"/>
      <c r="J28" s="797"/>
      <c r="K28" s="355"/>
      <c r="L28" s="357"/>
      <c r="M28" s="813">
        <f t="shared" si="0"/>
        <v>0</v>
      </c>
    </row>
    <row r="29" spans="2:14" ht="21" customHeight="1">
      <c r="B29" s="354"/>
      <c r="C29" s="354"/>
      <c r="D29" s="354"/>
      <c r="E29" s="354"/>
      <c r="F29" s="797"/>
      <c r="G29" s="355"/>
      <c r="H29" s="797"/>
      <c r="I29" s="355"/>
      <c r="J29" s="797"/>
      <c r="K29" s="355"/>
      <c r="L29" s="357"/>
      <c r="M29" s="813">
        <f t="shared" si="0"/>
        <v>0</v>
      </c>
    </row>
    <row r="30" spans="2:14" ht="21" customHeight="1">
      <c r="B30" s="354"/>
      <c r="C30" s="354"/>
      <c r="D30" s="354"/>
      <c r="E30" s="354"/>
      <c r="F30" s="797"/>
      <c r="G30" s="355"/>
      <c r="H30" s="797"/>
      <c r="I30" s="355"/>
      <c r="J30" s="797"/>
      <c r="K30" s="355"/>
      <c r="L30" s="357"/>
      <c r="M30" s="813">
        <f t="shared" si="0"/>
        <v>0</v>
      </c>
    </row>
    <row r="31" spans="2:14" ht="21" customHeight="1">
      <c r="B31" s="354"/>
      <c r="C31" s="354"/>
      <c r="D31" s="354"/>
      <c r="E31" s="354"/>
      <c r="F31" s="797"/>
      <c r="G31" s="355"/>
      <c r="H31" s="797"/>
      <c r="I31" s="355"/>
      <c r="J31" s="797"/>
      <c r="K31" s="355"/>
      <c r="L31" s="357"/>
      <c r="M31" s="813">
        <f t="shared" si="0"/>
        <v>0</v>
      </c>
    </row>
    <row r="32" spans="2:14" ht="21" customHeight="1">
      <c r="B32" s="354"/>
      <c r="C32" s="354"/>
      <c r="D32" s="354"/>
      <c r="E32" s="354"/>
      <c r="F32" s="797"/>
      <c r="G32" s="355"/>
      <c r="H32" s="797"/>
      <c r="I32" s="355"/>
      <c r="J32" s="797"/>
      <c r="K32" s="355"/>
      <c r="L32" s="357"/>
      <c r="M32" s="813">
        <f t="shared" si="0"/>
        <v>0</v>
      </c>
    </row>
    <row r="33" spans="2:13" ht="21" customHeight="1">
      <c r="B33" s="354"/>
      <c r="C33" s="354"/>
      <c r="D33" s="354"/>
      <c r="E33" s="354"/>
      <c r="F33" s="797"/>
      <c r="G33" s="355"/>
      <c r="H33" s="797"/>
      <c r="I33" s="355"/>
      <c r="J33" s="797"/>
      <c r="K33" s="355"/>
      <c r="L33" s="357"/>
      <c r="M33" s="813">
        <f t="shared" si="0"/>
        <v>0</v>
      </c>
    </row>
    <row r="34" spans="2:13" ht="21" customHeight="1">
      <c r="B34" s="354"/>
      <c r="C34" s="354"/>
      <c r="D34" s="354"/>
      <c r="E34" s="354"/>
      <c r="F34" s="797"/>
      <c r="G34" s="355"/>
      <c r="H34" s="797"/>
      <c r="I34" s="355"/>
      <c r="J34" s="797"/>
      <c r="K34" s="355"/>
      <c r="L34" s="357"/>
      <c r="M34" s="813">
        <f t="shared" si="0"/>
        <v>0</v>
      </c>
    </row>
    <row r="35" spans="2:13" ht="21" customHeight="1">
      <c r="B35" s="354"/>
      <c r="C35" s="354"/>
      <c r="D35" s="354"/>
      <c r="E35" s="354"/>
      <c r="F35" s="797"/>
      <c r="G35" s="355"/>
      <c r="H35" s="797"/>
      <c r="I35" s="355"/>
      <c r="J35" s="797"/>
      <c r="K35" s="355"/>
      <c r="L35" s="357"/>
      <c r="M35" s="813">
        <f t="shared" si="0"/>
        <v>0</v>
      </c>
    </row>
    <row r="36" spans="2:13" ht="21" customHeight="1">
      <c r="B36" s="354"/>
      <c r="C36" s="354"/>
      <c r="D36" s="354"/>
      <c r="E36" s="354"/>
      <c r="F36" s="797"/>
      <c r="G36" s="355"/>
      <c r="H36" s="797"/>
      <c r="I36" s="355"/>
      <c r="J36" s="797"/>
      <c r="K36" s="355"/>
      <c r="L36" s="357"/>
      <c r="M36" s="813">
        <f t="shared" si="0"/>
        <v>0</v>
      </c>
    </row>
    <row r="37" spans="2:13" ht="21" customHeight="1">
      <c r="B37" s="354"/>
      <c r="C37" s="354"/>
      <c r="D37" s="354"/>
      <c r="E37" s="354"/>
      <c r="F37" s="797"/>
      <c r="G37" s="355"/>
      <c r="H37" s="797"/>
      <c r="I37" s="355"/>
      <c r="J37" s="797"/>
      <c r="K37" s="355"/>
      <c r="L37" s="357"/>
      <c r="M37" s="813">
        <f t="shared" si="0"/>
        <v>0</v>
      </c>
    </row>
    <row r="38" spans="2:13" ht="21" customHeight="1">
      <c r="B38" s="354"/>
      <c r="C38" s="354"/>
      <c r="D38" s="354"/>
      <c r="E38" s="354"/>
      <c r="F38" s="797"/>
      <c r="G38" s="355"/>
      <c r="H38" s="797"/>
      <c r="I38" s="355"/>
      <c r="J38" s="797"/>
      <c r="K38" s="355"/>
      <c r="L38" s="357"/>
      <c r="M38" s="813">
        <f t="shared" si="0"/>
        <v>0</v>
      </c>
    </row>
    <row r="39" spans="2:13" ht="21" customHeight="1">
      <c r="B39" s="354"/>
      <c r="C39" s="354"/>
      <c r="D39" s="354"/>
      <c r="E39" s="354"/>
      <c r="F39" s="797"/>
      <c r="G39" s="355"/>
      <c r="H39" s="797"/>
      <c r="I39" s="355"/>
      <c r="J39" s="797"/>
      <c r="K39" s="355"/>
      <c r="L39" s="357"/>
      <c r="M39" s="813">
        <f t="shared" si="0"/>
        <v>0</v>
      </c>
    </row>
    <row r="40" spans="2:13" ht="21" customHeight="1">
      <c r="B40" s="354"/>
      <c r="C40" s="354"/>
      <c r="D40" s="354"/>
      <c r="E40" s="354"/>
      <c r="F40" s="797"/>
      <c r="G40" s="355"/>
      <c r="H40" s="797"/>
      <c r="I40" s="355"/>
      <c r="J40" s="797"/>
      <c r="K40" s="355"/>
      <c r="L40" s="357"/>
      <c r="M40" s="813">
        <f t="shared" si="0"/>
        <v>0</v>
      </c>
    </row>
    <row r="41" spans="2:13" ht="21" customHeight="1">
      <c r="B41" s="354"/>
      <c r="C41" s="354"/>
      <c r="D41" s="354"/>
      <c r="E41" s="354"/>
      <c r="F41" s="797"/>
      <c r="G41" s="355"/>
      <c r="H41" s="797"/>
      <c r="I41" s="355"/>
      <c r="J41" s="797"/>
      <c r="K41" s="355"/>
      <c r="L41" s="357"/>
      <c r="M41" s="813">
        <f t="shared" si="0"/>
        <v>0</v>
      </c>
    </row>
    <row r="42" spans="2:13" ht="21" customHeight="1">
      <c r="B42" s="354"/>
      <c r="C42" s="354"/>
      <c r="D42" s="354"/>
      <c r="E42" s="354"/>
      <c r="F42" s="797"/>
      <c r="G42" s="355"/>
      <c r="H42" s="797"/>
      <c r="I42" s="355"/>
      <c r="J42" s="797"/>
      <c r="K42" s="355"/>
      <c r="L42" s="357"/>
      <c r="M42" s="813">
        <f t="shared" si="0"/>
        <v>0</v>
      </c>
    </row>
    <row r="43" spans="2:13" ht="21" customHeight="1">
      <c r="B43" s="354"/>
      <c r="C43" s="354"/>
      <c r="D43" s="354"/>
      <c r="E43" s="354"/>
      <c r="F43" s="797"/>
      <c r="G43" s="355"/>
      <c r="H43" s="797"/>
      <c r="I43" s="355"/>
      <c r="J43" s="797"/>
      <c r="K43" s="355"/>
      <c r="L43" s="357"/>
      <c r="M43" s="813">
        <f t="shared" si="0"/>
        <v>0</v>
      </c>
    </row>
    <row r="44" spans="2:13" ht="21" customHeight="1">
      <c r="B44" s="354"/>
      <c r="C44" s="354"/>
      <c r="D44" s="354"/>
      <c r="E44" s="354"/>
      <c r="F44" s="797"/>
      <c r="G44" s="355"/>
      <c r="H44" s="797"/>
      <c r="I44" s="355"/>
      <c r="J44" s="797"/>
      <c r="K44" s="355"/>
      <c r="L44" s="357"/>
      <c r="M44" s="813">
        <f t="shared" si="0"/>
        <v>0</v>
      </c>
    </row>
    <row r="45" spans="2:13" ht="21" customHeight="1">
      <c r="B45" s="354"/>
      <c r="C45" s="354"/>
      <c r="D45" s="354"/>
      <c r="E45" s="354"/>
      <c r="F45" s="797"/>
      <c r="G45" s="355"/>
      <c r="H45" s="797"/>
      <c r="I45" s="355"/>
      <c r="J45" s="797"/>
      <c r="K45" s="355"/>
      <c r="L45" s="357"/>
      <c r="M45" s="813">
        <f t="shared" si="0"/>
        <v>0</v>
      </c>
    </row>
    <row r="46" spans="2:13" ht="21" customHeight="1">
      <c r="B46" s="354"/>
      <c r="C46" s="354"/>
      <c r="D46" s="354"/>
      <c r="E46" s="354"/>
      <c r="F46" s="797"/>
      <c r="G46" s="355"/>
      <c r="H46" s="797"/>
      <c r="I46" s="355"/>
      <c r="J46" s="797"/>
      <c r="K46" s="355"/>
      <c r="L46" s="357"/>
      <c r="M46" s="813">
        <f t="shared" si="0"/>
        <v>0</v>
      </c>
    </row>
    <row r="47" spans="2:13" ht="21" customHeight="1">
      <c r="B47" s="354"/>
      <c r="C47" s="354"/>
      <c r="D47" s="354"/>
      <c r="E47" s="354"/>
      <c r="F47" s="797"/>
      <c r="G47" s="355"/>
      <c r="H47" s="797"/>
      <c r="I47" s="355"/>
      <c r="J47" s="797"/>
      <c r="K47" s="355"/>
      <c r="L47" s="357"/>
      <c r="M47" s="813">
        <f t="shared" si="0"/>
        <v>0</v>
      </c>
    </row>
    <row r="48" spans="2:13" ht="21" customHeight="1">
      <c r="B48" s="274"/>
      <c r="C48" s="274"/>
      <c r="D48" s="147" t="s">
        <v>3258</v>
      </c>
      <c r="E48" s="274"/>
      <c r="F48" s="309" t="s">
        <v>373</v>
      </c>
      <c r="G48" s="156">
        <f>SUM(G10:G47)</f>
        <v>436052.89</v>
      </c>
      <c r="H48" s="309" t="s">
        <v>373</v>
      </c>
      <c r="I48" s="156">
        <f>SUM(I10:I47)</f>
        <v>601838.32999999996</v>
      </c>
      <c r="J48" s="309" t="s">
        <v>373</v>
      </c>
      <c r="K48" s="156">
        <f>SUM(K10:K47)</f>
        <v>603440.96000000008</v>
      </c>
      <c r="L48" s="309" t="s">
        <v>373</v>
      </c>
      <c r="M48" s="813">
        <f>SUM(M10:M47)</f>
        <v>434450.25999999989</v>
      </c>
    </row>
    <row r="50" spans="2:13" ht="13.8">
      <c r="B50" s="1688" t="s">
        <v>3260</v>
      </c>
      <c r="C50" s="1688"/>
      <c r="D50" s="1688"/>
      <c r="E50" s="1688"/>
      <c r="F50" s="1688"/>
      <c r="G50" s="1688"/>
      <c r="H50" s="1688"/>
      <c r="I50" s="1688"/>
      <c r="J50" s="1688"/>
      <c r="K50" s="1688"/>
      <c r="L50" s="1688"/>
      <c r="M50" s="1688"/>
    </row>
    <row r="52" spans="2:13">
      <c r="G52" s="312"/>
      <c r="M52" s="312"/>
    </row>
  </sheetData>
  <sheetProtection algorithmName="SHA-512" hashValue="wbi+9x435gd/KlLBuGx8h1rsVye84jEmq5KICpUHt0dy//+jx/jt1UJsrZKv+01kaiYYUCTecEH1J5/xvn02fw==" saltValue="Kuf8JtHK5Xt9Tq/RYCMzDg=="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2:O52"/>
  <sheetViews>
    <sheetView zoomScaleNormal="100" workbookViewId="0">
      <selection activeCell="I22" sqref="I22"/>
    </sheetView>
  </sheetViews>
  <sheetFormatPr defaultColWidth="9.109375" defaultRowHeight="13.2"/>
  <cols>
    <col min="1" max="3" width="4.6640625" style="309" customWidth="1"/>
    <col min="4" max="4" width="9.109375" style="309"/>
    <col min="5" max="5" width="11.88671875" style="309" customWidth="1"/>
    <col min="6" max="6" width="1.6640625" style="309" customWidth="1"/>
    <col min="7" max="7" width="14.6640625" style="309" customWidth="1"/>
    <col min="8" max="8" width="1.6640625" style="309" customWidth="1"/>
    <col min="9" max="9" width="14.6640625" style="309" customWidth="1"/>
    <col min="10" max="10" width="1.6640625" style="309" customWidth="1"/>
    <col min="11" max="11" width="14.6640625" style="309" customWidth="1"/>
    <col min="12" max="12" width="1.6640625" style="309" customWidth="1"/>
    <col min="13" max="13" width="14.6640625" style="309" customWidth="1"/>
    <col min="14" max="14" width="10.88671875" style="309" bestFit="1" customWidth="1"/>
    <col min="15" max="15" width="13.5546875" style="309" bestFit="1" customWidth="1"/>
    <col min="16" max="16384" width="9.109375" style="309"/>
  </cols>
  <sheetData>
    <row r="2" spans="2:15" ht="20.399999999999999">
      <c r="B2" s="1619" t="s">
        <v>3352</v>
      </c>
      <c r="C2" s="1619"/>
      <c r="D2" s="1619"/>
      <c r="E2" s="1619"/>
      <c r="F2" s="1619"/>
      <c r="G2" s="1619"/>
      <c r="H2" s="1619"/>
      <c r="I2" s="1619"/>
      <c r="J2" s="1619"/>
      <c r="K2" s="1619"/>
      <c r="L2" s="1619"/>
      <c r="M2" s="1619"/>
    </row>
    <row r="3" spans="2:15">
      <c r="B3" s="1644"/>
      <c r="C3" s="1644"/>
      <c r="D3" s="1644"/>
      <c r="E3" s="1644"/>
      <c r="F3" s="1644"/>
      <c r="G3" s="1644"/>
      <c r="H3" s="1644"/>
      <c r="I3" s="1644"/>
      <c r="J3" s="1644"/>
      <c r="K3" s="1644"/>
      <c r="L3" s="1644"/>
      <c r="M3" s="1644"/>
    </row>
    <row r="5" spans="2:15">
      <c r="B5" s="1687"/>
      <c r="C5" s="1687"/>
      <c r="D5" s="1687"/>
      <c r="G5" s="702" t="s">
        <v>414</v>
      </c>
      <c r="I5" s="704"/>
      <c r="K5" s="704"/>
    </row>
    <row r="6" spans="2:15">
      <c r="B6" s="1687"/>
      <c r="C6" s="1687"/>
      <c r="D6" s="1687"/>
      <c r="G6" s="284" t="str">
        <f>'6b.2-Trust Fund Reserves'!G6</f>
        <v>Dec. 31, 2020</v>
      </c>
      <c r="I6" s="702"/>
      <c r="K6" s="702"/>
      <c r="M6" s="702" t="s">
        <v>530</v>
      </c>
    </row>
    <row r="7" spans="2:15">
      <c r="G7" s="702" t="s">
        <v>433</v>
      </c>
      <c r="I7" s="702"/>
      <c r="K7" s="702"/>
      <c r="M7" s="702" t="s">
        <v>437</v>
      </c>
    </row>
    <row r="8" spans="2:15">
      <c r="B8" s="1687" t="s">
        <v>413</v>
      </c>
      <c r="C8" s="1687"/>
      <c r="D8" s="1687"/>
      <c r="G8" s="704" t="s">
        <v>432</v>
      </c>
      <c r="I8" s="704" t="s">
        <v>427</v>
      </c>
      <c r="K8" s="704" t="s">
        <v>536</v>
      </c>
      <c r="M8" s="281" t="str">
        <f>'6b.2-Trust Fund Reserves'!M8</f>
        <v>Dec. 31, 2021</v>
      </c>
    </row>
    <row r="9" spans="2:15">
      <c r="B9" s="704"/>
      <c r="C9" s="704"/>
      <c r="D9" s="704"/>
      <c r="G9" s="240"/>
      <c r="I9" s="704"/>
      <c r="K9" s="704"/>
      <c r="M9" s="129"/>
    </row>
    <row r="10" spans="2:15" ht="21" customHeight="1">
      <c r="B10" s="814" t="s">
        <v>3259</v>
      </c>
      <c r="C10" s="815"/>
      <c r="D10" s="815"/>
      <c r="E10" s="815"/>
      <c r="F10" s="797"/>
      <c r="G10" s="816">
        <f>+'6b.2-Trust Fund Reserves'!G48</f>
        <v>436052.89</v>
      </c>
      <c r="H10" s="797"/>
      <c r="I10" s="816">
        <f>+'6b.2-Trust Fund Reserves'!I48</f>
        <v>601838.32999999996</v>
      </c>
      <c r="J10" s="797"/>
      <c r="K10" s="816">
        <f>+'6b.2-Trust Fund Reserves'!K48</f>
        <v>603440.96000000008</v>
      </c>
      <c r="L10" s="797"/>
      <c r="M10" s="816">
        <f>+'6b.2-Trust Fund Reserves'!M48</f>
        <v>434450.25999999989</v>
      </c>
      <c r="N10" s="312"/>
      <c r="O10" s="312"/>
    </row>
    <row r="11" spans="2:15" ht="21" customHeight="1">
      <c r="B11" s="354"/>
      <c r="C11" s="354"/>
      <c r="D11" s="354"/>
      <c r="E11" s="354"/>
      <c r="F11" s="797"/>
      <c r="G11" s="355"/>
      <c r="H11" s="797"/>
      <c r="I11" s="355"/>
      <c r="J11" s="797"/>
      <c r="K11" s="355"/>
      <c r="L11" s="357"/>
      <c r="M11" s="813">
        <f t="shared" ref="M11:M47" si="0">+G11+I11-K11</f>
        <v>0</v>
      </c>
      <c r="N11" s="312"/>
    </row>
    <row r="12" spans="2:15" ht="21" customHeight="1">
      <c r="B12" s="354"/>
      <c r="C12" s="354"/>
      <c r="D12" s="354"/>
      <c r="E12" s="354"/>
      <c r="F12" s="797"/>
      <c r="G12" s="355"/>
      <c r="H12" s="797"/>
      <c r="I12" s="355"/>
      <c r="J12" s="797"/>
      <c r="K12" s="355"/>
      <c r="L12" s="357"/>
      <c r="M12" s="813">
        <f t="shared" si="0"/>
        <v>0</v>
      </c>
      <c r="N12" s="312"/>
    </row>
    <row r="13" spans="2:15" ht="21" customHeight="1">
      <c r="B13" s="354"/>
      <c r="C13" s="354"/>
      <c r="D13" s="354"/>
      <c r="E13" s="354"/>
      <c r="F13" s="797"/>
      <c r="G13" s="355"/>
      <c r="H13" s="797"/>
      <c r="I13" s="634"/>
      <c r="J13" s="797"/>
      <c r="K13" s="355"/>
      <c r="L13" s="357"/>
      <c r="M13" s="813">
        <f t="shared" si="0"/>
        <v>0</v>
      </c>
      <c r="N13" s="312"/>
      <c r="O13" s="356"/>
    </row>
    <row r="14" spans="2:15" ht="21" customHeight="1">
      <c r="B14" s="635"/>
      <c r="C14" s="354"/>
      <c r="D14" s="354"/>
      <c r="E14" s="354"/>
      <c r="F14" s="797"/>
      <c r="G14" s="355"/>
      <c r="H14" s="797"/>
      <c r="I14" s="355"/>
      <c r="J14" s="797"/>
      <c r="K14" s="355"/>
      <c r="L14" s="357"/>
      <c r="M14" s="813">
        <f t="shared" si="0"/>
        <v>0</v>
      </c>
      <c r="N14" s="312"/>
    </row>
    <row r="15" spans="2:15" ht="21" customHeight="1">
      <c r="B15" s="354"/>
      <c r="C15" s="354"/>
      <c r="D15" s="354"/>
      <c r="E15" s="354"/>
      <c r="F15" s="797"/>
      <c r="G15" s="355"/>
      <c r="H15" s="797"/>
      <c r="I15" s="355"/>
      <c r="J15" s="797"/>
      <c r="K15" s="355"/>
      <c r="L15" s="357"/>
      <c r="M15" s="813">
        <f t="shared" si="0"/>
        <v>0</v>
      </c>
      <c r="N15" s="312"/>
    </row>
    <row r="16" spans="2:15" ht="21" customHeight="1">
      <c r="B16" s="354"/>
      <c r="C16" s="354"/>
      <c r="D16" s="354"/>
      <c r="E16" s="354"/>
      <c r="F16" s="797"/>
      <c r="G16" s="355"/>
      <c r="H16" s="797"/>
      <c r="I16" s="355"/>
      <c r="J16" s="797"/>
      <c r="K16" s="355"/>
      <c r="L16" s="357"/>
      <c r="M16" s="813">
        <f t="shared" si="0"/>
        <v>0</v>
      </c>
      <c r="N16" s="312"/>
    </row>
    <row r="17" spans="2:14" ht="21" customHeight="1">
      <c r="B17" s="354"/>
      <c r="C17" s="354"/>
      <c r="D17" s="354"/>
      <c r="E17" s="354"/>
      <c r="F17" s="797"/>
      <c r="G17" s="355"/>
      <c r="H17" s="797"/>
      <c r="I17" s="355"/>
      <c r="J17" s="797"/>
      <c r="K17" s="355"/>
      <c r="L17" s="357"/>
      <c r="M17" s="813">
        <f t="shared" si="0"/>
        <v>0</v>
      </c>
      <c r="N17" s="312"/>
    </row>
    <row r="18" spans="2:14" ht="21" customHeight="1">
      <c r="B18" s="354"/>
      <c r="C18" s="354"/>
      <c r="D18" s="354"/>
      <c r="E18" s="354"/>
      <c r="F18" s="797"/>
      <c r="G18" s="355"/>
      <c r="H18" s="797"/>
      <c r="I18" s="355"/>
      <c r="J18" s="797"/>
      <c r="K18" s="355"/>
      <c r="L18" s="357"/>
      <c r="M18" s="813">
        <f t="shared" si="0"/>
        <v>0</v>
      </c>
      <c r="N18" s="312"/>
    </row>
    <row r="19" spans="2:14" ht="21" customHeight="1">
      <c r="B19" s="635"/>
      <c r="C19" s="354"/>
      <c r="D19" s="354"/>
      <c r="E19" s="354"/>
      <c r="F19" s="797"/>
      <c r="G19" s="355"/>
      <c r="H19" s="797"/>
      <c r="I19" s="355"/>
      <c r="J19" s="797"/>
      <c r="K19" s="355"/>
      <c r="L19" s="357"/>
      <c r="M19" s="813">
        <f t="shared" si="0"/>
        <v>0</v>
      </c>
      <c r="N19" s="312"/>
    </row>
    <row r="20" spans="2:14" ht="21" customHeight="1">
      <c r="B20" s="635"/>
      <c r="C20" s="354"/>
      <c r="D20" s="354"/>
      <c r="E20" s="354"/>
      <c r="F20" s="797"/>
      <c r="G20" s="355"/>
      <c r="H20" s="797"/>
      <c r="I20" s="355"/>
      <c r="J20" s="797"/>
      <c r="K20" s="355"/>
      <c r="L20" s="357"/>
      <c r="M20" s="813">
        <f t="shared" si="0"/>
        <v>0</v>
      </c>
      <c r="N20" s="312"/>
    </row>
    <row r="21" spans="2:14" ht="21" customHeight="1">
      <c r="B21" s="635"/>
      <c r="C21" s="354"/>
      <c r="D21" s="354"/>
      <c r="E21" s="354"/>
      <c r="F21" s="797"/>
      <c r="G21" s="355"/>
      <c r="H21" s="797"/>
      <c r="I21" s="355"/>
      <c r="J21" s="797"/>
      <c r="K21" s="355"/>
      <c r="L21" s="357"/>
      <c r="M21" s="813">
        <f t="shared" si="0"/>
        <v>0</v>
      </c>
      <c r="N21" s="312"/>
    </row>
    <row r="22" spans="2:14" ht="21" customHeight="1">
      <c r="B22" s="635"/>
      <c r="C22" s="354"/>
      <c r="D22" s="354"/>
      <c r="E22" s="354"/>
      <c r="F22" s="797"/>
      <c r="G22" s="355"/>
      <c r="H22" s="797"/>
      <c r="I22" s="355"/>
      <c r="J22" s="797"/>
      <c r="K22" s="355"/>
      <c r="L22" s="357"/>
      <c r="M22" s="813">
        <f t="shared" si="0"/>
        <v>0</v>
      </c>
      <c r="N22" s="312"/>
    </row>
    <row r="23" spans="2:14" ht="21" customHeight="1">
      <c r="B23" s="635"/>
      <c r="C23" s="354"/>
      <c r="D23" s="354"/>
      <c r="E23" s="354"/>
      <c r="F23" s="797"/>
      <c r="G23" s="355"/>
      <c r="H23" s="797"/>
      <c r="I23" s="355"/>
      <c r="J23" s="797"/>
      <c r="K23" s="355"/>
      <c r="L23" s="357"/>
      <c r="M23" s="813">
        <f t="shared" si="0"/>
        <v>0</v>
      </c>
      <c r="N23" s="312"/>
    </row>
    <row r="24" spans="2:14" ht="21" customHeight="1">
      <c r="B24" s="635"/>
      <c r="C24" s="354"/>
      <c r="D24" s="354"/>
      <c r="E24" s="354"/>
      <c r="F24" s="797"/>
      <c r="G24" s="355"/>
      <c r="H24" s="797"/>
      <c r="I24" s="355"/>
      <c r="J24" s="797"/>
      <c r="K24" s="355"/>
      <c r="L24" s="357"/>
      <c r="M24" s="813">
        <f t="shared" si="0"/>
        <v>0</v>
      </c>
      <c r="N24" s="312"/>
    </row>
    <row r="25" spans="2:14" ht="21" customHeight="1">
      <c r="B25" s="354"/>
      <c r="C25" s="354"/>
      <c r="D25" s="354"/>
      <c r="E25" s="354"/>
      <c r="F25" s="797"/>
      <c r="G25" s="355"/>
      <c r="H25" s="797"/>
      <c r="I25" s="355"/>
      <c r="J25" s="797"/>
      <c r="K25" s="355"/>
      <c r="L25" s="357"/>
      <c r="M25" s="813">
        <f t="shared" si="0"/>
        <v>0</v>
      </c>
      <c r="N25" s="312"/>
    </row>
    <row r="26" spans="2:14" ht="21" customHeight="1">
      <c r="B26" s="354"/>
      <c r="C26" s="354"/>
      <c r="D26" s="354"/>
      <c r="E26" s="354"/>
      <c r="F26" s="797"/>
      <c r="G26" s="355"/>
      <c r="H26" s="797"/>
      <c r="I26" s="355"/>
      <c r="J26" s="797"/>
      <c r="K26" s="355"/>
      <c r="L26" s="357"/>
      <c r="M26" s="813">
        <f t="shared" si="0"/>
        <v>0</v>
      </c>
    </row>
    <row r="27" spans="2:14" ht="21" customHeight="1">
      <c r="B27" s="354"/>
      <c r="C27" s="354"/>
      <c r="D27" s="354"/>
      <c r="E27" s="354"/>
      <c r="F27" s="797"/>
      <c r="G27" s="355"/>
      <c r="H27" s="797"/>
      <c r="I27" s="355"/>
      <c r="J27" s="797"/>
      <c r="K27" s="355"/>
      <c r="L27" s="357"/>
      <c r="M27" s="813">
        <f t="shared" si="0"/>
        <v>0</v>
      </c>
    </row>
    <row r="28" spans="2:14" ht="21" customHeight="1">
      <c r="B28" s="354"/>
      <c r="C28" s="354"/>
      <c r="D28" s="354"/>
      <c r="E28" s="354"/>
      <c r="F28" s="797"/>
      <c r="G28" s="355"/>
      <c r="H28" s="797"/>
      <c r="I28" s="355"/>
      <c r="J28" s="797"/>
      <c r="K28" s="355"/>
      <c r="L28" s="357"/>
      <c r="M28" s="813">
        <f t="shared" si="0"/>
        <v>0</v>
      </c>
    </row>
    <row r="29" spans="2:14" ht="21" customHeight="1">
      <c r="B29" s="354"/>
      <c r="C29" s="354"/>
      <c r="D29" s="354"/>
      <c r="E29" s="354"/>
      <c r="F29" s="797"/>
      <c r="G29" s="355"/>
      <c r="H29" s="797"/>
      <c r="I29" s="355"/>
      <c r="J29" s="797"/>
      <c r="K29" s="355"/>
      <c r="L29" s="357"/>
      <c r="M29" s="813">
        <f t="shared" si="0"/>
        <v>0</v>
      </c>
    </row>
    <row r="30" spans="2:14" ht="21" customHeight="1">
      <c r="B30" s="354"/>
      <c r="C30" s="354"/>
      <c r="D30" s="354"/>
      <c r="E30" s="354"/>
      <c r="F30" s="797"/>
      <c r="G30" s="355"/>
      <c r="H30" s="797"/>
      <c r="I30" s="355"/>
      <c r="J30" s="797"/>
      <c r="K30" s="355"/>
      <c r="L30" s="357"/>
      <c r="M30" s="813">
        <f t="shared" si="0"/>
        <v>0</v>
      </c>
    </row>
    <row r="31" spans="2:14" ht="21" customHeight="1">
      <c r="B31" s="354"/>
      <c r="C31" s="354"/>
      <c r="D31" s="354"/>
      <c r="E31" s="354"/>
      <c r="F31" s="797"/>
      <c r="G31" s="355"/>
      <c r="H31" s="797"/>
      <c r="I31" s="355"/>
      <c r="J31" s="797"/>
      <c r="K31" s="355"/>
      <c r="L31" s="357"/>
      <c r="M31" s="813">
        <f t="shared" si="0"/>
        <v>0</v>
      </c>
    </row>
    <row r="32" spans="2:14" ht="21" customHeight="1">
      <c r="B32" s="354"/>
      <c r="C32" s="354"/>
      <c r="D32" s="354"/>
      <c r="E32" s="354"/>
      <c r="F32" s="797"/>
      <c r="G32" s="355"/>
      <c r="H32" s="797"/>
      <c r="I32" s="355"/>
      <c r="J32" s="797"/>
      <c r="K32" s="355"/>
      <c r="L32" s="357"/>
      <c r="M32" s="813">
        <f t="shared" si="0"/>
        <v>0</v>
      </c>
    </row>
    <row r="33" spans="2:13" ht="21" customHeight="1">
      <c r="B33" s="354"/>
      <c r="C33" s="354"/>
      <c r="D33" s="354"/>
      <c r="E33" s="354"/>
      <c r="F33" s="797"/>
      <c r="G33" s="355"/>
      <c r="H33" s="797"/>
      <c r="I33" s="355"/>
      <c r="J33" s="797"/>
      <c r="K33" s="355"/>
      <c r="L33" s="357"/>
      <c r="M33" s="813">
        <f t="shared" si="0"/>
        <v>0</v>
      </c>
    </row>
    <row r="34" spans="2:13" ht="21" customHeight="1">
      <c r="B34" s="354"/>
      <c r="C34" s="354"/>
      <c r="D34" s="354"/>
      <c r="E34" s="354"/>
      <c r="F34" s="797"/>
      <c r="G34" s="355"/>
      <c r="H34" s="797"/>
      <c r="I34" s="355"/>
      <c r="J34" s="797"/>
      <c r="K34" s="355"/>
      <c r="L34" s="357"/>
      <c r="M34" s="813">
        <f t="shared" si="0"/>
        <v>0</v>
      </c>
    </row>
    <row r="35" spans="2:13" ht="21" customHeight="1">
      <c r="B35" s="354"/>
      <c r="C35" s="354"/>
      <c r="D35" s="354"/>
      <c r="E35" s="354"/>
      <c r="F35" s="797"/>
      <c r="G35" s="355"/>
      <c r="H35" s="797"/>
      <c r="I35" s="355"/>
      <c r="J35" s="797"/>
      <c r="K35" s="355"/>
      <c r="L35" s="357"/>
      <c r="M35" s="813">
        <f t="shared" si="0"/>
        <v>0</v>
      </c>
    </row>
    <row r="36" spans="2:13" ht="21" customHeight="1">
      <c r="B36" s="354"/>
      <c r="C36" s="354"/>
      <c r="D36" s="354"/>
      <c r="E36" s="354"/>
      <c r="F36" s="797"/>
      <c r="G36" s="355"/>
      <c r="H36" s="797"/>
      <c r="I36" s="355"/>
      <c r="J36" s="797"/>
      <c r="K36" s="355"/>
      <c r="L36" s="357"/>
      <c r="M36" s="813">
        <f t="shared" si="0"/>
        <v>0</v>
      </c>
    </row>
    <row r="37" spans="2:13" ht="21" customHeight="1">
      <c r="B37" s="354"/>
      <c r="C37" s="354"/>
      <c r="D37" s="354"/>
      <c r="E37" s="354"/>
      <c r="F37" s="797"/>
      <c r="G37" s="355"/>
      <c r="H37" s="797"/>
      <c r="I37" s="355"/>
      <c r="J37" s="797"/>
      <c r="K37" s="355"/>
      <c r="L37" s="357"/>
      <c r="M37" s="813">
        <f t="shared" si="0"/>
        <v>0</v>
      </c>
    </row>
    <row r="38" spans="2:13" ht="21" customHeight="1">
      <c r="B38" s="354"/>
      <c r="C38" s="354"/>
      <c r="D38" s="354"/>
      <c r="E38" s="354"/>
      <c r="F38" s="797"/>
      <c r="G38" s="355"/>
      <c r="H38" s="797"/>
      <c r="I38" s="355"/>
      <c r="J38" s="797"/>
      <c r="K38" s="355"/>
      <c r="L38" s="357"/>
      <c r="M38" s="813">
        <f t="shared" si="0"/>
        <v>0</v>
      </c>
    </row>
    <row r="39" spans="2:13" ht="21" customHeight="1">
      <c r="B39" s="354"/>
      <c r="C39" s="354"/>
      <c r="D39" s="354"/>
      <c r="E39" s="354"/>
      <c r="F39" s="797"/>
      <c r="G39" s="355"/>
      <c r="H39" s="797"/>
      <c r="I39" s="355"/>
      <c r="J39" s="797"/>
      <c r="K39" s="355"/>
      <c r="L39" s="357"/>
      <c r="M39" s="813">
        <f t="shared" si="0"/>
        <v>0</v>
      </c>
    </row>
    <row r="40" spans="2:13" ht="21" customHeight="1">
      <c r="B40" s="354"/>
      <c r="C40" s="354"/>
      <c r="D40" s="354"/>
      <c r="E40" s="354"/>
      <c r="F40" s="797"/>
      <c r="G40" s="355"/>
      <c r="H40" s="797"/>
      <c r="I40" s="355"/>
      <c r="J40" s="797"/>
      <c r="K40" s="355"/>
      <c r="L40" s="357"/>
      <c r="M40" s="813">
        <f t="shared" si="0"/>
        <v>0</v>
      </c>
    </row>
    <row r="41" spans="2:13" ht="21" customHeight="1">
      <c r="B41" s="354"/>
      <c r="C41" s="354"/>
      <c r="D41" s="354"/>
      <c r="E41" s="354"/>
      <c r="F41" s="797"/>
      <c r="G41" s="355"/>
      <c r="H41" s="797"/>
      <c r="I41" s="355"/>
      <c r="J41" s="797"/>
      <c r="K41" s="355"/>
      <c r="L41" s="357"/>
      <c r="M41" s="813">
        <f t="shared" si="0"/>
        <v>0</v>
      </c>
    </row>
    <row r="42" spans="2:13" ht="21" customHeight="1">
      <c r="B42" s="354"/>
      <c r="C42" s="354"/>
      <c r="D42" s="354"/>
      <c r="E42" s="354"/>
      <c r="F42" s="797"/>
      <c r="G42" s="355"/>
      <c r="H42" s="797"/>
      <c r="I42" s="355"/>
      <c r="J42" s="797"/>
      <c r="K42" s="355"/>
      <c r="L42" s="357"/>
      <c r="M42" s="813">
        <f t="shared" si="0"/>
        <v>0</v>
      </c>
    </row>
    <row r="43" spans="2:13" ht="21" customHeight="1">
      <c r="B43" s="354"/>
      <c r="C43" s="354"/>
      <c r="D43" s="354"/>
      <c r="E43" s="354"/>
      <c r="F43" s="797"/>
      <c r="G43" s="355"/>
      <c r="H43" s="797"/>
      <c r="I43" s="355"/>
      <c r="J43" s="797"/>
      <c r="K43" s="355"/>
      <c r="L43" s="357"/>
      <c r="M43" s="813">
        <f t="shared" si="0"/>
        <v>0</v>
      </c>
    </row>
    <row r="44" spans="2:13" ht="21" customHeight="1">
      <c r="B44" s="354"/>
      <c r="C44" s="354"/>
      <c r="D44" s="354"/>
      <c r="E44" s="354"/>
      <c r="F44" s="797"/>
      <c r="G44" s="355"/>
      <c r="H44" s="797"/>
      <c r="I44" s="355"/>
      <c r="J44" s="797"/>
      <c r="K44" s="355"/>
      <c r="L44" s="357"/>
      <c r="M44" s="813">
        <f t="shared" si="0"/>
        <v>0</v>
      </c>
    </row>
    <row r="45" spans="2:13" ht="21" customHeight="1">
      <c r="B45" s="354"/>
      <c r="C45" s="354"/>
      <c r="D45" s="354"/>
      <c r="E45" s="354"/>
      <c r="F45" s="797"/>
      <c r="G45" s="355"/>
      <c r="H45" s="797"/>
      <c r="I45" s="355"/>
      <c r="J45" s="797"/>
      <c r="K45" s="355"/>
      <c r="L45" s="357"/>
      <c r="M45" s="813">
        <f t="shared" si="0"/>
        <v>0</v>
      </c>
    </row>
    <row r="46" spans="2:13" ht="21" customHeight="1">
      <c r="B46" s="354"/>
      <c r="C46" s="354"/>
      <c r="D46" s="354"/>
      <c r="E46" s="354"/>
      <c r="F46" s="797"/>
      <c r="G46" s="355"/>
      <c r="H46" s="797"/>
      <c r="I46" s="355"/>
      <c r="J46" s="797"/>
      <c r="K46" s="355"/>
      <c r="L46" s="357"/>
      <c r="M46" s="813">
        <f t="shared" si="0"/>
        <v>0</v>
      </c>
    </row>
    <row r="47" spans="2:13" ht="21" customHeight="1">
      <c r="B47" s="354"/>
      <c r="C47" s="354"/>
      <c r="D47" s="354"/>
      <c r="E47" s="354"/>
      <c r="F47" s="797"/>
      <c r="G47" s="355"/>
      <c r="H47" s="797"/>
      <c r="I47" s="355"/>
      <c r="J47" s="797"/>
      <c r="K47" s="355"/>
      <c r="L47" s="357"/>
      <c r="M47" s="813">
        <f t="shared" si="0"/>
        <v>0</v>
      </c>
    </row>
    <row r="48" spans="2:13" ht="21" customHeight="1">
      <c r="B48" s="274"/>
      <c r="C48" s="274"/>
      <c r="D48" s="147" t="s">
        <v>3258</v>
      </c>
      <c r="E48" s="274"/>
      <c r="F48" s="309" t="s">
        <v>373</v>
      </c>
      <c r="G48" s="156">
        <f>SUM(G10:G47)</f>
        <v>436052.89</v>
      </c>
      <c r="H48" s="309" t="s">
        <v>373</v>
      </c>
      <c r="I48" s="156">
        <f>SUM(I10:I47)</f>
        <v>601838.32999999996</v>
      </c>
      <c r="J48" s="309" t="s">
        <v>373</v>
      </c>
      <c r="K48" s="156">
        <f>SUM(K10:K47)</f>
        <v>603440.96000000008</v>
      </c>
      <c r="L48" s="309" t="s">
        <v>373</v>
      </c>
      <c r="M48" s="813">
        <f>SUM(M10:M47)</f>
        <v>434450.25999999989</v>
      </c>
    </row>
    <row r="50" spans="2:13" ht="13.8">
      <c r="B50" s="1688" t="s">
        <v>3261</v>
      </c>
      <c r="C50" s="1688"/>
      <c r="D50" s="1688"/>
      <c r="E50" s="1688"/>
      <c r="F50" s="1688"/>
      <c r="G50" s="1688"/>
      <c r="H50" s="1688"/>
      <c r="I50" s="1688"/>
      <c r="J50" s="1688"/>
      <c r="K50" s="1688"/>
      <c r="L50" s="1688"/>
      <c r="M50" s="1688"/>
    </row>
    <row r="52" spans="2:13">
      <c r="G52" s="312"/>
      <c r="M52" s="312"/>
    </row>
  </sheetData>
  <sheetProtection algorithmName="SHA-512" hashValue="uTz1yDE7iy6NR2B0r7KUKZNQstVQgclEermFrtQ8VRUe/vY6x1JYKHEu6q9KGVld+v/tRykJ14eZ3S06/q7gqg==" saltValue="6D9BBmnOfkCMfNHQ01wZAQ=="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B2:O52"/>
  <sheetViews>
    <sheetView zoomScaleNormal="100" workbookViewId="0">
      <selection activeCell="E23" sqref="E23"/>
    </sheetView>
  </sheetViews>
  <sheetFormatPr defaultColWidth="9.109375" defaultRowHeight="13.2"/>
  <cols>
    <col min="1" max="3" width="4.6640625" style="309" customWidth="1"/>
    <col min="4" max="4" width="9.109375" style="309"/>
    <col min="5" max="5" width="11.88671875" style="309" customWidth="1"/>
    <col min="6" max="6" width="1.6640625" style="309" customWidth="1"/>
    <col min="7" max="7" width="14.6640625" style="309" customWidth="1"/>
    <col min="8" max="8" width="1.6640625" style="309" customWidth="1"/>
    <col min="9" max="9" width="14.6640625" style="309" customWidth="1"/>
    <col min="10" max="10" width="1.6640625" style="309" customWidth="1"/>
    <col min="11" max="11" width="14.6640625" style="309" customWidth="1"/>
    <col min="12" max="12" width="1.6640625" style="309" customWidth="1"/>
    <col min="13" max="13" width="14.6640625" style="309" customWidth="1"/>
    <col min="14" max="14" width="10.88671875" style="309" bestFit="1" customWidth="1"/>
    <col min="15" max="15" width="13.5546875" style="309" bestFit="1" customWidth="1"/>
    <col min="16" max="16384" width="9.109375" style="309"/>
  </cols>
  <sheetData>
    <row r="2" spans="2:15" ht="20.399999999999999">
      <c r="B2" s="1619" t="s">
        <v>3352</v>
      </c>
      <c r="C2" s="1619"/>
      <c r="D2" s="1619"/>
      <c r="E2" s="1619"/>
      <c r="F2" s="1619"/>
      <c r="G2" s="1619"/>
      <c r="H2" s="1619"/>
      <c r="I2" s="1619"/>
      <c r="J2" s="1619"/>
      <c r="K2" s="1619"/>
      <c r="L2" s="1619"/>
      <c r="M2" s="1619"/>
    </row>
    <row r="3" spans="2:15">
      <c r="B3" s="1644"/>
      <c r="C3" s="1644"/>
      <c r="D3" s="1644"/>
      <c r="E3" s="1644"/>
      <c r="F3" s="1644"/>
      <c r="G3" s="1644"/>
      <c r="H3" s="1644"/>
      <c r="I3" s="1644"/>
      <c r="J3" s="1644"/>
      <c r="K3" s="1644"/>
      <c r="L3" s="1644"/>
      <c r="M3" s="1644"/>
    </row>
    <row r="5" spans="2:15">
      <c r="B5" s="1687"/>
      <c r="C5" s="1687"/>
      <c r="D5" s="1687"/>
      <c r="G5" s="702" t="s">
        <v>414</v>
      </c>
      <c r="I5" s="704"/>
      <c r="K5" s="704"/>
    </row>
    <row r="6" spans="2:15">
      <c r="B6" s="1687"/>
      <c r="C6" s="1687"/>
      <c r="D6" s="1687"/>
      <c r="G6" s="284" t="str">
        <f>'6b.3-Trust Fund Reserves'!G6</f>
        <v>Dec. 31, 2020</v>
      </c>
      <c r="I6" s="702"/>
      <c r="K6" s="702"/>
      <c r="M6" s="702" t="s">
        <v>530</v>
      </c>
    </row>
    <row r="7" spans="2:15">
      <c r="G7" s="702" t="s">
        <v>433</v>
      </c>
      <c r="I7" s="702"/>
      <c r="K7" s="702"/>
      <c r="M7" s="702" t="s">
        <v>437</v>
      </c>
    </row>
    <row r="8" spans="2:15">
      <c r="B8" s="1687" t="s">
        <v>413</v>
      </c>
      <c r="C8" s="1687"/>
      <c r="D8" s="1687"/>
      <c r="G8" s="704" t="s">
        <v>432</v>
      </c>
      <c r="I8" s="704" t="s">
        <v>427</v>
      </c>
      <c r="K8" s="704" t="s">
        <v>536</v>
      </c>
      <c r="M8" s="281" t="str">
        <f>'6b.3-Trust Fund Reserves'!M8</f>
        <v>Dec. 31, 2021</v>
      </c>
    </row>
    <row r="9" spans="2:15">
      <c r="B9" s="704"/>
      <c r="C9" s="704"/>
      <c r="D9" s="704"/>
      <c r="G9" s="240"/>
      <c r="I9" s="704"/>
      <c r="K9" s="704"/>
      <c r="M9" s="129"/>
    </row>
    <row r="10" spans="2:15" ht="21" customHeight="1">
      <c r="B10" s="814" t="s">
        <v>3259</v>
      </c>
      <c r="C10" s="815"/>
      <c r="D10" s="815"/>
      <c r="E10" s="815"/>
      <c r="F10" s="797"/>
      <c r="G10" s="816">
        <f>+'6b.3-Trust Fund Reserves'!G48</f>
        <v>436052.89</v>
      </c>
      <c r="H10" s="797"/>
      <c r="I10" s="816">
        <f>+'6b.3-Trust Fund Reserves'!I48</f>
        <v>601838.32999999996</v>
      </c>
      <c r="J10" s="797"/>
      <c r="K10" s="816">
        <f>+'6b.3-Trust Fund Reserves'!K48</f>
        <v>603440.96000000008</v>
      </c>
      <c r="L10" s="797"/>
      <c r="M10" s="816">
        <f>+'6b.3-Trust Fund Reserves'!M48</f>
        <v>434450.25999999989</v>
      </c>
      <c r="N10" s="312"/>
      <c r="O10" s="312"/>
    </row>
    <row r="11" spans="2:15" ht="21" customHeight="1">
      <c r="B11" s="354"/>
      <c r="C11" s="354"/>
      <c r="D11" s="354"/>
      <c r="E11" s="354"/>
      <c r="F11" s="797"/>
      <c r="G11" s="355"/>
      <c r="H11" s="797"/>
      <c r="I11" s="355"/>
      <c r="J11" s="797"/>
      <c r="K11" s="355"/>
      <c r="L11" s="357"/>
      <c r="M11" s="813">
        <f t="shared" ref="M11:M47" si="0">+G11+I11-K11</f>
        <v>0</v>
      </c>
      <c r="N11" s="312"/>
    </row>
    <row r="12" spans="2:15" ht="21" customHeight="1">
      <c r="B12" s="354"/>
      <c r="C12" s="354"/>
      <c r="D12" s="354"/>
      <c r="E12" s="354"/>
      <c r="F12" s="797"/>
      <c r="G12" s="355"/>
      <c r="H12" s="797"/>
      <c r="I12" s="355"/>
      <c r="J12" s="797"/>
      <c r="K12" s="355"/>
      <c r="L12" s="357"/>
      <c r="M12" s="813">
        <f t="shared" si="0"/>
        <v>0</v>
      </c>
      <c r="N12" s="312"/>
    </row>
    <row r="13" spans="2:15" ht="21" customHeight="1">
      <c r="B13" s="354"/>
      <c r="C13" s="354"/>
      <c r="D13" s="354"/>
      <c r="E13" s="354"/>
      <c r="F13" s="797"/>
      <c r="G13" s="355"/>
      <c r="H13" s="797"/>
      <c r="I13" s="634"/>
      <c r="J13" s="797"/>
      <c r="K13" s="355"/>
      <c r="L13" s="357"/>
      <c r="M13" s="813">
        <f t="shared" si="0"/>
        <v>0</v>
      </c>
      <c r="N13" s="312"/>
      <c r="O13" s="356"/>
    </row>
    <row r="14" spans="2:15" ht="21" customHeight="1">
      <c r="B14" s="635"/>
      <c r="C14" s="354"/>
      <c r="D14" s="354"/>
      <c r="E14" s="354"/>
      <c r="F14" s="797"/>
      <c r="G14" s="355"/>
      <c r="H14" s="797"/>
      <c r="I14" s="355"/>
      <c r="J14" s="797"/>
      <c r="K14" s="355"/>
      <c r="L14" s="357"/>
      <c r="M14" s="813">
        <f t="shared" si="0"/>
        <v>0</v>
      </c>
      <c r="N14" s="312"/>
    </row>
    <row r="15" spans="2:15" ht="21" customHeight="1">
      <c r="B15" s="354"/>
      <c r="C15" s="354"/>
      <c r="D15" s="354"/>
      <c r="E15" s="354"/>
      <c r="F15" s="797"/>
      <c r="G15" s="355"/>
      <c r="H15" s="797"/>
      <c r="I15" s="355"/>
      <c r="J15" s="797"/>
      <c r="K15" s="355"/>
      <c r="L15" s="357"/>
      <c r="M15" s="813">
        <f t="shared" si="0"/>
        <v>0</v>
      </c>
      <c r="N15" s="312"/>
    </row>
    <row r="16" spans="2:15" ht="21" customHeight="1">
      <c r="B16" s="354"/>
      <c r="C16" s="354"/>
      <c r="D16" s="354"/>
      <c r="E16" s="354"/>
      <c r="F16" s="797"/>
      <c r="G16" s="355"/>
      <c r="H16" s="797"/>
      <c r="I16" s="355"/>
      <c r="J16" s="797"/>
      <c r="K16" s="355"/>
      <c r="L16" s="357"/>
      <c r="M16" s="813">
        <f t="shared" si="0"/>
        <v>0</v>
      </c>
      <c r="N16" s="312"/>
    </row>
    <row r="17" spans="2:14" ht="21" customHeight="1">
      <c r="B17" s="354"/>
      <c r="C17" s="354"/>
      <c r="D17" s="354"/>
      <c r="E17" s="354"/>
      <c r="F17" s="797"/>
      <c r="G17" s="355"/>
      <c r="H17" s="797"/>
      <c r="I17" s="355"/>
      <c r="J17" s="797"/>
      <c r="K17" s="355"/>
      <c r="L17" s="357"/>
      <c r="M17" s="813">
        <f t="shared" si="0"/>
        <v>0</v>
      </c>
      <c r="N17" s="312"/>
    </row>
    <row r="18" spans="2:14" ht="21" customHeight="1">
      <c r="B18" s="354"/>
      <c r="C18" s="354"/>
      <c r="D18" s="354"/>
      <c r="E18" s="354"/>
      <c r="F18" s="797"/>
      <c r="G18" s="355"/>
      <c r="H18" s="797"/>
      <c r="I18" s="355"/>
      <c r="J18" s="797"/>
      <c r="K18" s="355"/>
      <c r="L18" s="357"/>
      <c r="M18" s="813">
        <f t="shared" si="0"/>
        <v>0</v>
      </c>
      <c r="N18" s="312"/>
    </row>
    <row r="19" spans="2:14" ht="21" customHeight="1">
      <c r="B19" s="635"/>
      <c r="C19" s="354"/>
      <c r="D19" s="354"/>
      <c r="E19" s="354"/>
      <c r="F19" s="797"/>
      <c r="G19" s="355"/>
      <c r="H19" s="797"/>
      <c r="I19" s="355"/>
      <c r="J19" s="797"/>
      <c r="K19" s="355"/>
      <c r="L19" s="357"/>
      <c r="M19" s="813">
        <f t="shared" si="0"/>
        <v>0</v>
      </c>
      <c r="N19" s="312"/>
    </row>
    <row r="20" spans="2:14" ht="21" customHeight="1">
      <c r="B20" s="635"/>
      <c r="C20" s="354"/>
      <c r="D20" s="354"/>
      <c r="E20" s="354"/>
      <c r="F20" s="797"/>
      <c r="G20" s="355"/>
      <c r="H20" s="797"/>
      <c r="I20" s="355"/>
      <c r="J20" s="797"/>
      <c r="K20" s="355"/>
      <c r="L20" s="357"/>
      <c r="M20" s="813">
        <f t="shared" si="0"/>
        <v>0</v>
      </c>
      <c r="N20" s="312"/>
    </row>
    <row r="21" spans="2:14" ht="21" customHeight="1">
      <c r="B21" s="635"/>
      <c r="C21" s="354"/>
      <c r="D21" s="354"/>
      <c r="E21" s="354"/>
      <c r="F21" s="797"/>
      <c r="G21" s="355"/>
      <c r="H21" s="797"/>
      <c r="I21" s="355"/>
      <c r="J21" s="797"/>
      <c r="K21" s="355"/>
      <c r="L21" s="357"/>
      <c r="M21" s="813">
        <f t="shared" si="0"/>
        <v>0</v>
      </c>
      <c r="N21" s="312"/>
    </row>
    <row r="22" spans="2:14" ht="21" customHeight="1">
      <c r="B22" s="635"/>
      <c r="C22" s="354"/>
      <c r="D22" s="354"/>
      <c r="E22" s="354"/>
      <c r="F22" s="797"/>
      <c r="G22" s="355"/>
      <c r="H22" s="797"/>
      <c r="I22" s="355"/>
      <c r="J22" s="797"/>
      <c r="K22" s="355"/>
      <c r="L22" s="357"/>
      <c r="M22" s="813">
        <f t="shared" si="0"/>
        <v>0</v>
      </c>
      <c r="N22" s="312"/>
    </row>
    <row r="23" spans="2:14" ht="21" customHeight="1">
      <c r="B23" s="635"/>
      <c r="C23" s="354"/>
      <c r="D23" s="354"/>
      <c r="E23" s="354"/>
      <c r="F23" s="797"/>
      <c r="G23" s="355"/>
      <c r="H23" s="797"/>
      <c r="I23" s="355"/>
      <c r="J23" s="797"/>
      <c r="K23" s="355"/>
      <c r="L23" s="357"/>
      <c r="M23" s="813">
        <f t="shared" si="0"/>
        <v>0</v>
      </c>
      <c r="N23" s="312"/>
    </row>
    <row r="24" spans="2:14" ht="21" customHeight="1">
      <c r="B24" s="635"/>
      <c r="C24" s="354"/>
      <c r="D24" s="354"/>
      <c r="E24" s="354"/>
      <c r="F24" s="797"/>
      <c r="G24" s="355"/>
      <c r="H24" s="797"/>
      <c r="I24" s="355"/>
      <c r="J24" s="797"/>
      <c r="K24" s="355"/>
      <c r="L24" s="357"/>
      <c r="M24" s="813">
        <f t="shared" si="0"/>
        <v>0</v>
      </c>
      <c r="N24" s="312"/>
    </row>
    <row r="25" spans="2:14" ht="21" customHeight="1">
      <c r="B25" s="354"/>
      <c r="C25" s="354"/>
      <c r="D25" s="354"/>
      <c r="E25" s="354"/>
      <c r="F25" s="797"/>
      <c r="G25" s="355"/>
      <c r="H25" s="797"/>
      <c r="I25" s="355"/>
      <c r="J25" s="797"/>
      <c r="K25" s="355"/>
      <c r="L25" s="357"/>
      <c r="M25" s="813">
        <f t="shared" si="0"/>
        <v>0</v>
      </c>
      <c r="N25" s="312"/>
    </row>
    <row r="26" spans="2:14" ht="21" customHeight="1">
      <c r="B26" s="354"/>
      <c r="C26" s="354"/>
      <c r="D26" s="354"/>
      <c r="E26" s="354"/>
      <c r="F26" s="797"/>
      <c r="G26" s="355"/>
      <c r="H26" s="797"/>
      <c r="I26" s="355"/>
      <c r="J26" s="797"/>
      <c r="K26" s="355"/>
      <c r="L26" s="357"/>
      <c r="M26" s="813">
        <f t="shared" si="0"/>
        <v>0</v>
      </c>
    </row>
    <row r="27" spans="2:14" ht="21" customHeight="1">
      <c r="B27" s="354"/>
      <c r="C27" s="354"/>
      <c r="D27" s="354"/>
      <c r="E27" s="354"/>
      <c r="F27" s="797"/>
      <c r="G27" s="355"/>
      <c r="H27" s="797"/>
      <c r="I27" s="355"/>
      <c r="J27" s="797"/>
      <c r="K27" s="355"/>
      <c r="L27" s="357"/>
      <c r="M27" s="813">
        <f t="shared" si="0"/>
        <v>0</v>
      </c>
    </row>
    <row r="28" spans="2:14" ht="21" customHeight="1">
      <c r="B28" s="354"/>
      <c r="C28" s="354"/>
      <c r="D28" s="354"/>
      <c r="E28" s="354"/>
      <c r="F28" s="797"/>
      <c r="G28" s="355"/>
      <c r="H28" s="797"/>
      <c r="I28" s="355"/>
      <c r="J28" s="797"/>
      <c r="K28" s="355"/>
      <c r="L28" s="357"/>
      <c r="M28" s="813">
        <f t="shared" si="0"/>
        <v>0</v>
      </c>
    </row>
    <row r="29" spans="2:14" ht="21" customHeight="1">
      <c r="B29" s="354"/>
      <c r="C29" s="354"/>
      <c r="D29" s="354"/>
      <c r="E29" s="354"/>
      <c r="F29" s="797"/>
      <c r="G29" s="355"/>
      <c r="H29" s="797"/>
      <c r="I29" s="355"/>
      <c r="J29" s="797"/>
      <c r="K29" s="355"/>
      <c r="L29" s="357"/>
      <c r="M29" s="813">
        <f t="shared" si="0"/>
        <v>0</v>
      </c>
    </row>
    <row r="30" spans="2:14" ht="21" customHeight="1">
      <c r="B30" s="354"/>
      <c r="C30" s="354"/>
      <c r="D30" s="354"/>
      <c r="E30" s="354"/>
      <c r="F30" s="797"/>
      <c r="G30" s="355"/>
      <c r="H30" s="797"/>
      <c r="I30" s="355"/>
      <c r="J30" s="797"/>
      <c r="K30" s="355"/>
      <c r="L30" s="357"/>
      <c r="M30" s="813">
        <f t="shared" si="0"/>
        <v>0</v>
      </c>
    </row>
    <row r="31" spans="2:14" ht="21" customHeight="1">
      <c r="B31" s="354"/>
      <c r="C31" s="354"/>
      <c r="D31" s="354"/>
      <c r="E31" s="354"/>
      <c r="F31" s="797"/>
      <c r="G31" s="355"/>
      <c r="H31" s="797"/>
      <c r="I31" s="355"/>
      <c r="J31" s="797"/>
      <c r="K31" s="355"/>
      <c r="L31" s="357"/>
      <c r="M31" s="813">
        <f t="shared" si="0"/>
        <v>0</v>
      </c>
    </row>
    <row r="32" spans="2:14" ht="21" customHeight="1">
      <c r="B32" s="354"/>
      <c r="C32" s="354"/>
      <c r="D32" s="354"/>
      <c r="E32" s="354"/>
      <c r="F32" s="797"/>
      <c r="G32" s="355"/>
      <c r="H32" s="797"/>
      <c r="I32" s="355"/>
      <c r="J32" s="797"/>
      <c r="K32" s="355"/>
      <c r="L32" s="357"/>
      <c r="M32" s="813">
        <f t="shared" si="0"/>
        <v>0</v>
      </c>
    </row>
    <row r="33" spans="2:13" ht="21" customHeight="1">
      <c r="B33" s="354"/>
      <c r="C33" s="354"/>
      <c r="D33" s="354"/>
      <c r="E33" s="354"/>
      <c r="F33" s="797"/>
      <c r="G33" s="355"/>
      <c r="H33" s="797"/>
      <c r="I33" s="355"/>
      <c r="J33" s="797"/>
      <c r="K33" s="355"/>
      <c r="L33" s="357"/>
      <c r="M33" s="813">
        <f t="shared" si="0"/>
        <v>0</v>
      </c>
    </row>
    <row r="34" spans="2:13" ht="21" customHeight="1">
      <c r="B34" s="354"/>
      <c r="C34" s="354"/>
      <c r="D34" s="354"/>
      <c r="E34" s="354"/>
      <c r="F34" s="797"/>
      <c r="G34" s="355"/>
      <c r="H34" s="797"/>
      <c r="I34" s="355"/>
      <c r="J34" s="797"/>
      <c r="K34" s="355"/>
      <c r="L34" s="357"/>
      <c r="M34" s="813">
        <f t="shared" si="0"/>
        <v>0</v>
      </c>
    </row>
    <row r="35" spans="2:13" ht="21" customHeight="1">
      <c r="B35" s="354"/>
      <c r="C35" s="354"/>
      <c r="D35" s="354"/>
      <c r="E35" s="354"/>
      <c r="F35" s="797"/>
      <c r="G35" s="355"/>
      <c r="H35" s="797"/>
      <c r="I35" s="355"/>
      <c r="J35" s="797"/>
      <c r="K35" s="355"/>
      <c r="L35" s="357"/>
      <c r="M35" s="813">
        <f t="shared" si="0"/>
        <v>0</v>
      </c>
    </row>
    <row r="36" spans="2:13" ht="21" customHeight="1">
      <c r="B36" s="354"/>
      <c r="C36" s="354"/>
      <c r="D36" s="354"/>
      <c r="E36" s="354"/>
      <c r="F36" s="797"/>
      <c r="G36" s="355"/>
      <c r="H36" s="797"/>
      <c r="I36" s="355"/>
      <c r="J36" s="797"/>
      <c r="K36" s="355"/>
      <c r="L36" s="357"/>
      <c r="M36" s="813">
        <f t="shared" si="0"/>
        <v>0</v>
      </c>
    </row>
    <row r="37" spans="2:13" ht="21" customHeight="1">
      <c r="B37" s="354"/>
      <c r="C37" s="354"/>
      <c r="D37" s="354"/>
      <c r="E37" s="354"/>
      <c r="F37" s="797"/>
      <c r="G37" s="355"/>
      <c r="H37" s="797"/>
      <c r="I37" s="355"/>
      <c r="J37" s="797"/>
      <c r="K37" s="355"/>
      <c r="L37" s="357"/>
      <c r="M37" s="813">
        <f t="shared" si="0"/>
        <v>0</v>
      </c>
    </row>
    <row r="38" spans="2:13" ht="21" customHeight="1">
      <c r="B38" s="354"/>
      <c r="C38" s="354"/>
      <c r="D38" s="354"/>
      <c r="E38" s="354"/>
      <c r="F38" s="797"/>
      <c r="G38" s="355"/>
      <c r="H38" s="797"/>
      <c r="I38" s="355"/>
      <c r="J38" s="797"/>
      <c r="K38" s="355"/>
      <c r="L38" s="357"/>
      <c r="M38" s="813">
        <f t="shared" si="0"/>
        <v>0</v>
      </c>
    </row>
    <row r="39" spans="2:13" ht="21" customHeight="1">
      <c r="B39" s="354"/>
      <c r="C39" s="354"/>
      <c r="D39" s="354"/>
      <c r="E39" s="354"/>
      <c r="F39" s="797"/>
      <c r="G39" s="355"/>
      <c r="H39" s="797"/>
      <c r="I39" s="355"/>
      <c r="J39" s="797"/>
      <c r="K39" s="355"/>
      <c r="L39" s="357"/>
      <c r="M39" s="813">
        <f t="shared" si="0"/>
        <v>0</v>
      </c>
    </row>
    <row r="40" spans="2:13" ht="21" customHeight="1">
      <c r="B40" s="354"/>
      <c r="C40" s="354"/>
      <c r="D40" s="354"/>
      <c r="E40" s="354"/>
      <c r="F40" s="797"/>
      <c r="G40" s="355"/>
      <c r="H40" s="797"/>
      <c r="I40" s="355"/>
      <c r="J40" s="797"/>
      <c r="K40" s="355"/>
      <c r="L40" s="357"/>
      <c r="M40" s="813">
        <f t="shared" si="0"/>
        <v>0</v>
      </c>
    </row>
    <row r="41" spans="2:13" ht="21" customHeight="1">
      <c r="B41" s="354"/>
      <c r="C41" s="354"/>
      <c r="D41" s="354"/>
      <c r="E41" s="354"/>
      <c r="F41" s="797"/>
      <c r="G41" s="355"/>
      <c r="H41" s="797"/>
      <c r="I41" s="355"/>
      <c r="J41" s="797"/>
      <c r="K41" s="355"/>
      <c r="L41" s="357"/>
      <c r="M41" s="813">
        <f t="shared" si="0"/>
        <v>0</v>
      </c>
    </row>
    <row r="42" spans="2:13" ht="21" customHeight="1">
      <c r="B42" s="354"/>
      <c r="C42" s="354"/>
      <c r="D42" s="354"/>
      <c r="E42" s="354"/>
      <c r="F42" s="797"/>
      <c r="G42" s="355"/>
      <c r="H42" s="797"/>
      <c r="I42" s="355"/>
      <c r="J42" s="797"/>
      <c r="K42" s="355"/>
      <c r="L42" s="357"/>
      <c r="M42" s="813">
        <f t="shared" si="0"/>
        <v>0</v>
      </c>
    </row>
    <row r="43" spans="2:13" ht="21" customHeight="1">
      <c r="B43" s="354"/>
      <c r="C43" s="354"/>
      <c r="D43" s="354"/>
      <c r="E43" s="354"/>
      <c r="F43" s="797"/>
      <c r="G43" s="355"/>
      <c r="H43" s="797"/>
      <c r="I43" s="355"/>
      <c r="J43" s="797"/>
      <c r="K43" s="355"/>
      <c r="L43" s="357"/>
      <c r="M43" s="813">
        <f t="shared" si="0"/>
        <v>0</v>
      </c>
    </row>
    <row r="44" spans="2:13" ht="21" customHeight="1">
      <c r="B44" s="354"/>
      <c r="C44" s="354"/>
      <c r="D44" s="354"/>
      <c r="E44" s="354"/>
      <c r="F44" s="797"/>
      <c r="G44" s="355"/>
      <c r="H44" s="797"/>
      <c r="I44" s="355"/>
      <c r="J44" s="797"/>
      <c r="K44" s="355"/>
      <c r="L44" s="357"/>
      <c r="M44" s="813">
        <f t="shared" si="0"/>
        <v>0</v>
      </c>
    </row>
    <row r="45" spans="2:13" ht="21" customHeight="1">
      <c r="B45" s="354"/>
      <c r="C45" s="354"/>
      <c r="D45" s="354"/>
      <c r="E45" s="354"/>
      <c r="F45" s="797"/>
      <c r="G45" s="355"/>
      <c r="H45" s="797"/>
      <c r="I45" s="355"/>
      <c r="J45" s="797"/>
      <c r="K45" s="355"/>
      <c r="L45" s="357"/>
      <c r="M45" s="813">
        <f t="shared" si="0"/>
        <v>0</v>
      </c>
    </row>
    <row r="46" spans="2:13" ht="21" customHeight="1">
      <c r="B46" s="354"/>
      <c r="C46" s="354"/>
      <c r="D46" s="354"/>
      <c r="E46" s="354"/>
      <c r="F46" s="797"/>
      <c r="G46" s="355"/>
      <c r="H46" s="797"/>
      <c r="I46" s="355"/>
      <c r="J46" s="797"/>
      <c r="K46" s="355"/>
      <c r="L46" s="357"/>
      <c r="M46" s="813">
        <f t="shared" si="0"/>
        <v>0</v>
      </c>
    </row>
    <row r="47" spans="2:13" ht="21" customHeight="1">
      <c r="B47" s="354"/>
      <c r="C47" s="354"/>
      <c r="D47" s="354"/>
      <c r="E47" s="354"/>
      <c r="F47" s="797"/>
      <c r="G47" s="355"/>
      <c r="H47" s="797"/>
      <c r="I47" s="355"/>
      <c r="J47" s="797"/>
      <c r="K47" s="355"/>
      <c r="L47" s="357"/>
      <c r="M47" s="813">
        <f t="shared" si="0"/>
        <v>0</v>
      </c>
    </row>
    <row r="48" spans="2:13" ht="21" customHeight="1">
      <c r="B48" s="274"/>
      <c r="C48" s="274"/>
      <c r="D48" s="147" t="s">
        <v>3258</v>
      </c>
      <c r="E48" s="274"/>
      <c r="F48" s="309" t="s">
        <v>373</v>
      </c>
      <c r="G48" s="156">
        <f>SUM(G10:G47)</f>
        <v>436052.89</v>
      </c>
      <c r="H48" s="309" t="s">
        <v>373</v>
      </c>
      <c r="I48" s="156">
        <f>SUM(I10:I47)</f>
        <v>601838.32999999996</v>
      </c>
      <c r="J48" s="309" t="s">
        <v>373</v>
      </c>
      <c r="K48" s="156">
        <f>SUM(K10:K47)</f>
        <v>603440.96000000008</v>
      </c>
      <c r="L48" s="309" t="s">
        <v>373</v>
      </c>
      <c r="M48" s="813">
        <f>SUM(M10:M47)</f>
        <v>434450.25999999989</v>
      </c>
    </row>
    <row r="50" spans="2:13" ht="13.8">
      <c r="B50" s="1688" t="s">
        <v>3262</v>
      </c>
      <c r="C50" s="1688"/>
      <c r="D50" s="1688"/>
      <c r="E50" s="1688"/>
      <c r="F50" s="1688"/>
      <c r="G50" s="1688"/>
      <c r="H50" s="1688"/>
      <c r="I50" s="1688"/>
      <c r="J50" s="1688"/>
      <c r="K50" s="1688"/>
      <c r="L50" s="1688"/>
      <c r="M50" s="1688"/>
    </row>
    <row r="52" spans="2:13">
      <c r="G52" s="312"/>
      <c r="M52" s="312"/>
    </row>
  </sheetData>
  <sheetProtection algorithmName="SHA-512" hashValue="8MIoee8910vXDw+E1l0W+F9kpF5UelAQaF/ArY882KPzNPdAH9DMEa9Cdj5nCgZe+Qet6BbjkwhkPnW8wnDojg==" saltValue="H0q1sO+3ok1buVrowzJRhg==" spinCount="100000" sheet="1" scenarios="1"/>
  <mergeCells count="6">
    <mergeCell ref="B50:M50"/>
    <mergeCell ref="B2:M2"/>
    <mergeCell ref="B3:M3"/>
    <mergeCell ref="B5:D5"/>
    <mergeCell ref="B6:D6"/>
    <mergeCell ref="B8:D8"/>
  </mergeCells>
  <pageMargins left="0.25" right="0.25" top="0.5" bottom="0.5" header="0.25" footer="0.25"/>
  <pageSetup paperSize="5" scale="9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2:P27"/>
  <sheetViews>
    <sheetView zoomScaleNormal="100" workbookViewId="0">
      <selection activeCell="B10" sqref="B10"/>
    </sheetView>
  </sheetViews>
  <sheetFormatPr defaultRowHeight="13.2"/>
  <cols>
    <col min="1" max="1" width="5.6640625" customWidth="1"/>
    <col min="2" max="3" width="4.88671875" customWidth="1"/>
    <col min="4" max="4" width="30.6640625" customWidth="1"/>
    <col min="5" max="12" width="15.6640625" customWidth="1"/>
  </cols>
  <sheetData>
    <row r="2" spans="1:16" ht="20.399999999999999">
      <c r="B2" s="1619" t="s">
        <v>527</v>
      </c>
      <c r="C2" s="1619"/>
      <c r="D2" s="1619"/>
      <c r="E2" s="1619"/>
      <c r="F2" s="1619"/>
      <c r="G2" s="1619"/>
      <c r="H2" s="1619"/>
      <c r="I2" s="1619"/>
      <c r="J2" s="1619"/>
      <c r="K2" s="1619"/>
      <c r="L2" s="1619"/>
    </row>
    <row r="3" spans="1:16" ht="21" thickBot="1">
      <c r="B3" s="1619" t="s">
        <v>528</v>
      </c>
      <c r="C3" s="1619"/>
      <c r="D3" s="1619"/>
      <c r="E3" s="1619"/>
      <c r="F3" s="1619"/>
      <c r="G3" s="1619"/>
      <c r="H3" s="1619"/>
      <c r="I3" s="1619"/>
      <c r="J3" s="1619"/>
      <c r="K3" s="1619"/>
      <c r="L3" s="1619"/>
    </row>
    <row r="4" spans="1:16" ht="13.8" thickTop="1">
      <c r="B4" s="11"/>
      <c r="C4" s="11"/>
      <c r="D4" s="11"/>
      <c r="E4" s="12" t="s">
        <v>529</v>
      </c>
      <c r="F4" s="11"/>
      <c r="G4" s="11"/>
      <c r="H4" s="11"/>
      <c r="I4" s="11"/>
      <c r="J4" s="6"/>
      <c r="K4" s="11"/>
      <c r="L4" s="821"/>
    </row>
    <row r="5" spans="1:16" ht="15.6">
      <c r="B5" s="309"/>
      <c r="C5" s="309" t="s">
        <v>537</v>
      </c>
      <c r="D5" s="309"/>
      <c r="E5" s="270" t="s">
        <v>530</v>
      </c>
      <c r="F5" s="1689" t="s">
        <v>531</v>
      </c>
      <c r="G5" s="1690"/>
      <c r="H5" s="1690"/>
      <c r="I5" s="1691"/>
      <c r="J5" s="15"/>
      <c r="K5" s="309"/>
      <c r="L5" s="822" t="s">
        <v>530</v>
      </c>
    </row>
    <row r="6" spans="1:16">
      <c r="B6" s="309"/>
      <c r="C6" s="309" t="s">
        <v>538</v>
      </c>
      <c r="D6" s="309"/>
      <c r="E6" s="286" t="str">
        <f>'6b-Total Trust Fund Reserves'!G6</f>
        <v>Dec. 31, 2020</v>
      </c>
      <c r="F6" s="270" t="s">
        <v>532</v>
      </c>
      <c r="G6" s="270" t="s">
        <v>534</v>
      </c>
      <c r="H6" s="15"/>
      <c r="I6" s="15"/>
      <c r="J6" s="15"/>
      <c r="K6" s="781" t="s">
        <v>536</v>
      </c>
      <c r="L6" s="823" t="str">
        <f>'6b-Total Trust Fund Reserves'!M8</f>
        <v>Dec. 31, 2021</v>
      </c>
    </row>
    <row r="7" spans="1:16" ht="13.8" thickBot="1">
      <c r="B7" s="10"/>
      <c r="C7" s="10"/>
      <c r="D7" s="10"/>
      <c r="E7" s="14"/>
      <c r="F7" s="16" t="s">
        <v>533</v>
      </c>
      <c r="G7" s="16" t="s">
        <v>535</v>
      </c>
      <c r="H7" s="14"/>
      <c r="I7" s="14"/>
      <c r="J7" s="14"/>
      <c r="K7" s="17"/>
      <c r="L7" s="824"/>
    </row>
    <row r="8" spans="1:16" ht="21" customHeight="1" thickTop="1">
      <c r="B8" s="358" t="s">
        <v>622</v>
      </c>
      <c r="C8" s="358"/>
      <c r="D8" s="359"/>
      <c r="E8" s="141" t="s">
        <v>628</v>
      </c>
      <c r="F8" s="141" t="s">
        <v>628</v>
      </c>
      <c r="G8" s="141" t="s">
        <v>628</v>
      </c>
      <c r="H8" s="141" t="s">
        <v>628</v>
      </c>
      <c r="I8" s="141" t="s">
        <v>628</v>
      </c>
      <c r="J8" s="141" t="s">
        <v>628</v>
      </c>
      <c r="K8" s="141" t="s">
        <v>628</v>
      </c>
      <c r="L8" s="825" t="s">
        <v>628</v>
      </c>
    </row>
    <row r="9" spans="1:16" ht="21" customHeight="1">
      <c r="B9" s="538" t="s">
        <v>3730</v>
      </c>
      <c r="C9" s="538"/>
      <c r="D9" s="544"/>
      <c r="E9" s="353"/>
      <c r="F9" s="353"/>
      <c r="G9" s="353"/>
      <c r="H9" s="353"/>
      <c r="I9" s="353"/>
      <c r="J9" s="353"/>
      <c r="K9" s="353"/>
      <c r="L9" s="802">
        <f>+E9+F9+G9+H9+I9-J9-K9</f>
        <v>0</v>
      </c>
    </row>
    <row r="10" spans="1:16" ht="21" customHeight="1">
      <c r="B10" s="538"/>
      <c r="C10" s="538"/>
      <c r="D10" s="544"/>
      <c r="E10" s="353"/>
      <c r="F10" s="353"/>
      <c r="G10" s="353"/>
      <c r="H10" s="353"/>
      <c r="I10" s="353"/>
      <c r="J10" s="353"/>
      <c r="K10" s="353"/>
      <c r="L10" s="802">
        <f t="shared" ref="L10:L13" si="0">+E10+F10+G10+H10+I10-J10-K10</f>
        <v>0</v>
      </c>
    </row>
    <row r="11" spans="1:16" ht="21" customHeight="1">
      <c r="B11" s="538"/>
      <c r="C11" s="538"/>
      <c r="D11" s="544"/>
      <c r="E11" s="353"/>
      <c r="F11" s="353"/>
      <c r="G11" s="353"/>
      <c r="H11" s="353"/>
      <c r="I11" s="353"/>
      <c r="J11" s="353"/>
      <c r="K11" s="353"/>
      <c r="L11" s="802">
        <f t="shared" si="0"/>
        <v>0</v>
      </c>
      <c r="P11" s="356"/>
    </row>
    <row r="12" spans="1:16" ht="21" customHeight="1">
      <c r="B12" s="538"/>
      <c r="C12" s="538"/>
      <c r="D12" s="544"/>
      <c r="E12" s="353"/>
      <c r="F12" s="353"/>
      <c r="G12" s="353"/>
      <c r="H12" s="353"/>
      <c r="I12" s="353"/>
      <c r="J12" s="353"/>
      <c r="K12" s="353"/>
      <c r="L12" s="802">
        <f t="shared" si="0"/>
        <v>0</v>
      </c>
    </row>
    <row r="13" spans="1:16" ht="21" customHeight="1">
      <c r="B13" s="538"/>
      <c r="C13" s="538"/>
      <c r="D13" s="544"/>
      <c r="E13" s="567"/>
      <c r="F13" s="353"/>
      <c r="G13" s="353"/>
      <c r="H13" s="353"/>
      <c r="I13" s="353"/>
      <c r="J13" s="353"/>
      <c r="K13" s="353"/>
      <c r="L13" s="802">
        <f t="shared" si="0"/>
        <v>0</v>
      </c>
    </row>
    <row r="14" spans="1:16" ht="21" customHeight="1">
      <c r="B14" s="360" t="s">
        <v>623</v>
      </c>
      <c r="C14" s="360"/>
      <c r="D14" s="361"/>
      <c r="E14" s="142" t="s">
        <v>628</v>
      </c>
      <c r="F14" s="142" t="s">
        <v>628</v>
      </c>
      <c r="G14" s="142" t="s">
        <v>628</v>
      </c>
      <c r="H14" s="142" t="s">
        <v>628</v>
      </c>
      <c r="I14" s="142" t="s">
        <v>628</v>
      </c>
      <c r="J14" s="142" t="s">
        <v>628</v>
      </c>
      <c r="K14" s="142" t="s">
        <v>628</v>
      </c>
      <c r="L14" s="826" t="s">
        <v>628</v>
      </c>
    </row>
    <row r="15" spans="1:16" ht="21" customHeight="1">
      <c r="A15" s="1692" t="s">
        <v>539</v>
      </c>
      <c r="B15" s="538"/>
      <c r="C15" s="538"/>
      <c r="D15" s="544"/>
      <c r="E15" s="353"/>
      <c r="F15" s="353"/>
      <c r="G15" s="353"/>
      <c r="H15" s="353"/>
      <c r="I15" s="353"/>
      <c r="J15" s="353"/>
      <c r="K15" s="353"/>
      <c r="L15" s="802">
        <f>+E15+F15+G15+H15+I15-J15-K15</f>
        <v>0</v>
      </c>
    </row>
    <row r="16" spans="1:16" ht="21" customHeight="1">
      <c r="A16" s="1692"/>
      <c r="B16" s="538"/>
      <c r="C16" s="538"/>
      <c r="D16" s="544"/>
      <c r="E16" s="353"/>
      <c r="F16" s="353"/>
      <c r="G16" s="353"/>
      <c r="H16" s="353"/>
      <c r="I16" s="353"/>
      <c r="J16" s="353"/>
      <c r="K16" s="353"/>
      <c r="L16" s="802">
        <f t="shared" ref="L16:L25" si="1">+E16+F16+G16+H16+I16-J16-K16</f>
        <v>0</v>
      </c>
    </row>
    <row r="17" spans="1:12" ht="21" customHeight="1">
      <c r="A17" s="1692"/>
      <c r="B17" s="538"/>
      <c r="C17" s="538"/>
      <c r="D17" s="544"/>
      <c r="E17" s="353"/>
      <c r="F17" s="353"/>
      <c r="G17" s="353"/>
      <c r="H17" s="353"/>
      <c r="I17" s="353"/>
      <c r="J17" s="353"/>
      <c r="K17" s="353"/>
      <c r="L17" s="802">
        <f t="shared" si="1"/>
        <v>0</v>
      </c>
    </row>
    <row r="18" spans="1:12" ht="21" customHeight="1">
      <c r="B18" s="538"/>
      <c r="C18" s="538"/>
      <c r="D18" s="544"/>
      <c r="E18" s="353"/>
      <c r="F18" s="353"/>
      <c r="G18" s="353"/>
      <c r="H18" s="353"/>
      <c r="I18" s="353"/>
      <c r="J18" s="353"/>
      <c r="K18" s="353"/>
      <c r="L18" s="802">
        <f t="shared" si="1"/>
        <v>0</v>
      </c>
    </row>
    <row r="19" spans="1:12" ht="21" customHeight="1">
      <c r="B19" s="360" t="s">
        <v>624</v>
      </c>
      <c r="C19" s="360"/>
      <c r="D19" s="361"/>
      <c r="E19" s="353"/>
      <c r="F19" s="353"/>
      <c r="G19" s="353"/>
      <c r="H19" s="353"/>
      <c r="I19" s="353"/>
      <c r="J19" s="353"/>
      <c r="K19" s="353"/>
      <c r="L19" s="802">
        <f t="shared" si="1"/>
        <v>0</v>
      </c>
    </row>
    <row r="20" spans="1:12" ht="21" customHeight="1">
      <c r="B20" s="360" t="s">
        <v>625</v>
      </c>
      <c r="C20" s="360"/>
      <c r="D20" s="361"/>
      <c r="E20" s="353"/>
      <c r="F20" s="353"/>
      <c r="G20" s="353"/>
      <c r="H20" s="353"/>
      <c r="I20" s="353"/>
      <c r="J20" s="353"/>
      <c r="K20" s="353"/>
      <c r="L20" s="802">
        <f t="shared" si="1"/>
        <v>0</v>
      </c>
    </row>
    <row r="21" spans="1:12" ht="21" customHeight="1">
      <c r="B21" s="360" t="s">
        <v>626</v>
      </c>
      <c r="C21" s="360"/>
      <c r="D21" s="361"/>
      <c r="E21" s="142" t="s">
        <v>628</v>
      </c>
      <c r="F21" s="142" t="s">
        <v>628</v>
      </c>
      <c r="G21" s="142" t="s">
        <v>628</v>
      </c>
      <c r="H21" s="142" t="s">
        <v>628</v>
      </c>
      <c r="I21" s="142" t="s">
        <v>628</v>
      </c>
      <c r="J21" s="142" t="s">
        <v>628</v>
      </c>
      <c r="K21" s="142" t="s">
        <v>628</v>
      </c>
      <c r="L21" s="827" t="s">
        <v>628</v>
      </c>
    </row>
    <row r="22" spans="1:12" ht="21" customHeight="1">
      <c r="B22" s="538"/>
      <c r="C22" s="538"/>
      <c r="D22" s="544"/>
      <c r="E22" s="1596"/>
      <c r="F22" s="1596"/>
      <c r="G22" s="1596"/>
      <c r="H22" s="1596"/>
      <c r="I22" s="1596"/>
      <c r="J22" s="1596"/>
      <c r="K22" s="1596"/>
      <c r="L22" s="802">
        <f t="shared" si="1"/>
        <v>0</v>
      </c>
    </row>
    <row r="23" spans="1:12" ht="21" customHeight="1">
      <c r="B23" s="538"/>
      <c r="C23" s="538"/>
      <c r="D23" s="544"/>
      <c r="E23" s="1596"/>
      <c r="F23" s="1596"/>
      <c r="G23" s="1596"/>
      <c r="H23" s="1596"/>
      <c r="I23" s="1596"/>
      <c r="J23" s="1596"/>
      <c r="K23" s="1596"/>
      <c r="L23" s="802">
        <f t="shared" si="1"/>
        <v>0</v>
      </c>
    </row>
    <row r="24" spans="1:12" ht="21" customHeight="1">
      <c r="B24" s="538"/>
      <c r="C24" s="538"/>
      <c r="D24" s="544"/>
      <c r="E24" s="1596"/>
      <c r="F24" s="1596"/>
      <c r="G24" s="1596"/>
      <c r="H24" s="1596"/>
      <c r="I24" s="1596"/>
      <c r="J24" s="1596"/>
      <c r="K24" s="1596"/>
      <c r="L24" s="802">
        <f t="shared" si="1"/>
        <v>0</v>
      </c>
    </row>
    <row r="25" spans="1:12" ht="21" customHeight="1">
      <c r="B25" s="538"/>
      <c r="C25" s="538"/>
      <c r="D25" s="544"/>
      <c r="E25" s="1596"/>
      <c r="F25" s="1596"/>
      <c r="G25" s="1596"/>
      <c r="H25" s="1596"/>
      <c r="I25" s="1596"/>
      <c r="J25" s="1596"/>
      <c r="K25" s="1596"/>
      <c r="L25" s="802">
        <f t="shared" si="1"/>
        <v>0</v>
      </c>
    </row>
    <row r="26" spans="1:12" ht="21" customHeight="1" thickBot="1">
      <c r="B26" s="817"/>
      <c r="C26" s="817"/>
      <c r="D26" s="818"/>
      <c r="E26" s="819">
        <f>SUM(E9:E25)</f>
        <v>0</v>
      </c>
      <c r="F26" s="819">
        <f t="shared" ref="F26:K26" si="2">SUM(F9:F25)</f>
        <v>0</v>
      </c>
      <c r="G26" s="819">
        <f t="shared" si="2"/>
        <v>0</v>
      </c>
      <c r="H26" s="819">
        <f t="shared" si="2"/>
        <v>0</v>
      </c>
      <c r="I26" s="819">
        <f t="shared" si="2"/>
        <v>0</v>
      </c>
      <c r="J26" s="819">
        <f t="shared" si="2"/>
        <v>0</v>
      </c>
      <c r="K26" s="819">
        <f t="shared" si="2"/>
        <v>0</v>
      </c>
      <c r="L26" s="820">
        <f>SUM(L9:L25)</f>
        <v>0</v>
      </c>
    </row>
    <row r="27" spans="1:12" ht="13.8" thickTop="1">
      <c r="B27" s="34" t="s">
        <v>627</v>
      </c>
    </row>
  </sheetData>
  <sheetProtection algorithmName="SHA-512" hashValue="mQSXYO75sxVRHPs605wLOjkrD2ssacZ1YrxYJrI+lbvmwMxUiFqqgs8fpVTw1e4XN+/30nrGjJvT/BKrWnZgDw==" saltValue="yaL4tcFnDzZYh/cuXL9m8w==" spinCount="100000" sheet="1" scenarios="1"/>
  <mergeCells count="4">
    <mergeCell ref="B2:L2"/>
    <mergeCell ref="B3:L3"/>
    <mergeCell ref="F5:I5"/>
    <mergeCell ref="A15:A17"/>
  </mergeCells>
  <phoneticPr fontId="0" type="noConversion"/>
  <pageMargins left="0.25" right="0.25" top="0.5" bottom="0.5" header="0.25" footer="0.25"/>
  <pageSetup paperSize="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3:K51"/>
  <sheetViews>
    <sheetView topLeftCell="A10" zoomScaleNormal="100" workbookViewId="0">
      <selection activeCell="G19" sqref="G19"/>
    </sheetView>
  </sheetViews>
  <sheetFormatPr defaultRowHeight="13.2"/>
  <cols>
    <col min="1" max="1" width="4.6640625" customWidth="1"/>
    <col min="2" max="2" width="4.88671875" customWidth="1"/>
    <col min="3" max="4" width="4.6640625" customWidth="1"/>
    <col min="5" max="5" width="30.6640625" customWidth="1"/>
    <col min="6" max="6" width="15.6640625" customWidth="1"/>
    <col min="7" max="8" width="22.88671875" bestFit="1" customWidth="1"/>
    <col min="9" max="9" width="13.5546875" bestFit="1" customWidth="1"/>
    <col min="10" max="10" width="11.88671875" bestFit="1" customWidth="1"/>
    <col min="11" max="11" width="10.33203125" bestFit="1" customWidth="1"/>
  </cols>
  <sheetData>
    <row r="3" spans="2:9" ht="22.8">
      <c r="B3" s="1665" t="s">
        <v>424</v>
      </c>
      <c r="C3" s="1665"/>
      <c r="D3" s="1665"/>
      <c r="E3" s="1665"/>
      <c r="F3" s="1665"/>
      <c r="G3" s="1665"/>
      <c r="H3" s="1665"/>
    </row>
    <row r="4" spans="2:9" ht="22.8">
      <c r="B4" s="1665" t="s">
        <v>190</v>
      </c>
      <c r="C4" s="1665"/>
      <c r="D4" s="1665"/>
      <c r="E4" s="1665"/>
      <c r="F4" s="1665"/>
      <c r="G4" s="1665"/>
      <c r="H4" s="1665"/>
    </row>
    <row r="5" spans="2:9" ht="13.8">
      <c r="B5" s="1693"/>
      <c r="C5" s="1693"/>
      <c r="D5" s="1693"/>
      <c r="E5" s="1693"/>
      <c r="F5" s="1693"/>
      <c r="G5" s="1693"/>
      <c r="H5" s="1693"/>
    </row>
    <row r="6" spans="2:9" ht="15.6">
      <c r="B6" s="1671" t="str">
        <f>IF('KEY INPUTS'!C42 = "State Fiscal Year", 'KEY INPUTS'!F45,'KEY INPUTS'!D45)</f>
        <v>AS  AT  DECEMBER  31, 2021</v>
      </c>
      <c r="C6" s="1620"/>
      <c r="D6" s="1620"/>
      <c r="E6" s="1620"/>
      <c r="F6" s="1620"/>
      <c r="G6" s="1620"/>
      <c r="H6" s="1620"/>
    </row>
    <row r="7" spans="2:9" ht="13.8" thickBot="1"/>
    <row r="8" spans="2:9" ht="36" customHeight="1" thickTop="1" thickBot="1">
      <c r="B8" s="1668" t="s">
        <v>95</v>
      </c>
      <c r="C8" s="1668"/>
      <c r="D8" s="1668"/>
      <c r="E8" s="1668"/>
      <c r="F8" s="1669"/>
      <c r="G8" s="694" t="s">
        <v>96</v>
      </c>
      <c r="H8" s="3" t="s">
        <v>97</v>
      </c>
    </row>
    <row r="9" spans="2:9" ht="21" customHeight="1" thickTop="1">
      <c r="B9" s="311" t="s">
        <v>3616</v>
      </c>
      <c r="C9" s="309"/>
      <c r="D9" s="309"/>
      <c r="E9" s="309"/>
      <c r="F9" s="309"/>
      <c r="G9" s="828">
        <f>+H10</f>
        <v>0</v>
      </c>
      <c r="H9" s="697" t="s">
        <v>628</v>
      </c>
      <c r="I9" s="218"/>
    </row>
    <row r="10" spans="2:9" ht="21" customHeight="1">
      <c r="B10" s="310" t="s">
        <v>193</v>
      </c>
      <c r="C10" s="310"/>
      <c r="D10" s="310"/>
      <c r="E10" s="310"/>
      <c r="F10" s="310"/>
      <c r="G10" s="829" t="s">
        <v>628</v>
      </c>
      <c r="H10" s="696"/>
      <c r="I10" s="218"/>
    </row>
    <row r="11" spans="2:9" ht="21" customHeight="1">
      <c r="B11" s="310"/>
      <c r="C11" s="310"/>
      <c r="D11" s="310"/>
      <c r="E11" s="310"/>
      <c r="F11" s="310"/>
      <c r="G11" s="830"/>
      <c r="H11" s="323"/>
    </row>
    <row r="12" spans="2:9" ht="21" customHeight="1">
      <c r="B12" s="310"/>
      <c r="C12" s="310" t="s">
        <v>351</v>
      </c>
      <c r="D12" s="310"/>
      <c r="E12" s="310"/>
      <c r="F12" s="310"/>
      <c r="G12" s="830">
        <f>+'9-Cash Reconciliation'!I15</f>
        <v>866085.21</v>
      </c>
      <c r="H12" s="696"/>
      <c r="I12" s="711"/>
    </row>
    <row r="13" spans="2:9" ht="21" customHeight="1">
      <c r="B13" s="5"/>
      <c r="C13" s="538"/>
      <c r="D13" s="538"/>
      <c r="E13" s="538"/>
      <c r="F13" s="538"/>
      <c r="G13" s="351"/>
      <c r="H13" s="540"/>
    </row>
    <row r="14" spans="2:9" ht="21" customHeight="1">
      <c r="B14" s="5"/>
      <c r="C14" s="539" t="s">
        <v>3198</v>
      </c>
      <c r="D14" s="538"/>
      <c r="E14" s="538"/>
      <c r="F14" s="538"/>
      <c r="G14" s="561"/>
      <c r="H14" s="540"/>
      <c r="I14" s="218"/>
    </row>
    <row r="15" spans="2:9" ht="21" customHeight="1">
      <c r="B15" s="5"/>
      <c r="C15" s="539" t="s">
        <v>3198</v>
      </c>
      <c r="D15" s="538"/>
      <c r="E15" s="538"/>
      <c r="F15" s="538"/>
      <c r="G15" s="351"/>
      <c r="H15" s="540"/>
      <c r="I15" s="218"/>
    </row>
    <row r="16" spans="2:9" ht="21" customHeight="1">
      <c r="B16" s="5"/>
      <c r="C16" s="617" t="s">
        <v>890</v>
      </c>
      <c r="D16" s="538"/>
      <c r="E16" s="538"/>
      <c r="F16" s="538"/>
      <c r="G16" s="351">
        <v>146918.09</v>
      </c>
      <c r="H16" s="540"/>
      <c r="I16" s="312"/>
    </row>
    <row r="17" spans="2:11" ht="21" customHeight="1">
      <c r="B17" s="5"/>
      <c r="C17" s="5" t="s">
        <v>802</v>
      </c>
      <c r="D17" s="5"/>
      <c r="E17" s="5"/>
      <c r="F17" s="5"/>
      <c r="G17" s="351"/>
      <c r="H17" s="540"/>
    </row>
    <row r="18" spans="2:11" ht="21" customHeight="1">
      <c r="B18" s="5"/>
      <c r="C18" s="5"/>
      <c r="D18" s="5" t="s">
        <v>800</v>
      </c>
      <c r="E18" s="5"/>
      <c r="F18" s="5"/>
      <c r="G18" s="561">
        <v>2170000</v>
      </c>
      <c r="H18" s="540"/>
      <c r="I18" s="710"/>
    </row>
    <row r="19" spans="2:11" ht="21" customHeight="1">
      <c r="B19" s="5"/>
      <c r="C19" s="5"/>
      <c r="D19" s="5" t="s">
        <v>801</v>
      </c>
      <c r="E19" s="5"/>
      <c r="F19" s="5"/>
      <c r="G19" s="695"/>
      <c r="H19" s="696"/>
      <c r="I19" s="218"/>
      <c r="J19" s="218"/>
      <c r="K19" s="299"/>
    </row>
    <row r="20" spans="2:11" ht="21" customHeight="1">
      <c r="B20" s="5"/>
      <c r="C20" s="538"/>
      <c r="D20" s="538"/>
      <c r="E20" s="538"/>
      <c r="F20" s="538"/>
      <c r="G20" s="351"/>
      <c r="H20" s="540"/>
    </row>
    <row r="21" spans="2:11" ht="21" customHeight="1">
      <c r="B21" s="5"/>
      <c r="C21" s="539" t="s">
        <v>3199</v>
      </c>
      <c r="D21" s="538"/>
      <c r="E21" s="538"/>
      <c r="F21" s="538"/>
      <c r="G21" s="351"/>
      <c r="H21" s="540"/>
    </row>
    <row r="22" spans="2:11" s="309" customFormat="1" ht="21" customHeight="1">
      <c r="B22" s="310"/>
      <c r="C22" s="539"/>
      <c r="D22" s="538"/>
      <c r="E22" s="538"/>
      <c r="F22" s="538"/>
      <c r="G22" s="695"/>
      <c r="H22" s="696"/>
    </row>
    <row r="23" spans="2:11" ht="21" customHeight="1">
      <c r="B23" s="5"/>
      <c r="C23" s="538"/>
      <c r="D23" s="538"/>
      <c r="E23" s="538"/>
      <c r="F23" s="538"/>
      <c r="G23" s="351"/>
      <c r="H23" s="540"/>
    </row>
    <row r="24" spans="2:11" ht="21" customHeight="1">
      <c r="B24" s="5"/>
      <c r="C24" s="538"/>
      <c r="D24" s="538"/>
      <c r="E24" s="538"/>
      <c r="F24" s="538"/>
      <c r="G24" s="351"/>
      <c r="H24" s="540"/>
    </row>
    <row r="25" spans="2:11" ht="21" customHeight="1">
      <c r="B25" s="5"/>
      <c r="C25" s="538"/>
      <c r="D25" s="538"/>
      <c r="E25" s="538"/>
      <c r="F25" s="538"/>
      <c r="G25" s="351"/>
      <c r="H25" s="540"/>
      <c r="I25" s="681"/>
    </row>
    <row r="26" spans="2:11" ht="21" customHeight="1">
      <c r="B26" s="5"/>
      <c r="C26" s="539"/>
      <c r="D26" s="538"/>
      <c r="E26" s="538"/>
      <c r="F26" s="538"/>
      <c r="G26" s="695"/>
      <c r="H26" s="696"/>
      <c r="I26" s="681"/>
    </row>
    <row r="27" spans="2:11" ht="21" customHeight="1">
      <c r="B27" s="5"/>
      <c r="C27" s="790"/>
      <c r="D27" s="538"/>
      <c r="E27" s="538"/>
      <c r="F27" s="538"/>
      <c r="G27" s="351"/>
      <c r="H27" s="540"/>
      <c r="I27" s="679"/>
    </row>
    <row r="28" spans="2:11" ht="21" customHeight="1">
      <c r="B28" s="5"/>
      <c r="C28" s="538"/>
      <c r="D28" s="538"/>
      <c r="E28" s="538"/>
      <c r="F28" s="538"/>
      <c r="G28" s="351"/>
      <c r="H28" s="540"/>
      <c r="I28" s="218"/>
    </row>
    <row r="29" spans="2:11" s="309" customFormat="1" ht="21" customHeight="1">
      <c r="B29" s="310"/>
      <c r="C29" s="538"/>
      <c r="D29" s="538"/>
      <c r="E29" s="538"/>
      <c r="F29" s="538"/>
      <c r="G29" s="561"/>
      <c r="H29" s="698"/>
      <c r="I29" s="312"/>
    </row>
    <row r="30" spans="2:11" s="309" customFormat="1" ht="21" customHeight="1">
      <c r="B30" s="310"/>
      <c r="C30" s="538"/>
      <c r="D30" s="538"/>
      <c r="E30" s="538"/>
      <c r="F30" s="538"/>
      <c r="G30" s="695"/>
      <c r="H30" s="696"/>
      <c r="I30" s="312"/>
    </row>
    <row r="31" spans="2:11" ht="21" customHeight="1">
      <c r="B31" s="5"/>
      <c r="C31" s="538"/>
      <c r="D31" s="538"/>
      <c r="E31" s="538"/>
      <c r="F31" s="538"/>
      <c r="G31" s="351"/>
      <c r="H31" s="540"/>
    </row>
    <row r="32" spans="2:11" ht="21" customHeight="1">
      <c r="B32" s="5"/>
      <c r="C32" s="538"/>
      <c r="D32" s="538"/>
      <c r="E32" s="538"/>
      <c r="F32" s="538"/>
      <c r="G32" s="351"/>
      <c r="H32" s="540"/>
    </row>
    <row r="33" spans="2:9" ht="21" customHeight="1">
      <c r="B33" s="5"/>
      <c r="C33" s="538"/>
      <c r="D33" s="538"/>
      <c r="E33" s="538"/>
      <c r="F33" s="538"/>
      <c r="G33" s="351"/>
      <c r="H33" s="540"/>
      <c r="I33" s="681"/>
    </row>
    <row r="34" spans="2:9" ht="21" customHeight="1">
      <c r="B34" s="5"/>
      <c r="C34" s="538"/>
      <c r="D34" s="538"/>
      <c r="E34" s="538"/>
      <c r="F34" s="538"/>
      <c r="G34" s="695"/>
      <c r="H34" s="540"/>
      <c r="I34" s="681"/>
    </row>
    <row r="35" spans="2:9" ht="21" customHeight="1">
      <c r="B35" s="5"/>
      <c r="C35" s="538"/>
      <c r="D35" s="538"/>
      <c r="E35" s="538"/>
      <c r="F35" s="538"/>
      <c r="G35" s="351"/>
      <c r="H35" s="540"/>
    </row>
    <row r="36" spans="2:9" ht="21" customHeight="1">
      <c r="B36" s="5"/>
      <c r="C36" s="539"/>
      <c r="D36" s="538"/>
      <c r="E36" s="538"/>
      <c r="F36" s="538"/>
      <c r="G36" s="695"/>
      <c r="H36" s="696"/>
      <c r="I36" s="218"/>
    </row>
    <row r="37" spans="2:9" ht="21" customHeight="1">
      <c r="B37" s="5"/>
      <c r="C37" s="538"/>
      <c r="D37" s="538"/>
      <c r="E37" s="538"/>
      <c r="F37" s="538"/>
      <c r="G37" s="351"/>
      <c r="H37" s="540"/>
    </row>
    <row r="38" spans="2:9" ht="21" customHeight="1">
      <c r="B38" s="5"/>
      <c r="C38" s="539"/>
      <c r="D38" s="538"/>
      <c r="E38" s="538"/>
      <c r="F38" s="538"/>
      <c r="G38" s="351"/>
      <c r="H38" s="698"/>
      <c r="I38" s="218"/>
    </row>
    <row r="39" spans="2:9" ht="21" customHeight="1">
      <c r="B39" s="5"/>
      <c r="C39" s="538"/>
      <c r="D39" s="538"/>
      <c r="E39" s="538"/>
      <c r="F39" s="538"/>
      <c r="G39" s="351"/>
      <c r="H39" s="540"/>
      <c r="I39" s="681"/>
    </row>
    <row r="40" spans="2:9" ht="21" customHeight="1">
      <c r="B40" s="5"/>
      <c r="C40" s="539"/>
      <c r="D40" s="538"/>
      <c r="E40" s="538"/>
      <c r="F40" s="538"/>
      <c r="G40" s="351"/>
      <c r="H40" s="540"/>
      <c r="I40" s="679"/>
    </row>
    <row r="41" spans="2:9" ht="21" customHeight="1">
      <c r="B41" s="5"/>
      <c r="C41" s="369"/>
      <c r="D41" s="369"/>
      <c r="E41" s="369"/>
      <c r="F41" s="369"/>
      <c r="G41" s="591"/>
      <c r="H41" s="369"/>
      <c r="I41" s="218"/>
    </row>
    <row r="42" spans="2:9" ht="21" customHeight="1">
      <c r="B42" s="5"/>
      <c r="C42" s="538"/>
      <c r="D42" s="538"/>
      <c r="E42" s="538"/>
      <c r="F42" s="538"/>
      <c r="G42" s="351"/>
      <c r="H42" s="540"/>
    </row>
    <row r="43" spans="2:9" ht="21" customHeight="1" thickBot="1">
      <c r="B43" s="5"/>
      <c r="C43" s="538"/>
      <c r="D43" s="538"/>
      <c r="E43" s="538"/>
      <c r="F43" s="538"/>
      <c r="G43" s="556"/>
      <c r="H43" s="555"/>
      <c r="I43" s="679"/>
    </row>
    <row r="44" spans="2:9" ht="21" customHeight="1" thickBot="1">
      <c r="B44" s="310"/>
      <c r="C44" s="313" t="s">
        <v>3265</v>
      </c>
      <c r="D44" s="310"/>
      <c r="E44" s="310"/>
      <c r="F44" s="310"/>
      <c r="G44" s="213">
        <f>SUM(G9:G43)</f>
        <v>3183003.3</v>
      </c>
      <c r="H44" s="214">
        <f>SUM(H9:H43)</f>
        <v>0</v>
      </c>
      <c r="I44" s="218"/>
    </row>
    <row r="45" spans="2:9" ht="13.8" thickTop="1">
      <c r="B45" s="1644" t="s">
        <v>98</v>
      </c>
      <c r="C45" s="1644"/>
      <c r="D45" s="1644"/>
      <c r="E45" s="1644"/>
      <c r="F45" s="1644"/>
      <c r="G45" s="1644"/>
      <c r="H45" s="1644"/>
    </row>
    <row r="46" spans="2:9">
      <c r="B46" s="776"/>
      <c r="C46" s="776"/>
      <c r="D46" s="776"/>
      <c r="E46" s="776"/>
      <c r="F46" s="776"/>
      <c r="G46" s="776"/>
      <c r="H46" s="776"/>
    </row>
    <row r="47" spans="2:9">
      <c r="B47" s="309"/>
      <c r="C47" s="309"/>
      <c r="D47" s="309"/>
      <c r="E47" s="309"/>
      <c r="F47" s="309"/>
      <c r="G47" s="309"/>
      <c r="H47" s="309"/>
    </row>
    <row r="48" spans="2:9" ht="13.8">
      <c r="B48" s="1618" t="s">
        <v>191</v>
      </c>
      <c r="C48" s="1618"/>
      <c r="D48" s="1618"/>
      <c r="E48" s="1618"/>
      <c r="F48" s="1618"/>
      <c r="G48" s="1618"/>
      <c r="H48" s="1618"/>
    </row>
    <row r="50" spans="8:8">
      <c r="H50" s="218"/>
    </row>
    <row r="51" spans="8:8">
      <c r="H51" s="218"/>
    </row>
  </sheetData>
  <sheetProtection algorithmName="SHA-512" hashValue="bp39vprwGy3Hckrm8l3i44SHfg3iOErIMbvbWmfcHW3fUeJsZM0bQ2xRyiDU8AtEwHvmRQnQTytWYhuuCaPacg==" saltValue="CJwwIcnOb/euRvzF7MYsmg==" spinCount="100000" sheet="1" objects="1" scenarios="1"/>
  <mergeCells count="7">
    <mergeCell ref="B8:F8"/>
    <mergeCell ref="B45:H45"/>
    <mergeCell ref="B48:H48"/>
    <mergeCell ref="B3:H3"/>
    <mergeCell ref="B4:H4"/>
    <mergeCell ref="B6:H6"/>
    <mergeCell ref="B5:H5"/>
  </mergeCells>
  <phoneticPr fontId="0" type="noConversion"/>
  <pageMargins left="0.25" right="0.25" top="0.5" bottom="0.5" header="0.25" footer="0.25"/>
  <pageSetup paperSize="5" scale="93"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3:K51"/>
  <sheetViews>
    <sheetView topLeftCell="A19" zoomScaleNormal="100" workbookViewId="0">
      <selection activeCell="J11" sqref="J11"/>
    </sheetView>
  </sheetViews>
  <sheetFormatPr defaultColWidth="9.109375" defaultRowHeight="13.2"/>
  <cols>
    <col min="1" max="1" width="4.6640625" style="309" customWidth="1"/>
    <col min="2" max="2" width="4.88671875" style="309" customWidth="1"/>
    <col min="3" max="4" width="4.6640625" style="309" customWidth="1"/>
    <col min="5" max="5" width="30.6640625" style="309" customWidth="1"/>
    <col min="6" max="6" width="15.6640625" style="309" customWidth="1"/>
    <col min="7" max="8" width="22.88671875" style="309" customWidth="1"/>
    <col min="9" max="9" width="13.5546875" style="309" bestFit="1" customWidth="1"/>
    <col min="10" max="10" width="11.88671875" style="309" bestFit="1" customWidth="1"/>
    <col min="11" max="11" width="10.33203125" style="309" bestFit="1" customWidth="1"/>
    <col min="12" max="16384" width="9.109375" style="309"/>
  </cols>
  <sheetData>
    <row r="3" spans="2:9" ht="22.8">
      <c r="B3" s="1665" t="s">
        <v>424</v>
      </c>
      <c r="C3" s="1665"/>
      <c r="D3" s="1665"/>
      <c r="E3" s="1665"/>
      <c r="F3" s="1665"/>
      <c r="G3" s="1665"/>
      <c r="H3" s="1665"/>
    </row>
    <row r="4" spans="2:9" ht="22.8">
      <c r="B4" s="1665" t="s">
        <v>190</v>
      </c>
      <c r="C4" s="1665"/>
      <c r="D4" s="1665"/>
      <c r="E4" s="1665"/>
      <c r="F4" s="1665"/>
      <c r="G4" s="1665"/>
      <c r="H4" s="1665"/>
    </row>
    <row r="5" spans="2:9" ht="13.8">
      <c r="B5" s="1693"/>
      <c r="C5" s="1693"/>
      <c r="D5" s="1693"/>
      <c r="E5" s="1693"/>
      <c r="F5" s="1693"/>
      <c r="G5" s="1693"/>
      <c r="H5" s="1693"/>
    </row>
    <row r="6" spans="2:9" ht="15.6">
      <c r="B6" s="1671" t="str">
        <f>IF('KEY INPUTS'!C42 = "State Fiscal Year", 'KEY INPUTS'!F45,'KEY INPUTS'!D45)</f>
        <v>AS  AT  DECEMBER  31, 2021</v>
      </c>
      <c r="C6" s="1620"/>
      <c r="D6" s="1620"/>
      <c r="E6" s="1620"/>
      <c r="F6" s="1620"/>
      <c r="G6" s="1620"/>
      <c r="H6" s="1620"/>
    </row>
    <row r="7" spans="2:9" ht="13.8" thickBot="1"/>
    <row r="8" spans="2:9" ht="36" customHeight="1" thickTop="1" thickBot="1">
      <c r="B8" s="1668" t="s">
        <v>95</v>
      </c>
      <c r="C8" s="1668"/>
      <c r="D8" s="1668"/>
      <c r="E8" s="1668"/>
      <c r="F8" s="1669"/>
      <c r="G8" s="1391" t="s">
        <v>96</v>
      </c>
      <c r="H8" s="778" t="s">
        <v>97</v>
      </c>
    </row>
    <row r="9" spans="2:9" ht="21" customHeight="1" thickTop="1">
      <c r="B9" s="756" t="s">
        <v>3266</v>
      </c>
      <c r="G9" s="64">
        <f>+'8-Trial Bal-Gen Cap Fund'!G44</f>
        <v>3183003.3</v>
      </c>
      <c r="H9" s="62">
        <f>+'8-Trial Bal-Gen Cap Fund'!H44</f>
        <v>0</v>
      </c>
      <c r="I9" s="312"/>
    </row>
    <row r="10" spans="2:9" ht="21" customHeight="1">
      <c r="B10" s="815"/>
      <c r="C10" s="1678"/>
      <c r="D10" s="1678"/>
      <c r="E10" s="1678"/>
      <c r="F10" s="1679"/>
      <c r="G10" s="633"/>
      <c r="H10" s="554"/>
      <c r="I10" s="312"/>
    </row>
    <row r="11" spans="2:9" ht="21" customHeight="1">
      <c r="B11" s="797"/>
      <c r="C11" s="1678"/>
      <c r="D11" s="1678"/>
      <c r="E11" s="1678"/>
      <c r="F11" s="1679"/>
      <c r="G11" s="604"/>
      <c r="H11" s="838"/>
    </row>
    <row r="12" spans="2:9" ht="21" customHeight="1">
      <c r="B12" s="608"/>
      <c r="C12" s="1678"/>
      <c r="D12" s="1678"/>
      <c r="E12" s="1678"/>
      <c r="F12" s="1679"/>
      <c r="G12" s="839"/>
      <c r="H12" s="696"/>
      <c r="I12" s="711"/>
    </row>
    <row r="13" spans="2:9" ht="21" customHeight="1">
      <c r="B13" s="608"/>
      <c r="C13" s="1678"/>
      <c r="D13" s="1678"/>
      <c r="E13" s="1678"/>
      <c r="F13" s="1679"/>
      <c r="G13" s="351"/>
      <c r="H13" s="540"/>
    </row>
    <row r="14" spans="2:9" ht="21" customHeight="1">
      <c r="B14" s="608"/>
      <c r="C14" s="1678"/>
      <c r="D14" s="1678"/>
      <c r="E14" s="1678"/>
      <c r="F14" s="1679"/>
      <c r="G14" s="561"/>
      <c r="H14" s="540"/>
      <c r="I14" s="312"/>
    </row>
    <row r="15" spans="2:9" ht="21" customHeight="1">
      <c r="B15" s="608"/>
      <c r="C15" s="1678"/>
      <c r="D15" s="1678"/>
      <c r="E15" s="1678"/>
      <c r="F15" s="1679"/>
      <c r="G15" s="351"/>
      <c r="H15" s="540"/>
      <c r="I15" s="312"/>
    </row>
    <row r="16" spans="2:9" ht="21" customHeight="1">
      <c r="B16" s="608"/>
      <c r="C16" s="1678"/>
      <c r="D16" s="1678"/>
      <c r="E16" s="1678"/>
      <c r="F16" s="1679"/>
      <c r="G16" s="351"/>
      <c r="H16" s="540"/>
      <c r="I16" s="312"/>
    </row>
    <row r="17" spans="2:11" ht="21" customHeight="1">
      <c r="B17" s="608"/>
      <c r="C17" s="1678"/>
      <c r="D17" s="1678"/>
      <c r="E17" s="1678"/>
      <c r="F17" s="1679"/>
      <c r="G17" s="351"/>
      <c r="H17" s="540"/>
    </row>
    <row r="18" spans="2:11" ht="21" customHeight="1">
      <c r="B18" s="608"/>
      <c r="C18" s="1678"/>
      <c r="D18" s="1678"/>
      <c r="E18" s="1678"/>
      <c r="F18" s="1679"/>
      <c r="G18" s="561"/>
      <c r="H18" s="540"/>
      <c r="I18" s="710"/>
    </row>
    <row r="19" spans="2:11" ht="21" customHeight="1">
      <c r="B19" s="608"/>
      <c r="C19" s="1678"/>
      <c r="D19" s="1678"/>
      <c r="E19" s="1678"/>
      <c r="F19" s="1679"/>
      <c r="G19" s="695"/>
      <c r="H19" s="696"/>
      <c r="I19" s="312"/>
      <c r="J19" s="312"/>
      <c r="K19" s="312"/>
    </row>
    <row r="20" spans="2:11" ht="21" customHeight="1">
      <c r="B20" s="608"/>
      <c r="C20" s="1678"/>
      <c r="D20" s="1678"/>
      <c r="E20" s="1678"/>
      <c r="F20" s="1679"/>
      <c r="G20" s="351"/>
      <c r="H20" s="540"/>
    </row>
    <row r="21" spans="2:11" ht="21" customHeight="1">
      <c r="B21" s="360"/>
      <c r="C21" s="360" t="s">
        <v>426</v>
      </c>
      <c r="D21" s="360"/>
      <c r="E21" s="360"/>
      <c r="F21" s="360"/>
      <c r="G21" s="831"/>
      <c r="H21" s="832">
        <f>+'33 Totals-Note Debt Service'!G23</f>
        <v>0</v>
      </c>
      <c r="I21" s="681"/>
    </row>
    <row r="22" spans="2:11" ht="21" customHeight="1">
      <c r="B22" s="360"/>
      <c r="C22" s="833" t="s">
        <v>3200</v>
      </c>
      <c r="D22" s="360"/>
      <c r="E22" s="360"/>
      <c r="F22" s="360"/>
      <c r="G22" s="834"/>
      <c r="H22" s="835">
        <f>'31-Capital Bond Schedule'!G12</f>
        <v>2170000</v>
      </c>
      <c r="I22" s="681"/>
    </row>
    <row r="23" spans="2:11" ht="21" customHeight="1">
      <c r="B23" s="360"/>
      <c r="C23" s="836" t="s">
        <v>3201</v>
      </c>
      <c r="D23" s="803"/>
      <c r="E23" s="803"/>
      <c r="F23" s="360"/>
      <c r="G23" s="831"/>
      <c r="H23" s="837">
        <f>'32-Bond Schedule'!G11+'32-Bond Schedule'!G22</f>
        <v>0</v>
      </c>
      <c r="I23" s="679"/>
    </row>
    <row r="24" spans="2:11" ht="21" customHeight="1">
      <c r="B24" s="608"/>
      <c r="C24" s="801" t="s">
        <v>3386</v>
      </c>
      <c r="D24" s="608"/>
      <c r="E24" s="608"/>
      <c r="F24" s="608"/>
      <c r="G24" s="864"/>
      <c r="H24" s="865">
        <f>+'31A-Loan Schedule'!G12+'31A-Loan Schedule'!G23+'31A.1-Loan Schedule'!G12+'31A.1-Loan Schedule'!G23+'31A.2-Loan Schedule'!G12+'31A.2-Loan Schedule'!G23</f>
        <v>0</v>
      </c>
    </row>
    <row r="25" spans="2:11" ht="21" customHeight="1">
      <c r="B25" s="608"/>
      <c r="C25" s="801" t="s">
        <v>3395</v>
      </c>
      <c r="D25" s="608"/>
      <c r="E25" s="608"/>
      <c r="F25" s="608"/>
      <c r="G25" s="868"/>
      <c r="H25" s="869">
        <f>'34a-Cap Lease Program Oblg'!G23</f>
        <v>0</v>
      </c>
    </row>
    <row r="26" spans="2:11" ht="21" customHeight="1">
      <c r="B26" s="608"/>
      <c r="C26" s="1678"/>
      <c r="D26" s="1678"/>
      <c r="E26" s="1678"/>
      <c r="F26" s="1679"/>
      <c r="G26" s="351"/>
      <c r="H26" s="540"/>
    </row>
    <row r="27" spans="2:11" ht="21" customHeight="1">
      <c r="B27" s="608"/>
      <c r="C27" s="1678"/>
      <c r="D27" s="1678"/>
      <c r="E27" s="1678"/>
      <c r="F27" s="1679"/>
      <c r="G27" s="351"/>
      <c r="H27" s="540"/>
    </row>
    <row r="28" spans="2:11" ht="21" customHeight="1">
      <c r="B28" s="360"/>
      <c r="C28" s="538" t="s">
        <v>451</v>
      </c>
      <c r="D28" s="538"/>
      <c r="E28" s="538"/>
      <c r="F28" s="538"/>
      <c r="G28" s="351"/>
      <c r="H28" s="540"/>
      <c r="I28" s="312"/>
    </row>
    <row r="29" spans="2:11" ht="21" customHeight="1">
      <c r="B29" s="360"/>
      <c r="C29" s="1678"/>
      <c r="D29" s="1678"/>
      <c r="E29" s="1678"/>
      <c r="F29" s="1679"/>
      <c r="G29" s="561"/>
      <c r="H29" s="698"/>
      <c r="I29" s="312"/>
    </row>
    <row r="30" spans="2:11" ht="21" customHeight="1">
      <c r="B30" s="360"/>
      <c r="C30" s="1678"/>
      <c r="D30" s="1678"/>
      <c r="E30" s="1678"/>
      <c r="F30" s="1679"/>
      <c r="G30" s="695"/>
      <c r="H30" s="696"/>
      <c r="I30" s="312"/>
    </row>
    <row r="31" spans="2:11" ht="21" customHeight="1">
      <c r="B31" s="360"/>
      <c r="C31" s="1678"/>
      <c r="D31" s="1678"/>
      <c r="E31" s="1678"/>
      <c r="F31" s="1679"/>
      <c r="G31" s="351"/>
      <c r="H31" s="540"/>
    </row>
    <row r="32" spans="2:11" ht="21" customHeight="1">
      <c r="B32" s="360"/>
      <c r="C32" s="310" t="s">
        <v>803</v>
      </c>
      <c r="D32" s="310"/>
      <c r="E32" s="310"/>
      <c r="F32" s="310"/>
      <c r="G32" s="322"/>
      <c r="H32" s="323"/>
    </row>
    <row r="33" spans="2:9" ht="21" customHeight="1">
      <c r="B33" s="360"/>
      <c r="C33" s="310"/>
      <c r="D33" s="310" t="s">
        <v>800</v>
      </c>
      <c r="E33" s="310"/>
      <c r="F33" s="310"/>
      <c r="G33" s="351"/>
      <c r="H33" s="323">
        <f>+'35 Totals- Cap Fund Imprv Auth'!K28</f>
        <v>997737.06</v>
      </c>
      <c r="I33" s="681"/>
    </row>
    <row r="34" spans="2:9" ht="21" customHeight="1">
      <c r="B34" s="360"/>
      <c r="C34" s="310"/>
      <c r="D34" s="310" t="s">
        <v>801</v>
      </c>
      <c r="E34" s="310"/>
      <c r="F34" s="310"/>
      <c r="G34" s="695"/>
      <c r="H34" s="323">
        <f>+'35 Totals- Cap Fund Imprv Auth'!L28</f>
        <v>0</v>
      </c>
      <c r="I34" s="681"/>
    </row>
    <row r="35" spans="2:9" ht="21" customHeight="1">
      <c r="B35" s="360"/>
      <c r="C35" s="1678"/>
      <c r="D35" s="1678"/>
      <c r="E35" s="1678"/>
      <c r="F35" s="1679"/>
      <c r="G35" s="351"/>
      <c r="H35" s="540"/>
    </row>
    <row r="36" spans="2:9" ht="21" customHeight="1">
      <c r="B36" s="360"/>
      <c r="C36" s="313" t="s">
        <v>795</v>
      </c>
      <c r="D36" s="310"/>
      <c r="E36" s="310"/>
      <c r="F36" s="310"/>
      <c r="G36" s="695"/>
      <c r="H36" s="696"/>
      <c r="I36" s="312"/>
    </row>
    <row r="37" spans="2:9" ht="21" customHeight="1">
      <c r="B37" s="360"/>
      <c r="C37" s="1678"/>
      <c r="D37" s="1678"/>
      <c r="E37" s="1678"/>
      <c r="F37" s="1679"/>
      <c r="G37" s="351"/>
      <c r="H37" s="540"/>
    </row>
    <row r="38" spans="2:9" ht="21" customHeight="1">
      <c r="B38" s="360"/>
      <c r="C38" s="313" t="s">
        <v>314</v>
      </c>
      <c r="D38" s="310"/>
      <c r="E38" s="310"/>
      <c r="F38" s="310"/>
      <c r="G38" s="351"/>
      <c r="H38" s="698"/>
      <c r="I38" s="312"/>
    </row>
    <row r="39" spans="2:9" ht="21" customHeight="1">
      <c r="B39" s="360"/>
      <c r="C39" s="310" t="s">
        <v>804</v>
      </c>
      <c r="D39" s="310"/>
      <c r="E39" s="310"/>
      <c r="F39" s="310"/>
      <c r="G39" s="351"/>
      <c r="H39" s="323">
        <f>+'36- Capital Improvement Fund'!I31</f>
        <v>15266.24</v>
      </c>
      <c r="I39" s="681"/>
    </row>
    <row r="40" spans="2:9" ht="21" customHeight="1">
      <c r="B40" s="360"/>
      <c r="C40" s="701" t="s">
        <v>3202</v>
      </c>
      <c r="D40" s="693"/>
      <c r="E40" s="693"/>
      <c r="F40" s="693"/>
      <c r="G40" s="831"/>
      <c r="H40" s="837">
        <f>'37- Cap Fund Down Pymts'!I15</f>
        <v>0</v>
      </c>
      <c r="I40" s="679"/>
    </row>
    <row r="41" spans="2:9" ht="21" customHeight="1">
      <c r="B41" s="360"/>
      <c r="C41" s="1678"/>
      <c r="D41" s="1678"/>
      <c r="E41" s="1678"/>
      <c r="F41" s="1679"/>
      <c r="G41" s="353"/>
      <c r="H41" s="629"/>
      <c r="I41" s="312"/>
    </row>
    <row r="42" spans="2:9" ht="21" customHeight="1">
      <c r="B42" s="360"/>
      <c r="C42" s="1678"/>
      <c r="D42" s="1678"/>
      <c r="E42" s="1678"/>
      <c r="F42" s="1679"/>
      <c r="G42" s="351"/>
      <c r="H42" s="540"/>
    </row>
    <row r="43" spans="2:9" ht="21" customHeight="1" thickBot="1">
      <c r="B43" s="360"/>
      <c r="C43" s="310" t="s">
        <v>642</v>
      </c>
      <c r="D43" s="310"/>
      <c r="E43" s="310"/>
      <c r="F43" s="310"/>
      <c r="G43" s="556"/>
      <c r="H43" s="227">
        <f>+'38- Capital Surplus'!I17</f>
        <v>0</v>
      </c>
      <c r="I43" s="679"/>
    </row>
    <row r="44" spans="2:9" ht="21" customHeight="1" thickBot="1">
      <c r="B44" s="360"/>
      <c r="C44" s="310"/>
      <c r="D44" s="310"/>
      <c r="E44" s="310"/>
      <c r="F44" s="310"/>
      <c r="G44" s="213">
        <f>SUM(G9:G43)</f>
        <v>3183003.3</v>
      </c>
      <c r="H44" s="214">
        <f>SUM(H9:H43)</f>
        <v>3183003.3000000003</v>
      </c>
      <c r="I44" s="312"/>
    </row>
    <row r="45" spans="2:9" ht="13.8" thickTop="1">
      <c r="B45" s="1644" t="s">
        <v>98</v>
      </c>
      <c r="C45" s="1644"/>
      <c r="D45" s="1644"/>
      <c r="E45" s="1644"/>
      <c r="F45" s="1644"/>
      <c r="G45" s="1644"/>
      <c r="H45" s="1644"/>
    </row>
    <row r="46" spans="2:9">
      <c r="B46" s="776"/>
      <c r="C46" s="776"/>
      <c r="D46" s="776"/>
      <c r="E46" s="776"/>
      <c r="F46" s="776"/>
      <c r="G46" s="776"/>
      <c r="H46" s="776"/>
    </row>
    <row r="48" spans="2:9" ht="13.8">
      <c r="B48" s="1618" t="s">
        <v>3369</v>
      </c>
      <c r="C48" s="1618"/>
      <c r="D48" s="1618"/>
      <c r="E48" s="1618"/>
      <c r="F48" s="1618"/>
      <c r="G48" s="1618"/>
      <c r="H48" s="1618"/>
    </row>
    <row r="50" spans="8:8">
      <c r="H50" s="312"/>
    </row>
    <row r="51" spans="8:8">
      <c r="H51" s="312"/>
    </row>
  </sheetData>
  <sheetProtection algorithmName="SHA-512" hashValue="N59ApbAsDa9pTcIhGxHb02D5F6ysUAkwxdfJBHdIn32+wILAwGPGnBTsF+9QOL2duCrdCeNKdXPOr2PZmiPObw==" saltValue="hb8ER7F1A2b3wgWaEhq8Pg==" spinCount="100000" sheet="1" objects="1" scenarios="1"/>
  <mergeCells count="27">
    <mergeCell ref="B48:H48"/>
    <mergeCell ref="B3:H3"/>
    <mergeCell ref="B4:H4"/>
    <mergeCell ref="B5:H5"/>
    <mergeCell ref="B6:H6"/>
    <mergeCell ref="B8:F8"/>
    <mergeCell ref="B45:H45"/>
    <mergeCell ref="C10:F10"/>
    <mergeCell ref="C11:F11"/>
    <mergeCell ref="C12:F12"/>
    <mergeCell ref="C13:F13"/>
    <mergeCell ref="C14:F14"/>
    <mergeCell ref="C15:F15"/>
    <mergeCell ref="C16:F16"/>
    <mergeCell ref="C17:F17"/>
    <mergeCell ref="C18:F18"/>
    <mergeCell ref="C19:F19"/>
    <mergeCell ref="C20:F20"/>
    <mergeCell ref="C26:F26"/>
    <mergeCell ref="C27:F27"/>
    <mergeCell ref="C29:F29"/>
    <mergeCell ref="C42:F42"/>
    <mergeCell ref="C30:F30"/>
    <mergeCell ref="C31:F31"/>
    <mergeCell ref="C35:F35"/>
    <mergeCell ref="C37:F37"/>
    <mergeCell ref="C41:F41"/>
  </mergeCells>
  <pageMargins left="0.25" right="0.25" top="0.5" bottom="0.5" header="0.25" footer="0.25"/>
  <pageSetup paperSize="5" scale="93"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6"/>
  <sheetViews>
    <sheetView topLeftCell="B7" zoomScaleNormal="100" workbookViewId="0">
      <selection activeCell="G14" sqref="G14"/>
    </sheetView>
  </sheetViews>
  <sheetFormatPr defaultRowHeight="13.2"/>
  <cols>
    <col min="1" max="4" width="4.6640625" customWidth="1"/>
    <col min="5" max="5" width="16.6640625" customWidth="1"/>
    <col min="6" max="9" width="18.6640625" bestFit="1" customWidth="1"/>
    <col min="10" max="10" width="13.5546875" bestFit="1" customWidth="1"/>
    <col min="11" max="11" width="9.44140625" bestFit="1" customWidth="1"/>
  </cols>
  <sheetData>
    <row r="1" spans="1:11">
      <c r="A1" s="309"/>
      <c r="B1" s="309"/>
      <c r="C1" s="309"/>
      <c r="D1" s="309"/>
      <c r="E1" s="309"/>
      <c r="F1" s="309"/>
      <c r="G1" s="309"/>
      <c r="H1" s="309"/>
      <c r="I1" s="309"/>
    </row>
    <row r="2" spans="1:11">
      <c r="A2" s="309"/>
      <c r="B2" s="309"/>
      <c r="C2" s="309"/>
      <c r="D2" s="309"/>
      <c r="E2" s="309"/>
      <c r="F2" s="309"/>
      <c r="G2" s="309"/>
      <c r="H2" s="309"/>
      <c r="I2" s="309"/>
    </row>
    <row r="3" spans="1:11" ht="23.4" thickBot="1">
      <c r="A3" s="309"/>
      <c r="B3" s="1702" t="str">
        <f>"CASH RECONCILIATION "&amp;IF('KEY INPUTS'!C42="State Fiscal Year"," JUNE  30,  "&amp;'KEY INPUTS'!D33&amp;""," DECEMBER  31, "&amp;'KEY INPUTS'!D34&amp;"")&amp;""</f>
        <v>CASH RECONCILIATION  DECEMBER  31, 2021</v>
      </c>
      <c r="C3" s="1702"/>
      <c r="D3" s="1702"/>
      <c r="E3" s="1702"/>
      <c r="F3" s="1702"/>
      <c r="G3" s="1702"/>
      <c r="H3" s="1702"/>
      <c r="I3" s="1702"/>
    </row>
    <row r="4" spans="1:11" ht="30" customHeight="1" thickTop="1">
      <c r="B4" s="11"/>
      <c r="C4" s="11"/>
      <c r="D4" s="11"/>
      <c r="E4" s="11"/>
      <c r="F4" s="1703" t="s">
        <v>194</v>
      </c>
      <c r="G4" s="1704"/>
      <c r="H4" s="53" t="s">
        <v>197</v>
      </c>
      <c r="I4" s="780" t="s">
        <v>199</v>
      </c>
    </row>
    <row r="5" spans="1:11" ht="30" customHeight="1">
      <c r="B5" s="309"/>
      <c r="C5" s="309"/>
      <c r="D5" s="309"/>
      <c r="E5" s="309"/>
      <c r="F5" s="725" t="s">
        <v>195</v>
      </c>
      <c r="G5" s="25" t="s">
        <v>196</v>
      </c>
      <c r="H5" s="196" t="s">
        <v>198</v>
      </c>
      <c r="I5" s="197" t="s">
        <v>530</v>
      </c>
    </row>
    <row r="6" spans="1:11" ht="21" customHeight="1">
      <c r="A6" s="811"/>
      <c r="B6" s="1695" t="s">
        <v>534</v>
      </c>
      <c r="C6" s="1695"/>
      <c r="D6" s="1695"/>
      <c r="E6" s="1696"/>
      <c r="F6" s="351">
        <v>100</v>
      </c>
      <c r="G6" s="351">
        <f>2692529.56+11533.91</f>
        <v>2704063.47</v>
      </c>
      <c r="H6" s="351">
        <v>11533.91</v>
      </c>
      <c r="I6" s="209">
        <f>+F6+G6-H6</f>
        <v>2692629.56</v>
      </c>
      <c r="J6" s="218"/>
      <c r="K6" s="710"/>
    </row>
    <row r="7" spans="1:11" s="309" customFormat="1" ht="21" customHeight="1">
      <c r="A7" s="811"/>
      <c r="B7" s="1694" t="s">
        <v>3191</v>
      </c>
      <c r="C7" s="1695"/>
      <c r="D7" s="1695"/>
      <c r="E7" s="1696"/>
      <c r="F7" s="351"/>
      <c r="G7" s="351"/>
      <c r="H7" s="351"/>
      <c r="I7" s="209">
        <f t="shared" ref="I7:I13" si="0">+F7+G7-H7</f>
        <v>0</v>
      </c>
      <c r="J7" s="312"/>
      <c r="K7" s="710"/>
    </row>
    <row r="8" spans="1:11" ht="21" customHeight="1">
      <c r="A8" s="811"/>
      <c r="B8" s="1694" t="s">
        <v>3542</v>
      </c>
      <c r="C8" s="1695"/>
      <c r="D8" s="1695"/>
      <c r="E8" s="1696"/>
      <c r="F8" s="351"/>
      <c r="G8" s="351">
        <v>3251.9</v>
      </c>
      <c r="H8" s="351">
        <v>0</v>
      </c>
      <c r="I8" s="209">
        <f t="shared" si="0"/>
        <v>3251.9</v>
      </c>
      <c r="K8" s="710"/>
    </row>
    <row r="9" spans="1:11" ht="21" customHeight="1">
      <c r="A9" s="811"/>
      <c r="B9" s="1694" t="s">
        <v>3242</v>
      </c>
      <c r="C9" s="1695"/>
      <c r="D9" s="1695"/>
      <c r="E9" s="1696"/>
      <c r="F9" s="351"/>
      <c r="G9" s="351"/>
      <c r="H9" s="351"/>
      <c r="I9" s="209">
        <f t="shared" si="0"/>
        <v>0</v>
      </c>
      <c r="J9" s="218"/>
    </row>
    <row r="10" spans="1:11" ht="21" customHeight="1">
      <c r="A10" s="811"/>
      <c r="B10" s="1694" t="s">
        <v>3238</v>
      </c>
      <c r="C10" s="1695"/>
      <c r="D10" s="1695"/>
      <c r="E10" s="1696"/>
      <c r="F10" s="351"/>
      <c r="G10" s="351"/>
      <c r="H10" s="351"/>
      <c r="I10" s="209">
        <f t="shared" si="0"/>
        <v>0</v>
      </c>
      <c r="J10" s="218"/>
      <c r="K10" s="218"/>
    </row>
    <row r="11" spans="1:11" ht="21" customHeight="1">
      <c r="A11" s="811"/>
      <c r="B11" s="1694" t="s">
        <v>3239</v>
      </c>
      <c r="C11" s="1695"/>
      <c r="D11" s="1695"/>
      <c r="E11" s="1696"/>
      <c r="F11" s="351"/>
      <c r="G11" s="351"/>
      <c r="H11" s="351"/>
      <c r="I11" s="209">
        <f t="shared" si="0"/>
        <v>0</v>
      </c>
      <c r="J11" s="218"/>
    </row>
    <row r="12" spans="1:11" ht="21" customHeight="1">
      <c r="A12" s="811"/>
      <c r="B12" s="1694" t="s">
        <v>3240</v>
      </c>
      <c r="C12" s="1695"/>
      <c r="D12" s="1695"/>
      <c r="E12" s="1696"/>
      <c r="F12" s="351"/>
      <c r="G12" s="351"/>
      <c r="H12" s="351"/>
      <c r="I12" s="209">
        <f t="shared" si="0"/>
        <v>0</v>
      </c>
    </row>
    <row r="13" spans="1:11" ht="21" customHeight="1">
      <c r="A13" s="811"/>
      <c r="B13" s="1694" t="s">
        <v>3241</v>
      </c>
      <c r="C13" s="1695"/>
      <c r="D13" s="1695"/>
      <c r="E13" s="1696"/>
      <c r="F13" s="351"/>
      <c r="G13" s="351">
        <f>85088.4+819.69+137.5</f>
        <v>86045.59</v>
      </c>
      <c r="H13" s="351">
        <f>819.69+137.5</f>
        <v>957.19</v>
      </c>
      <c r="I13" s="209">
        <f t="shared" si="0"/>
        <v>85088.4</v>
      </c>
    </row>
    <row r="14" spans="1:11" ht="21" customHeight="1">
      <c r="B14" s="1705" t="s">
        <v>3617</v>
      </c>
      <c r="C14" s="1706"/>
      <c r="D14" s="1706"/>
      <c r="E14" s="1707"/>
      <c r="F14" s="351"/>
      <c r="G14" s="351"/>
      <c r="H14" s="351"/>
      <c r="I14" s="209">
        <f t="shared" ref="I14" si="1">+F14+G14-H14</f>
        <v>0</v>
      </c>
    </row>
    <row r="15" spans="1:11" ht="20.25" customHeight="1">
      <c r="B15" s="1694" t="s">
        <v>3190</v>
      </c>
      <c r="C15" s="1695"/>
      <c r="D15" s="1695"/>
      <c r="E15" s="1696"/>
      <c r="F15" s="351"/>
      <c r="G15" s="351">
        <v>866085.21</v>
      </c>
      <c r="H15" s="351">
        <v>0</v>
      </c>
      <c r="I15" s="209">
        <f t="shared" ref="I15:I34" si="2">+F15+G15-H15</f>
        <v>866085.21</v>
      </c>
    </row>
    <row r="16" spans="1:11" ht="21" customHeight="1">
      <c r="B16" s="1701"/>
      <c r="C16" s="1697"/>
      <c r="D16" s="1697"/>
      <c r="E16" s="1698"/>
      <c r="F16" s="351"/>
      <c r="G16" s="351"/>
      <c r="H16" s="351"/>
      <c r="I16" s="209">
        <f t="shared" si="2"/>
        <v>0</v>
      </c>
    </row>
    <row r="17" spans="2:11" ht="21" customHeight="1">
      <c r="B17" s="1708" t="s">
        <v>3243</v>
      </c>
      <c r="C17" s="1708"/>
      <c r="D17" s="1708"/>
      <c r="E17" s="1709"/>
      <c r="F17" s="864"/>
      <c r="G17" s="864"/>
      <c r="H17" s="864"/>
      <c r="I17" s="870"/>
      <c r="J17" s="218"/>
      <c r="K17" s="723" t="s">
        <v>3244</v>
      </c>
    </row>
    <row r="18" spans="2:11" ht="21" customHeight="1">
      <c r="B18" s="1701" t="s">
        <v>3670</v>
      </c>
      <c r="C18" s="1697"/>
      <c r="D18" s="1697"/>
      <c r="E18" s="1698"/>
      <c r="F18" s="351"/>
      <c r="G18" s="351">
        <f>531122.41+6157.5</f>
        <v>537279.91</v>
      </c>
      <c r="H18" s="351">
        <v>6157.5</v>
      </c>
      <c r="I18" s="209">
        <f t="shared" si="2"/>
        <v>531122.41</v>
      </c>
      <c r="J18" s="218"/>
    </row>
    <row r="19" spans="2:11" ht="21" customHeight="1">
      <c r="B19" s="1701" t="s">
        <v>3671</v>
      </c>
      <c r="C19" s="1697"/>
      <c r="D19" s="1697"/>
      <c r="E19" s="1698"/>
      <c r="F19" s="351"/>
      <c r="G19" s="351">
        <v>3383799.65</v>
      </c>
      <c r="H19" s="351">
        <v>0</v>
      </c>
      <c r="I19" s="209">
        <f t="shared" si="2"/>
        <v>3383799.65</v>
      </c>
    </row>
    <row r="20" spans="2:11" ht="21" customHeight="1">
      <c r="B20" s="1701"/>
      <c r="C20" s="1697"/>
      <c r="D20" s="1697"/>
      <c r="E20" s="1698"/>
      <c r="F20" s="351"/>
      <c r="G20" s="351"/>
      <c r="H20" s="351"/>
      <c r="I20" s="209">
        <f t="shared" si="2"/>
        <v>0</v>
      </c>
    </row>
    <row r="21" spans="2:11" ht="21" customHeight="1">
      <c r="B21" s="1697"/>
      <c r="C21" s="1697"/>
      <c r="D21" s="1697"/>
      <c r="E21" s="1698"/>
      <c r="F21" s="351"/>
      <c r="G21" s="351"/>
      <c r="H21" s="351"/>
      <c r="I21" s="209">
        <f t="shared" si="2"/>
        <v>0</v>
      </c>
    </row>
    <row r="22" spans="2:11" ht="21" customHeight="1">
      <c r="B22" s="1701"/>
      <c r="C22" s="1697"/>
      <c r="D22" s="1697"/>
      <c r="E22" s="1698"/>
      <c r="F22" s="351"/>
      <c r="G22" s="351"/>
      <c r="H22" s="351"/>
      <c r="I22" s="209">
        <f t="shared" si="2"/>
        <v>0</v>
      </c>
    </row>
    <row r="23" spans="2:11" ht="21" customHeight="1">
      <c r="B23" s="1701"/>
      <c r="C23" s="1697"/>
      <c r="D23" s="1697"/>
      <c r="E23" s="1698"/>
      <c r="F23" s="351"/>
      <c r="G23" s="351"/>
      <c r="H23" s="351"/>
      <c r="I23" s="209">
        <f t="shared" si="2"/>
        <v>0</v>
      </c>
    </row>
    <row r="24" spans="2:11" ht="21" customHeight="1">
      <c r="B24" s="1697"/>
      <c r="C24" s="1697"/>
      <c r="D24" s="1697"/>
      <c r="E24" s="1698"/>
      <c r="F24" s="351"/>
      <c r="G24" s="351"/>
      <c r="H24" s="351"/>
      <c r="I24" s="209">
        <f t="shared" si="2"/>
        <v>0</v>
      </c>
    </row>
    <row r="25" spans="2:11" ht="21" customHeight="1">
      <c r="B25" s="1697"/>
      <c r="C25" s="1697"/>
      <c r="D25" s="1697"/>
      <c r="E25" s="1698"/>
      <c r="F25" s="351"/>
      <c r="G25" s="351"/>
      <c r="H25" s="351"/>
      <c r="I25" s="209">
        <f t="shared" si="2"/>
        <v>0</v>
      </c>
    </row>
    <row r="26" spans="2:11" ht="21" customHeight="1">
      <c r="B26" s="1697"/>
      <c r="C26" s="1697"/>
      <c r="D26" s="1697"/>
      <c r="E26" s="1698"/>
      <c r="F26" s="351"/>
      <c r="G26" s="351"/>
      <c r="H26" s="351"/>
      <c r="I26" s="209">
        <f t="shared" si="2"/>
        <v>0</v>
      </c>
    </row>
    <row r="27" spans="2:11" s="309" customFormat="1" ht="21" customHeight="1">
      <c r="B27" s="726"/>
      <c r="C27" s="726"/>
      <c r="D27" s="726"/>
      <c r="E27" s="727"/>
      <c r="F27" s="351"/>
      <c r="G27" s="351"/>
      <c r="H27" s="351"/>
      <c r="I27" s="209">
        <f t="shared" si="2"/>
        <v>0</v>
      </c>
    </row>
    <row r="28" spans="2:11" s="309" customFormat="1" ht="21" customHeight="1">
      <c r="B28" s="726"/>
      <c r="C28" s="726"/>
      <c r="D28" s="726"/>
      <c r="E28" s="727"/>
      <c r="F28" s="351"/>
      <c r="G28" s="351"/>
      <c r="H28" s="351"/>
      <c r="I28" s="209">
        <f t="shared" si="2"/>
        <v>0</v>
      </c>
    </row>
    <row r="29" spans="2:11" s="309" customFormat="1" ht="21" customHeight="1">
      <c r="B29" s="726"/>
      <c r="C29" s="726"/>
      <c r="D29" s="726"/>
      <c r="E29" s="727"/>
      <c r="F29" s="351"/>
      <c r="G29" s="351"/>
      <c r="H29" s="351"/>
      <c r="I29" s="209">
        <f t="shared" si="2"/>
        <v>0</v>
      </c>
    </row>
    <row r="30" spans="2:11" ht="21" customHeight="1">
      <c r="B30" s="1697"/>
      <c r="C30" s="1697"/>
      <c r="D30" s="1697"/>
      <c r="E30" s="1698"/>
      <c r="F30" s="351"/>
      <c r="G30" s="351"/>
      <c r="H30" s="351"/>
      <c r="I30" s="209">
        <f t="shared" si="2"/>
        <v>0</v>
      </c>
    </row>
    <row r="31" spans="2:11" ht="21" customHeight="1">
      <c r="B31" s="1697"/>
      <c r="C31" s="1697"/>
      <c r="D31" s="1697"/>
      <c r="E31" s="1698"/>
      <c r="F31" s="351"/>
      <c r="G31" s="351"/>
      <c r="H31" s="351"/>
      <c r="I31" s="209">
        <f t="shared" si="2"/>
        <v>0</v>
      </c>
    </row>
    <row r="32" spans="2:11" ht="21" customHeight="1">
      <c r="B32" s="1697"/>
      <c r="C32" s="1697"/>
      <c r="D32" s="1697"/>
      <c r="E32" s="1698"/>
      <c r="F32" s="351"/>
      <c r="G32" s="351"/>
      <c r="H32" s="351"/>
      <c r="I32" s="209">
        <f t="shared" si="2"/>
        <v>0</v>
      </c>
    </row>
    <row r="33" spans="2:9" ht="21" customHeight="1">
      <c r="B33" s="1697"/>
      <c r="C33" s="1697"/>
      <c r="D33" s="1697"/>
      <c r="E33" s="1698"/>
      <c r="F33" s="351"/>
      <c r="G33" s="351"/>
      <c r="H33" s="351"/>
      <c r="I33" s="209">
        <f t="shared" si="2"/>
        <v>0</v>
      </c>
    </row>
    <row r="34" spans="2:9" ht="21" customHeight="1">
      <c r="B34" s="1699"/>
      <c r="C34" s="1699"/>
      <c r="D34" s="1699"/>
      <c r="E34" s="1700"/>
      <c r="F34" s="561"/>
      <c r="G34" s="561"/>
      <c r="H34" s="561"/>
      <c r="I34" s="221">
        <f t="shared" si="2"/>
        <v>0</v>
      </c>
    </row>
    <row r="35" spans="2:9" ht="21" customHeight="1" thickBot="1">
      <c r="B35" s="10"/>
      <c r="C35" s="10"/>
      <c r="D35" s="10"/>
      <c r="E35" s="29" t="s">
        <v>201</v>
      </c>
      <c r="F35" s="213">
        <f>SUM(F6:F34)</f>
        <v>100</v>
      </c>
      <c r="G35" s="213">
        <f>SUM(G6:G34)</f>
        <v>7580525.7300000004</v>
      </c>
      <c r="H35" s="213">
        <f>SUM(H6:H34)</f>
        <v>18648.599999999999</v>
      </c>
      <c r="I35" s="214">
        <f>SUM(I6:I34)</f>
        <v>7561977.1299999999</v>
      </c>
    </row>
    <row r="36" spans="2:9" ht="13.8" thickTop="1">
      <c r="B36" s="34" t="s">
        <v>559</v>
      </c>
      <c r="C36" s="309"/>
      <c r="D36" s="309"/>
      <c r="E36" s="309"/>
      <c r="F36" s="309"/>
      <c r="G36" s="312"/>
      <c r="H36" s="309"/>
      <c r="I36" s="309"/>
    </row>
    <row r="37" spans="2:9">
      <c r="B37" s="34" t="s">
        <v>560</v>
      </c>
      <c r="C37" s="309"/>
      <c r="D37" s="309"/>
      <c r="E37" s="309"/>
      <c r="F37" s="309"/>
      <c r="G37" s="312"/>
      <c r="H37" s="309"/>
      <c r="I37" s="309"/>
    </row>
    <row r="38" spans="2:9">
      <c r="B38" s="34"/>
      <c r="C38" s="309"/>
      <c r="D38" s="309"/>
      <c r="E38" s="309"/>
      <c r="F38" s="309"/>
      <c r="G38" s="309"/>
      <c r="H38" s="309"/>
      <c r="I38" s="309"/>
    </row>
    <row r="39" spans="2:9" ht="13.8">
      <c r="B39" s="35" t="s">
        <v>561</v>
      </c>
      <c r="C39" s="309"/>
      <c r="D39" s="309"/>
      <c r="E39" s="309"/>
      <c r="F39" s="309"/>
      <c r="G39" s="309"/>
      <c r="H39" s="309"/>
      <c r="I39" s="309"/>
    </row>
    <row r="40" spans="2:9">
      <c r="B40" s="34"/>
      <c r="C40" s="34" t="s">
        <v>562</v>
      </c>
      <c r="D40" s="309"/>
      <c r="E40" s="309"/>
      <c r="F40" s="309"/>
      <c r="G40" s="309"/>
      <c r="H40" s="309"/>
      <c r="I40" s="309"/>
    </row>
    <row r="41" spans="2:9">
      <c r="B41" s="34" t="str">
        <f>IF('KEY INPUTS'!C42="State Fiscal Year","applicable bank statements, certificates, agreements or passbooks at "&amp;'KEY INPUTS'!F47&amp;".","applicable bank statements, certificates, agreements or passbooks at December 31, "&amp;TEXT('KEY INPUTS'!D34,"0")&amp;".")</f>
        <v>applicable bank statements, certificates, agreements or passbooks at December 31, 2021.</v>
      </c>
      <c r="C41" s="34"/>
      <c r="D41" s="309"/>
      <c r="E41" s="309"/>
      <c r="F41" s="309"/>
      <c r="G41" s="309"/>
      <c r="H41" s="309"/>
      <c r="I41" s="309"/>
    </row>
    <row r="42" spans="2:9">
      <c r="B42" s="34"/>
      <c r="C42" s="34" t="s">
        <v>151</v>
      </c>
      <c r="D42" s="309"/>
      <c r="E42" s="309"/>
      <c r="F42" s="309"/>
      <c r="G42" s="309"/>
      <c r="H42" s="309"/>
      <c r="I42" s="309"/>
    </row>
    <row r="43" spans="2:9">
      <c r="B43" s="34" t="str">
        <f>IF('KEY INPUTS'!C42="State Fiscal Year","been verified with the applicable passbook at "&amp;'KEY INPUTS'!F47&amp;".","been verified with the applicable passbook at December 31, "&amp;TEXT('KEY INPUTS'!D34,"0")&amp;".")</f>
        <v>been verified with the applicable passbook at December 31, 2021.</v>
      </c>
      <c r="C43" s="34"/>
      <c r="D43" s="309"/>
      <c r="E43" s="309"/>
      <c r="F43" s="309"/>
      <c r="G43" s="309"/>
      <c r="H43" s="309"/>
      <c r="I43" s="309"/>
    </row>
    <row r="44" spans="2:9">
      <c r="B44" s="34"/>
      <c r="C44" s="34" t="s">
        <v>114</v>
      </c>
      <c r="D44" s="309"/>
      <c r="E44" s="309"/>
      <c r="F44" s="309"/>
      <c r="G44" s="309"/>
      <c r="H44" s="309"/>
      <c r="I44" s="309"/>
    </row>
    <row r="45" spans="2:9">
      <c r="B45" s="34" t="s">
        <v>152</v>
      </c>
      <c r="C45" s="34"/>
      <c r="D45" s="309"/>
      <c r="E45" s="309"/>
      <c r="F45" s="309"/>
      <c r="G45" s="309"/>
      <c r="H45" s="309"/>
      <c r="I45" s="309"/>
    </row>
    <row r="46" spans="2:9">
      <c r="B46" s="36"/>
      <c r="C46" s="37" t="s">
        <v>115</v>
      </c>
      <c r="D46" s="309"/>
      <c r="E46" s="309"/>
      <c r="F46" s="309"/>
      <c r="G46" s="309"/>
      <c r="H46" s="309"/>
      <c r="I46" s="309"/>
    </row>
    <row r="47" spans="2:9">
      <c r="B47" s="37" t="s">
        <v>116</v>
      </c>
      <c r="C47" s="36"/>
      <c r="D47" s="309"/>
      <c r="E47" s="309"/>
      <c r="F47" s="309"/>
      <c r="G47" s="309"/>
      <c r="H47" s="309"/>
      <c r="I47" s="309"/>
    </row>
    <row r="48" spans="2:9">
      <c r="B48" s="36"/>
      <c r="C48" s="36"/>
      <c r="D48" s="309"/>
      <c r="E48" s="309"/>
      <c r="F48" s="309"/>
      <c r="G48" s="309"/>
      <c r="H48" s="309"/>
      <c r="I48" s="309"/>
    </row>
    <row r="49" spans="1:9">
      <c r="B49" s="36"/>
      <c r="C49" s="36"/>
      <c r="D49" s="309"/>
      <c r="E49" s="309"/>
      <c r="F49" s="309"/>
      <c r="G49" s="309"/>
      <c r="H49" s="309"/>
      <c r="I49" s="309"/>
    </row>
    <row r="50" spans="1:9">
      <c r="B50" s="36" t="s">
        <v>117</v>
      </c>
      <c r="C50" s="36"/>
      <c r="D50" s="1654" t="s">
        <v>3658</v>
      </c>
      <c r="E50" s="1651"/>
      <c r="F50" s="1651"/>
      <c r="G50" s="38" t="s">
        <v>118</v>
      </c>
      <c r="H50" s="1654" t="s">
        <v>124</v>
      </c>
      <c r="I50" s="1651"/>
    </row>
    <row r="51" spans="1:9">
      <c r="A51" s="309"/>
      <c r="B51" s="36"/>
      <c r="C51" s="36"/>
      <c r="D51" s="309"/>
      <c r="E51" s="309"/>
      <c r="F51" s="309"/>
      <c r="G51" s="309"/>
      <c r="H51" s="309"/>
      <c r="I51" s="309"/>
    </row>
    <row r="52" spans="1:9" ht="13.8">
      <c r="A52" s="309"/>
      <c r="B52" s="1618" t="s">
        <v>200</v>
      </c>
      <c r="C52" s="1618"/>
      <c r="D52" s="1618"/>
      <c r="E52" s="1618"/>
      <c r="F52" s="1618"/>
      <c r="G52" s="1618"/>
      <c r="H52" s="1618"/>
      <c r="I52" s="1618"/>
    </row>
    <row r="59" spans="1:9">
      <c r="G59" s="218"/>
    </row>
    <row r="61" spans="1:9">
      <c r="G61" s="218"/>
    </row>
    <row r="66" spans="7:7">
      <c r="G66" s="299"/>
    </row>
  </sheetData>
  <sheetProtection algorithmName="SHA-512" hashValue="tqjKwqKN0r7KoWx165z/4gB/WVxvh0jp0BRkrs1VDlf4AHULuEoipicgsQZz9lHy4Th/lcwflQBd1p9LISYYJA==" saltValue="T/nzbwA23XP/naXHNwPFXA==" spinCount="100000" sheet="1" objects="1" scenarios="1"/>
  <mergeCells count="31">
    <mergeCell ref="B3:I3"/>
    <mergeCell ref="F4:G4"/>
    <mergeCell ref="B52:I52"/>
    <mergeCell ref="B6:E6"/>
    <mergeCell ref="B8:E8"/>
    <mergeCell ref="B9:E9"/>
    <mergeCell ref="B10:E10"/>
    <mergeCell ref="B11:E11"/>
    <mergeCell ref="B12:E12"/>
    <mergeCell ref="B13:E13"/>
    <mergeCell ref="B14:E14"/>
    <mergeCell ref="B15:E15"/>
    <mergeCell ref="B16:E16"/>
    <mergeCell ref="B17:E17"/>
    <mergeCell ref="B18:E18"/>
    <mergeCell ref="B19:E19"/>
    <mergeCell ref="H50:I50"/>
    <mergeCell ref="B25:E25"/>
    <mergeCell ref="B26:E26"/>
    <mergeCell ref="B30:E30"/>
    <mergeCell ref="B31:E31"/>
    <mergeCell ref="B7:E7"/>
    <mergeCell ref="B32:E32"/>
    <mergeCell ref="B33:E33"/>
    <mergeCell ref="B34:E34"/>
    <mergeCell ref="D50:F50"/>
    <mergeCell ref="B20:E20"/>
    <mergeCell ref="B21:E21"/>
    <mergeCell ref="B22:E22"/>
    <mergeCell ref="B23:E23"/>
    <mergeCell ref="B24:E24"/>
  </mergeCells>
  <phoneticPr fontId="0" type="noConversion"/>
  <pageMargins left="0.25" right="0.25" top="0.5" bottom="0.5" header="0.25" footer="0.25"/>
  <pageSetup paperSize="5" scale="94"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K54"/>
  <sheetViews>
    <sheetView topLeftCell="A22" zoomScaleNormal="100" workbookViewId="0">
      <selection activeCell="F14" sqref="F14"/>
    </sheetView>
  </sheetViews>
  <sheetFormatPr defaultColWidth="9.109375" defaultRowHeight="13.2"/>
  <cols>
    <col min="1" max="4" width="4.6640625" style="266" customWidth="1"/>
    <col min="5" max="5" width="63.6640625" style="266" customWidth="1"/>
    <col min="6" max="6" width="16.5546875" style="342" customWidth="1"/>
    <col min="7" max="7" width="11.109375" style="266" bestFit="1" customWidth="1"/>
    <col min="8" max="8" width="39.6640625" style="266" bestFit="1" customWidth="1"/>
    <col min="9" max="16384" width="9.109375" style="266"/>
  </cols>
  <sheetData>
    <row r="2" spans="2:11" ht="22.8">
      <c r="B2" s="1712" t="str">
        <f>"CASH  RECONCILIATION "&amp;IF('KEY INPUTS'!C42="State Fiscal Year"," JUNE 30, "&amp;'KEY INPUTS'!D33&amp;" (cont'd)  "," DECEMBER 31, "&amp;'KEY INPUTS'!D34&amp;" (cont'd)  ")&amp;""</f>
        <v xml:space="preserve">CASH  RECONCILIATION  DECEMBER 31, 2021 (cont'd)  </v>
      </c>
      <c r="C2" s="1712"/>
      <c r="D2" s="1712"/>
      <c r="E2" s="1712"/>
      <c r="F2" s="1712"/>
      <c r="G2" s="333"/>
      <c r="H2" s="333"/>
      <c r="I2" s="333"/>
    </row>
    <row r="3" spans="2:11">
      <c r="B3" s="1540" t="s">
        <v>3563</v>
      </c>
    </row>
    <row r="4" spans="2:11" ht="16.2" thickBot="1">
      <c r="B4" s="1711" t="s">
        <v>632</v>
      </c>
      <c r="C4" s="1711"/>
      <c r="D4" s="1711"/>
      <c r="E4" s="1711"/>
      <c r="F4" s="1711"/>
    </row>
    <row r="5" spans="2:11" ht="21" customHeight="1" thickTop="1">
      <c r="B5" s="334"/>
      <c r="C5" s="334"/>
      <c r="D5" s="334"/>
      <c r="E5" s="334"/>
      <c r="F5" s="335"/>
    </row>
    <row r="6" spans="2:11" ht="21" customHeight="1">
      <c r="B6" s="539" t="s">
        <v>3672</v>
      </c>
      <c r="C6" s="539"/>
      <c r="D6" s="539"/>
      <c r="E6" s="539"/>
      <c r="F6" s="540"/>
      <c r="H6" s="248"/>
      <c r="I6" s="248"/>
      <c r="J6" s="248"/>
      <c r="K6" s="248"/>
    </row>
    <row r="7" spans="2:11" ht="21" customHeight="1">
      <c r="B7" s="539"/>
      <c r="C7" s="539" t="s">
        <v>3673</v>
      </c>
      <c r="D7" s="539"/>
      <c r="E7" s="539"/>
      <c r="F7" s="540">
        <v>3588165.08</v>
      </c>
      <c r="G7" s="314"/>
      <c r="H7" s="248"/>
      <c r="I7" s="248"/>
      <c r="J7" s="248"/>
      <c r="K7" s="248"/>
    </row>
    <row r="8" spans="2:11" ht="21" customHeight="1">
      <c r="B8" s="539"/>
      <c r="C8" s="539" t="s">
        <v>3674</v>
      </c>
      <c r="D8" s="539"/>
      <c r="E8" s="539"/>
      <c r="F8" s="540">
        <v>28290.7</v>
      </c>
      <c r="G8" s="314"/>
      <c r="H8" s="248"/>
      <c r="I8" s="248"/>
      <c r="J8" s="248"/>
      <c r="K8" s="248"/>
    </row>
    <row r="9" spans="2:11" ht="21" customHeight="1">
      <c r="B9" s="539"/>
      <c r="C9" s="539" t="s">
        <v>3675</v>
      </c>
      <c r="D9" s="539"/>
      <c r="E9" s="539"/>
      <c r="F9" s="540">
        <v>0</v>
      </c>
      <c r="G9" s="314"/>
      <c r="H9" s="356"/>
      <c r="I9" s="248"/>
      <c r="J9" s="248"/>
      <c r="K9" s="248"/>
    </row>
    <row r="10" spans="2:11" ht="21" customHeight="1">
      <c r="B10" s="539"/>
      <c r="C10" s="539" t="s">
        <v>3666</v>
      </c>
      <c r="D10" s="539"/>
      <c r="E10" s="539"/>
      <c r="F10" s="540">
        <v>20949.61</v>
      </c>
      <c r="G10" s="314"/>
      <c r="H10" s="248"/>
      <c r="I10" s="248"/>
      <c r="J10" s="248"/>
      <c r="K10" s="248"/>
    </row>
    <row r="11" spans="2:11" ht="21" customHeight="1">
      <c r="B11" s="539"/>
      <c r="C11" s="539" t="s">
        <v>3668</v>
      </c>
      <c r="D11" s="539"/>
      <c r="E11" s="539"/>
      <c r="F11" s="540">
        <v>45.01</v>
      </c>
      <c r="G11" s="314"/>
      <c r="H11" s="248"/>
      <c r="I11" s="248"/>
      <c r="J11" s="248"/>
      <c r="K11" s="248"/>
    </row>
    <row r="12" spans="2:11" ht="21" customHeight="1">
      <c r="B12" s="539"/>
      <c r="C12" s="539" t="s">
        <v>3676</v>
      </c>
      <c r="D12" s="539"/>
      <c r="E12" s="539"/>
      <c r="F12" s="540">
        <v>21995.77</v>
      </c>
      <c r="G12" s="314"/>
      <c r="H12" s="248"/>
      <c r="I12" s="338"/>
      <c r="J12" s="248"/>
      <c r="K12" s="248"/>
    </row>
    <row r="13" spans="2:11" ht="21" customHeight="1">
      <c r="B13" s="539"/>
      <c r="C13" s="539" t="s">
        <v>3677</v>
      </c>
      <c r="D13" s="539"/>
      <c r="E13" s="539"/>
      <c r="F13" s="540">
        <v>3921079.56</v>
      </c>
      <c r="G13" s="314"/>
      <c r="H13" s="248"/>
      <c r="I13" s="248"/>
      <c r="J13" s="248"/>
      <c r="K13" s="248"/>
    </row>
    <row r="14" spans="2:11" ht="21" customHeight="1">
      <c r="B14" s="539"/>
      <c r="C14" s="539"/>
      <c r="D14" s="539"/>
      <c r="E14" s="539"/>
      <c r="F14" s="540"/>
      <c r="G14" s="314"/>
      <c r="H14" s="248"/>
      <c r="I14" s="248"/>
      <c r="J14" s="248"/>
      <c r="K14" s="248"/>
    </row>
    <row r="15" spans="2:11" ht="21" customHeight="1">
      <c r="B15" s="539"/>
      <c r="C15" s="539"/>
      <c r="D15" s="539"/>
      <c r="E15" s="539"/>
      <c r="F15" s="540"/>
      <c r="G15" s="264"/>
      <c r="H15" s="248"/>
      <c r="I15" s="248"/>
      <c r="J15" s="248"/>
      <c r="K15" s="248"/>
    </row>
    <row r="16" spans="2:11" ht="21" customHeight="1">
      <c r="B16" s="539"/>
      <c r="C16" s="539"/>
      <c r="D16" s="539"/>
      <c r="E16" s="539"/>
      <c r="F16" s="540"/>
      <c r="G16" s="314"/>
      <c r="H16" s="248"/>
      <c r="I16" s="248"/>
      <c r="J16" s="248"/>
      <c r="K16" s="248"/>
    </row>
    <row r="17" spans="2:11" ht="21" customHeight="1">
      <c r="B17" s="539"/>
      <c r="C17" s="539"/>
      <c r="D17" s="539"/>
      <c r="E17" s="539"/>
      <c r="F17" s="540"/>
      <c r="G17" s="314"/>
      <c r="H17" s="248"/>
      <c r="I17" s="248"/>
      <c r="J17" s="248"/>
      <c r="K17" s="248"/>
    </row>
    <row r="18" spans="2:11" ht="21" customHeight="1">
      <c r="B18" s="539"/>
      <c r="C18" s="539"/>
      <c r="D18" s="539"/>
      <c r="E18" s="539"/>
      <c r="F18" s="540"/>
      <c r="G18" s="314"/>
      <c r="H18" s="332"/>
      <c r="I18" s="339"/>
      <c r="J18" s="248"/>
      <c r="K18" s="248"/>
    </row>
    <row r="19" spans="2:11" ht="21" customHeight="1">
      <c r="B19" s="539"/>
      <c r="C19" s="539"/>
      <c r="D19" s="539"/>
      <c r="E19" s="539"/>
      <c r="F19" s="540"/>
      <c r="G19" s="314"/>
      <c r="H19" s="248"/>
      <c r="I19" s="248"/>
      <c r="J19" s="248"/>
      <c r="K19" s="248"/>
    </row>
    <row r="20" spans="2:11" ht="21" customHeight="1">
      <c r="B20" s="539"/>
      <c r="C20" s="539"/>
      <c r="D20" s="539"/>
      <c r="E20" s="539"/>
      <c r="F20" s="540"/>
      <c r="G20" s="314"/>
      <c r="H20" s="332"/>
      <c r="I20" s="248"/>
      <c r="J20" s="248"/>
      <c r="K20" s="248"/>
    </row>
    <row r="21" spans="2:11" ht="21" customHeight="1">
      <c r="B21" s="539"/>
      <c r="C21" s="539"/>
      <c r="D21" s="539"/>
      <c r="E21" s="539"/>
      <c r="F21" s="540"/>
      <c r="G21" s="314"/>
      <c r="H21" s="332"/>
      <c r="I21" s="338"/>
      <c r="J21" s="248"/>
      <c r="K21" s="248"/>
    </row>
    <row r="22" spans="2:11" ht="21" customHeight="1">
      <c r="B22" s="539"/>
      <c r="C22" s="539"/>
      <c r="D22" s="539"/>
      <c r="E22" s="539"/>
      <c r="F22" s="540"/>
      <c r="H22" s="248"/>
      <c r="I22" s="248"/>
      <c r="J22" s="248"/>
      <c r="K22" s="248"/>
    </row>
    <row r="23" spans="2:11" ht="21" customHeight="1">
      <c r="B23" s="539"/>
      <c r="C23" s="539"/>
      <c r="D23" s="539"/>
      <c r="E23" s="539"/>
      <c r="F23" s="540"/>
      <c r="H23" s="248"/>
      <c r="I23" s="248"/>
      <c r="J23" s="248"/>
      <c r="K23" s="248"/>
    </row>
    <row r="24" spans="2:11" ht="21" customHeight="1">
      <c r="B24" s="539"/>
      <c r="C24" s="539"/>
      <c r="D24" s="539"/>
      <c r="E24" s="539"/>
      <c r="F24" s="540"/>
      <c r="G24" s="264"/>
      <c r="H24" s="340"/>
      <c r="I24" s="248"/>
      <c r="J24" s="248"/>
      <c r="K24" s="248"/>
    </row>
    <row r="25" spans="2:11" ht="21" customHeight="1">
      <c r="B25" s="539"/>
      <c r="C25" s="539"/>
      <c r="D25" s="539"/>
      <c r="E25" s="539"/>
      <c r="F25" s="540"/>
    </row>
    <row r="26" spans="2:11" ht="21" customHeight="1">
      <c r="B26" s="539"/>
      <c r="C26" s="539"/>
      <c r="D26" s="539"/>
      <c r="E26" s="539"/>
      <c r="F26" s="540"/>
    </row>
    <row r="27" spans="2:11" ht="21" customHeight="1">
      <c r="B27" s="539"/>
      <c r="C27" s="539"/>
      <c r="D27" s="539"/>
      <c r="E27" s="539"/>
      <c r="F27" s="540"/>
    </row>
    <row r="28" spans="2:11" ht="21" customHeight="1">
      <c r="B28" s="539"/>
      <c r="C28" s="539"/>
      <c r="D28" s="539"/>
      <c r="E28" s="539"/>
      <c r="F28" s="540"/>
    </row>
    <row r="29" spans="2:11" ht="21" customHeight="1">
      <c r="B29" s="539"/>
      <c r="C29" s="539"/>
      <c r="D29" s="539"/>
      <c r="E29" s="539"/>
      <c r="F29" s="540"/>
    </row>
    <row r="30" spans="2:11" ht="21" customHeight="1">
      <c r="B30" s="539"/>
      <c r="C30" s="539"/>
      <c r="D30" s="539"/>
      <c r="E30" s="539"/>
      <c r="F30" s="540"/>
    </row>
    <row r="31" spans="2:11" ht="21" customHeight="1">
      <c r="B31" s="539"/>
      <c r="C31" s="539"/>
      <c r="D31" s="539"/>
      <c r="E31" s="539"/>
      <c r="F31" s="540"/>
    </row>
    <row r="32" spans="2:11" ht="21" customHeight="1">
      <c r="B32" s="539"/>
      <c r="C32" s="539"/>
      <c r="D32" s="539"/>
      <c r="E32" s="539"/>
      <c r="F32" s="540"/>
    </row>
    <row r="33" spans="2:6" ht="21" customHeight="1">
      <c r="B33" s="539"/>
      <c r="C33" s="539"/>
      <c r="D33" s="539"/>
      <c r="E33" s="539"/>
      <c r="F33" s="540"/>
    </row>
    <row r="34" spans="2:6" ht="21" customHeight="1">
      <c r="B34" s="539"/>
      <c r="C34" s="539"/>
      <c r="D34" s="539"/>
      <c r="E34" s="539"/>
      <c r="F34" s="540"/>
    </row>
    <row r="35" spans="2:6" ht="21" customHeight="1">
      <c r="B35" s="539"/>
      <c r="C35" s="539"/>
      <c r="D35" s="539"/>
      <c r="E35" s="539"/>
      <c r="F35" s="540"/>
    </row>
    <row r="36" spans="2:6" ht="21" customHeight="1">
      <c r="B36" s="539"/>
      <c r="C36" s="539"/>
      <c r="D36" s="539"/>
      <c r="E36" s="539"/>
      <c r="F36" s="540"/>
    </row>
    <row r="37" spans="2:6" ht="21" customHeight="1">
      <c r="B37" s="539"/>
      <c r="C37" s="539"/>
      <c r="D37" s="539"/>
      <c r="E37" s="539"/>
      <c r="F37" s="540"/>
    </row>
    <row r="38" spans="2:6" ht="21" customHeight="1">
      <c r="B38" s="539"/>
      <c r="C38" s="539"/>
      <c r="D38" s="539"/>
      <c r="E38" s="539"/>
      <c r="F38" s="540"/>
    </row>
    <row r="39" spans="2:6" ht="21" customHeight="1">
      <c r="B39" s="539"/>
      <c r="C39" s="539"/>
      <c r="D39" s="539"/>
      <c r="E39" s="539"/>
      <c r="F39" s="540"/>
    </row>
    <row r="40" spans="2:6" ht="21" customHeight="1">
      <c r="B40" s="539"/>
      <c r="C40" s="539"/>
      <c r="D40" s="539"/>
      <c r="E40" s="539"/>
      <c r="F40" s="540"/>
    </row>
    <row r="41" spans="2:6" ht="21" customHeight="1">
      <c r="B41" s="539"/>
      <c r="C41" s="539"/>
      <c r="D41" s="539"/>
      <c r="E41" s="539"/>
      <c r="F41" s="540"/>
    </row>
    <row r="42" spans="2:6" ht="21" customHeight="1">
      <c r="B42" s="539"/>
      <c r="C42" s="539"/>
      <c r="D42" s="539"/>
      <c r="E42" s="539"/>
      <c r="F42" s="540"/>
    </row>
    <row r="43" spans="2:6" ht="21" customHeight="1" thickBot="1">
      <c r="B43" s="247"/>
      <c r="C43" s="741" t="s">
        <v>3258</v>
      </c>
      <c r="D43" s="247"/>
      <c r="E43" s="247"/>
      <c r="F43" s="341">
        <f>SUM(F5:F42)</f>
        <v>7580525.7300000004</v>
      </c>
    </row>
    <row r="44" spans="2:6" ht="13.8" thickTop="1"/>
    <row r="45" spans="2:6">
      <c r="B45" s="1713" t="s">
        <v>629</v>
      </c>
      <c r="C45" s="1713"/>
      <c r="D45" s="1713"/>
      <c r="E45" s="1713"/>
      <c r="F45" s="1713"/>
    </row>
    <row r="46" spans="2:6">
      <c r="B46" s="1713" t="s">
        <v>633</v>
      </c>
      <c r="C46" s="1713"/>
      <c r="D46" s="1713"/>
      <c r="E46" s="1713"/>
      <c r="F46" s="1713"/>
    </row>
    <row r="47" spans="2:6">
      <c r="B47" s="779"/>
      <c r="C47" s="779"/>
      <c r="D47" s="779"/>
      <c r="E47" s="779"/>
      <c r="F47" s="343"/>
    </row>
    <row r="49" spans="2:6" ht="13.8">
      <c r="B49" s="1710" t="s">
        <v>634</v>
      </c>
      <c r="C49" s="1710"/>
      <c r="D49" s="1710"/>
      <c r="E49" s="1710"/>
      <c r="F49" s="1710"/>
    </row>
    <row r="50" spans="2:6">
      <c r="F50" s="344"/>
    </row>
    <row r="51" spans="2:6">
      <c r="F51" s="344"/>
    </row>
    <row r="54" spans="2:6">
      <c r="F54" s="344"/>
    </row>
  </sheetData>
  <sheetProtection algorithmName="SHA-512" hashValue="e8KswYGR1+UN6RVeNiIip2nf90d2BlWwOrgA8e8azGWXwJNF4o54yBUtr0blyDBl9ap2Pza6GFxZjNGsmAlseg==" saltValue="cStdiuN7pMXausM3BokiMA==" spinCount="100000" sheet="1" objects="1" scenarios="1"/>
  <mergeCells count="5">
    <mergeCell ref="B49:F49"/>
    <mergeCell ref="B4:F4"/>
    <mergeCell ref="B2:F2"/>
    <mergeCell ref="B45:F45"/>
    <mergeCell ref="B46:F46"/>
  </mergeCells>
  <phoneticPr fontId="0" type="noConversion"/>
  <pageMargins left="0.25" right="0.25" top="0.5" bottom="0.5" header="0.25" footer="0.25"/>
  <pageSetup paperSize="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1:I49"/>
  <sheetViews>
    <sheetView zoomScaleNormal="100" workbookViewId="0">
      <selection activeCell="B2" sqref="B2:F2"/>
    </sheetView>
  </sheetViews>
  <sheetFormatPr defaultRowHeight="13.2"/>
  <cols>
    <col min="1" max="4" width="4.6640625" customWidth="1"/>
    <col min="5" max="5" width="63.6640625" customWidth="1"/>
    <col min="6" max="6" width="16.5546875" customWidth="1"/>
  </cols>
  <sheetData>
    <row r="1" spans="2:9">
      <c r="B1" s="811"/>
      <c r="C1" s="811"/>
      <c r="D1" s="811"/>
      <c r="E1" s="811"/>
      <c r="F1" s="811"/>
    </row>
    <row r="2" spans="2:9" ht="22.8">
      <c r="B2" s="1714" t="str">
        <f>'9a-Cash Reconciliation'!B2:F2</f>
        <v xml:space="preserve">CASH  RECONCILIATION  DECEMBER 31, 2021 (cont'd)  </v>
      </c>
      <c r="C2" s="1714"/>
      <c r="D2" s="1714"/>
      <c r="E2" s="1714"/>
      <c r="F2" s="1714"/>
      <c r="G2" s="39"/>
      <c r="H2" s="39"/>
      <c r="I2" s="39"/>
    </row>
    <row r="3" spans="2:9">
      <c r="B3" s="811"/>
      <c r="C3" s="811"/>
      <c r="D3" s="811"/>
      <c r="E3" s="811"/>
      <c r="F3" s="811"/>
    </row>
    <row r="4" spans="2:9" ht="16.2" thickBot="1">
      <c r="B4" s="1683" t="s">
        <v>632</v>
      </c>
      <c r="C4" s="1683"/>
      <c r="D4" s="1683"/>
      <c r="E4" s="1683"/>
      <c r="F4" s="1683"/>
    </row>
    <row r="5" spans="2:9" ht="21" customHeight="1" thickTop="1">
      <c r="B5" s="840" t="s">
        <v>3259</v>
      </c>
      <c r="C5" s="841"/>
      <c r="D5" s="841"/>
      <c r="E5" s="841"/>
      <c r="F5" s="842">
        <f>+'9a-Cash Reconciliation'!F43</f>
        <v>7580525.7300000004</v>
      </c>
    </row>
    <row r="6" spans="2:9" ht="21" customHeight="1">
      <c r="B6" s="538"/>
      <c r="C6" s="538"/>
      <c r="D6" s="538"/>
      <c r="E6" s="538"/>
      <c r="F6" s="540"/>
    </row>
    <row r="7" spans="2:9" ht="21" customHeight="1">
      <c r="B7" s="538"/>
      <c r="C7" s="538"/>
      <c r="D7" s="538"/>
      <c r="E7" s="538"/>
      <c r="F7" s="540"/>
    </row>
    <row r="8" spans="2:9" ht="21" customHeight="1">
      <c r="B8" s="538"/>
      <c r="C8" s="538"/>
      <c r="D8" s="538"/>
      <c r="E8" s="538"/>
      <c r="F8" s="540"/>
    </row>
    <row r="9" spans="2:9" ht="21" customHeight="1">
      <c r="B9" s="538"/>
      <c r="C9" s="538"/>
      <c r="D9" s="538"/>
      <c r="E9" s="538"/>
      <c r="F9" s="540"/>
    </row>
    <row r="10" spans="2:9" ht="21" customHeight="1">
      <c r="B10" s="538"/>
      <c r="C10" s="538"/>
      <c r="D10" s="538"/>
      <c r="E10" s="538"/>
      <c r="F10" s="540"/>
      <c r="I10" s="356"/>
    </row>
    <row r="11" spans="2:9" ht="21" customHeight="1">
      <c r="B11" s="538"/>
      <c r="C11" s="538"/>
      <c r="D11" s="538"/>
      <c r="E11" s="538"/>
      <c r="F11" s="540"/>
    </row>
    <row r="12" spans="2:9" ht="21" customHeight="1">
      <c r="B12" s="538"/>
      <c r="C12" s="538"/>
      <c r="D12" s="538"/>
      <c r="E12" s="538"/>
      <c r="F12" s="540"/>
    </row>
    <row r="13" spans="2:9" ht="21" customHeight="1">
      <c r="B13" s="538"/>
      <c r="C13" s="538"/>
      <c r="D13" s="538"/>
      <c r="E13" s="538"/>
      <c r="F13" s="540"/>
    </row>
    <row r="14" spans="2:9" ht="21" customHeight="1">
      <c r="B14" s="538"/>
      <c r="C14" s="538"/>
      <c r="D14" s="538"/>
      <c r="E14" s="538"/>
      <c r="F14" s="540"/>
    </row>
    <row r="15" spans="2:9" ht="21" customHeight="1">
      <c r="B15" s="538"/>
      <c r="C15" s="538"/>
      <c r="D15" s="538"/>
      <c r="E15" s="538"/>
      <c r="F15" s="540"/>
    </row>
    <row r="16" spans="2:9" ht="21" customHeight="1">
      <c r="B16" s="538"/>
      <c r="C16" s="538"/>
      <c r="D16" s="538"/>
      <c r="E16" s="538"/>
      <c r="F16" s="540"/>
    </row>
    <row r="17" spans="2:6" ht="21" customHeight="1">
      <c r="B17" s="538"/>
      <c r="C17" s="538"/>
      <c r="D17" s="538"/>
      <c r="E17" s="538"/>
      <c r="F17" s="540"/>
    </row>
    <row r="18" spans="2:6" ht="21" customHeight="1">
      <c r="B18" s="538"/>
      <c r="C18" s="538"/>
      <c r="D18" s="538"/>
      <c r="E18" s="538"/>
      <c r="F18" s="540"/>
    </row>
    <row r="19" spans="2:6" ht="21" customHeight="1">
      <c r="B19" s="538"/>
      <c r="C19" s="538"/>
      <c r="D19" s="538"/>
      <c r="E19" s="538"/>
      <c r="F19" s="540"/>
    </row>
    <row r="20" spans="2:6" ht="21" customHeight="1">
      <c r="B20" s="538"/>
      <c r="C20" s="538"/>
      <c r="D20" s="538"/>
      <c r="E20" s="538"/>
      <c r="F20" s="540"/>
    </row>
    <row r="21" spans="2:6" ht="21" customHeight="1">
      <c r="B21" s="538"/>
      <c r="C21" s="538"/>
      <c r="D21" s="538"/>
      <c r="E21" s="538"/>
      <c r="F21" s="540"/>
    </row>
    <row r="22" spans="2:6" ht="21" customHeight="1">
      <c r="B22" s="538"/>
      <c r="C22" s="538"/>
      <c r="D22" s="538"/>
      <c r="E22" s="538"/>
      <c r="F22" s="540"/>
    </row>
    <row r="23" spans="2:6" ht="21" customHeight="1">
      <c r="B23" s="538"/>
      <c r="C23" s="538"/>
      <c r="D23" s="538"/>
      <c r="E23" s="538"/>
      <c r="F23" s="540"/>
    </row>
    <row r="24" spans="2:6" s="309" customFormat="1" ht="21" customHeight="1">
      <c r="B24" s="538"/>
      <c r="C24" s="538"/>
      <c r="D24" s="538"/>
      <c r="E24" s="538"/>
      <c r="F24" s="540"/>
    </row>
    <row r="25" spans="2:6" s="309" customFormat="1" ht="21" customHeight="1">
      <c r="B25" s="538"/>
      <c r="C25" s="538"/>
      <c r="D25" s="538"/>
      <c r="E25" s="538"/>
      <c r="F25" s="540"/>
    </row>
    <row r="26" spans="2:6" s="309" customFormat="1" ht="21" customHeight="1">
      <c r="B26" s="538"/>
      <c r="C26" s="538"/>
      <c r="D26" s="538"/>
      <c r="E26" s="538"/>
      <c r="F26" s="540"/>
    </row>
    <row r="27" spans="2:6" ht="21" customHeight="1">
      <c r="B27" s="538"/>
      <c r="C27" s="538"/>
      <c r="D27" s="538"/>
      <c r="E27" s="538"/>
      <c r="F27" s="540"/>
    </row>
    <row r="28" spans="2:6" ht="21" customHeight="1">
      <c r="B28" s="538"/>
      <c r="C28" s="538"/>
      <c r="D28" s="538"/>
      <c r="E28" s="538"/>
      <c r="F28" s="540"/>
    </row>
    <row r="29" spans="2:6" ht="21" customHeight="1">
      <c r="B29" s="538"/>
      <c r="C29" s="538"/>
      <c r="D29" s="538"/>
      <c r="E29" s="538"/>
      <c r="F29" s="540"/>
    </row>
    <row r="30" spans="2:6" ht="21" customHeight="1">
      <c r="B30" s="538"/>
      <c r="C30" s="538"/>
      <c r="D30" s="538"/>
      <c r="E30" s="538"/>
      <c r="F30" s="540"/>
    </row>
    <row r="31" spans="2:6" ht="21" customHeight="1">
      <c r="B31" s="538"/>
      <c r="C31" s="538"/>
      <c r="D31" s="538"/>
      <c r="E31" s="538"/>
      <c r="F31" s="540"/>
    </row>
    <row r="32" spans="2:6" ht="21" customHeight="1">
      <c r="B32" s="538"/>
      <c r="C32" s="538"/>
      <c r="D32" s="538"/>
      <c r="E32" s="538"/>
      <c r="F32" s="540"/>
    </row>
    <row r="33" spans="2:6" ht="21" customHeight="1">
      <c r="B33" s="538"/>
      <c r="C33" s="538"/>
      <c r="D33" s="538"/>
      <c r="E33" s="538"/>
      <c r="F33" s="540"/>
    </row>
    <row r="34" spans="2:6" ht="21" customHeight="1">
      <c r="B34" s="538"/>
      <c r="C34" s="538"/>
      <c r="D34" s="538"/>
      <c r="E34" s="538"/>
      <c r="F34" s="540"/>
    </row>
    <row r="35" spans="2:6" ht="21" customHeight="1">
      <c r="B35" s="538"/>
      <c r="C35" s="538"/>
      <c r="D35" s="538"/>
      <c r="E35" s="538"/>
      <c r="F35" s="540"/>
    </row>
    <row r="36" spans="2:6" ht="21" customHeight="1">
      <c r="B36" s="538"/>
      <c r="C36" s="538"/>
      <c r="D36" s="538"/>
      <c r="E36" s="538"/>
      <c r="F36" s="540"/>
    </row>
    <row r="37" spans="2:6" ht="21" customHeight="1">
      <c r="B37" s="538"/>
      <c r="C37" s="538"/>
      <c r="D37" s="538"/>
      <c r="E37" s="538"/>
      <c r="F37" s="540"/>
    </row>
    <row r="38" spans="2:6" ht="21" customHeight="1">
      <c r="B38" s="538"/>
      <c r="C38" s="538"/>
      <c r="D38" s="538"/>
      <c r="E38" s="538"/>
      <c r="F38" s="540"/>
    </row>
    <row r="39" spans="2:6" ht="21" customHeight="1">
      <c r="B39" s="538"/>
      <c r="C39" s="538"/>
      <c r="D39" s="538"/>
      <c r="E39" s="538"/>
      <c r="F39" s="540"/>
    </row>
    <row r="40" spans="2:6" ht="21" customHeight="1">
      <c r="B40" s="538"/>
      <c r="C40" s="538"/>
      <c r="D40" s="538"/>
      <c r="E40" s="538"/>
      <c r="F40" s="540"/>
    </row>
    <row r="41" spans="2:6" ht="21" customHeight="1">
      <c r="B41" s="538"/>
      <c r="C41" s="538"/>
      <c r="D41" s="538"/>
      <c r="E41" s="538"/>
      <c r="F41" s="540"/>
    </row>
    <row r="42" spans="2:6" ht="21" customHeight="1">
      <c r="B42" s="538"/>
      <c r="C42" s="538"/>
      <c r="D42" s="538"/>
      <c r="E42" s="538"/>
      <c r="F42" s="540"/>
    </row>
    <row r="43" spans="2:6" ht="21" customHeight="1" thickBot="1">
      <c r="B43" s="315" t="s">
        <v>3258</v>
      </c>
      <c r="C43" s="27"/>
      <c r="D43" s="27"/>
      <c r="E43" s="27"/>
      <c r="F43" s="216">
        <f>SUM(F5:F42)</f>
        <v>7580525.7300000004</v>
      </c>
    </row>
    <row r="44" spans="2:6" ht="13.8" thickTop="1">
      <c r="B44" s="309"/>
      <c r="C44" s="309"/>
      <c r="D44" s="309"/>
      <c r="E44" s="309"/>
      <c r="F44" s="309"/>
    </row>
    <row r="45" spans="2:6">
      <c r="B45" s="1663" t="s">
        <v>629</v>
      </c>
      <c r="C45" s="1663"/>
      <c r="D45" s="1663"/>
      <c r="E45" s="1663"/>
      <c r="F45" s="1663"/>
    </row>
    <row r="46" spans="2:6">
      <c r="B46" s="1663" t="s">
        <v>633</v>
      </c>
      <c r="C46" s="1663"/>
      <c r="D46" s="1663"/>
      <c r="E46" s="1663"/>
      <c r="F46" s="1663"/>
    </row>
    <row r="47" spans="2:6">
      <c r="B47" s="776"/>
      <c r="C47" s="776"/>
      <c r="D47" s="776"/>
      <c r="E47" s="776"/>
      <c r="F47" s="776"/>
    </row>
    <row r="48" spans="2:6">
      <c r="B48" s="309"/>
      <c r="C48" s="309"/>
      <c r="D48" s="309"/>
      <c r="E48" s="309"/>
      <c r="F48" s="309"/>
    </row>
    <row r="49" spans="2:6" ht="13.8">
      <c r="B49" s="1618" t="s">
        <v>3245</v>
      </c>
      <c r="C49" s="1618"/>
      <c r="D49" s="1618"/>
      <c r="E49" s="1618"/>
      <c r="F49" s="1618"/>
    </row>
  </sheetData>
  <sheetProtection password="CAF9" sheet="1" objects="1" scenarios="1"/>
  <mergeCells count="5">
    <mergeCell ref="B49:F49"/>
    <mergeCell ref="B4:F4"/>
    <mergeCell ref="B2:F2"/>
    <mergeCell ref="B45:F45"/>
    <mergeCell ref="B46:F46"/>
  </mergeCells>
  <phoneticPr fontId="0" type="noConversion"/>
  <pageMargins left="0.25" right="0.25" top="0.5" bottom="0.5" header="0.25" footer="0.25"/>
  <pageSetup paperSize="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1:I49"/>
  <sheetViews>
    <sheetView zoomScaleNormal="100" workbookViewId="0">
      <selection activeCell="B1" sqref="B1"/>
    </sheetView>
  </sheetViews>
  <sheetFormatPr defaultColWidth="9.109375" defaultRowHeight="13.2"/>
  <cols>
    <col min="1" max="4" width="4.6640625" style="309" customWidth="1"/>
    <col min="5" max="5" width="63.6640625" style="309" customWidth="1"/>
    <col min="6" max="6" width="16.5546875" style="309" customWidth="1"/>
    <col min="7" max="16384" width="9.109375" style="309"/>
  </cols>
  <sheetData>
    <row r="1" spans="2:9">
      <c r="B1" s="811"/>
      <c r="C1" s="811"/>
      <c r="D1" s="811"/>
      <c r="E1" s="811"/>
      <c r="F1" s="811"/>
    </row>
    <row r="2" spans="2:9" ht="22.8">
      <c r="B2" s="1714" t="str">
        <f>'9a-Cash Reconciliation'!B2:F2</f>
        <v xml:space="preserve">CASH  RECONCILIATION  DECEMBER 31, 2021 (cont'd)  </v>
      </c>
      <c r="C2" s="1714"/>
      <c r="D2" s="1714"/>
      <c r="E2" s="1714"/>
      <c r="F2" s="1714"/>
      <c r="G2" s="705"/>
      <c r="H2" s="705"/>
      <c r="I2" s="705"/>
    </row>
    <row r="3" spans="2:9">
      <c r="B3" s="811"/>
      <c r="C3" s="811"/>
      <c r="D3" s="811"/>
      <c r="E3" s="811"/>
      <c r="F3" s="811"/>
    </row>
    <row r="4" spans="2:9" ht="16.2" thickBot="1">
      <c r="B4" s="1683" t="s">
        <v>632</v>
      </c>
      <c r="C4" s="1683"/>
      <c r="D4" s="1683"/>
      <c r="E4" s="1683"/>
      <c r="F4" s="1683"/>
    </row>
    <row r="5" spans="2:9" ht="21" customHeight="1" thickTop="1">
      <c r="B5" s="840" t="s">
        <v>3259</v>
      </c>
      <c r="C5" s="841"/>
      <c r="D5" s="841"/>
      <c r="E5" s="841"/>
      <c r="F5" s="842">
        <f>+'9a.1-Cash Reconciliation'!F43</f>
        <v>7580525.7300000004</v>
      </c>
    </row>
    <row r="6" spans="2:9" ht="21" customHeight="1">
      <c r="B6" s="538"/>
      <c r="C6" s="538"/>
      <c r="D6" s="538"/>
      <c r="E6" s="538"/>
      <c r="F6" s="540"/>
    </row>
    <row r="7" spans="2:9" ht="21" customHeight="1">
      <c r="B7" s="538"/>
      <c r="C7" s="538"/>
      <c r="D7" s="538"/>
      <c r="E7" s="538"/>
      <c r="F7" s="540"/>
    </row>
    <row r="8" spans="2:9" ht="21" customHeight="1">
      <c r="B8" s="538"/>
      <c r="C8" s="538"/>
      <c r="D8" s="538"/>
      <c r="E8" s="538"/>
      <c r="F8" s="540"/>
    </row>
    <row r="9" spans="2:9" ht="21" customHeight="1">
      <c r="B9" s="538"/>
      <c r="C9" s="538"/>
      <c r="D9" s="538"/>
      <c r="E9" s="538"/>
      <c r="F9" s="540"/>
    </row>
    <row r="10" spans="2:9" ht="21" customHeight="1">
      <c r="B10" s="538"/>
      <c r="C10" s="538"/>
      <c r="D10" s="538"/>
      <c r="E10" s="538"/>
      <c r="F10" s="540"/>
      <c r="I10" s="356"/>
    </row>
    <row r="11" spans="2:9" ht="21" customHeight="1">
      <c r="B11" s="538"/>
      <c r="C11" s="538"/>
      <c r="D11" s="538"/>
      <c r="E11" s="538"/>
      <c r="F11" s="540"/>
    </row>
    <row r="12" spans="2:9" ht="21" customHeight="1">
      <c r="B12" s="538"/>
      <c r="C12" s="538"/>
      <c r="D12" s="538"/>
      <c r="E12" s="538"/>
      <c r="F12" s="540"/>
    </row>
    <row r="13" spans="2:9" ht="21" customHeight="1">
      <c r="B13" s="538"/>
      <c r="C13" s="538"/>
      <c r="D13" s="538"/>
      <c r="E13" s="538"/>
      <c r="F13" s="540"/>
    </row>
    <row r="14" spans="2:9" ht="21" customHeight="1">
      <c r="B14" s="538"/>
      <c r="C14" s="538"/>
      <c r="D14" s="538"/>
      <c r="E14" s="538"/>
      <c r="F14" s="540"/>
    </row>
    <row r="15" spans="2:9" ht="21" customHeight="1">
      <c r="B15" s="538"/>
      <c r="C15" s="538"/>
      <c r="D15" s="538"/>
      <c r="E15" s="538"/>
      <c r="F15" s="540"/>
    </row>
    <row r="16" spans="2:9" ht="21" customHeight="1">
      <c r="B16" s="538"/>
      <c r="C16" s="538"/>
      <c r="D16" s="538"/>
      <c r="E16" s="538"/>
      <c r="F16" s="540"/>
    </row>
    <row r="17" spans="2:6" ht="21" customHeight="1">
      <c r="B17" s="538"/>
      <c r="C17" s="538"/>
      <c r="D17" s="538"/>
      <c r="E17" s="538"/>
      <c r="F17" s="540"/>
    </row>
    <row r="18" spans="2:6" ht="21" customHeight="1">
      <c r="B18" s="538"/>
      <c r="C18" s="538"/>
      <c r="D18" s="538"/>
      <c r="E18" s="538"/>
      <c r="F18" s="540"/>
    </row>
    <row r="19" spans="2:6" ht="21" customHeight="1">
      <c r="B19" s="538"/>
      <c r="C19" s="538"/>
      <c r="D19" s="538"/>
      <c r="E19" s="538"/>
      <c r="F19" s="540"/>
    </row>
    <row r="20" spans="2:6" ht="21" customHeight="1">
      <c r="B20" s="538"/>
      <c r="C20" s="538"/>
      <c r="D20" s="538"/>
      <c r="E20" s="538"/>
      <c r="F20" s="540"/>
    </row>
    <row r="21" spans="2:6" ht="21" customHeight="1">
      <c r="B21" s="538"/>
      <c r="C21" s="538"/>
      <c r="D21" s="538"/>
      <c r="E21" s="538"/>
      <c r="F21" s="540"/>
    </row>
    <row r="22" spans="2:6" ht="21" customHeight="1">
      <c r="B22" s="538"/>
      <c r="C22" s="538"/>
      <c r="D22" s="538"/>
      <c r="E22" s="538"/>
      <c r="F22" s="540"/>
    </row>
    <row r="23" spans="2:6" ht="21" customHeight="1">
      <c r="B23" s="538"/>
      <c r="C23" s="538"/>
      <c r="D23" s="538"/>
      <c r="E23" s="538"/>
      <c r="F23" s="540"/>
    </row>
    <row r="24" spans="2:6" ht="21" customHeight="1">
      <c r="B24" s="538"/>
      <c r="C24" s="538"/>
      <c r="D24" s="538"/>
      <c r="E24" s="538"/>
      <c r="F24" s="540"/>
    </row>
    <row r="25" spans="2:6" ht="21" customHeight="1">
      <c r="B25" s="538"/>
      <c r="C25" s="538"/>
      <c r="D25" s="538"/>
      <c r="E25" s="538"/>
      <c r="F25" s="540"/>
    </row>
    <row r="26" spans="2:6" ht="21" customHeight="1">
      <c r="B26" s="538"/>
      <c r="C26" s="538"/>
      <c r="D26" s="538"/>
      <c r="E26" s="538"/>
      <c r="F26" s="540"/>
    </row>
    <row r="27" spans="2:6" ht="21" customHeight="1">
      <c r="B27" s="538"/>
      <c r="C27" s="538"/>
      <c r="D27" s="538"/>
      <c r="E27" s="538"/>
      <c r="F27" s="540"/>
    </row>
    <row r="28" spans="2:6" ht="21" customHeight="1">
      <c r="B28" s="538"/>
      <c r="C28" s="538"/>
      <c r="D28" s="538"/>
      <c r="E28" s="538"/>
      <c r="F28" s="540"/>
    </row>
    <row r="29" spans="2:6" ht="21" customHeight="1">
      <c r="B29" s="538"/>
      <c r="C29" s="538"/>
      <c r="D29" s="538"/>
      <c r="E29" s="538"/>
      <c r="F29" s="540"/>
    </row>
    <row r="30" spans="2:6" ht="21" customHeight="1">
      <c r="B30" s="538"/>
      <c r="C30" s="538"/>
      <c r="D30" s="538"/>
      <c r="E30" s="538"/>
      <c r="F30" s="540"/>
    </row>
    <row r="31" spans="2:6" ht="21" customHeight="1">
      <c r="B31" s="538"/>
      <c r="C31" s="538"/>
      <c r="D31" s="538"/>
      <c r="E31" s="538"/>
      <c r="F31" s="540"/>
    </row>
    <row r="32" spans="2:6" ht="21" customHeight="1">
      <c r="B32" s="538"/>
      <c r="C32" s="538"/>
      <c r="D32" s="538"/>
      <c r="E32" s="538"/>
      <c r="F32" s="540"/>
    </row>
    <row r="33" spans="2:6" ht="21" customHeight="1">
      <c r="B33" s="538"/>
      <c r="C33" s="538"/>
      <c r="D33" s="538"/>
      <c r="E33" s="538"/>
      <c r="F33" s="540"/>
    </row>
    <row r="34" spans="2:6" ht="21" customHeight="1">
      <c r="B34" s="538"/>
      <c r="C34" s="538"/>
      <c r="D34" s="538"/>
      <c r="E34" s="538"/>
      <c r="F34" s="540"/>
    </row>
    <row r="35" spans="2:6" ht="21" customHeight="1">
      <c r="B35" s="538"/>
      <c r="C35" s="538"/>
      <c r="D35" s="538"/>
      <c r="E35" s="538"/>
      <c r="F35" s="540"/>
    </row>
    <row r="36" spans="2:6" ht="21" customHeight="1">
      <c r="B36" s="538"/>
      <c r="C36" s="538"/>
      <c r="D36" s="538"/>
      <c r="E36" s="538"/>
      <c r="F36" s="540"/>
    </row>
    <row r="37" spans="2:6" ht="21" customHeight="1">
      <c r="B37" s="538"/>
      <c r="C37" s="538"/>
      <c r="D37" s="538"/>
      <c r="E37" s="538"/>
      <c r="F37" s="540"/>
    </row>
    <row r="38" spans="2:6" ht="21" customHeight="1">
      <c r="B38" s="538"/>
      <c r="C38" s="538"/>
      <c r="D38" s="538"/>
      <c r="E38" s="538"/>
      <c r="F38" s="540"/>
    </row>
    <row r="39" spans="2:6" ht="21" customHeight="1">
      <c r="B39" s="538"/>
      <c r="C39" s="538"/>
      <c r="D39" s="538"/>
      <c r="E39" s="538"/>
      <c r="F39" s="540"/>
    </row>
    <row r="40" spans="2:6" ht="21" customHeight="1">
      <c r="B40" s="538"/>
      <c r="C40" s="538"/>
      <c r="D40" s="538"/>
      <c r="E40" s="538"/>
      <c r="F40" s="540"/>
    </row>
    <row r="41" spans="2:6" ht="21" customHeight="1">
      <c r="B41" s="538"/>
      <c r="C41" s="538"/>
      <c r="D41" s="538"/>
      <c r="E41" s="538"/>
      <c r="F41" s="540"/>
    </row>
    <row r="42" spans="2:6" ht="21" customHeight="1">
      <c r="B42" s="538"/>
      <c r="C42" s="538"/>
      <c r="D42" s="538"/>
      <c r="E42" s="538"/>
      <c r="F42" s="540"/>
    </row>
    <row r="43" spans="2:6" ht="21" customHeight="1" thickBot="1">
      <c r="B43" s="315" t="s">
        <v>3258</v>
      </c>
      <c r="C43" s="27"/>
      <c r="D43" s="27"/>
      <c r="E43" s="27"/>
      <c r="F43" s="216">
        <f>SUM(F5:F42)</f>
        <v>7580525.7300000004</v>
      </c>
    </row>
    <row r="44" spans="2:6" ht="13.8" thickTop="1"/>
    <row r="45" spans="2:6">
      <c r="B45" s="1663" t="s">
        <v>629</v>
      </c>
      <c r="C45" s="1663"/>
      <c r="D45" s="1663"/>
      <c r="E45" s="1663"/>
      <c r="F45" s="1663"/>
    </row>
    <row r="46" spans="2:6">
      <c r="B46" s="1663" t="s">
        <v>633</v>
      </c>
      <c r="C46" s="1663"/>
      <c r="D46" s="1663"/>
      <c r="E46" s="1663"/>
      <c r="F46" s="1663"/>
    </row>
    <row r="47" spans="2:6">
      <c r="B47" s="776"/>
      <c r="C47" s="776"/>
      <c r="D47" s="776"/>
      <c r="E47" s="776"/>
      <c r="F47" s="776"/>
    </row>
    <row r="49" spans="2:6" ht="13.8">
      <c r="B49" s="1618" t="s">
        <v>3246</v>
      </c>
      <c r="C49" s="1618"/>
      <c r="D49" s="1618"/>
      <c r="E49" s="1618"/>
      <c r="F49" s="1618"/>
    </row>
  </sheetData>
  <sheetProtection algorithmName="SHA-512" hashValue="iVKw35QEybpB6Wkoq6oS4iOz4LIgKbnYriAps3ptgzaiLjFgxIa1zPTlXRUDx6YZI+rmYVrOdDcf61nFIA7HhQ==" saltValue="ZmLKt/bEQd7a4rnx7gQnKA=="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B1:I49"/>
  <sheetViews>
    <sheetView zoomScaleNormal="100" workbookViewId="0">
      <selection activeCell="B1" sqref="B1"/>
    </sheetView>
  </sheetViews>
  <sheetFormatPr defaultColWidth="9.109375" defaultRowHeight="13.2"/>
  <cols>
    <col min="1" max="4" width="4.6640625" style="309" customWidth="1"/>
    <col min="5" max="5" width="63.6640625" style="309" customWidth="1"/>
    <col min="6" max="6" width="16.5546875" style="309" customWidth="1"/>
    <col min="7" max="16384" width="9.109375" style="309"/>
  </cols>
  <sheetData>
    <row r="1" spans="2:9">
      <c r="B1" s="811"/>
      <c r="C1" s="811"/>
      <c r="D1" s="811"/>
      <c r="E1" s="811"/>
      <c r="F1" s="811"/>
    </row>
    <row r="2" spans="2:9" ht="22.8">
      <c r="B2" s="1714" t="str">
        <f>'9a-Cash Reconciliation'!B2:F2</f>
        <v xml:space="preserve">CASH  RECONCILIATION  DECEMBER 31, 2021 (cont'd)  </v>
      </c>
      <c r="C2" s="1714"/>
      <c r="D2" s="1714"/>
      <c r="E2" s="1714"/>
      <c r="F2" s="1714"/>
      <c r="G2" s="705"/>
      <c r="H2" s="705"/>
      <c r="I2" s="705"/>
    </row>
    <row r="3" spans="2:9">
      <c r="B3" s="811"/>
      <c r="C3" s="811"/>
      <c r="D3" s="811"/>
      <c r="E3" s="811"/>
      <c r="F3" s="811"/>
    </row>
    <row r="4" spans="2:9" ht="16.2" thickBot="1">
      <c r="B4" s="1683" t="s">
        <v>632</v>
      </c>
      <c r="C4" s="1683"/>
      <c r="D4" s="1683"/>
      <c r="E4" s="1683"/>
      <c r="F4" s="1683"/>
    </row>
    <row r="5" spans="2:9" ht="21" customHeight="1" thickTop="1">
      <c r="B5" s="840" t="s">
        <v>3259</v>
      </c>
      <c r="C5" s="841"/>
      <c r="D5" s="841"/>
      <c r="E5" s="841"/>
      <c r="F5" s="842">
        <f>+'9a.2-Cash Reconciliation'!F43</f>
        <v>7580525.7300000004</v>
      </c>
    </row>
    <row r="6" spans="2:9" ht="21" customHeight="1">
      <c r="B6" s="538"/>
      <c r="C6" s="538"/>
      <c r="D6" s="538"/>
      <c r="E6" s="538"/>
      <c r="F6" s="540"/>
    </row>
    <row r="7" spans="2:9" ht="21" customHeight="1">
      <c r="B7" s="538"/>
      <c r="C7" s="538"/>
      <c r="D7" s="538"/>
      <c r="E7" s="538"/>
      <c r="F7" s="540"/>
    </row>
    <row r="8" spans="2:9" ht="21" customHeight="1">
      <c r="B8" s="538"/>
      <c r="C8" s="538"/>
      <c r="D8" s="538"/>
      <c r="E8" s="538"/>
      <c r="F8" s="540"/>
    </row>
    <row r="9" spans="2:9" ht="21" customHeight="1">
      <c r="B9" s="538"/>
      <c r="C9" s="538"/>
      <c r="D9" s="538"/>
      <c r="E9" s="538"/>
      <c r="F9" s="540"/>
    </row>
    <row r="10" spans="2:9" ht="21" customHeight="1">
      <c r="B10" s="538"/>
      <c r="C10" s="538"/>
      <c r="D10" s="538"/>
      <c r="E10" s="538"/>
      <c r="F10" s="540"/>
      <c r="I10" s="356"/>
    </row>
    <row r="11" spans="2:9" ht="21" customHeight="1">
      <c r="B11" s="538"/>
      <c r="C11" s="538"/>
      <c r="D11" s="538"/>
      <c r="E11" s="538"/>
      <c r="F11" s="540"/>
    </row>
    <row r="12" spans="2:9" ht="21" customHeight="1">
      <c r="B12" s="538"/>
      <c r="C12" s="538"/>
      <c r="D12" s="538"/>
      <c r="E12" s="538"/>
      <c r="F12" s="540"/>
    </row>
    <row r="13" spans="2:9" ht="21" customHeight="1">
      <c r="B13" s="538"/>
      <c r="C13" s="538"/>
      <c r="D13" s="538"/>
      <c r="E13" s="538"/>
      <c r="F13" s="540"/>
    </row>
    <row r="14" spans="2:9" ht="21" customHeight="1">
      <c r="B14" s="538"/>
      <c r="C14" s="538"/>
      <c r="D14" s="538"/>
      <c r="E14" s="538"/>
      <c r="F14" s="540"/>
    </row>
    <row r="15" spans="2:9" ht="21" customHeight="1">
      <c r="B15" s="538"/>
      <c r="C15" s="538"/>
      <c r="D15" s="538"/>
      <c r="E15" s="538"/>
      <c r="F15" s="540"/>
    </row>
    <row r="16" spans="2:9" ht="21" customHeight="1">
      <c r="B16" s="538"/>
      <c r="C16" s="538"/>
      <c r="D16" s="538"/>
      <c r="E16" s="538"/>
      <c r="F16" s="540"/>
    </row>
    <row r="17" spans="2:6" ht="21" customHeight="1">
      <c r="B17" s="538"/>
      <c r="C17" s="538"/>
      <c r="D17" s="538"/>
      <c r="E17" s="538"/>
      <c r="F17" s="540"/>
    </row>
    <row r="18" spans="2:6" ht="21" customHeight="1">
      <c r="B18" s="538"/>
      <c r="C18" s="538"/>
      <c r="D18" s="538"/>
      <c r="E18" s="538"/>
      <c r="F18" s="540"/>
    </row>
    <row r="19" spans="2:6" ht="21" customHeight="1">
      <c r="B19" s="538"/>
      <c r="C19" s="538"/>
      <c r="D19" s="538"/>
      <c r="E19" s="538"/>
      <c r="F19" s="540"/>
    </row>
    <row r="20" spans="2:6" ht="21" customHeight="1">
      <c r="B20" s="538"/>
      <c r="C20" s="538"/>
      <c r="D20" s="538"/>
      <c r="E20" s="538"/>
      <c r="F20" s="540"/>
    </row>
    <row r="21" spans="2:6" ht="21" customHeight="1">
      <c r="B21" s="538"/>
      <c r="C21" s="538"/>
      <c r="D21" s="538"/>
      <c r="E21" s="538"/>
      <c r="F21" s="540"/>
    </row>
    <row r="22" spans="2:6" ht="21" customHeight="1">
      <c r="B22" s="538"/>
      <c r="C22" s="538"/>
      <c r="D22" s="538"/>
      <c r="E22" s="538"/>
      <c r="F22" s="540"/>
    </row>
    <row r="23" spans="2:6" ht="21" customHeight="1">
      <c r="B23" s="538"/>
      <c r="C23" s="538"/>
      <c r="D23" s="538"/>
      <c r="E23" s="538"/>
      <c r="F23" s="540"/>
    </row>
    <row r="24" spans="2:6" ht="21" customHeight="1">
      <c r="B24" s="538"/>
      <c r="C24" s="538"/>
      <c r="D24" s="538"/>
      <c r="E24" s="538"/>
      <c r="F24" s="540"/>
    </row>
    <row r="25" spans="2:6" ht="21" customHeight="1">
      <c r="B25" s="538"/>
      <c r="C25" s="538"/>
      <c r="D25" s="538"/>
      <c r="E25" s="538"/>
      <c r="F25" s="540"/>
    </row>
    <row r="26" spans="2:6" ht="21" customHeight="1">
      <c r="B26" s="538"/>
      <c r="C26" s="538"/>
      <c r="D26" s="538"/>
      <c r="E26" s="538"/>
      <c r="F26" s="540"/>
    </row>
    <row r="27" spans="2:6" ht="21" customHeight="1">
      <c r="B27" s="538"/>
      <c r="C27" s="538"/>
      <c r="D27" s="538"/>
      <c r="E27" s="538"/>
      <c r="F27" s="540"/>
    </row>
    <row r="28" spans="2:6" ht="21" customHeight="1">
      <c r="B28" s="538"/>
      <c r="C28" s="538"/>
      <c r="D28" s="538"/>
      <c r="E28" s="538"/>
      <c r="F28" s="540"/>
    </row>
    <row r="29" spans="2:6" ht="21" customHeight="1">
      <c r="B29" s="538"/>
      <c r="C29" s="538"/>
      <c r="D29" s="538"/>
      <c r="E29" s="538"/>
      <c r="F29" s="540"/>
    </row>
    <row r="30" spans="2:6" ht="21" customHeight="1">
      <c r="B30" s="538"/>
      <c r="C30" s="538"/>
      <c r="D30" s="538"/>
      <c r="E30" s="538"/>
      <c r="F30" s="540"/>
    </row>
    <row r="31" spans="2:6" ht="21" customHeight="1">
      <c r="B31" s="538"/>
      <c r="C31" s="538"/>
      <c r="D31" s="538"/>
      <c r="E31" s="538"/>
      <c r="F31" s="540"/>
    </row>
    <row r="32" spans="2:6" ht="21" customHeight="1">
      <c r="B32" s="538"/>
      <c r="C32" s="538"/>
      <c r="D32" s="538"/>
      <c r="E32" s="538"/>
      <c r="F32" s="540"/>
    </row>
    <row r="33" spans="2:6" ht="21" customHeight="1">
      <c r="B33" s="538"/>
      <c r="C33" s="538"/>
      <c r="D33" s="538"/>
      <c r="E33" s="538"/>
      <c r="F33" s="540"/>
    </row>
    <row r="34" spans="2:6" ht="21" customHeight="1">
      <c r="B34" s="538"/>
      <c r="C34" s="538"/>
      <c r="D34" s="538"/>
      <c r="E34" s="538"/>
      <c r="F34" s="540"/>
    </row>
    <row r="35" spans="2:6" ht="21" customHeight="1">
      <c r="B35" s="538"/>
      <c r="C35" s="538"/>
      <c r="D35" s="538"/>
      <c r="E35" s="538"/>
      <c r="F35" s="540"/>
    </row>
    <row r="36" spans="2:6" ht="21" customHeight="1">
      <c r="B36" s="538"/>
      <c r="C36" s="538"/>
      <c r="D36" s="538"/>
      <c r="E36" s="538"/>
      <c r="F36" s="540"/>
    </row>
    <row r="37" spans="2:6" ht="21" customHeight="1">
      <c r="B37" s="538"/>
      <c r="C37" s="538"/>
      <c r="D37" s="538"/>
      <c r="E37" s="538"/>
      <c r="F37" s="540"/>
    </row>
    <row r="38" spans="2:6" ht="21" customHeight="1">
      <c r="B38" s="538"/>
      <c r="C38" s="538"/>
      <c r="D38" s="538"/>
      <c r="E38" s="538"/>
      <c r="F38" s="540"/>
    </row>
    <row r="39" spans="2:6" ht="21" customHeight="1">
      <c r="B39" s="538"/>
      <c r="C39" s="538"/>
      <c r="D39" s="538"/>
      <c r="E39" s="538"/>
      <c r="F39" s="540"/>
    </row>
    <row r="40" spans="2:6" ht="21" customHeight="1">
      <c r="B40" s="538"/>
      <c r="C40" s="538"/>
      <c r="D40" s="538"/>
      <c r="E40" s="538"/>
      <c r="F40" s="540"/>
    </row>
    <row r="41" spans="2:6" ht="21" customHeight="1">
      <c r="B41" s="538"/>
      <c r="C41" s="538"/>
      <c r="D41" s="538"/>
      <c r="E41" s="538"/>
      <c r="F41" s="540"/>
    </row>
    <row r="42" spans="2:6" ht="21" customHeight="1">
      <c r="B42" s="538"/>
      <c r="C42" s="538"/>
      <c r="D42" s="538"/>
      <c r="E42" s="538"/>
      <c r="F42" s="540"/>
    </row>
    <row r="43" spans="2:6" ht="21" customHeight="1" thickBot="1">
      <c r="B43" s="315" t="s">
        <v>3258</v>
      </c>
      <c r="C43" s="27"/>
      <c r="D43" s="27"/>
      <c r="E43" s="27"/>
      <c r="F43" s="216">
        <f>SUM(F5:F42)</f>
        <v>7580525.7300000004</v>
      </c>
    </row>
    <row r="44" spans="2:6" ht="13.8" thickTop="1"/>
    <row r="45" spans="2:6">
      <c r="B45" s="1663" t="s">
        <v>629</v>
      </c>
      <c r="C45" s="1663"/>
      <c r="D45" s="1663"/>
      <c r="E45" s="1663"/>
      <c r="F45" s="1663"/>
    </row>
    <row r="46" spans="2:6">
      <c r="B46" s="1663" t="s">
        <v>633</v>
      </c>
      <c r="C46" s="1663"/>
      <c r="D46" s="1663"/>
      <c r="E46" s="1663"/>
      <c r="F46" s="1663"/>
    </row>
    <row r="47" spans="2:6">
      <c r="B47" s="776"/>
      <c r="C47" s="776"/>
      <c r="D47" s="776"/>
      <c r="E47" s="776"/>
      <c r="F47" s="776"/>
    </row>
    <row r="49" spans="2:6" ht="13.8">
      <c r="B49" s="1618" t="s">
        <v>3247</v>
      </c>
      <c r="C49" s="1618"/>
      <c r="D49" s="1618"/>
      <c r="E49" s="1618"/>
      <c r="F49" s="1618"/>
    </row>
  </sheetData>
  <sheetProtection algorithmName="SHA-512" hashValue="bWuaQyx2VQsA3nXZvfHD6MdJMGaliLhaXWY4scrPo/4tVPzUVpD+T6naY6BE8fMtdktmqJRn0FY0j3jSleQbzw==" saltValue="EwMCfOSjrZxBfaYv2viaRg=="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49"/>
  <sheetViews>
    <sheetView topLeftCell="A25" zoomScaleNormal="100" workbookViewId="0">
      <selection activeCell="B2" sqref="B2:F2"/>
    </sheetView>
  </sheetViews>
  <sheetFormatPr defaultColWidth="9.109375" defaultRowHeight="13.2"/>
  <cols>
    <col min="1" max="4" width="4.6640625" style="309" customWidth="1"/>
    <col min="5" max="5" width="63.6640625" style="309" customWidth="1"/>
    <col min="6" max="6" width="16.5546875" style="309" customWidth="1"/>
    <col min="7" max="16384" width="9.109375" style="309"/>
  </cols>
  <sheetData>
    <row r="1" spans="1:9">
      <c r="A1" s="811"/>
      <c r="B1" s="811"/>
      <c r="C1" s="811"/>
      <c r="D1" s="811"/>
      <c r="E1" s="811"/>
      <c r="F1" s="811"/>
    </row>
    <row r="2" spans="1:9" ht="22.8">
      <c r="A2" s="811"/>
      <c r="B2" s="1714" t="str">
        <f>'9a-Cash Reconciliation'!B2:F2</f>
        <v xml:space="preserve">CASH  RECONCILIATION  DECEMBER 31, 2021 (cont'd)  </v>
      </c>
      <c r="C2" s="1714"/>
      <c r="D2" s="1714"/>
      <c r="E2" s="1714"/>
      <c r="F2" s="1714"/>
      <c r="G2" s="705"/>
      <c r="H2" s="705"/>
      <c r="I2" s="705"/>
    </row>
    <row r="3" spans="1:9">
      <c r="A3" s="811"/>
      <c r="B3" s="811"/>
      <c r="C3" s="811"/>
      <c r="D3" s="811"/>
      <c r="E3" s="811"/>
      <c r="F3" s="811"/>
    </row>
    <row r="4" spans="1:9" ht="16.2" thickBot="1">
      <c r="A4" s="811"/>
      <c r="B4" s="1683" t="s">
        <v>632</v>
      </c>
      <c r="C4" s="1683"/>
      <c r="D4" s="1683"/>
      <c r="E4" s="1683"/>
      <c r="F4" s="1683"/>
    </row>
    <row r="5" spans="1:9" ht="21" customHeight="1" thickTop="1">
      <c r="A5" s="811"/>
      <c r="B5" s="840" t="s">
        <v>3259</v>
      </c>
      <c r="C5" s="841"/>
      <c r="D5" s="841"/>
      <c r="E5" s="841"/>
      <c r="F5" s="842">
        <f>+'9a.3-Cash Reconciliation'!F43</f>
        <v>7580525.7300000004</v>
      </c>
    </row>
    <row r="6" spans="1:9" ht="21" customHeight="1">
      <c r="B6" s="538"/>
      <c r="C6" s="538"/>
      <c r="D6" s="538"/>
      <c r="E6" s="538"/>
      <c r="F6" s="540"/>
    </row>
    <row r="7" spans="1:9" ht="21" customHeight="1">
      <c r="B7" s="538"/>
      <c r="C7" s="538"/>
      <c r="D7" s="538"/>
      <c r="E7" s="538"/>
      <c r="F7" s="540"/>
    </row>
    <row r="8" spans="1:9" ht="21" customHeight="1">
      <c r="B8" s="538"/>
      <c r="C8" s="538"/>
      <c r="D8" s="538"/>
      <c r="E8" s="538"/>
      <c r="F8" s="540"/>
    </row>
    <row r="9" spans="1:9" ht="21" customHeight="1">
      <c r="B9" s="538"/>
      <c r="C9" s="538"/>
      <c r="D9" s="538"/>
      <c r="E9" s="538"/>
      <c r="F9" s="540"/>
    </row>
    <row r="10" spans="1:9" ht="21" customHeight="1">
      <c r="B10" s="538"/>
      <c r="C10" s="538"/>
      <c r="D10" s="538"/>
      <c r="E10" s="538"/>
      <c r="F10" s="540"/>
      <c r="I10" s="356"/>
    </row>
    <row r="11" spans="1:9" ht="21" customHeight="1">
      <c r="B11" s="538"/>
      <c r="C11" s="538"/>
      <c r="D11" s="538"/>
      <c r="E11" s="538"/>
      <c r="F11" s="540"/>
    </row>
    <row r="12" spans="1:9" ht="21" customHeight="1">
      <c r="B12" s="538"/>
      <c r="C12" s="538"/>
      <c r="D12" s="538"/>
      <c r="E12" s="538"/>
      <c r="F12" s="540"/>
    </row>
    <row r="13" spans="1:9" ht="21" customHeight="1">
      <c r="B13" s="538"/>
      <c r="C13" s="538"/>
      <c r="D13" s="538"/>
      <c r="E13" s="538"/>
      <c r="F13" s="540"/>
    </row>
    <row r="14" spans="1:9" ht="21" customHeight="1">
      <c r="B14" s="538"/>
      <c r="C14" s="538"/>
      <c r="D14" s="538"/>
      <c r="E14" s="538"/>
      <c r="F14" s="540"/>
    </row>
    <row r="15" spans="1:9" ht="21" customHeight="1">
      <c r="B15" s="538"/>
      <c r="C15" s="538"/>
      <c r="D15" s="538"/>
      <c r="E15" s="538"/>
      <c r="F15" s="540"/>
    </row>
    <row r="16" spans="1:9" ht="21" customHeight="1">
      <c r="B16" s="538"/>
      <c r="C16" s="538"/>
      <c r="D16" s="538"/>
      <c r="E16" s="538"/>
      <c r="F16" s="540"/>
    </row>
    <row r="17" spans="2:6" ht="21" customHeight="1">
      <c r="B17" s="538"/>
      <c r="C17" s="538"/>
      <c r="D17" s="538"/>
      <c r="E17" s="538"/>
      <c r="F17" s="540"/>
    </row>
    <row r="18" spans="2:6" ht="21" customHeight="1">
      <c r="B18" s="538"/>
      <c r="C18" s="538"/>
      <c r="D18" s="538"/>
      <c r="E18" s="538"/>
      <c r="F18" s="540"/>
    </row>
    <row r="19" spans="2:6" ht="21" customHeight="1">
      <c r="B19" s="538"/>
      <c r="C19" s="538"/>
      <c r="D19" s="538"/>
      <c r="E19" s="538"/>
      <c r="F19" s="540"/>
    </row>
    <row r="20" spans="2:6" ht="21" customHeight="1">
      <c r="B20" s="538"/>
      <c r="C20" s="538"/>
      <c r="D20" s="538"/>
      <c r="E20" s="538"/>
      <c r="F20" s="540"/>
    </row>
    <row r="21" spans="2:6" ht="21" customHeight="1">
      <c r="B21" s="538"/>
      <c r="C21" s="538"/>
      <c r="D21" s="538"/>
      <c r="E21" s="538"/>
      <c r="F21" s="540"/>
    </row>
    <row r="22" spans="2:6" ht="21" customHeight="1">
      <c r="B22" s="538"/>
      <c r="C22" s="538"/>
      <c r="D22" s="538"/>
      <c r="E22" s="538"/>
      <c r="F22" s="540"/>
    </row>
    <row r="23" spans="2:6" ht="21" customHeight="1">
      <c r="B23" s="538"/>
      <c r="C23" s="538"/>
      <c r="D23" s="538"/>
      <c r="E23" s="538"/>
      <c r="F23" s="540"/>
    </row>
    <row r="24" spans="2:6" ht="21" customHeight="1">
      <c r="B24" s="538"/>
      <c r="C24" s="538"/>
      <c r="D24" s="538"/>
      <c r="E24" s="538"/>
      <c r="F24" s="540"/>
    </row>
    <row r="25" spans="2:6" ht="21" customHeight="1">
      <c r="B25" s="538"/>
      <c r="C25" s="538"/>
      <c r="D25" s="538"/>
      <c r="E25" s="538"/>
      <c r="F25" s="540"/>
    </row>
    <row r="26" spans="2:6" ht="21" customHeight="1">
      <c r="B26" s="538"/>
      <c r="C26" s="538"/>
      <c r="D26" s="538"/>
      <c r="E26" s="538"/>
      <c r="F26" s="540"/>
    </row>
    <row r="27" spans="2:6" ht="21" customHeight="1">
      <c r="B27" s="538"/>
      <c r="C27" s="538"/>
      <c r="D27" s="538"/>
      <c r="E27" s="538"/>
      <c r="F27" s="540"/>
    </row>
    <row r="28" spans="2:6" ht="21" customHeight="1">
      <c r="B28" s="538"/>
      <c r="C28" s="538"/>
      <c r="D28" s="538"/>
      <c r="E28" s="538"/>
      <c r="F28" s="540"/>
    </row>
    <row r="29" spans="2:6" ht="21" customHeight="1">
      <c r="B29" s="538"/>
      <c r="C29" s="538"/>
      <c r="D29" s="538"/>
      <c r="E29" s="538"/>
      <c r="F29" s="540"/>
    </row>
    <row r="30" spans="2:6" ht="21" customHeight="1">
      <c r="B30" s="538"/>
      <c r="C30" s="538"/>
      <c r="D30" s="538"/>
      <c r="E30" s="538"/>
      <c r="F30" s="540"/>
    </row>
    <row r="31" spans="2:6" ht="21" customHeight="1">
      <c r="B31" s="538"/>
      <c r="C31" s="538"/>
      <c r="D31" s="538"/>
      <c r="E31" s="538"/>
      <c r="F31" s="540"/>
    </row>
    <row r="32" spans="2:6" ht="21" customHeight="1">
      <c r="B32" s="538"/>
      <c r="C32" s="538"/>
      <c r="D32" s="538"/>
      <c r="E32" s="538"/>
      <c r="F32" s="540"/>
    </row>
    <row r="33" spans="2:6" ht="21" customHeight="1">
      <c r="B33" s="538"/>
      <c r="C33" s="538"/>
      <c r="D33" s="538"/>
      <c r="E33" s="538"/>
      <c r="F33" s="540"/>
    </row>
    <row r="34" spans="2:6" ht="21" customHeight="1">
      <c r="B34" s="538"/>
      <c r="C34" s="538"/>
      <c r="D34" s="538"/>
      <c r="E34" s="538"/>
      <c r="F34" s="540"/>
    </row>
    <row r="35" spans="2:6" ht="21" customHeight="1">
      <c r="B35" s="538"/>
      <c r="C35" s="538"/>
      <c r="D35" s="538"/>
      <c r="E35" s="538"/>
      <c r="F35" s="540"/>
    </row>
    <row r="36" spans="2:6" ht="21" customHeight="1">
      <c r="B36" s="538"/>
      <c r="C36" s="538"/>
      <c r="D36" s="538"/>
      <c r="E36" s="538"/>
      <c r="F36" s="540"/>
    </row>
    <row r="37" spans="2:6" ht="21" customHeight="1">
      <c r="B37" s="538"/>
      <c r="C37" s="538"/>
      <c r="D37" s="538"/>
      <c r="E37" s="538"/>
      <c r="F37" s="540"/>
    </row>
    <row r="38" spans="2:6" ht="21" customHeight="1">
      <c r="B38" s="538"/>
      <c r="C38" s="538"/>
      <c r="D38" s="538"/>
      <c r="E38" s="538"/>
      <c r="F38" s="540"/>
    </row>
    <row r="39" spans="2:6" ht="21" customHeight="1">
      <c r="B39" s="538"/>
      <c r="C39" s="538"/>
      <c r="D39" s="538"/>
      <c r="E39" s="538"/>
      <c r="F39" s="540"/>
    </row>
    <row r="40" spans="2:6" ht="21" customHeight="1">
      <c r="B40" s="538"/>
      <c r="C40" s="538"/>
      <c r="D40" s="538"/>
      <c r="E40" s="538"/>
      <c r="F40" s="540"/>
    </row>
    <row r="41" spans="2:6" ht="21" customHeight="1">
      <c r="B41" s="538"/>
      <c r="C41" s="538"/>
      <c r="D41" s="538"/>
      <c r="E41" s="538"/>
      <c r="F41" s="540"/>
    </row>
    <row r="42" spans="2:6" ht="21" customHeight="1">
      <c r="B42" s="538"/>
      <c r="C42" s="538"/>
      <c r="D42" s="538"/>
      <c r="E42" s="538"/>
      <c r="F42" s="540"/>
    </row>
    <row r="43" spans="2:6" ht="21" customHeight="1" thickBot="1">
      <c r="B43" s="315" t="s">
        <v>3353</v>
      </c>
      <c r="C43" s="27"/>
      <c r="D43" s="27"/>
      <c r="E43" s="27"/>
      <c r="F43" s="216">
        <f>SUM(F5:F42)</f>
        <v>7580525.7300000004</v>
      </c>
    </row>
    <row r="44" spans="2:6" ht="13.8" thickTop="1"/>
    <row r="45" spans="2:6">
      <c r="B45" s="1663" t="s">
        <v>629</v>
      </c>
      <c r="C45" s="1663"/>
      <c r="D45" s="1663"/>
      <c r="E45" s="1663"/>
      <c r="F45" s="1663"/>
    </row>
    <row r="46" spans="2:6">
      <c r="B46" s="1663" t="s">
        <v>633</v>
      </c>
      <c r="C46" s="1663"/>
      <c r="D46" s="1663"/>
      <c r="E46" s="1663"/>
      <c r="F46" s="1663"/>
    </row>
    <row r="47" spans="2:6">
      <c r="B47" s="776"/>
      <c r="C47" s="776"/>
      <c r="D47" s="776"/>
      <c r="E47" s="776"/>
      <c r="F47" s="776"/>
    </row>
    <row r="49" spans="2:6" ht="13.8">
      <c r="B49" s="1618" t="s">
        <v>3263</v>
      </c>
      <c r="C49" s="1618"/>
      <c r="D49" s="1618"/>
      <c r="E49" s="1618"/>
      <c r="F49" s="1618"/>
    </row>
  </sheetData>
  <sheetProtection algorithmName="SHA-512" hashValue="3Cu3ttYQuzSZDr6tZ/+G9rkAgpHs6VkKHLJ6oVKQcX1Dv4XKbtiL27uSnqTRiDAyc9g45OwY682f9JvN6hFkGA==" saltValue="B3ZmPU+6Bi2pp/S1C7qSBg==" spinCount="100000" sheet="1" scenarios="1"/>
  <mergeCells count="5">
    <mergeCell ref="B2:F2"/>
    <mergeCell ref="B4:F4"/>
    <mergeCell ref="B45:F45"/>
    <mergeCell ref="B46:F46"/>
    <mergeCell ref="B49:F49"/>
  </mergeCells>
  <pageMargins left="0.25" right="0.25" top="0.5" bottom="0.5" header="0.25" footer="0.25"/>
  <pageSetup paperSize="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N31"/>
  <sheetViews>
    <sheetView zoomScaleNormal="100" workbookViewId="0">
      <selection activeCell="H16" sqref="H16"/>
    </sheetView>
  </sheetViews>
  <sheetFormatPr defaultRowHeight="13.2"/>
  <cols>
    <col min="1" max="1" width="5.6640625" customWidth="1"/>
    <col min="2" max="4" width="4.88671875" customWidth="1"/>
    <col min="5" max="5" width="36.44140625" customWidth="1"/>
    <col min="6" max="11" width="15.6640625" customWidth="1"/>
    <col min="12" max="12" width="11.88671875" bestFit="1" customWidth="1"/>
  </cols>
  <sheetData>
    <row r="1" spans="1:14">
      <c r="B1" s="309"/>
      <c r="C1" s="309"/>
      <c r="D1" s="309"/>
      <c r="E1" s="309"/>
      <c r="F1" s="309"/>
      <c r="G1" s="309"/>
      <c r="H1" s="309"/>
      <c r="I1" s="309"/>
      <c r="J1" s="309"/>
      <c r="K1" s="309"/>
    </row>
    <row r="2" spans="1:14" ht="20.399999999999999">
      <c r="B2" s="1619" t="s">
        <v>229</v>
      </c>
      <c r="C2" s="1619"/>
      <c r="D2" s="1619"/>
      <c r="E2" s="1619"/>
      <c r="F2" s="1619"/>
      <c r="G2" s="1619"/>
      <c r="H2" s="1619"/>
      <c r="I2" s="1619"/>
      <c r="J2" s="1619"/>
      <c r="K2" s="1619"/>
    </row>
    <row r="3" spans="1:14" ht="21" thickBot="1">
      <c r="B3" s="1619" t="s">
        <v>230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18"/>
    </row>
    <row r="5" spans="1:14">
      <c r="B5" s="1663" t="s">
        <v>639</v>
      </c>
      <c r="C5" s="1663"/>
      <c r="D5" s="1663"/>
      <c r="E5" s="1715"/>
      <c r="F5" s="270" t="s">
        <v>530</v>
      </c>
      <c r="G5" s="270" t="s">
        <v>535</v>
      </c>
      <c r="H5" s="270" t="s">
        <v>638</v>
      </c>
      <c r="I5" s="750" t="s">
        <v>218</v>
      </c>
      <c r="J5" s="245" t="s">
        <v>445</v>
      </c>
      <c r="K5" s="822" t="s">
        <v>530</v>
      </c>
    </row>
    <row r="6" spans="1:14">
      <c r="B6" s="309"/>
      <c r="C6" s="309"/>
      <c r="D6" s="309"/>
      <c r="E6" s="309"/>
      <c r="F6" s="1538" t="str">
        <f>IF('KEY INPUTS'!C42 = "State Fiscal Year", 'KEY INPUTS'!F48,'KEY INPUTS'!D48)</f>
        <v>Jan. 1, 2021</v>
      </c>
      <c r="G6" s="270" t="s">
        <v>636</v>
      </c>
      <c r="H6" s="270"/>
      <c r="I6" s="15"/>
      <c r="J6" s="781"/>
      <c r="K6" s="823" t="str">
        <f>IF('KEY INPUTS'!C42 = "State Fiscal Year", 'KEY INPUTS'!F47,'KEY INPUTS'!D47)</f>
        <v>Dec. 31, 2021</v>
      </c>
    </row>
    <row r="7" spans="1:14" ht="13.8" thickBot="1">
      <c r="B7" s="10"/>
      <c r="C7" s="10"/>
      <c r="D7" s="10"/>
      <c r="E7" s="10"/>
      <c r="F7" s="14"/>
      <c r="G7" s="16" t="s">
        <v>637</v>
      </c>
      <c r="H7" s="14"/>
      <c r="I7" s="14"/>
      <c r="J7" s="17"/>
      <c r="K7" s="824"/>
    </row>
    <row r="8" spans="1:14" ht="21" customHeight="1" thickTop="1">
      <c r="B8" s="610" t="s">
        <v>3678</v>
      </c>
      <c r="C8" s="541"/>
      <c r="D8" s="541"/>
      <c r="E8" s="542"/>
      <c r="F8" s="543"/>
      <c r="G8" s="543">
        <v>6065.77</v>
      </c>
      <c r="H8" s="543">
        <v>6065.77</v>
      </c>
      <c r="I8" s="543"/>
      <c r="J8" s="543"/>
      <c r="K8" s="843">
        <f>+F8+G8-H8+I8-J8</f>
        <v>0</v>
      </c>
    </row>
    <row r="9" spans="1:14" ht="21" customHeight="1">
      <c r="B9" s="538" t="s">
        <v>3679</v>
      </c>
      <c r="C9" s="728"/>
      <c r="D9" s="538"/>
      <c r="E9" s="544"/>
      <c r="F9" s="353">
        <v>11000</v>
      </c>
      <c r="G9" s="353">
        <v>3000</v>
      </c>
      <c r="H9" s="353">
        <v>500</v>
      </c>
      <c r="I9" s="353"/>
      <c r="J9" s="353"/>
      <c r="K9" s="802">
        <f t="shared" ref="K9:K26" si="0">+F9+G9-H9+I9-J9</f>
        <v>13500</v>
      </c>
      <c r="L9" s="312"/>
    </row>
    <row r="10" spans="1:14" ht="21" customHeight="1">
      <c r="B10" s="538" t="s">
        <v>3680</v>
      </c>
      <c r="C10" s="1606"/>
      <c r="D10" s="538"/>
      <c r="E10" s="544"/>
      <c r="F10" s="353"/>
      <c r="G10" s="353">
        <v>3278.22</v>
      </c>
      <c r="H10" s="353">
        <v>3278.22</v>
      </c>
      <c r="I10" s="353"/>
      <c r="J10" s="353"/>
      <c r="K10" s="802">
        <f t="shared" si="0"/>
        <v>0</v>
      </c>
      <c r="L10" s="218"/>
      <c r="N10" s="356"/>
    </row>
    <row r="11" spans="1:14" ht="21" customHeight="1">
      <c r="B11" s="538" t="s">
        <v>3742</v>
      </c>
      <c r="C11" s="728"/>
      <c r="D11" s="538"/>
      <c r="E11" s="544"/>
      <c r="F11" s="353"/>
      <c r="G11" s="353">
        <v>7119.42</v>
      </c>
      <c r="H11" s="353">
        <v>7119.42</v>
      </c>
      <c r="I11" s="353"/>
      <c r="J11" s="353"/>
      <c r="K11" s="802">
        <f t="shared" si="0"/>
        <v>0</v>
      </c>
      <c r="L11" s="218"/>
    </row>
    <row r="12" spans="1:14" ht="21" customHeight="1">
      <c r="B12" s="538" t="s">
        <v>3681</v>
      </c>
      <c r="C12" s="728"/>
      <c r="D12" s="538"/>
      <c r="E12" s="544"/>
      <c r="F12" s="353"/>
      <c r="G12" s="353">
        <v>1500</v>
      </c>
      <c r="H12" s="353">
        <v>1500</v>
      </c>
      <c r="I12" s="353"/>
      <c r="J12" s="353"/>
      <c r="K12" s="802">
        <f t="shared" si="0"/>
        <v>0</v>
      </c>
      <c r="L12" s="218"/>
    </row>
    <row r="13" spans="1:14" ht="21" customHeight="1">
      <c r="B13" s="538" t="s">
        <v>3682</v>
      </c>
      <c r="C13" s="1606"/>
      <c r="D13" s="538"/>
      <c r="E13" s="544"/>
      <c r="F13" s="353"/>
      <c r="G13" s="353">
        <v>1500</v>
      </c>
      <c r="H13" s="353">
        <v>1500</v>
      </c>
      <c r="I13" s="353"/>
      <c r="J13" s="353"/>
      <c r="K13" s="802">
        <f t="shared" si="0"/>
        <v>0</v>
      </c>
      <c r="L13" s="218"/>
    </row>
    <row r="14" spans="1:14" ht="21" customHeight="1">
      <c r="B14" s="538" t="s">
        <v>3683</v>
      </c>
      <c r="C14" s="728"/>
      <c r="D14" s="538"/>
      <c r="E14" s="544"/>
      <c r="F14" s="353"/>
      <c r="G14" s="353">
        <v>750</v>
      </c>
      <c r="H14" s="353">
        <v>750</v>
      </c>
      <c r="I14" s="353"/>
      <c r="J14" s="353"/>
      <c r="K14" s="802">
        <f t="shared" si="0"/>
        <v>0</v>
      </c>
      <c r="L14" s="218"/>
    </row>
    <row r="15" spans="1:14" ht="21" customHeight="1">
      <c r="A15" s="1692" t="s">
        <v>635</v>
      </c>
      <c r="B15" s="538" t="s">
        <v>3684</v>
      </c>
      <c r="C15" s="728"/>
      <c r="D15" s="538"/>
      <c r="E15" s="544"/>
      <c r="F15" s="353"/>
      <c r="G15" s="353">
        <v>2750</v>
      </c>
      <c r="H15" s="353">
        <v>2750</v>
      </c>
      <c r="I15" s="353"/>
      <c r="J15" s="353"/>
      <c r="K15" s="802">
        <f t="shared" si="0"/>
        <v>0</v>
      </c>
      <c r="L15" s="218"/>
    </row>
    <row r="16" spans="1:14" ht="21" customHeight="1">
      <c r="A16" s="1692"/>
      <c r="B16" s="539" t="s">
        <v>3685</v>
      </c>
      <c r="C16" s="728"/>
      <c r="D16" s="538"/>
      <c r="E16" s="544"/>
      <c r="F16" s="353">
        <v>2500</v>
      </c>
      <c r="G16" s="353"/>
      <c r="H16" s="353"/>
      <c r="I16" s="353"/>
      <c r="J16" s="353"/>
      <c r="K16" s="802">
        <f t="shared" si="0"/>
        <v>2500</v>
      </c>
      <c r="L16" s="218"/>
    </row>
    <row r="17" spans="1:12" ht="21" customHeight="1">
      <c r="A17" s="1692"/>
      <c r="B17" s="538"/>
      <c r="C17" s="728"/>
      <c r="D17" s="538"/>
      <c r="E17" s="544"/>
      <c r="F17" s="353"/>
      <c r="G17" s="353"/>
      <c r="H17" s="353"/>
      <c r="I17" s="353"/>
      <c r="J17" s="353"/>
      <c r="K17" s="802">
        <f t="shared" si="0"/>
        <v>0</v>
      </c>
      <c r="L17" s="218"/>
    </row>
    <row r="18" spans="1:12" ht="21" customHeight="1">
      <c r="B18" s="538"/>
      <c r="C18" s="729"/>
      <c r="D18" s="538"/>
      <c r="E18" s="544"/>
      <c r="F18" s="353"/>
      <c r="G18" s="353"/>
      <c r="H18" s="353"/>
      <c r="I18" s="353"/>
      <c r="J18" s="353"/>
      <c r="K18" s="802">
        <f t="shared" si="0"/>
        <v>0</v>
      </c>
      <c r="L18" s="218"/>
    </row>
    <row r="19" spans="1:12" ht="21" customHeight="1">
      <c r="B19" s="539"/>
      <c r="C19" s="728"/>
      <c r="D19" s="538"/>
      <c r="E19" s="544"/>
      <c r="F19" s="353"/>
      <c r="G19" s="353"/>
      <c r="H19" s="353"/>
      <c r="I19" s="353"/>
      <c r="J19" s="353"/>
      <c r="K19" s="802">
        <f t="shared" si="0"/>
        <v>0</v>
      </c>
      <c r="L19" s="218"/>
    </row>
    <row r="20" spans="1:12" s="309" customFormat="1" ht="21" customHeight="1">
      <c r="B20" s="538"/>
      <c r="C20" s="728"/>
      <c r="D20" s="539"/>
      <c r="E20" s="544"/>
      <c r="F20" s="353"/>
      <c r="G20" s="353"/>
      <c r="H20" s="353"/>
      <c r="I20" s="353"/>
      <c r="J20" s="353"/>
      <c r="K20" s="802">
        <f t="shared" si="0"/>
        <v>0</v>
      </c>
      <c r="L20" s="312"/>
    </row>
    <row r="21" spans="1:12" ht="21" customHeight="1">
      <c r="B21" s="538"/>
      <c r="C21" s="728"/>
      <c r="D21" s="538"/>
      <c r="E21" s="544"/>
      <c r="F21" s="353"/>
      <c r="G21" s="353"/>
      <c r="H21" s="353"/>
      <c r="I21" s="353"/>
      <c r="J21" s="353"/>
      <c r="K21" s="802">
        <f t="shared" si="0"/>
        <v>0</v>
      </c>
      <c r="L21" s="218"/>
    </row>
    <row r="22" spans="1:12" s="309" customFormat="1" ht="21" customHeight="1">
      <c r="B22" s="538"/>
      <c r="C22" s="728"/>
      <c r="D22" s="538"/>
      <c r="E22" s="544"/>
      <c r="F22" s="353"/>
      <c r="G22" s="353"/>
      <c r="H22" s="353"/>
      <c r="I22" s="353"/>
      <c r="J22" s="353"/>
      <c r="K22" s="802">
        <f t="shared" si="0"/>
        <v>0</v>
      </c>
      <c r="L22" s="312"/>
    </row>
    <row r="23" spans="1:12" ht="21" customHeight="1">
      <c r="B23" s="538"/>
      <c r="C23" s="729"/>
      <c r="D23" s="538"/>
      <c r="E23" s="544"/>
      <c r="F23" s="353"/>
      <c r="G23" s="353"/>
      <c r="H23" s="353"/>
      <c r="I23" s="353"/>
      <c r="J23" s="353"/>
      <c r="K23" s="802">
        <f t="shared" si="0"/>
        <v>0</v>
      </c>
    </row>
    <row r="24" spans="1:12" ht="21" customHeight="1">
      <c r="B24" s="538"/>
      <c r="C24" s="729"/>
      <c r="D24" s="538"/>
      <c r="E24" s="544"/>
      <c r="F24" s="353"/>
      <c r="G24" s="353"/>
      <c r="H24" s="353"/>
      <c r="I24" s="353"/>
      <c r="J24" s="353"/>
      <c r="K24" s="802">
        <f t="shared" si="0"/>
        <v>0</v>
      </c>
      <c r="L24" s="218"/>
    </row>
    <row r="25" spans="1:12" ht="21" customHeight="1">
      <c r="B25" s="538"/>
      <c r="C25" s="729"/>
      <c r="D25" s="538"/>
      <c r="E25" s="544"/>
      <c r="F25" s="353"/>
      <c r="G25" s="353"/>
      <c r="H25" s="353"/>
      <c r="I25" s="353"/>
      <c r="J25" s="353"/>
      <c r="K25" s="802">
        <f t="shared" si="0"/>
        <v>0</v>
      </c>
      <c r="L25" s="218"/>
    </row>
    <row r="26" spans="1:12" ht="21" customHeight="1">
      <c r="B26" s="538"/>
      <c r="C26" s="729"/>
      <c r="D26" s="538"/>
      <c r="E26" s="544"/>
      <c r="F26" s="353"/>
      <c r="G26" s="353"/>
      <c r="H26" s="353"/>
      <c r="I26" s="353"/>
      <c r="J26" s="353"/>
      <c r="K26" s="802">
        <f t="shared" si="0"/>
        <v>0</v>
      </c>
    </row>
    <row r="27" spans="1:12" ht="21" customHeight="1" thickBot="1">
      <c r="B27" s="27"/>
      <c r="C27" s="27" t="s">
        <v>3265</v>
      </c>
      <c r="D27" s="27"/>
      <c r="E27" s="41"/>
      <c r="F27" s="97">
        <f t="shared" ref="F27:J27" si="1">SUM(F8:F26)</f>
        <v>13500</v>
      </c>
      <c r="G27" s="97">
        <f t="shared" si="1"/>
        <v>25963.41</v>
      </c>
      <c r="H27" s="97">
        <f t="shared" si="1"/>
        <v>23463.41</v>
      </c>
      <c r="I27" s="97">
        <f t="shared" si="1"/>
        <v>0</v>
      </c>
      <c r="J27" s="97">
        <f t="shared" si="1"/>
        <v>0</v>
      </c>
      <c r="K27" s="820">
        <f>SUM(K8:K26)</f>
        <v>16000</v>
      </c>
      <c r="L27" s="679"/>
    </row>
    <row r="28" spans="1:12" ht="13.8" thickTop="1"/>
    <row r="29" spans="1:12">
      <c r="F29" s="218"/>
      <c r="K29" s="218"/>
      <c r="L29" s="299"/>
    </row>
    <row r="31" spans="1:12">
      <c r="F31" s="275"/>
      <c r="G31" s="299"/>
      <c r="H31" s="312"/>
      <c r="K31" s="275"/>
    </row>
  </sheetData>
  <sheetProtection algorithmName="SHA-512" hashValue="YjTDTbrpoqMm/fyN6MstU8LuW5z+xfO9eyHIx4giTexXaZu3mEV23Tq5pjYoQ8rdZxAZcBpiI7+lfA7jTA3s7g==" saltValue="Ig/Z37Z4zfO9OWYDtBOJwA==" spinCount="100000" sheet="1" objects="1" scenarios="1"/>
  <mergeCells count="4">
    <mergeCell ref="B2:K2"/>
    <mergeCell ref="B3:K3"/>
    <mergeCell ref="A15:A17"/>
    <mergeCell ref="B5:E5"/>
  </mergeCells>
  <phoneticPr fontId="0" type="noConversion"/>
  <pageMargins left="0.25" right="0.25" top="0.5" bottom="0.5" header="0.25" footer="0.25"/>
  <pageSetup paperSize="5"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N32"/>
  <sheetViews>
    <sheetView zoomScaleNormal="100" workbookViewId="0">
      <selection activeCell="J23" sqref="J23"/>
    </sheetView>
  </sheetViews>
  <sheetFormatPr defaultRowHeight="13.2"/>
  <cols>
    <col min="1" max="1" width="5.6640625" customWidth="1"/>
    <col min="2" max="4" width="4.88671875" customWidth="1"/>
    <col min="5" max="5" width="36.109375" customWidth="1"/>
    <col min="6" max="11" width="15.6640625" customWidth="1"/>
    <col min="12" max="12" width="11.88671875" bestFit="1" customWidth="1"/>
  </cols>
  <sheetData>
    <row r="1" spans="1:14">
      <c r="A1" s="811"/>
      <c r="B1" s="811"/>
      <c r="C1" s="811"/>
      <c r="D1" s="811"/>
      <c r="E1" s="811"/>
      <c r="F1" s="811"/>
      <c r="G1" s="811"/>
      <c r="H1" s="811"/>
      <c r="I1" s="811"/>
      <c r="J1" s="811"/>
      <c r="K1" s="811"/>
    </row>
    <row r="2" spans="1:14" ht="20.399999999999999">
      <c r="A2" s="811"/>
      <c r="B2" s="1716" t="s">
        <v>229</v>
      </c>
      <c r="C2" s="1716"/>
      <c r="D2" s="1716"/>
      <c r="E2" s="1716"/>
      <c r="F2" s="1716"/>
      <c r="G2" s="1716"/>
      <c r="H2" s="1716"/>
      <c r="I2" s="1716"/>
      <c r="J2" s="1716"/>
      <c r="K2" s="1716"/>
    </row>
    <row r="3" spans="1:14" ht="21" thickBot="1">
      <c r="A3" s="811"/>
      <c r="B3" s="1716" t="s">
        <v>630</v>
      </c>
      <c r="C3" s="1716"/>
      <c r="D3" s="1716"/>
      <c r="E3" s="1716"/>
      <c r="F3" s="1716"/>
      <c r="G3" s="1716"/>
      <c r="H3" s="1716"/>
      <c r="I3" s="1716"/>
      <c r="J3" s="1716"/>
      <c r="K3" s="1716"/>
    </row>
    <row r="4" spans="1:14" ht="13.8" thickTop="1">
      <c r="A4" s="811"/>
      <c r="B4" s="844"/>
      <c r="C4" s="844"/>
      <c r="D4" s="844"/>
      <c r="E4" s="844"/>
      <c r="F4" s="845"/>
      <c r="G4" s="845">
        <f>IF('KEY INPUTS'!C42="State Fiscal Year","Fiscal Year "&amp;'KEY INPUTS'!D33&amp;"",'KEY INPUTS'!D34)</f>
        <v>2021</v>
      </c>
      <c r="H4" s="845"/>
      <c r="I4" s="846"/>
      <c r="J4" s="844"/>
      <c r="K4" s="821"/>
    </row>
    <row r="5" spans="1:14">
      <c r="A5" s="811"/>
      <c r="B5" s="1717" t="s">
        <v>639</v>
      </c>
      <c r="C5" s="1717"/>
      <c r="D5" s="1717"/>
      <c r="E5" s="1718"/>
      <c r="F5" s="847" t="s">
        <v>530</v>
      </c>
      <c r="G5" s="847" t="s">
        <v>535</v>
      </c>
      <c r="H5" s="847" t="s">
        <v>638</v>
      </c>
      <c r="I5" s="848" t="s">
        <v>218</v>
      </c>
      <c r="J5" s="849" t="s">
        <v>445</v>
      </c>
      <c r="K5" s="822" t="s">
        <v>530</v>
      </c>
    </row>
    <row r="6" spans="1:14">
      <c r="A6" s="811"/>
      <c r="B6" s="811"/>
      <c r="C6" s="811"/>
      <c r="D6" s="811"/>
      <c r="E6" s="811"/>
      <c r="F6" s="850" t="str">
        <f>'10-Grants Receivable'!F6</f>
        <v>Jan. 1, 2021</v>
      </c>
      <c r="G6" s="847" t="s">
        <v>636</v>
      </c>
      <c r="H6" s="847"/>
      <c r="I6" s="851"/>
      <c r="J6" s="852"/>
      <c r="K6" s="823" t="str">
        <f>'10-Grants Receivable'!K6</f>
        <v>Dec. 31, 2021</v>
      </c>
    </row>
    <row r="7" spans="1:14" ht="13.8" thickBot="1">
      <c r="A7" s="811"/>
      <c r="B7" s="853"/>
      <c r="C7" s="853"/>
      <c r="D7" s="853"/>
      <c r="E7" s="853"/>
      <c r="F7" s="854"/>
      <c r="G7" s="855" t="s">
        <v>637</v>
      </c>
      <c r="H7" s="854"/>
      <c r="I7" s="854"/>
      <c r="J7" s="856"/>
      <c r="K7" s="824"/>
    </row>
    <row r="8" spans="1:14" ht="21" customHeight="1" thickTop="1">
      <c r="A8" s="811"/>
      <c r="B8" s="841" t="s">
        <v>3266</v>
      </c>
      <c r="C8" s="841"/>
      <c r="D8" s="841"/>
      <c r="E8" s="857"/>
      <c r="F8" s="858">
        <f>+'10-Grants Receivable'!F27</f>
        <v>13500</v>
      </c>
      <c r="G8" s="858">
        <f>+'10-Grants Receivable'!G27</f>
        <v>25963.41</v>
      </c>
      <c r="H8" s="858">
        <f>+'10-Grants Receivable'!H27</f>
        <v>23463.41</v>
      </c>
      <c r="I8" s="858">
        <f>+'10-Grants Receivable'!I27</f>
        <v>0</v>
      </c>
      <c r="J8" s="858">
        <f>+'10-Grants Receivable'!J27</f>
        <v>0</v>
      </c>
      <c r="K8" s="859">
        <f>+'10-Grants Receivable'!K27</f>
        <v>16000</v>
      </c>
    </row>
    <row r="9" spans="1:14" ht="21" customHeight="1">
      <c r="B9" s="538"/>
      <c r="C9" s="538"/>
      <c r="D9" s="538"/>
      <c r="E9" s="544"/>
      <c r="F9" s="353"/>
      <c r="G9" s="353"/>
      <c r="H9" s="353"/>
      <c r="I9" s="353"/>
      <c r="J9" s="353"/>
      <c r="K9" s="860">
        <f>+F9+G9-H9+I9-J9</f>
        <v>0</v>
      </c>
      <c r="L9" s="218"/>
    </row>
    <row r="10" spans="1:14" ht="21" customHeight="1">
      <c r="B10" s="538"/>
      <c r="C10" s="538"/>
      <c r="D10" s="538"/>
      <c r="E10" s="544"/>
      <c r="F10" s="353"/>
      <c r="G10" s="353"/>
      <c r="H10" s="353"/>
      <c r="I10" s="353"/>
      <c r="J10" s="353"/>
      <c r="K10" s="860">
        <f t="shared" ref="K10:K26" si="0">+F10+G10-H10+I10-J10</f>
        <v>0</v>
      </c>
      <c r="N10" s="356"/>
    </row>
    <row r="11" spans="1:14" ht="21" customHeight="1">
      <c r="B11" s="538"/>
      <c r="C11" s="538"/>
      <c r="D11" s="538"/>
      <c r="E11" s="544"/>
      <c r="F11" s="353"/>
      <c r="G11" s="353"/>
      <c r="H11" s="353"/>
      <c r="I11" s="353"/>
      <c r="J11" s="353"/>
      <c r="K11" s="802">
        <f t="shared" si="0"/>
        <v>0</v>
      </c>
      <c r="L11" s="218"/>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3267</v>
      </c>
      <c r="B15" s="538"/>
      <c r="C15" s="539"/>
      <c r="D15" s="538"/>
      <c r="E15" s="544"/>
      <c r="F15" s="353"/>
      <c r="G15" s="353"/>
      <c r="H15" s="353"/>
      <c r="I15" s="353"/>
      <c r="J15" s="353"/>
      <c r="K15" s="861">
        <f t="shared" si="0"/>
        <v>0</v>
      </c>
    </row>
    <row r="16" spans="1:14" ht="21" customHeight="1">
      <c r="A16" s="1692"/>
      <c r="B16" s="538"/>
      <c r="C16" s="539"/>
      <c r="D16" s="538"/>
      <c r="E16" s="544"/>
      <c r="F16" s="353"/>
      <c r="G16" s="353"/>
      <c r="H16" s="353"/>
      <c r="I16" s="353"/>
      <c r="J16" s="353"/>
      <c r="K16" s="862">
        <f t="shared" si="0"/>
        <v>0</v>
      </c>
    </row>
    <row r="17" spans="1:12" ht="21" customHeight="1">
      <c r="A17" s="1692"/>
      <c r="B17" s="538"/>
      <c r="C17" s="539"/>
      <c r="D17" s="538"/>
      <c r="E17" s="544"/>
      <c r="F17" s="353"/>
      <c r="G17" s="353"/>
      <c r="H17" s="353"/>
      <c r="I17" s="353"/>
      <c r="J17" s="353"/>
      <c r="K17" s="860">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61">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6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61">
        <f t="shared" si="0"/>
        <v>0</v>
      </c>
    </row>
    <row r="25" spans="1:12" ht="21" customHeight="1">
      <c r="B25" s="538"/>
      <c r="C25" s="538"/>
      <c r="D25" s="538"/>
      <c r="E25" s="544"/>
      <c r="F25" s="353"/>
      <c r="G25" s="353"/>
      <c r="H25" s="353"/>
      <c r="I25" s="353"/>
      <c r="J25" s="353"/>
      <c r="K25" s="86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J27" si="1">SUM(F8:F26)</f>
        <v>13500</v>
      </c>
      <c r="G27" s="97">
        <f t="shared" si="1"/>
        <v>25963.41</v>
      </c>
      <c r="H27" s="97">
        <f t="shared" si="1"/>
        <v>23463.41</v>
      </c>
      <c r="I27" s="97">
        <f t="shared" si="1"/>
        <v>0</v>
      </c>
      <c r="J27" s="97">
        <f t="shared" si="1"/>
        <v>0</v>
      </c>
      <c r="K27" s="863">
        <f>SUM(K8:K26)</f>
        <v>16000</v>
      </c>
    </row>
    <row r="28" spans="1:12" ht="13.8" thickTop="1"/>
    <row r="29" spans="1:12">
      <c r="K29" s="218"/>
    </row>
    <row r="30" spans="1:12">
      <c r="F30" s="218"/>
      <c r="G30" s="218"/>
      <c r="K30" s="218"/>
      <c r="L30" s="218"/>
    </row>
    <row r="31" spans="1:12">
      <c r="K31" s="218"/>
    </row>
    <row r="32" spans="1:12">
      <c r="G32" s="218"/>
    </row>
  </sheetData>
  <sheetProtection algorithmName="SHA-512" hashValue="HFGxjARoAltBdlt+tn74GeBHrWXiGVUDWA/oVCRjlgqnH8ml5H+1fzl3zbULpZ+KhIAHH5oB+FURA6vLADvEMw==" saltValue="dCnHn5Sy6iaKMRawtzq92Q==" spinCount="100000" sheet="1" objects="1" scenarios="1"/>
  <mergeCells count="4">
    <mergeCell ref="B2:K2"/>
    <mergeCell ref="B3:K3"/>
    <mergeCell ref="A15:A17"/>
    <mergeCell ref="B5:E5"/>
  </mergeCells>
  <phoneticPr fontId="0" type="noConversion"/>
  <pageMargins left="0.25" right="0.25" top="0.5" bottom="0.5" header="0.25" footer="0.25"/>
  <pageSetup paperSize="5"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1" spans="1:14">
      <c r="B1" s="811"/>
      <c r="C1" s="811"/>
      <c r="D1" s="811"/>
      <c r="E1" s="811"/>
      <c r="F1" s="811"/>
      <c r="G1" s="811"/>
      <c r="H1" s="811"/>
      <c r="I1" s="811"/>
      <c r="J1" s="811"/>
      <c r="K1" s="811"/>
    </row>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+'10.1-Grants Receivable'!F27</f>
        <v>13500</v>
      </c>
      <c r="G8" s="858">
        <f>+'10.1-Grants Receivable'!G27</f>
        <v>25963.41</v>
      </c>
      <c r="H8" s="858">
        <f>+'10.1-Grants Receivable'!H27</f>
        <v>23463.41</v>
      </c>
      <c r="I8" s="858">
        <f>+'10.1-Grants Receivable'!I27</f>
        <v>0</v>
      </c>
      <c r="J8" s="858">
        <f>+'10.1-Grants Receivable'!J27</f>
        <v>0</v>
      </c>
      <c r="K8" s="859">
        <f>+'10.1-Grants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3268</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8OGCbGHTHkkfkwDricVqpP80ws6vd1Ov6Dc2VMgtgqJukkR+PsLNFDTO0qxkPoUxnoZvnM8Br0hiqBy+tSZYHQ==" saltValue="ZbO36LKtlCTMhT0VE0ZXm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1" spans="1:14">
      <c r="B1" s="811"/>
      <c r="C1" s="811"/>
      <c r="D1" s="811"/>
      <c r="E1" s="811"/>
      <c r="F1" s="811"/>
      <c r="G1" s="811"/>
      <c r="H1" s="811"/>
      <c r="I1" s="811"/>
      <c r="J1" s="811"/>
      <c r="K1" s="811"/>
    </row>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+'10.2-Grants Receivable'!F27</f>
        <v>13500</v>
      </c>
      <c r="G8" s="858">
        <f>+'10.2-Grants Receivable'!G27</f>
        <v>25963.41</v>
      </c>
      <c r="H8" s="858">
        <f>+'10.2-Grants Receivable'!H27</f>
        <v>23463.41</v>
      </c>
      <c r="I8" s="858">
        <f>+'10.2-Grants Receivable'!I27</f>
        <v>0</v>
      </c>
      <c r="J8" s="858">
        <f>+'10.2-Grants Receivable'!J27</f>
        <v>0</v>
      </c>
      <c r="K8" s="859">
        <f>+'10.2-Grants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3269</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Sujclf9cO/c5d9bn53QPadv3ZHGpxEi2QPpaZghYW81a+n89lWc2H+tOyJ/0HpwqnF1bX6eXrYpvqCVxBmA0cA==" saltValue="M1V68JGxLEAtfVn2iVzUN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1" spans="1:14">
      <c r="B1" s="811"/>
      <c r="C1" s="811"/>
      <c r="D1" s="811"/>
      <c r="E1" s="811"/>
      <c r="F1" s="811"/>
      <c r="G1" s="811"/>
      <c r="H1" s="811"/>
      <c r="I1" s="811"/>
      <c r="J1" s="811"/>
      <c r="K1" s="811"/>
    </row>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+'10.3-Grants Receivable'!F27</f>
        <v>13500</v>
      </c>
      <c r="G8" s="858">
        <f>+'10.3-Grants Receivable'!G27</f>
        <v>25963.41</v>
      </c>
      <c r="H8" s="858">
        <f>+'10.3-Grants Receivable'!H27</f>
        <v>23463.41</v>
      </c>
      <c r="I8" s="858">
        <f>+'10.3-Grants Receivable'!I27</f>
        <v>0</v>
      </c>
      <c r="J8" s="858">
        <f>+'10.3-Grants Receivable'!J27</f>
        <v>0</v>
      </c>
      <c r="K8" s="859">
        <f>+'10.3-Grants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3270</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EM5q3daeORvEbWef7F8MabV9e0isiGxHo/s/JfogJsDMoAkvIuky4Z7/+2Kq2z/OVzFXUpHOB8R4BLjX4t5z/Q==" saltValue="qIB4OOua2M8zVedt2KC10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1" spans="1:14">
      <c r="A1" s="811"/>
      <c r="B1" s="811"/>
      <c r="C1" s="811"/>
      <c r="D1" s="811"/>
      <c r="E1" s="811"/>
      <c r="F1" s="811"/>
      <c r="G1" s="811"/>
      <c r="H1" s="811"/>
      <c r="I1" s="811"/>
      <c r="J1" s="811"/>
      <c r="K1" s="811"/>
    </row>
    <row r="2" spans="1:14" ht="20.399999999999999">
      <c r="A2" s="811"/>
      <c r="B2" s="1716" t="s">
        <v>229</v>
      </c>
      <c r="C2" s="1716"/>
      <c r="D2" s="1716"/>
      <c r="E2" s="1716"/>
      <c r="F2" s="1716"/>
      <c r="G2" s="1716"/>
      <c r="H2" s="1716"/>
      <c r="I2" s="1716"/>
      <c r="J2" s="1716"/>
      <c r="K2" s="1716"/>
    </row>
    <row r="3" spans="1:14" ht="21" thickBot="1">
      <c r="A3" s="811"/>
      <c r="B3" s="1716" t="s">
        <v>630</v>
      </c>
      <c r="C3" s="1716"/>
      <c r="D3" s="1716"/>
      <c r="E3" s="1716"/>
      <c r="F3" s="1716"/>
      <c r="G3" s="1716"/>
      <c r="H3" s="1716"/>
      <c r="I3" s="1716"/>
      <c r="J3" s="1716"/>
      <c r="K3" s="1716"/>
    </row>
    <row r="4" spans="1:14" ht="13.8" thickTop="1">
      <c r="A4" s="811"/>
      <c r="B4" s="844"/>
      <c r="C4" s="844"/>
      <c r="D4" s="844"/>
      <c r="E4" s="844"/>
      <c r="F4" s="845"/>
      <c r="G4" s="845">
        <f>IF('KEY INPUTS'!C42="State Fiscal Year","Fiscal Year "&amp;'KEY INPUTS'!D33&amp;"",'KEY INPUTS'!D34)</f>
        <v>2021</v>
      </c>
      <c r="H4" s="845"/>
      <c r="I4" s="846"/>
      <c r="J4" s="844"/>
      <c r="K4" s="821"/>
    </row>
    <row r="5" spans="1:14">
      <c r="A5" s="811"/>
      <c r="B5" s="1717" t="s">
        <v>639</v>
      </c>
      <c r="C5" s="1717"/>
      <c r="D5" s="1717"/>
      <c r="E5" s="1718"/>
      <c r="F5" s="847" t="s">
        <v>530</v>
      </c>
      <c r="G5" s="847" t="s">
        <v>535</v>
      </c>
      <c r="H5" s="847" t="s">
        <v>638</v>
      </c>
      <c r="I5" s="848" t="s">
        <v>218</v>
      </c>
      <c r="J5" s="849" t="s">
        <v>445</v>
      </c>
      <c r="K5" s="822" t="s">
        <v>530</v>
      </c>
    </row>
    <row r="6" spans="1:14">
      <c r="A6" s="811"/>
      <c r="B6" s="811"/>
      <c r="C6" s="811"/>
      <c r="D6" s="811"/>
      <c r="E6" s="811"/>
      <c r="F6" s="850" t="str">
        <f>'10-Grants Receivable'!F6</f>
        <v>Jan. 1, 2021</v>
      </c>
      <c r="G6" s="847" t="s">
        <v>636</v>
      </c>
      <c r="H6" s="847"/>
      <c r="I6" s="851"/>
      <c r="J6" s="852"/>
      <c r="K6" s="823" t="str">
        <f>'10-Grants Receivable'!K6</f>
        <v>Dec. 31, 2021</v>
      </c>
    </row>
    <row r="7" spans="1:14" ht="13.8" thickBot="1">
      <c r="A7" s="811"/>
      <c r="B7" s="853"/>
      <c r="C7" s="853"/>
      <c r="D7" s="853"/>
      <c r="E7" s="853"/>
      <c r="F7" s="854"/>
      <c r="G7" s="855" t="s">
        <v>637</v>
      </c>
      <c r="H7" s="854"/>
      <c r="I7" s="854"/>
      <c r="J7" s="856"/>
      <c r="K7" s="824"/>
    </row>
    <row r="8" spans="1:14" ht="21" customHeight="1" thickTop="1">
      <c r="A8" s="811"/>
      <c r="B8" s="841" t="s">
        <v>3266</v>
      </c>
      <c r="C8" s="841"/>
      <c r="D8" s="841"/>
      <c r="E8" s="857"/>
      <c r="F8" s="858">
        <f>+'10.4-Grants Receivable'!F27</f>
        <v>13500</v>
      </c>
      <c r="G8" s="858">
        <f>+'10.4-Grants Receivable'!G27</f>
        <v>25963.41</v>
      </c>
      <c r="H8" s="858">
        <f>+'10.4-Grants Receivable'!H27</f>
        <v>23463.41</v>
      </c>
      <c r="I8" s="858">
        <f>+'10.4-Grants Receivable'!I27</f>
        <v>0</v>
      </c>
      <c r="J8" s="858">
        <f>+'10.4-Grants Receivable'!J27</f>
        <v>0</v>
      </c>
      <c r="K8" s="859">
        <f>+'10.4-Grants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3271</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GxaLgMdP86/e+XfkBTZSEKN/jcK0F7iTzjHTTkjZcUCClktU5jmDQkVIo5pduZVQw1xUyWeQ7HyLfB8UZSMyKA==" saltValue="wPgQLgkwESE6PNVs9dLcDQ=="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18"/>
    </row>
    <row r="5" spans="1:14">
      <c r="B5" s="1663" t="s">
        <v>639</v>
      </c>
      <c r="C5" s="1663"/>
      <c r="D5" s="1663"/>
      <c r="E5" s="1715"/>
      <c r="F5" s="270" t="s">
        <v>530</v>
      </c>
      <c r="G5" s="270" t="s">
        <v>535</v>
      </c>
      <c r="H5" s="270" t="s">
        <v>638</v>
      </c>
      <c r="I5" s="750" t="s">
        <v>218</v>
      </c>
      <c r="J5" s="245" t="s">
        <v>445</v>
      </c>
      <c r="K5" s="21" t="s">
        <v>530</v>
      </c>
    </row>
    <row r="6" spans="1:14">
      <c r="F6" s="286" t="str">
        <f>'10-Grants Receivable'!F6</f>
        <v>Jan. 1, 2021</v>
      </c>
      <c r="G6" s="270" t="s">
        <v>636</v>
      </c>
      <c r="H6" s="270"/>
      <c r="I6" s="15"/>
      <c r="J6" s="721"/>
      <c r="K6" s="285" t="str">
        <f>'10-Grants Receivable'!K6</f>
        <v>Dec. 31, 2021</v>
      </c>
    </row>
    <row r="7" spans="1:14" ht="13.8" thickBot="1">
      <c r="B7" s="10"/>
      <c r="C7" s="10"/>
      <c r="D7" s="10"/>
      <c r="E7" s="10"/>
      <c r="F7" s="14"/>
      <c r="G7" s="16" t="s">
        <v>637</v>
      </c>
      <c r="H7" s="14"/>
      <c r="I7" s="14"/>
      <c r="J7" s="17"/>
      <c r="K7" s="19"/>
    </row>
    <row r="8" spans="1:14" ht="21" customHeight="1" thickTop="1">
      <c r="B8" s="752" t="s">
        <v>3266</v>
      </c>
      <c r="C8" s="752"/>
      <c r="D8" s="752"/>
      <c r="E8" s="753"/>
      <c r="F8" s="735">
        <f>+'10.5-Grants Receivable'!F27</f>
        <v>13500</v>
      </c>
      <c r="G8" s="735">
        <f>+'10.5-Grants Receivable'!G27</f>
        <v>25963.41</v>
      </c>
      <c r="H8" s="735">
        <f>+'10.5-Grants Receivable'!H27</f>
        <v>23463.41</v>
      </c>
      <c r="I8" s="735">
        <f>+'10.5-Grants Receivable'!I27</f>
        <v>0</v>
      </c>
      <c r="J8" s="735">
        <f>+'10.5-Grants Receivable'!J27</f>
        <v>0</v>
      </c>
      <c r="K8" s="859">
        <f>+'10.5-Grants Receivable'!K27</f>
        <v>16000</v>
      </c>
    </row>
    <row r="9" spans="1:14" ht="21" customHeight="1">
      <c r="B9" s="538"/>
      <c r="C9" s="538"/>
      <c r="D9" s="538"/>
      <c r="E9" s="544"/>
      <c r="F9" s="353"/>
      <c r="G9" s="353"/>
      <c r="H9" s="353"/>
      <c r="I9" s="353"/>
      <c r="J9" s="353"/>
      <c r="K9" s="546">
        <f>+F9+G9-H9+I9-J9</f>
        <v>0</v>
      </c>
      <c r="L9" s="312"/>
    </row>
    <row r="10" spans="1:14" ht="21" customHeight="1">
      <c r="B10" s="538"/>
      <c r="C10" s="538"/>
      <c r="D10" s="538"/>
      <c r="E10" s="544"/>
      <c r="F10" s="353"/>
      <c r="G10" s="353"/>
      <c r="H10" s="353"/>
      <c r="I10" s="353"/>
      <c r="J10" s="353"/>
      <c r="K10" s="546">
        <f t="shared" ref="K10:K26" si="0">+F10+G10-H10+I10-J10</f>
        <v>0</v>
      </c>
      <c r="N10" s="356"/>
    </row>
    <row r="11" spans="1:14" ht="21" customHeight="1">
      <c r="B11" s="538"/>
      <c r="C11" s="538"/>
      <c r="D11" s="538"/>
      <c r="E11" s="544"/>
      <c r="F11" s="353"/>
      <c r="G11" s="353"/>
      <c r="H11" s="353"/>
      <c r="I11" s="353"/>
      <c r="J11" s="353"/>
      <c r="K11" s="546">
        <f t="shared" si="0"/>
        <v>0</v>
      </c>
      <c r="L11" s="312"/>
    </row>
    <row r="12" spans="1:14" ht="21" customHeight="1">
      <c r="B12" s="538"/>
      <c r="C12" s="548"/>
      <c r="D12" s="538"/>
      <c r="E12" s="544"/>
      <c r="F12" s="353"/>
      <c r="G12" s="353"/>
      <c r="H12" s="353"/>
      <c r="I12" s="353"/>
      <c r="J12" s="353"/>
      <c r="K12" s="546">
        <f t="shared" si="0"/>
        <v>0</v>
      </c>
    </row>
    <row r="13" spans="1:14" ht="21" customHeight="1">
      <c r="B13" s="538"/>
      <c r="C13" s="548"/>
      <c r="D13" s="538"/>
      <c r="E13" s="544"/>
      <c r="F13" s="353"/>
      <c r="G13" s="353"/>
      <c r="H13" s="353"/>
      <c r="I13" s="353"/>
      <c r="J13" s="353"/>
      <c r="K13" s="546">
        <f t="shared" si="0"/>
        <v>0</v>
      </c>
    </row>
    <row r="14" spans="1:14" ht="21" customHeight="1">
      <c r="B14" s="538"/>
      <c r="C14" s="538"/>
      <c r="D14" s="538"/>
      <c r="E14" s="544"/>
      <c r="F14" s="353"/>
      <c r="G14" s="353"/>
      <c r="H14" s="353"/>
      <c r="I14" s="353"/>
      <c r="J14" s="353"/>
      <c r="K14" s="546">
        <f t="shared" si="0"/>
        <v>0</v>
      </c>
    </row>
    <row r="15" spans="1:14" ht="21" customHeight="1">
      <c r="A15" s="1692" t="s">
        <v>3272</v>
      </c>
      <c r="B15" s="538"/>
      <c r="C15" s="539"/>
      <c r="D15" s="538"/>
      <c r="E15" s="544"/>
      <c r="F15" s="353"/>
      <c r="G15" s="353"/>
      <c r="H15" s="353"/>
      <c r="I15" s="353"/>
      <c r="J15" s="353"/>
      <c r="K15" s="546">
        <f t="shared" si="0"/>
        <v>0</v>
      </c>
    </row>
    <row r="16" spans="1:14" ht="21" customHeight="1">
      <c r="A16" s="1692"/>
      <c r="B16" s="538"/>
      <c r="C16" s="539"/>
      <c r="D16" s="538"/>
      <c r="E16" s="544"/>
      <c r="F16" s="353"/>
      <c r="G16" s="353"/>
      <c r="H16" s="353"/>
      <c r="I16" s="353"/>
      <c r="J16" s="353"/>
      <c r="K16" s="546">
        <f t="shared" si="0"/>
        <v>0</v>
      </c>
    </row>
    <row r="17" spans="1:12" ht="21" customHeight="1">
      <c r="A17" s="1692"/>
      <c r="B17" s="538"/>
      <c r="C17" s="539"/>
      <c r="D17" s="538"/>
      <c r="E17" s="544"/>
      <c r="F17" s="353"/>
      <c r="G17" s="353"/>
      <c r="H17" s="353"/>
      <c r="I17" s="353"/>
      <c r="J17" s="353"/>
      <c r="K17" s="546">
        <f t="shared" si="0"/>
        <v>0</v>
      </c>
    </row>
    <row r="18" spans="1:12" ht="21" customHeight="1">
      <c r="B18" s="538"/>
      <c r="C18" s="539"/>
      <c r="D18" s="538"/>
      <c r="E18" s="544"/>
      <c r="F18" s="353"/>
      <c r="G18" s="353"/>
      <c r="H18" s="353"/>
      <c r="I18" s="353"/>
      <c r="J18" s="353"/>
      <c r="K18" s="546">
        <f t="shared" si="0"/>
        <v>0</v>
      </c>
    </row>
    <row r="19" spans="1:12" ht="21" customHeight="1">
      <c r="B19" s="538"/>
      <c r="C19" s="539"/>
      <c r="D19" s="538"/>
      <c r="E19" s="544"/>
      <c r="F19" s="353"/>
      <c r="G19" s="353"/>
      <c r="H19" s="353"/>
      <c r="I19" s="353"/>
      <c r="J19" s="353"/>
      <c r="K19" s="546">
        <f t="shared" si="0"/>
        <v>0</v>
      </c>
    </row>
    <row r="20" spans="1:12" ht="21" customHeight="1">
      <c r="B20" s="538"/>
      <c r="C20" s="538"/>
      <c r="D20" s="538"/>
      <c r="E20" s="544"/>
      <c r="F20" s="353"/>
      <c r="G20" s="353"/>
      <c r="H20" s="353"/>
      <c r="I20" s="353"/>
      <c r="J20" s="353"/>
      <c r="K20" s="546">
        <f t="shared" si="0"/>
        <v>0</v>
      </c>
    </row>
    <row r="21" spans="1:12" ht="21" customHeight="1">
      <c r="B21" s="538"/>
      <c r="C21" s="538"/>
      <c r="D21" s="538"/>
      <c r="E21" s="544"/>
      <c r="F21" s="353"/>
      <c r="G21" s="353"/>
      <c r="H21" s="353"/>
      <c r="I21" s="353"/>
      <c r="J21" s="353"/>
      <c r="K21" s="546">
        <f t="shared" si="0"/>
        <v>0</v>
      </c>
    </row>
    <row r="22" spans="1:12" ht="21" customHeight="1">
      <c r="B22" s="538"/>
      <c r="C22" s="538"/>
      <c r="D22" s="538"/>
      <c r="E22" s="544"/>
      <c r="F22" s="353"/>
      <c r="G22" s="353"/>
      <c r="H22" s="353"/>
      <c r="I22" s="353"/>
      <c r="J22" s="353"/>
      <c r="K22" s="546">
        <f t="shared" si="0"/>
        <v>0</v>
      </c>
    </row>
    <row r="23" spans="1:12" ht="21" customHeight="1">
      <c r="B23" s="538"/>
      <c r="C23" s="538"/>
      <c r="D23" s="538"/>
      <c r="E23" s="544"/>
      <c r="F23" s="353"/>
      <c r="G23" s="353"/>
      <c r="H23" s="353"/>
      <c r="I23" s="353"/>
      <c r="J23" s="353"/>
      <c r="K23" s="546">
        <f t="shared" si="0"/>
        <v>0</v>
      </c>
    </row>
    <row r="24" spans="1:12" ht="21" customHeight="1">
      <c r="B24" s="538"/>
      <c r="C24" s="538"/>
      <c r="D24" s="538"/>
      <c r="E24" s="544"/>
      <c r="F24" s="353"/>
      <c r="G24" s="353"/>
      <c r="H24" s="353"/>
      <c r="I24" s="353"/>
      <c r="J24" s="353"/>
      <c r="K24" s="546">
        <f t="shared" si="0"/>
        <v>0</v>
      </c>
    </row>
    <row r="25" spans="1:12" ht="21" customHeight="1">
      <c r="B25" s="538"/>
      <c r="C25" s="538"/>
      <c r="D25" s="538"/>
      <c r="E25" s="544"/>
      <c r="F25" s="353"/>
      <c r="G25" s="353"/>
      <c r="H25" s="353"/>
      <c r="I25" s="353"/>
      <c r="J25" s="353"/>
      <c r="K25" s="546">
        <f t="shared" si="0"/>
        <v>0</v>
      </c>
    </row>
    <row r="26" spans="1:12" ht="21" customHeight="1">
      <c r="B26" s="538"/>
      <c r="C26" s="538"/>
      <c r="D26" s="538"/>
      <c r="E26" s="544"/>
      <c r="F26" s="353"/>
      <c r="G26" s="353"/>
      <c r="H26" s="353"/>
      <c r="I26" s="353"/>
      <c r="J26" s="353"/>
      <c r="K26" s="546">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132">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WUSXEAh5RooajTPYhijw7GeCIahxMitvcHoKeJUMnbsiZxgtJUtJJJ6urgFl3dL/tDuM+MhhqRQYMep7z4AAow==" saltValue="gw8QUi6sfnfwCWb/3FRwB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+'10.6-Grants Receivable'!F27</f>
        <v>13500</v>
      </c>
      <c r="G8" s="858">
        <f>+'10.6-Grants Receivable'!G27</f>
        <v>25963.41</v>
      </c>
      <c r="H8" s="858">
        <f>+'10.6-Grants Receivable'!H27</f>
        <v>23463.41</v>
      </c>
      <c r="I8" s="858">
        <f>+'10.6-Grants Receivable'!I27</f>
        <v>0</v>
      </c>
      <c r="J8" s="858">
        <f>+'10.6-Grants Receivable'!J27</f>
        <v>0</v>
      </c>
      <c r="K8" s="859">
        <f>+'10.6-Grants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3273</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gbOxKXRLPILaRvP2Qpmc7AJ9UMIty7wFrrQJchP+tE8ygT1IEJc/ELLpHEqDQKvwCsry7zWD16dl467KFD8pYw==" saltValue="cXjZuoszsWIePiZTNsIu5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+'10.7-Grants Receivable'!F27</f>
        <v>13500</v>
      </c>
      <c r="G8" s="858">
        <f>+'10.7-Grants Receivable'!G27</f>
        <v>25963.41</v>
      </c>
      <c r="H8" s="858">
        <f>+'10.7-Grants Receivable'!H27</f>
        <v>23463.41</v>
      </c>
      <c r="I8" s="858">
        <f>+'10.7-Grants Receivable'!I27</f>
        <v>0</v>
      </c>
      <c r="J8" s="858">
        <f>+'10.7-Grants Receivable'!J27</f>
        <v>0</v>
      </c>
      <c r="K8" s="859">
        <f>+'10.7-Grants Receivable'!K27</f>
        <v>16000</v>
      </c>
    </row>
    <row r="9" spans="1:14" ht="21" customHeight="1">
      <c r="B9" s="538"/>
      <c r="C9" s="538"/>
      <c r="D9" s="538"/>
      <c r="E9" s="544"/>
      <c r="F9" s="353"/>
      <c r="G9" s="353"/>
      <c r="H9" s="353"/>
      <c r="I9" s="353"/>
      <c r="J9" s="353"/>
      <c r="K9" s="802">
        <f>+F9+G9-H9+I9-J9</f>
        <v>0</v>
      </c>
      <c r="L9" s="312"/>
    </row>
    <row r="10" spans="1:14" ht="21" customHeight="1">
      <c r="B10" s="538"/>
      <c r="C10" s="538"/>
      <c r="D10" s="538"/>
      <c r="E10" s="544"/>
      <c r="F10" s="353"/>
      <c r="G10" s="353"/>
      <c r="H10" s="353"/>
      <c r="I10" s="353"/>
      <c r="J10" s="353"/>
      <c r="K10" s="802">
        <f t="shared" ref="K10:K26" si="0">+F10+G10-H10+I10-J10</f>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3275</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yw3782E9opd2Hf/kzfX0R8HX0ee6amZ6IkNhTJeEXKn55LA7pc0ZA+53EKYMxMQjArGSOOBabwC+CBCyvTwnyw==" saltValue="eNfzrX+FQn0AL9c4STFu+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+'10.8-Grants Receivable'!F27</f>
        <v>13500</v>
      </c>
      <c r="G8" s="858">
        <f>+'10.8-Grants Receivable'!G27</f>
        <v>25963.41</v>
      </c>
      <c r="H8" s="858">
        <f>+'10.8-Grants Receivable'!H27</f>
        <v>23463.41</v>
      </c>
      <c r="I8" s="858">
        <f>+'10.8-Grants Receivable'!I27</f>
        <v>0</v>
      </c>
      <c r="J8" s="858">
        <f>+'10.8-Grants Receivable'!J27</f>
        <v>0</v>
      </c>
      <c r="K8" s="859">
        <f>+'10.8-Grants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3274</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Y1qOfnsm3xDAERSpDXnf8vq73HJbAvb6e+V9NTPz3pPcVwb4LQhLVos6job/7LuEX3FRAQT90Sw2LREkhV8n8A==" saltValue="j9x4EZQLTjuNoGuNJ8hzH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18"/>
    </row>
    <row r="5" spans="1:14">
      <c r="B5" s="1663" t="s">
        <v>639</v>
      </c>
      <c r="C5" s="1663"/>
      <c r="D5" s="1663"/>
      <c r="E5" s="1715"/>
      <c r="F5" s="270" t="s">
        <v>530</v>
      </c>
      <c r="G5" s="270" t="s">
        <v>535</v>
      </c>
      <c r="H5" s="270" t="s">
        <v>638</v>
      </c>
      <c r="I5" s="750" t="s">
        <v>218</v>
      </c>
      <c r="J5" s="245" t="s">
        <v>445</v>
      </c>
      <c r="K5" s="21" t="s">
        <v>530</v>
      </c>
    </row>
    <row r="6" spans="1:14">
      <c r="F6" s="286" t="str">
        <f>'10-Grants Receivable'!F6</f>
        <v>Jan. 1, 2021</v>
      </c>
      <c r="G6" s="270" t="s">
        <v>636</v>
      </c>
      <c r="H6" s="270"/>
      <c r="I6" s="15"/>
      <c r="J6" s="721"/>
      <c r="K6" s="285" t="str">
        <f>'10-Grants Receivable'!K6</f>
        <v>Dec. 31, 2021</v>
      </c>
    </row>
    <row r="7" spans="1:14" ht="13.8" thickBot="1">
      <c r="B7" s="10"/>
      <c r="C7" s="10"/>
      <c r="D7" s="10"/>
      <c r="E7" s="10"/>
      <c r="F7" s="14"/>
      <c r="G7" s="16" t="s">
        <v>637</v>
      </c>
      <c r="H7" s="14"/>
      <c r="I7" s="14"/>
      <c r="J7" s="17"/>
      <c r="K7" s="19"/>
    </row>
    <row r="8" spans="1:14" ht="21" customHeight="1" thickTop="1">
      <c r="B8" s="752" t="s">
        <v>3266</v>
      </c>
      <c r="C8" s="752"/>
      <c r="D8" s="752"/>
      <c r="E8" s="753"/>
      <c r="F8" s="735">
        <f>+'10.9-Grants Receivable'!F27</f>
        <v>13500</v>
      </c>
      <c r="G8" s="735">
        <f>+'10.9-Grants Receivable'!G27</f>
        <v>25963.41</v>
      </c>
      <c r="H8" s="735">
        <f>+'10.9-Grants Receivable'!H27</f>
        <v>23463.41</v>
      </c>
      <c r="I8" s="735">
        <f>+'10.9-Grants Receivable'!I27</f>
        <v>0</v>
      </c>
      <c r="J8" s="735">
        <f>+'10.9-Grants Receivable'!J27</f>
        <v>0</v>
      </c>
      <c r="K8" s="751">
        <f>+'10.9-Grants Receivable'!K27</f>
        <v>16000</v>
      </c>
    </row>
    <row r="9" spans="1:14" ht="21" customHeight="1">
      <c r="B9" s="538"/>
      <c r="C9" s="538"/>
      <c r="D9" s="538"/>
      <c r="E9" s="544"/>
      <c r="F9" s="353"/>
      <c r="G9" s="353"/>
      <c r="H9" s="353"/>
      <c r="I9" s="353"/>
      <c r="J9" s="353"/>
      <c r="K9" s="546">
        <f t="shared" ref="K9:K26" si="0">+F9+G9-H9+I9-J9</f>
        <v>0</v>
      </c>
      <c r="L9" s="312"/>
    </row>
    <row r="10" spans="1:14" ht="21" customHeight="1">
      <c r="B10" s="538"/>
      <c r="C10" s="538"/>
      <c r="D10" s="538"/>
      <c r="E10" s="544"/>
      <c r="F10" s="353"/>
      <c r="G10" s="353"/>
      <c r="H10" s="353"/>
      <c r="I10" s="353"/>
      <c r="J10" s="353"/>
      <c r="K10" s="546">
        <f t="shared" si="0"/>
        <v>0</v>
      </c>
      <c r="N10" s="356"/>
    </row>
    <row r="11" spans="1:14" ht="21" customHeight="1">
      <c r="B11" s="538"/>
      <c r="C11" s="538"/>
      <c r="D11" s="538"/>
      <c r="E11" s="544"/>
      <c r="F11" s="353"/>
      <c r="G11" s="353"/>
      <c r="H11" s="353"/>
      <c r="I11" s="353"/>
      <c r="J11" s="353"/>
      <c r="K11" s="546">
        <f t="shared" si="0"/>
        <v>0</v>
      </c>
      <c r="L11" s="312"/>
    </row>
    <row r="12" spans="1:14" ht="21" customHeight="1">
      <c r="B12" s="538"/>
      <c r="C12" s="548"/>
      <c r="D12" s="538"/>
      <c r="E12" s="544"/>
      <c r="F12" s="353"/>
      <c r="G12" s="353"/>
      <c r="H12" s="353"/>
      <c r="I12" s="353"/>
      <c r="J12" s="353"/>
      <c r="K12" s="546">
        <f t="shared" si="0"/>
        <v>0</v>
      </c>
    </row>
    <row r="13" spans="1:14" ht="21" customHeight="1">
      <c r="B13" s="538"/>
      <c r="C13" s="548"/>
      <c r="D13" s="538"/>
      <c r="E13" s="544"/>
      <c r="F13" s="353"/>
      <c r="G13" s="353"/>
      <c r="H13" s="353"/>
      <c r="I13" s="353"/>
      <c r="J13" s="353"/>
      <c r="K13" s="546">
        <f t="shared" si="0"/>
        <v>0</v>
      </c>
    </row>
    <row r="14" spans="1:14" ht="21" customHeight="1">
      <c r="B14" s="538"/>
      <c r="C14" s="538"/>
      <c r="D14" s="538"/>
      <c r="E14" s="544"/>
      <c r="F14" s="353"/>
      <c r="G14" s="353"/>
      <c r="H14" s="353"/>
      <c r="I14" s="353"/>
      <c r="J14" s="353"/>
      <c r="K14" s="546">
        <f t="shared" si="0"/>
        <v>0</v>
      </c>
    </row>
    <row r="15" spans="1:14" ht="21" customHeight="1">
      <c r="A15" s="1692" t="s">
        <v>3276</v>
      </c>
      <c r="B15" s="538"/>
      <c r="C15" s="539"/>
      <c r="D15" s="538"/>
      <c r="E15" s="544"/>
      <c r="F15" s="353"/>
      <c r="G15" s="353"/>
      <c r="H15" s="353"/>
      <c r="I15" s="353"/>
      <c r="J15" s="353"/>
      <c r="K15" s="546">
        <f t="shared" si="0"/>
        <v>0</v>
      </c>
    </row>
    <row r="16" spans="1:14" ht="21" customHeight="1">
      <c r="A16" s="1692"/>
      <c r="B16" s="538"/>
      <c r="C16" s="539"/>
      <c r="D16" s="538"/>
      <c r="E16" s="544"/>
      <c r="F16" s="353"/>
      <c r="G16" s="353"/>
      <c r="H16" s="353"/>
      <c r="I16" s="353"/>
      <c r="J16" s="353"/>
      <c r="K16" s="546">
        <f t="shared" si="0"/>
        <v>0</v>
      </c>
    </row>
    <row r="17" spans="1:12" ht="21" customHeight="1">
      <c r="A17" s="1692"/>
      <c r="B17" s="538"/>
      <c r="C17" s="539"/>
      <c r="D17" s="538"/>
      <c r="E17" s="544"/>
      <c r="F17" s="353"/>
      <c r="G17" s="353"/>
      <c r="H17" s="353"/>
      <c r="I17" s="353"/>
      <c r="J17" s="353"/>
      <c r="K17" s="546">
        <f t="shared" si="0"/>
        <v>0</v>
      </c>
    </row>
    <row r="18" spans="1:12" ht="21" customHeight="1">
      <c r="B18" s="538"/>
      <c r="C18" s="539"/>
      <c r="D18" s="538"/>
      <c r="E18" s="544"/>
      <c r="F18" s="353"/>
      <c r="G18" s="353"/>
      <c r="H18" s="353"/>
      <c r="I18" s="353"/>
      <c r="J18" s="353"/>
      <c r="K18" s="546">
        <f t="shared" si="0"/>
        <v>0</v>
      </c>
    </row>
    <row r="19" spans="1:12" ht="21" customHeight="1">
      <c r="B19" s="538"/>
      <c r="C19" s="539"/>
      <c r="D19" s="538"/>
      <c r="E19" s="544"/>
      <c r="F19" s="353"/>
      <c r="G19" s="353"/>
      <c r="H19" s="353"/>
      <c r="I19" s="353"/>
      <c r="J19" s="353"/>
      <c r="K19" s="546">
        <f t="shared" si="0"/>
        <v>0</v>
      </c>
    </row>
    <row r="20" spans="1:12" ht="21" customHeight="1">
      <c r="B20" s="538"/>
      <c r="C20" s="538"/>
      <c r="D20" s="538"/>
      <c r="E20" s="544"/>
      <c r="F20" s="353"/>
      <c r="G20" s="353"/>
      <c r="H20" s="353"/>
      <c r="I20" s="353"/>
      <c r="J20" s="353"/>
      <c r="K20" s="546">
        <f t="shared" si="0"/>
        <v>0</v>
      </c>
    </row>
    <row r="21" spans="1:12" ht="21" customHeight="1">
      <c r="B21" s="538"/>
      <c r="C21" s="538"/>
      <c r="D21" s="538"/>
      <c r="E21" s="544"/>
      <c r="F21" s="353"/>
      <c r="G21" s="353"/>
      <c r="H21" s="353"/>
      <c r="I21" s="353"/>
      <c r="J21" s="353"/>
      <c r="K21" s="546">
        <f t="shared" si="0"/>
        <v>0</v>
      </c>
    </row>
    <row r="22" spans="1:12" ht="21" customHeight="1">
      <c r="B22" s="538"/>
      <c r="C22" s="538"/>
      <c r="D22" s="538"/>
      <c r="E22" s="544"/>
      <c r="F22" s="353"/>
      <c r="G22" s="353"/>
      <c r="H22" s="353"/>
      <c r="I22" s="353"/>
      <c r="J22" s="353"/>
      <c r="K22" s="546">
        <f t="shared" si="0"/>
        <v>0</v>
      </c>
    </row>
    <row r="23" spans="1:12" ht="21" customHeight="1">
      <c r="B23" s="538"/>
      <c r="C23" s="538"/>
      <c r="D23" s="538"/>
      <c r="E23" s="544"/>
      <c r="F23" s="353"/>
      <c r="G23" s="353"/>
      <c r="H23" s="353"/>
      <c r="I23" s="353"/>
      <c r="J23" s="353"/>
      <c r="K23" s="546">
        <f t="shared" si="0"/>
        <v>0</v>
      </c>
    </row>
    <row r="24" spans="1:12" ht="21" customHeight="1">
      <c r="B24" s="538"/>
      <c r="C24" s="538"/>
      <c r="D24" s="538"/>
      <c r="E24" s="544"/>
      <c r="F24" s="353"/>
      <c r="G24" s="353"/>
      <c r="H24" s="353"/>
      <c r="I24" s="353"/>
      <c r="J24" s="353"/>
      <c r="K24" s="546">
        <f t="shared" si="0"/>
        <v>0</v>
      </c>
    </row>
    <row r="25" spans="1:12" ht="21" customHeight="1">
      <c r="B25" s="538"/>
      <c r="C25" s="538"/>
      <c r="D25" s="538"/>
      <c r="E25" s="544"/>
      <c r="F25" s="353"/>
      <c r="G25" s="353"/>
      <c r="H25" s="353"/>
      <c r="I25" s="353"/>
      <c r="J25" s="353"/>
      <c r="K25" s="546">
        <f t="shared" si="0"/>
        <v>0</v>
      </c>
    </row>
    <row r="26" spans="1:12" ht="21" customHeight="1">
      <c r="B26" s="538"/>
      <c r="C26" s="538"/>
      <c r="D26" s="538"/>
      <c r="E26" s="544"/>
      <c r="F26" s="353"/>
      <c r="G26" s="353"/>
      <c r="H26" s="353"/>
      <c r="I26" s="353"/>
      <c r="J26" s="353"/>
      <c r="K26" s="546">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132">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Kq9DyijFDszXnLaincjEgxli+qDC2BF/DoYkcSv7qMcGkRXCovMo5fMpMDXzMt3Nh3vQIh/A1slLasn5VWTnJw==" saltValue="mpAsrdt07sYpu8jkwKkAjQ=="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752" t="s">
        <v>3266</v>
      </c>
      <c r="C8" s="752"/>
      <c r="D8" s="752"/>
      <c r="E8" s="753"/>
      <c r="F8" s="735">
        <f>+'10.10-Grants Receivable'!F27</f>
        <v>13500</v>
      </c>
      <c r="G8" s="735">
        <f>+'10.10-Grants Receivable'!G27</f>
        <v>25963.41</v>
      </c>
      <c r="H8" s="735">
        <f>+'10.10-Grants Receivable'!H27</f>
        <v>23463.41</v>
      </c>
      <c r="I8" s="735">
        <f>+'10.10-Grants Receivable'!I27</f>
        <v>0</v>
      </c>
      <c r="J8" s="735">
        <f>+'10.10-Grants Receivable'!J27</f>
        <v>0</v>
      </c>
      <c r="K8" s="859">
        <f>+'10.10-Grants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3277</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Ff59SvjxvQXA7Obt9NO6uxlnwUBNZ4FDK8gDeIl3Q1QAfaKTPW5Prw8mqTArSTJjrNuA40X2+qC4pCmqeNTeHg==" saltValue="Qo4TNjyokB6pwUnG9IWhc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752" t="s">
        <v>3266</v>
      </c>
      <c r="C8" s="752"/>
      <c r="D8" s="752"/>
      <c r="E8" s="753"/>
      <c r="F8" s="735">
        <f>'10.11-Grants Receivable'!F27</f>
        <v>13500</v>
      </c>
      <c r="G8" s="735">
        <f>+'10.11-Grants Receivable'!G27</f>
        <v>25963.41</v>
      </c>
      <c r="H8" s="735">
        <f>+'10.11-Grants Receivable'!H27</f>
        <v>23463.41</v>
      </c>
      <c r="I8" s="735">
        <f>+'10.11-Grants Receivable'!I27</f>
        <v>0</v>
      </c>
      <c r="J8" s="735">
        <f>+'10.11-Grants Receivable'!J27</f>
        <v>0</v>
      </c>
      <c r="K8" s="859">
        <f>+'10.11-Grants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3278</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DJ2EIKXAJi1Y/6Altaqyw31cTsHelnYpLuibns+YdzdaD+fAu0QX/zgnaB1pRloAMVdUqdhXILoKzWPd4an7Tg==" saltValue="rfFr6nwAiYAtzKNEC88MKg=="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18"/>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950"/>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+'10.12-Grants Receivable'!F27</f>
        <v>13500</v>
      </c>
      <c r="G8" s="858">
        <f>+'10.12-Grants Receivable'!G27</f>
        <v>25963.41</v>
      </c>
      <c r="H8" s="858">
        <f>+'10.12-Grants Receivable'!H27</f>
        <v>23463.41</v>
      </c>
      <c r="I8" s="858">
        <f>+'10.12-Grants Receivable'!I27</f>
        <v>0</v>
      </c>
      <c r="J8" s="858">
        <f>+'10.12-Grants Receivable'!J27</f>
        <v>0</v>
      </c>
      <c r="K8" s="859">
        <f>+'10.12-Grants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3279</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550LqkWImrGu0RH6DNYVgM6ZF5qOxiN4F41J1kiG5oCMb7UzFU4853abxbZCLowMFWtnHlpbParEzoDEh9n0gw==" saltValue="tPAOn+MPCattxdC1ozFEX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+'10.13-Grants Receivable'!F27</f>
        <v>13500</v>
      </c>
      <c r="G8" s="858">
        <f>+'10.13-Grants Receivable'!G27</f>
        <v>25963.41</v>
      </c>
      <c r="H8" s="858">
        <f>+'10.13-Grants Receivable'!H27</f>
        <v>23463.41</v>
      </c>
      <c r="I8" s="858">
        <f>+'10.13-Grants Receivable'!I27</f>
        <v>0</v>
      </c>
      <c r="J8" s="858">
        <f>+'10.13-Grants Receivable'!J27</f>
        <v>0</v>
      </c>
      <c r="K8" s="859">
        <f>+'10.13-Grants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3280</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lxpgD79k3ldV2dvQh3bMxiBZp4hJayVGtMXnFc3FSsBYjc9QAB/+MZ6zHXLqs/trPPfaVx4ETzP3Xk34Aa65EQ==" saltValue="filXUTwgev3FSK9jK8EkLQ=="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+'10.14-Grants Receivable'!F27</f>
        <v>13500</v>
      </c>
      <c r="G8" s="858">
        <f>+'10.14-Grants Receivable'!G27</f>
        <v>25963.41</v>
      </c>
      <c r="H8" s="858">
        <f>+'10.14-Grants Receivable'!H27</f>
        <v>23463.41</v>
      </c>
      <c r="I8" s="858">
        <f>+'10.14-Grants Receivable'!I27</f>
        <v>0</v>
      </c>
      <c r="J8" s="858">
        <f>+'10.14-Grants Receivable'!J27</f>
        <v>0</v>
      </c>
      <c r="K8" s="859">
        <f>+'10.14-Grants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3281</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hf4e7Ue/giV+SE7uZ/Ui4nwaw7HoF8MvS9G/HhpXMJOhD1Aly7rEb3s4/AlK44HhxctXxtMipBB/9FZ4nSSFsA==" saltValue="oKFggYeur/KIJdO7JU9Xsg=="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+'10.15-Grants Receivable'!F27</f>
        <v>13500</v>
      </c>
      <c r="G8" s="858">
        <f>+'10.15-Grants Receivable'!G27</f>
        <v>25963.41</v>
      </c>
      <c r="H8" s="858">
        <f>+'10.15-Grants Receivable'!H27</f>
        <v>23463.41</v>
      </c>
      <c r="I8" s="858">
        <f>+'10.15-Grants Receivable'!I27</f>
        <v>0</v>
      </c>
      <c r="J8" s="858">
        <f>+'10.15-Grants Receivable'!J27</f>
        <v>0</v>
      </c>
      <c r="K8" s="859">
        <f>+'10.15-Grants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719" t="s">
        <v>3282</v>
      </c>
      <c r="B15" s="538"/>
      <c r="C15" s="539"/>
      <c r="D15" s="538"/>
      <c r="E15" s="544"/>
      <c r="F15" s="353"/>
      <c r="G15" s="353"/>
      <c r="H15" s="353"/>
      <c r="I15" s="353"/>
      <c r="J15" s="353"/>
      <c r="K15" s="802">
        <f t="shared" si="0"/>
        <v>0</v>
      </c>
    </row>
    <row r="16" spans="1:14" ht="21" customHeight="1">
      <c r="A16" s="1719"/>
      <c r="B16" s="538"/>
      <c r="C16" s="539"/>
      <c r="D16" s="538"/>
      <c r="E16" s="544"/>
      <c r="F16" s="353"/>
      <c r="G16" s="353"/>
      <c r="H16" s="353"/>
      <c r="I16" s="353"/>
      <c r="J16" s="353"/>
      <c r="K16" s="802">
        <f t="shared" si="0"/>
        <v>0</v>
      </c>
    </row>
    <row r="17" spans="1:12" ht="21" customHeight="1">
      <c r="A17" s="1719"/>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rdU5I7x2Ag2SjZ63Vulqg5PgzZr4uzJy0y1sMtAKp5DUAXc9eRtAD3MMkj3lxztZZ4zGX/kPoJR9eJX3cswFmw==" saltValue="VqM1Wdjc656kMSzbr8dDE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+'10.16-Grants Receivable'!F27</f>
        <v>13500</v>
      </c>
      <c r="G8" s="858">
        <f>+'10.16-Grants Receivable'!G27</f>
        <v>25963.41</v>
      </c>
      <c r="H8" s="858">
        <f>+'10.16-Grants Receivable'!H27</f>
        <v>23463.41</v>
      </c>
      <c r="I8" s="858">
        <f>+'10.16-Grants Receivable'!I27</f>
        <v>0</v>
      </c>
      <c r="J8" s="858">
        <f>+'10.16-Grants Receivable'!J27</f>
        <v>0</v>
      </c>
      <c r="K8" s="859">
        <f>+'10.16-Grants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3283</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Ki6sHp8yNjMIiunp1DMINqurWWcTLSrNGmRjWlgjY0Lj1v1XF3ZC0CYmroMjt3CcVzLBhe4OXyrOM7RHAX2CKA==" saltValue="wUQPOeTCs6qskNNJFglbpg=="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+'10.17-Grants Receivable'!F27</f>
        <v>13500</v>
      </c>
      <c r="G8" s="858">
        <f>+'10.17-Grants Receivable'!G27</f>
        <v>25963.41</v>
      </c>
      <c r="H8" s="858">
        <f>+'10.17-Grants Receivable'!H27</f>
        <v>23463.41</v>
      </c>
      <c r="I8" s="858">
        <f>+'10.17-Grants Receivable'!I27</f>
        <v>0</v>
      </c>
      <c r="J8" s="858">
        <f>+'10.17-Grants Receivable'!J27</f>
        <v>0</v>
      </c>
      <c r="K8" s="859">
        <f>+'10.17-Grants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3285</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qeeN3aaUyyk/5QIXV1EqgMNiVMW2xmOv5dE8xo8mC0E4wDCE/OikmiVu3bdPM2I4HTB0lLeCs8UqUVQDEwDGLQ==" saltValue="K3TcDqENTmyT/wjkUekcU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619" t="s">
        <v>630</v>
      </c>
      <c r="C3" s="1619"/>
      <c r="D3" s="1619"/>
      <c r="E3" s="1619"/>
      <c r="F3" s="1619"/>
      <c r="G3" s="1619"/>
      <c r="H3" s="1619"/>
      <c r="I3" s="1619"/>
      <c r="J3" s="1619"/>
      <c r="K3" s="1619"/>
    </row>
    <row r="4" spans="1:14" ht="13.8" thickTop="1">
      <c r="B4" s="11"/>
      <c r="C4" s="11"/>
      <c r="D4" s="11"/>
      <c r="E4" s="11"/>
      <c r="F4" s="12"/>
      <c r="G4" s="12">
        <f>IF('KEY INPUTS'!C42="State Fiscal Year","Fiscal Year "&amp;'KEY INPUTS'!D33&amp;"",'KEY INPUTS'!D34)</f>
        <v>2021</v>
      </c>
      <c r="H4" s="12"/>
      <c r="I4" s="6"/>
      <c r="J4" s="11"/>
      <c r="K4" s="821"/>
    </row>
    <row r="5" spans="1:14">
      <c r="B5" s="1663" t="s">
        <v>639</v>
      </c>
      <c r="C5" s="1663"/>
      <c r="D5" s="1663"/>
      <c r="E5" s="1715"/>
      <c r="F5" s="270" t="s">
        <v>530</v>
      </c>
      <c r="G5" s="270" t="s">
        <v>535</v>
      </c>
      <c r="H5" s="270" t="s">
        <v>638</v>
      </c>
      <c r="I5" s="750" t="s">
        <v>218</v>
      </c>
      <c r="J5" s="245" t="s">
        <v>445</v>
      </c>
      <c r="K5" s="822" t="s">
        <v>530</v>
      </c>
    </row>
    <row r="6" spans="1:14">
      <c r="F6" s="286" t="str">
        <f>'10-Grants Receivable'!F6</f>
        <v>Jan. 1, 2021</v>
      </c>
      <c r="G6" s="270" t="s">
        <v>636</v>
      </c>
      <c r="H6" s="270"/>
      <c r="I6" s="15"/>
      <c r="J6" s="721"/>
      <c r="K6" s="823" t="str">
        <f>'10-Grants Receivable'!K6</f>
        <v>Dec. 31, 2021</v>
      </c>
    </row>
    <row r="7" spans="1:14" ht="13.8" thickBot="1">
      <c r="B7" s="10"/>
      <c r="C7" s="10"/>
      <c r="D7" s="10"/>
      <c r="E7" s="10"/>
      <c r="F7" s="14"/>
      <c r="G7" s="16" t="s">
        <v>637</v>
      </c>
      <c r="H7" s="14"/>
      <c r="I7" s="14"/>
      <c r="J7" s="17"/>
      <c r="K7" s="824"/>
    </row>
    <row r="8" spans="1:14" ht="21" customHeight="1" thickTop="1">
      <c r="B8" s="841" t="s">
        <v>3266</v>
      </c>
      <c r="C8" s="841"/>
      <c r="D8" s="841"/>
      <c r="E8" s="857"/>
      <c r="F8" s="858">
        <f>+'10.18-Grants Receivable'!F27</f>
        <v>13500</v>
      </c>
      <c r="G8" s="858">
        <f>+'10.18-Grants Receivable'!G27</f>
        <v>25963.41</v>
      </c>
      <c r="H8" s="858">
        <f>+'10.18-Grants Receivable'!H27</f>
        <v>23463.41</v>
      </c>
      <c r="I8" s="858">
        <f>+'10.18-Grants Receivable'!I27</f>
        <v>0</v>
      </c>
      <c r="J8" s="858">
        <f>+'10.18-Grants Receivable'!J27</f>
        <v>0</v>
      </c>
      <c r="K8" s="859">
        <f>+'10.18-Grants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3284</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rbgJwxMFh9uYI33NHgmEfTQEfLfzkbiwKUMZCtWRtro/Tt9I3aXaiHe3tXPIUxX+f5l/Ig2/MM6utiM3iVSQpw==" saltValue="welF4W7uC7TrLo4uWHXUF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+'10.19-Grants Receivable'!F27</f>
        <v>13500</v>
      </c>
      <c r="G8" s="858">
        <f>+'10.19-Grants Receivable'!G27</f>
        <v>25963.41</v>
      </c>
      <c r="H8" s="858">
        <f>+'10.19-Grants Receivable'!H27</f>
        <v>23463.41</v>
      </c>
      <c r="I8" s="858">
        <f>+'10.19-Grants Receivable'!I27</f>
        <v>0</v>
      </c>
      <c r="J8" s="858">
        <f>+'10.19-Grants Receivable'!J27</f>
        <v>0</v>
      </c>
      <c r="K8" s="859">
        <f>+'10.19-Grants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3286</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f>F27+G27-H27+I27-K27-J27</f>
        <v>3.637978807091713E-12</v>
      </c>
    </row>
    <row r="30" spans="1:12">
      <c r="F30" s="312"/>
      <c r="G30" s="312"/>
      <c r="K30" s="312"/>
      <c r="L30" s="312"/>
    </row>
    <row r="31" spans="1:12">
      <c r="K31" s="312">
        <f>+F27+G27-H27-I27-J27-K27</f>
        <v>0</v>
      </c>
    </row>
    <row r="32" spans="1:12">
      <c r="G32" s="312"/>
    </row>
  </sheetData>
  <sheetProtection algorithmName="SHA-512" hashValue="P8v6lWeIm4wM2EkFcevglubOpXFASYEqB6fCmZuvbqmjcBYmIWWqq6hyDLkjT9uhm4D84eAtyMaDR3bK6uyxlA==" saltValue="LPkLLMTtHXhMwWfV7Nu6+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+'10.20-Grants Receivable'!F27</f>
        <v>13500</v>
      </c>
      <c r="G8" s="858">
        <f>+'10.20-Grants Receivable'!G27</f>
        <v>25963.41</v>
      </c>
      <c r="H8" s="858">
        <f>+'10.20-Grants Receivable'!H27</f>
        <v>23463.41</v>
      </c>
      <c r="I8" s="858">
        <f>+'10.20-Grants Receivable'!I27</f>
        <v>0</v>
      </c>
      <c r="J8" s="858">
        <f>+'10.20-Grants Receivable'!J27</f>
        <v>0</v>
      </c>
      <c r="K8" s="859">
        <f>+'10.20-Grants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3287</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row>
    <row r="30" spans="1:12">
      <c r="F30" s="312"/>
      <c r="G30" s="312"/>
      <c r="K30" s="312"/>
      <c r="L30" s="312"/>
    </row>
    <row r="31" spans="1:12">
      <c r="K31" s="312"/>
    </row>
    <row r="32" spans="1:12">
      <c r="G32" s="312"/>
    </row>
  </sheetData>
  <sheetProtection algorithmName="SHA-512" hashValue="KLwWcPyAVz2w8Nc2hMm59GxG8A2l1auE8D5Ze9CC3qRuC3KBAvfwWJdMXBDvTwGc3nZUo9TgvWAtfDjprCaQNw==" saltValue="nKRyeKzr4WwYragjgYmlx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+'10.21-Grants Receivable'!F27</f>
        <v>13500</v>
      </c>
      <c r="G8" s="858">
        <f>+'10.21-Grants Receivable'!G27</f>
        <v>25963.41</v>
      </c>
      <c r="H8" s="858">
        <f>+'10.21-Grants Receivable'!H27</f>
        <v>23463.41</v>
      </c>
      <c r="I8" s="858">
        <f>+'10.21-Grants Receivable'!I27</f>
        <v>0</v>
      </c>
      <c r="J8" s="858">
        <f>+'10.21-Grants Receivable'!J27</f>
        <v>0</v>
      </c>
      <c r="K8" s="859">
        <f>+'10.21-Grants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3288</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row>
    <row r="30" spans="1:12">
      <c r="F30" s="312"/>
      <c r="G30" s="312"/>
      <c r="K30" s="312"/>
      <c r="L30" s="312"/>
    </row>
    <row r="31" spans="1:12">
      <c r="K31" s="312"/>
    </row>
    <row r="32" spans="1:12">
      <c r="G32" s="312"/>
    </row>
  </sheetData>
  <sheetProtection algorithmName="SHA-512" hashValue="bqoBozMoMSuL9FPj5n0TJMZUuec+AYdxzQJg1yhEz236iMlbva2MNGTlNRQ1Z78l6MH4o/A8tPBkQeKZf2o6LA==" saltValue="peh788GqLGPbpVn/j7Gx4w=="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1" spans="1:14">
      <c r="B1" s="811"/>
      <c r="C1" s="811"/>
      <c r="D1" s="811"/>
      <c r="E1" s="811"/>
      <c r="F1" s="811"/>
      <c r="G1" s="811"/>
      <c r="H1" s="811"/>
      <c r="I1" s="811"/>
      <c r="J1" s="811"/>
      <c r="K1" s="811"/>
    </row>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+'10.22-Grants Receivable'!F27</f>
        <v>13500</v>
      </c>
      <c r="G8" s="858">
        <f>+'10.22-Grants Receivable'!G27</f>
        <v>25963.41</v>
      </c>
      <c r="H8" s="858">
        <f>+'10.22-Grants Receivable'!H27</f>
        <v>23463.41</v>
      </c>
      <c r="I8" s="858">
        <f>+'10.22-Grants Receivable'!I27</f>
        <v>0</v>
      </c>
      <c r="J8" s="858">
        <f>+'10.22-Grants Receivable'!J27</f>
        <v>0</v>
      </c>
      <c r="K8" s="859">
        <f>+'10.22-Grants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3289</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row>
    <row r="30" spans="1:12">
      <c r="F30" s="312"/>
      <c r="G30" s="312"/>
      <c r="K30" s="312"/>
      <c r="L30" s="312"/>
    </row>
    <row r="31" spans="1:12">
      <c r="K31" s="312"/>
    </row>
    <row r="32" spans="1:12">
      <c r="G32" s="312"/>
    </row>
  </sheetData>
  <sheetProtection algorithmName="SHA-512" hashValue="5ao+BGaeIj/YtK4YxE+hIc+1Ljr0VU8gu7rf0Gj0GXEd/0VynDuMTh7xAe/jRW/shf24SWYQ8jFrc0lvqoajMA==" saltValue="3GpQF10W68rgj96pp5zGA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N32"/>
  <sheetViews>
    <sheetView zoomScaleNormal="100" workbookViewId="0">
      <selection activeCell="G5" sqref="G5"/>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716" t="s">
        <v>229</v>
      </c>
      <c r="C2" s="1716"/>
      <c r="D2" s="1716"/>
      <c r="E2" s="1716"/>
      <c r="F2" s="1716"/>
      <c r="G2" s="1716"/>
      <c r="H2" s="1716"/>
      <c r="I2" s="1716"/>
      <c r="J2" s="1716"/>
      <c r="K2" s="1716"/>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+'10.23-Grants Receivable'!F27</f>
        <v>13500</v>
      </c>
      <c r="G8" s="858">
        <f>+'10.23-Grants Receivable'!G27</f>
        <v>25963.41</v>
      </c>
      <c r="H8" s="858">
        <f>+'10.23-Grants Receivable'!H27</f>
        <v>23463.41</v>
      </c>
      <c r="I8" s="858">
        <f>+'10.23-Grants Receivable'!I27</f>
        <v>0</v>
      </c>
      <c r="J8" s="858">
        <f>+'10.23-Grants Receivable'!J27</f>
        <v>0</v>
      </c>
      <c r="K8" s="859">
        <f>+'10.23-Grants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3290</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27" t="s">
        <v>3265</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row>
    <row r="30" spans="1:12">
      <c r="F30" s="312"/>
      <c r="G30" s="312"/>
      <c r="K30" s="312"/>
      <c r="L30" s="312"/>
    </row>
    <row r="31" spans="1:12">
      <c r="K31" s="312"/>
    </row>
    <row r="32" spans="1:12">
      <c r="G32" s="312"/>
    </row>
  </sheetData>
  <sheetProtection algorithmName="SHA-512" hashValue="hBYeCmFs3bO4QA7zIko/3V3WraITC4PwA1DPAXSD2wl9TP1s5IQGvliWh4Yyp3mklQUNvdckCY3LaJOMs3GVhA==" saltValue="8q1kHi5nW6x7Up9urLD3HQ=="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N32"/>
  <sheetViews>
    <sheetView zoomScaleNormal="100" workbookViewId="0">
      <selection activeCell="H29" sqref="H29"/>
    </sheetView>
  </sheetViews>
  <sheetFormatPr defaultColWidth="9.109375" defaultRowHeight="13.2"/>
  <cols>
    <col min="1" max="1" width="5.6640625" style="309" customWidth="1"/>
    <col min="2" max="4" width="4.88671875" style="309" customWidth="1"/>
    <col min="5" max="5" width="36.109375" style="309" customWidth="1"/>
    <col min="6" max="11" width="15.6640625" style="309" customWidth="1"/>
    <col min="12" max="12" width="11.88671875" style="309" bestFit="1" customWidth="1"/>
    <col min="13" max="16384" width="9.109375" style="309"/>
  </cols>
  <sheetData>
    <row r="2" spans="1:14" ht="20.399999999999999">
      <c r="B2" s="1619" t="s">
        <v>229</v>
      </c>
      <c r="C2" s="1619"/>
      <c r="D2" s="1619"/>
      <c r="E2" s="1619"/>
      <c r="F2" s="1619"/>
      <c r="G2" s="1619"/>
      <c r="H2" s="1619"/>
      <c r="I2" s="1619"/>
      <c r="J2" s="1619"/>
      <c r="K2" s="1619"/>
    </row>
    <row r="3" spans="1:14" ht="21" thickBot="1">
      <c r="B3" s="1716" t="s">
        <v>630</v>
      </c>
      <c r="C3" s="1716"/>
      <c r="D3" s="1716"/>
      <c r="E3" s="1716"/>
      <c r="F3" s="1716"/>
      <c r="G3" s="1716"/>
      <c r="H3" s="1716"/>
      <c r="I3" s="1716"/>
      <c r="J3" s="1716"/>
      <c r="K3" s="1716"/>
    </row>
    <row r="4" spans="1:14" ht="13.8" thickTop="1">
      <c r="B4" s="844"/>
      <c r="C4" s="844"/>
      <c r="D4" s="844"/>
      <c r="E4" s="844"/>
      <c r="F4" s="845"/>
      <c r="G4" s="845">
        <f>IF('KEY INPUTS'!C42="State Fiscal Year","Fiscal Year "&amp;'KEY INPUTS'!D33&amp;"",'KEY INPUTS'!D34)</f>
        <v>2021</v>
      </c>
      <c r="H4" s="845"/>
      <c r="I4" s="846"/>
      <c r="J4" s="844"/>
      <c r="K4" s="821"/>
    </row>
    <row r="5" spans="1:14">
      <c r="B5" s="1717" t="s">
        <v>639</v>
      </c>
      <c r="C5" s="1717"/>
      <c r="D5" s="1717"/>
      <c r="E5" s="1718"/>
      <c r="F5" s="847" t="s">
        <v>530</v>
      </c>
      <c r="G5" s="847" t="s">
        <v>535</v>
      </c>
      <c r="H5" s="847" t="s">
        <v>638</v>
      </c>
      <c r="I5" s="848" t="s">
        <v>218</v>
      </c>
      <c r="J5" s="849" t="s">
        <v>445</v>
      </c>
      <c r="K5" s="822" t="s">
        <v>530</v>
      </c>
    </row>
    <row r="6" spans="1:14">
      <c r="B6" s="811"/>
      <c r="C6" s="811"/>
      <c r="D6" s="811"/>
      <c r="E6" s="811"/>
      <c r="F6" s="850" t="str">
        <f>'10-Grants Receivable'!F6</f>
        <v>Jan. 1, 2021</v>
      </c>
      <c r="G6" s="847" t="s">
        <v>636</v>
      </c>
      <c r="H6" s="847"/>
      <c r="I6" s="851"/>
      <c r="J6" s="852"/>
      <c r="K6" s="823" t="str">
        <f>'10-Grants Receivable'!K6</f>
        <v>Dec. 31, 2021</v>
      </c>
    </row>
    <row r="7" spans="1:14" ht="13.8" thickBot="1">
      <c r="B7" s="853"/>
      <c r="C7" s="853"/>
      <c r="D7" s="853"/>
      <c r="E7" s="853"/>
      <c r="F7" s="854"/>
      <c r="G7" s="855" t="s">
        <v>637</v>
      </c>
      <c r="H7" s="854"/>
      <c r="I7" s="854"/>
      <c r="J7" s="856"/>
      <c r="K7" s="824"/>
    </row>
    <row r="8" spans="1:14" ht="21" customHeight="1" thickTop="1">
      <c r="B8" s="841" t="s">
        <v>3266</v>
      </c>
      <c r="C8" s="841"/>
      <c r="D8" s="841"/>
      <c r="E8" s="857"/>
      <c r="F8" s="858">
        <f>+'10.24-Grants Receivable'!F27</f>
        <v>13500</v>
      </c>
      <c r="G8" s="858">
        <f>+'10.24-Grants Receivable'!G27</f>
        <v>25963.41</v>
      </c>
      <c r="H8" s="858">
        <f>+'10.24-Grants Receivable'!H27</f>
        <v>23463.41</v>
      </c>
      <c r="I8" s="858">
        <f>+'10.24-Grants Receivable'!I27</f>
        <v>0</v>
      </c>
      <c r="J8" s="858">
        <f>+'10.24-Grants Receivable'!J27</f>
        <v>0</v>
      </c>
      <c r="K8" s="859">
        <f>+'10.24-Grants Receivable'!K27</f>
        <v>16000</v>
      </c>
    </row>
    <row r="9" spans="1:14" ht="21" customHeight="1">
      <c r="B9" s="538"/>
      <c r="C9" s="538"/>
      <c r="D9" s="538"/>
      <c r="E9" s="544"/>
      <c r="F9" s="353"/>
      <c r="G9" s="353"/>
      <c r="H9" s="353"/>
      <c r="I9" s="353"/>
      <c r="J9" s="353"/>
      <c r="K9" s="802">
        <f t="shared" ref="K9:K26" si="0">+F9+G9-H9+I9-J9</f>
        <v>0</v>
      </c>
      <c r="L9" s="312"/>
    </row>
    <row r="10" spans="1:14" ht="21" customHeight="1">
      <c r="B10" s="538"/>
      <c r="C10" s="538"/>
      <c r="D10" s="538"/>
      <c r="E10" s="544"/>
      <c r="F10" s="353"/>
      <c r="G10" s="353"/>
      <c r="H10" s="353"/>
      <c r="I10" s="353"/>
      <c r="J10" s="353"/>
      <c r="K10" s="802">
        <f t="shared" si="0"/>
        <v>0</v>
      </c>
      <c r="N10" s="356"/>
    </row>
    <row r="11" spans="1:14" ht="21" customHeight="1">
      <c r="B11" s="538"/>
      <c r="C11" s="538"/>
      <c r="D11" s="538"/>
      <c r="E11" s="544"/>
      <c r="F11" s="353"/>
      <c r="G11" s="353"/>
      <c r="H11" s="353"/>
      <c r="I11" s="353"/>
      <c r="J11" s="353"/>
      <c r="K11" s="802">
        <f t="shared" si="0"/>
        <v>0</v>
      </c>
      <c r="L11" s="312"/>
    </row>
    <row r="12" spans="1:14" ht="21" customHeight="1">
      <c r="B12" s="538"/>
      <c r="C12" s="548"/>
      <c r="D12" s="538"/>
      <c r="E12" s="544"/>
      <c r="F12" s="353"/>
      <c r="G12" s="353"/>
      <c r="H12" s="353"/>
      <c r="I12" s="353"/>
      <c r="J12" s="353"/>
      <c r="K12" s="802">
        <f t="shared" si="0"/>
        <v>0</v>
      </c>
    </row>
    <row r="13" spans="1:14" ht="21" customHeight="1">
      <c r="B13" s="538"/>
      <c r="C13" s="548"/>
      <c r="D13" s="538"/>
      <c r="E13" s="544"/>
      <c r="F13" s="353"/>
      <c r="G13" s="353"/>
      <c r="H13" s="353"/>
      <c r="I13" s="353"/>
      <c r="J13" s="353"/>
      <c r="K13" s="802">
        <f t="shared" si="0"/>
        <v>0</v>
      </c>
    </row>
    <row r="14" spans="1:14" ht="21" customHeight="1">
      <c r="B14" s="538"/>
      <c r="C14" s="538"/>
      <c r="D14" s="538"/>
      <c r="E14" s="544"/>
      <c r="F14" s="353"/>
      <c r="G14" s="353"/>
      <c r="H14" s="353"/>
      <c r="I14" s="353"/>
      <c r="J14" s="353"/>
      <c r="K14" s="802">
        <f t="shared" si="0"/>
        <v>0</v>
      </c>
    </row>
    <row r="15" spans="1:14" ht="21" customHeight="1">
      <c r="A15" s="1692" t="s">
        <v>3370</v>
      </c>
      <c r="B15" s="538"/>
      <c r="C15" s="539"/>
      <c r="D15" s="538"/>
      <c r="E15" s="544"/>
      <c r="F15" s="353"/>
      <c r="G15" s="353"/>
      <c r="H15" s="353"/>
      <c r="I15" s="353"/>
      <c r="J15" s="353"/>
      <c r="K15" s="802">
        <f t="shared" si="0"/>
        <v>0</v>
      </c>
    </row>
    <row r="16" spans="1:14" ht="21" customHeight="1">
      <c r="A16" s="1692"/>
      <c r="B16" s="538"/>
      <c r="C16" s="539"/>
      <c r="D16" s="538"/>
      <c r="E16" s="544"/>
      <c r="F16" s="353"/>
      <c r="G16" s="353"/>
      <c r="H16" s="353"/>
      <c r="I16" s="353"/>
      <c r="J16" s="353"/>
      <c r="K16" s="802">
        <f t="shared" si="0"/>
        <v>0</v>
      </c>
    </row>
    <row r="17" spans="1:12" ht="21" customHeight="1">
      <c r="A17" s="1692"/>
      <c r="B17" s="538"/>
      <c r="C17" s="539"/>
      <c r="D17" s="538"/>
      <c r="E17" s="544"/>
      <c r="F17" s="353"/>
      <c r="G17" s="353"/>
      <c r="H17" s="353"/>
      <c r="I17" s="353"/>
      <c r="J17" s="353"/>
      <c r="K17" s="802">
        <f t="shared" si="0"/>
        <v>0</v>
      </c>
    </row>
    <row r="18" spans="1:12" ht="21" customHeight="1">
      <c r="B18" s="538"/>
      <c r="C18" s="539"/>
      <c r="D18" s="538"/>
      <c r="E18" s="544"/>
      <c r="F18" s="353"/>
      <c r="G18" s="353"/>
      <c r="H18" s="353"/>
      <c r="I18" s="353"/>
      <c r="J18" s="353"/>
      <c r="K18" s="802">
        <f t="shared" si="0"/>
        <v>0</v>
      </c>
    </row>
    <row r="19" spans="1:12" ht="21" customHeight="1">
      <c r="B19" s="538"/>
      <c r="C19" s="539"/>
      <c r="D19" s="538"/>
      <c r="E19" s="544"/>
      <c r="F19" s="353"/>
      <c r="G19" s="353"/>
      <c r="H19" s="353"/>
      <c r="I19" s="353"/>
      <c r="J19" s="353"/>
      <c r="K19" s="802">
        <f t="shared" si="0"/>
        <v>0</v>
      </c>
    </row>
    <row r="20" spans="1:12" ht="21" customHeight="1">
      <c r="B20" s="538"/>
      <c r="C20" s="538"/>
      <c r="D20" s="538"/>
      <c r="E20" s="544"/>
      <c r="F20" s="353"/>
      <c r="G20" s="353"/>
      <c r="H20" s="353"/>
      <c r="I20" s="353"/>
      <c r="J20" s="353"/>
      <c r="K20" s="802">
        <f t="shared" si="0"/>
        <v>0</v>
      </c>
    </row>
    <row r="21" spans="1:12" ht="21" customHeight="1">
      <c r="B21" s="538"/>
      <c r="C21" s="538"/>
      <c r="D21" s="538"/>
      <c r="E21" s="544"/>
      <c r="F21" s="353"/>
      <c r="G21" s="353"/>
      <c r="H21" s="353"/>
      <c r="I21" s="353"/>
      <c r="J21" s="353"/>
      <c r="K21" s="802">
        <f t="shared" si="0"/>
        <v>0</v>
      </c>
    </row>
    <row r="22" spans="1:12" ht="21" customHeight="1">
      <c r="B22" s="538"/>
      <c r="C22" s="538"/>
      <c r="D22" s="538"/>
      <c r="E22" s="544"/>
      <c r="F22" s="353"/>
      <c r="G22" s="353"/>
      <c r="H22" s="353"/>
      <c r="I22" s="353"/>
      <c r="J22" s="353"/>
      <c r="K22" s="802">
        <f t="shared" si="0"/>
        <v>0</v>
      </c>
    </row>
    <row r="23" spans="1:12" ht="21" customHeight="1">
      <c r="B23" s="538"/>
      <c r="C23" s="538"/>
      <c r="D23" s="538"/>
      <c r="E23" s="544"/>
      <c r="F23" s="353"/>
      <c r="G23" s="353"/>
      <c r="H23" s="353"/>
      <c r="I23" s="353"/>
      <c r="J23" s="353"/>
      <c r="K23" s="802">
        <f t="shared" si="0"/>
        <v>0</v>
      </c>
    </row>
    <row r="24" spans="1:12" ht="21" customHeight="1">
      <c r="B24" s="538"/>
      <c r="C24" s="538"/>
      <c r="D24" s="538"/>
      <c r="E24" s="544"/>
      <c r="F24" s="353"/>
      <c r="G24" s="353"/>
      <c r="H24" s="353"/>
      <c r="I24" s="353"/>
      <c r="J24" s="353"/>
      <c r="K24" s="802">
        <f t="shared" si="0"/>
        <v>0</v>
      </c>
    </row>
    <row r="25" spans="1:12" ht="21" customHeight="1">
      <c r="B25" s="538"/>
      <c r="C25" s="538"/>
      <c r="D25" s="538"/>
      <c r="E25" s="544"/>
      <c r="F25" s="353"/>
      <c r="G25" s="353"/>
      <c r="H25" s="353"/>
      <c r="I25" s="353"/>
      <c r="J25" s="353"/>
      <c r="K25" s="802">
        <f t="shared" si="0"/>
        <v>0</v>
      </c>
    </row>
    <row r="26" spans="1:12" ht="21" customHeight="1">
      <c r="B26" s="538"/>
      <c r="C26" s="538"/>
      <c r="D26" s="538"/>
      <c r="E26" s="544"/>
      <c r="F26" s="353"/>
      <c r="G26" s="353"/>
      <c r="H26" s="353"/>
      <c r="I26" s="353"/>
      <c r="J26" s="353"/>
      <c r="K26" s="802">
        <f t="shared" si="0"/>
        <v>0</v>
      </c>
    </row>
    <row r="27" spans="1:12" ht="21" customHeight="1" thickBot="1">
      <c r="B27" s="27"/>
      <c r="C27" s="315" t="s">
        <v>3291</v>
      </c>
      <c r="D27" s="27"/>
      <c r="E27" s="41"/>
      <c r="F27" s="97">
        <f t="shared" ref="F27:K27" si="1">SUM(F8:F26)</f>
        <v>13500</v>
      </c>
      <c r="G27" s="97">
        <f t="shared" si="1"/>
        <v>25963.41</v>
      </c>
      <c r="H27" s="97">
        <f t="shared" si="1"/>
        <v>23463.41</v>
      </c>
      <c r="I27" s="97">
        <f t="shared" si="1"/>
        <v>0</v>
      </c>
      <c r="J27" s="97">
        <f t="shared" si="1"/>
        <v>0</v>
      </c>
      <c r="K27" s="820">
        <f t="shared" si="1"/>
        <v>16000</v>
      </c>
    </row>
    <row r="28" spans="1:12" ht="13.8" thickTop="1"/>
    <row r="29" spans="1:12">
      <c r="K29" s="312"/>
    </row>
    <row r="30" spans="1:12">
      <c r="F30" s="312"/>
      <c r="G30" s="312"/>
      <c r="K30" s="312"/>
      <c r="L30" s="312"/>
    </row>
    <row r="31" spans="1:12">
      <c r="K31" s="312"/>
    </row>
    <row r="32" spans="1:12">
      <c r="G32" s="312"/>
    </row>
  </sheetData>
  <sheetProtection algorithmName="SHA-512" hashValue="rgZJbdWkPz82h5iiN1dQGbP6mWoELaq4/PTKDCd2hqwzPQYh6cFXIkkS/If8G7/RkipPMuRjuyG0abO6eScFpA==" saltValue="5s9m/gWZogdYVgRo6NWr5A==" spinCount="100000" sheet="1" objects="1" scenarios="1"/>
  <mergeCells count="4">
    <mergeCell ref="B2:K2"/>
    <mergeCell ref="B3:K3"/>
    <mergeCell ref="B5:E5"/>
    <mergeCell ref="A15:A17"/>
  </mergeCells>
  <pageMargins left="0.25" right="0.25" top="0.5" bottom="0.5" header="0.25" footer="0.25"/>
  <pageSetup paperSize="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O34"/>
  <sheetViews>
    <sheetView zoomScaleNormal="100" workbookViewId="0">
      <selection activeCell="J17" sqref="J17"/>
    </sheetView>
  </sheetViews>
  <sheetFormatPr defaultRowHeight="13.2"/>
  <cols>
    <col min="1" max="1" width="5.6640625" customWidth="1"/>
    <col min="2" max="2" width="4.109375" customWidth="1"/>
    <col min="3" max="4" width="4.88671875" customWidth="1"/>
    <col min="5" max="5" width="43.44140625" customWidth="1"/>
    <col min="6" max="10" width="15.6640625" customWidth="1"/>
    <col min="11" max="11" width="15.5546875" customWidth="1"/>
    <col min="12" max="12" width="15.6640625" style="236" customWidth="1"/>
    <col min="13" max="13" width="10.88671875" bestFit="1" customWidth="1"/>
  </cols>
  <sheetData>
    <row r="1" spans="1:15">
      <c r="B1" s="309"/>
      <c r="C1" s="309"/>
      <c r="D1" s="309"/>
      <c r="E1" s="309"/>
      <c r="F1" s="309"/>
      <c r="G1" s="309"/>
      <c r="H1" s="309"/>
      <c r="I1" s="309"/>
      <c r="J1" s="309"/>
      <c r="K1" s="309"/>
      <c r="L1" s="266"/>
    </row>
    <row r="2" spans="1:15" ht="20.399999999999999">
      <c r="B2" s="1619" t="s">
        <v>236</v>
      </c>
      <c r="C2" s="1619"/>
      <c r="D2" s="1619"/>
      <c r="E2" s="1619"/>
      <c r="F2" s="1619"/>
      <c r="G2" s="1619"/>
      <c r="H2" s="1619"/>
      <c r="I2" s="1619"/>
      <c r="J2" s="1619"/>
      <c r="K2" s="1619"/>
      <c r="L2" s="1619"/>
    </row>
    <row r="3" spans="1:15" ht="21" thickBot="1">
      <c r="B3" s="1619" t="s">
        <v>106</v>
      </c>
      <c r="C3" s="1619"/>
      <c r="D3" s="1619"/>
      <c r="E3" s="1619"/>
      <c r="F3" s="1619"/>
      <c r="G3" s="1619"/>
      <c r="H3" s="1619"/>
      <c r="I3" s="1619"/>
      <c r="J3" s="1619"/>
      <c r="K3" s="1619"/>
      <c r="L3" s="1619"/>
    </row>
    <row r="4" spans="1:15" ht="13.8" thickTop="1">
      <c r="B4" s="11"/>
      <c r="C4" s="11"/>
      <c r="D4" s="11"/>
      <c r="E4" s="11"/>
      <c r="F4" s="12"/>
      <c r="G4" s="1722" t="str">
        <f>IF('KEY INPUTS'!C42="State Fiscal Year","Transferred from Fiscal Year "&amp;'KEY INPUTS'!D33&amp;"","Transferred from "&amp;'KEY INPUTS'!D34&amp;"")</f>
        <v>Transferred from 2021</v>
      </c>
      <c r="H4" s="1723"/>
      <c r="I4" s="12"/>
      <c r="J4" s="6"/>
      <c r="K4" s="11"/>
      <c r="L4" s="255"/>
    </row>
    <row r="5" spans="1:15">
      <c r="B5" s="1663" t="s">
        <v>639</v>
      </c>
      <c r="C5" s="1663"/>
      <c r="D5" s="1663"/>
      <c r="E5" s="1715"/>
      <c r="F5" s="270" t="s">
        <v>530</v>
      </c>
      <c r="G5" s="1724" t="s">
        <v>234</v>
      </c>
      <c r="H5" s="1725"/>
      <c r="I5" s="270" t="s">
        <v>235</v>
      </c>
      <c r="J5" s="750" t="s">
        <v>218</v>
      </c>
      <c r="K5" s="944" t="s">
        <v>445</v>
      </c>
      <c r="L5" s="256" t="s">
        <v>530</v>
      </c>
    </row>
    <row r="6" spans="1:15">
      <c r="B6" s="309"/>
      <c r="C6" s="309"/>
      <c r="D6" s="309"/>
      <c r="E6" s="309"/>
      <c r="F6" s="286" t="str">
        <f>IF('KEY INPUTS'!C42 = "State Fiscal Year", 'KEY INPUTS'!F48,'KEY INPUTS'!D48)</f>
        <v>Jan. 1, 2021</v>
      </c>
      <c r="G6" s="270" t="s">
        <v>535</v>
      </c>
      <c r="H6" s="270" t="s">
        <v>232</v>
      </c>
      <c r="I6" s="270"/>
      <c r="J6" s="270"/>
      <c r="K6" s="950"/>
      <c r="L6" s="287" t="str">
        <f>IF('KEY INPUTS'!C42 = "State Fiscal Year", 'KEY INPUTS'!F47,'KEY INPUTS'!D47)</f>
        <v>Dec. 31, 2021</v>
      </c>
    </row>
    <row r="7" spans="1:15" ht="13.8" thickBot="1">
      <c r="B7" s="10"/>
      <c r="C7" s="10"/>
      <c r="D7" s="10"/>
      <c r="E7" s="10"/>
      <c r="F7" s="14"/>
      <c r="G7" s="16"/>
      <c r="H7" s="16" t="s">
        <v>233</v>
      </c>
      <c r="I7" s="14"/>
      <c r="J7" s="16"/>
      <c r="K7" s="17"/>
      <c r="L7" s="257"/>
    </row>
    <row r="8" spans="1:15" ht="21" customHeight="1" thickTop="1">
      <c r="B8" s="610" t="s">
        <v>3678</v>
      </c>
      <c r="C8" s="610"/>
      <c r="D8" s="610"/>
      <c r="E8" s="610"/>
      <c r="F8" s="547"/>
      <c r="G8" s="547"/>
      <c r="H8" s="547">
        <v>6065.77</v>
      </c>
      <c r="I8" s="547">
        <v>6065.77</v>
      </c>
      <c r="J8" s="547"/>
      <c r="K8" s="547"/>
      <c r="L8" s="307">
        <f>+F8+G8+H8-I8+J8-K8</f>
        <v>0</v>
      </c>
      <c r="M8" s="679"/>
    </row>
    <row r="9" spans="1:15" ht="21" customHeight="1">
      <c r="B9" s="538" t="s">
        <v>3679</v>
      </c>
      <c r="C9" s="538"/>
      <c r="D9" s="538"/>
      <c r="E9" s="538"/>
      <c r="F9" s="547">
        <f>2501.95+11250+2500</f>
        <v>16251.95</v>
      </c>
      <c r="G9" s="547">
        <v>3750</v>
      </c>
      <c r="H9" s="547"/>
      <c r="I9" s="547">
        <f>819.42+1997.51</f>
        <v>2816.93</v>
      </c>
      <c r="J9" s="547"/>
      <c r="K9" s="547"/>
      <c r="L9" s="307">
        <f t="shared" ref="L9:L26" si="0">+F9+G9+H9-I9+J9-K9</f>
        <v>17185.02</v>
      </c>
      <c r="M9" s="681"/>
    </row>
    <row r="10" spans="1:15" ht="21" customHeight="1">
      <c r="B10" s="538" t="s">
        <v>3680</v>
      </c>
      <c r="C10" s="538"/>
      <c r="D10" s="538"/>
      <c r="E10" s="538"/>
      <c r="F10" s="547"/>
      <c r="G10" s="547">
        <v>3278.22</v>
      </c>
      <c r="H10" s="547"/>
      <c r="I10" s="547">
        <v>0</v>
      </c>
      <c r="J10" s="547"/>
      <c r="K10" s="547"/>
      <c r="L10" s="307">
        <f t="shared" si="0"/>
        <v>3278.22</v>
      </c>
      <c r="M10" s="312"/>
    </row>
    <row r="11" spans="1:15" s="309" customFormat="1" ht="21" customHeight="1">
      <c r="B11" s="538" t="s">
        <v>3681</v>
      </c>
      <c r="C11" s="538"/>
      <c r="D11" s="538"/>
      <c r="E11" s="538"/>
      <c r="F11" s="547"/>
      <c r="G11" s="547">
        <v>1500</v>
      </c>
      <c r="H11" s="547"/>
      <c r="I11" s="547">
        <v>1500</v>
      </c>
      <c r="J11" s="547"/>
      <c r="K11" s="547"/>
      <c r="L11" s="307">
        <f t="shared" si="0"/>
        <v>0</v>
      </c>
      <c r="M11" s="312"/>
      <c r="O11" s="356"/>
    </row>
    <row r="12" spans="1:15" ht="21" customHeight="1">
      <c r="B12" s="538" t="s">
        <v>3682</v>
      </c>
      <c r="C12" s="538"/>
      <c r="D12" s="538"/>
      <c r="E12" s="538"/>
      <c r="F12" s="547"/>
      <c r="G12" s="547">
        <v>1500</v>
      </c>
      <c r="H12" s="547"/>
      <c r="I12" s="547">
        <v>1500</v>
      </c>
      <c r="J12" s="547"/>
      <c r="K12" s="547"/>
      <c r="L12" s="307">
        <f t="shared" si="0"/>
        <v>0</v>
      </c>
      <c r="M12" s="312"/>
    </row>
    <row r="13" spans="1:15" ht="21" customHeight="1">
      <c r="B13" s="538" t="s">
        <v>3683</v>
      </c>
      <c r="C13" s="538"/>
      <c r="D13" s="538"/>
      <c r="E13" s="538"/>
      <c r="F13" s="547"/>
      <c r="G13" s="547">
        <v>750</v>
      </c>
      <c r="H13" s="547"/>
      <c r="I13" s="547">
        <v>750</v>
      </c>
      <c r="J13" s="547"/>
      <c r="K13" s="547"/>
      <c r="L13" s="307">
        <f t="shared" si="0"/>
        <v>0</v>
      </c>
      <c r="M13" s="312"/>
    </row>
    <row r="14" spans="1:15" s="309" customFormat="1" ht="21" customHeight="1">
      <c r="B14" s="538" t="s">
        <v>3684</v>
      </c>
      <c r="C14" s="538"/>
      <c r="D14" s="538"/>
      <c r="E14" s="538"/>
      <c r="F14" s="547"/>
      <c r="G14" s="547">
        <v>2750</v>
      </c>
      <c r="H14" s="547"/>
      <c r="I14" s="547">
        <v>2750</v>
      </c>
      <c r="J14" s="547"/>
      <c r="K14" s="547"/>
      <c r="L14" s="307">
        <f t="shared" si="0"/>
        <v>0</v>
      </c>
      <c r="M14" s="312"/>
    </row>
    <row r="15" spans="1:15" ht="21" customHeight="1">
      <c r="A15" s="1692" t="s">
        <v>231</v>
      </c>
      <c r="B15" s="538" t="s">
        <v>3686</v>
      </c>
      <c r="C15" s="538"/>
      <c r="D15" s="538"/>
      <c r="E15" s="538"/>
      <c r="F15" s="547">
        <v>454.4</v>
      </c>
      <c r="G15" s="547"/>
      <c r="H15" s="547"/>
      <c r="I15" s="547">
        <v>0</v>
      </c>
      <c r="J15" s="547"/>
      <c r="K15" s="547"/>
      <c r="L15" s="307">
        <f t="shared" si="0"/>
        <v>454.4</v>
      </c>
      <c r="M15" s="312"/>
    </row>
    <row r="16" spans="1:15" ht="21" customHeight="1">
      <c r="A16" s="1692"/>
      <c r="B16" s="1720" t="s">
        <v>3687</v>
      </c>
      <c r="C16" s="1720"/>
      <c r="D16" s="1720"/>
      <c r="E16" s="1721"/>
      <c r="F16" s="547">
        <v>1804.63</v>
      </c>
      <c r="G16" s="547"/>
      <c r="H16" s="547"/>
      <c r="I16" s="547">
        <v>0</v>
      </c>
      <c r="J16" s="547"/>
      <c r="K16" s="547"/>
      <c r="L16" s="307">
        <f t="shared" si="0"/>
        <v>1804.63</v>
      </c>
      <c r="M16" s="312"/>
    </row>
    <row r="17" spans="1:13" ht="21" customHeight="1">
      <c r="B17" s="1720" t="s">
        <v>3685</v>
      </c>
      <c r="C17" s="1720"/>
      <c r="D17" s="1720"/>
      <c r="E17" s="1721"/>
      <c r="F17" s="547">
        <v>5000</v>
      </c>
      <c r="G17" s="547"/>
      <c r="H17" s="547"/>
      <c r="I17" s="547">
        <v>4974.76</v>
      </c>
      <c r="J17" s="547"/>
      <c r="K17" s="547"/>
      <c r="L17" s="307">
        <f t="shared" si="0"/>
        <v>25.239999999999782</v>
      </c>
      <c r="M17" s="312"/>
    </row>
    <row r="18" spans="1:13" ht="21" customHeight="1">
      <c r="A18" s="316"/>
      <c r="B18" s="1485"/>
      <c r="C18" s="1485"/>
      <c r="D18" s="1485"/>
      <c r="E18" s="1486"/>
      <c r="F18" s="547"/>
      <c r="G18" s="547"/>
      <c r="H18" s="547"/>
      <c r="I18" s="547"/>
      <c r="J18" s="547"/>
      <c r="K18" s="547"/>
      <c r="L18" s="307">
        <f t="shared" si="0"/>
        <v>0</v>
      </c>
      <c r="M18" s="312"/>
    </row>
    <row r="19" spans="1:13" ht="21" customHeight="1">
      <c r="A19" s="316"/>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246"/>
    </row>
    <row r="33" spans="7:12">
      <c r="G33" s="218"/>
      <c r="L33" s="314"/>
    </row>
    <row r="34" spans="7:12">
      <c r="G34" s="218"/>
    </row>
  </sheetData>
  <sheetProtection algorithmName="SHA-512" hashValue="X48u0Hh6jGRCw6e8oRU8neck3iTDqgrw52GxKnW/EHxPA0RKZ3EKuWDZxWoATKjb55OYQmf9PZoapURxfhLfHQ==" saltValue="ybRwp2Dyuc6XjGUol/INKQ==" spinCount="100000" sheet="1" objects="1" scenarios="1"/>
  <mergeCells count="8">
    <mergeCell ref="B17:E17"/>
    <mergeCell ref="A15:A16"/>
    <mergeCell ref="B2:L2"/>
    <mergeCell ref="B3:L3"/>
    <mergeCell ref="B5:E5"/>
    <mergeCell ref="G4:H4"/>
    <mergeCell ref="G5:H5"/>
    <mergeCell ref="B16:E16"/>
  </mergeCells>
  <phoneticPr fontId="0" type="noConversion"/>
  <pageMargins left="0.25" right="0.25" top="0.5" bottom="0.5" header="0.25" footer="0.25"/>
  <pageSetup paperSize="5" scale="99"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 Grants Approp Rsrv'!F27</f>
        <v>23510.980000000003</v>
      </c>
      <c r="G8" s="976">
        <f>+'11 Grants Approp Rsrv'!G27</f>
        <v>13528.22</v>
      </c>
      <c r="H8" s="976">
        <f>+'11 Grants Approp Rsrv'!H27</f>
        <v>6065.77</v>
      </c>
      <c r="I8" s="976">
        <f>+'11 Grants Approp Rsrv'!I27</f>
        <v>20357.46</v>
      </c>
      <c r="J8" s="976">
        <f>+'11 Grants Approp Rsrv'!J27</f>
        <v>0</v>
      </c>
      <c r="K8" s="976">
        <f>+'11 Grants Approp Rsrv'!K27</f>
        <v>0</v>
      </c>
      <c r="L8" s="977">
        <f>+'11 Grants Approp Rsrv'!L27</f>
        <v>22747.510000000002</v>
      </c>
      <c r="M8" s="679"/>
    </row>
    <row r="9" spans="1:15" ht="21" customHeight="1">
      <c r="B9" s="1485"/>
      <c r="C9" s="1485"/>
      <c r="D9" s="1485"/>
      <c r="E9" s="1486"/>
      <c r="F9" s="351"/>
      <c r="G9" s="351"/>
      <c r="H9" s="351"/>
      <c r="I9" s="351"/>
      <c r="J9" s="351"/>
      <c r="K9" s="351"/>
      <c r="L9" s="307">
        <f t="shared" ref="L9:L26" si="0">+F9+G9+H9-I9+J9-K9</f>
        <v>0</v>
      </c>
      <c r="M9" s="681"/>
    </row>
    <row r="10" spans="1:15" ht="21" customHeight="1">
      <c r="B10" s="1485"/>
      <c r="C10" s="1485"/>
      <c r="D10" s="1485"/>
      <c r="E10" s="1486"/>
      <c r="F10" s="351"/>
      <c r="G10" s="351"/>
      <c r="H10" s="351"/>
      <c r="I10" s="351"/>
      <c r="J10" s="351"/>
      <c r="K10" s="351"/>
      <c r="L10" s="307">
        <f t="shared" si="0"/>
        <v>0</v>
      </c>
      <c r="M10" s="312"/>
    </row>
    <row r="11" spans="1:15" ht="21" customHeight="1">
      <c r="B11" s="1485"/>
      <c r="C11" s="1485"/>
      <c r="D11" s="1485"/>
      <c r="E11" s="1486"/>
      <c r="F11" s="351"/>
      <c r="G11" s="351"/>
      <c r="H11" s="351"/>
      <c r="I11" s="351"/>
      <c r="J11" s="351"/>
      <c r="K11" s="351"/>
      <c r="L11" s="307">
        <f t="shared" si="0"/>
        <v>0</v>
      </c>
      <c r="M11" s="312"/>
      <c r="O11" s="356"/>
    </row>
    <row r="12" spans="1:15" ht="21" customHeight="1">
      <c r="B12" s="1485"/>
      <c r="C12" s="1485"/>
      <c r="D12" s="1485"/>
      <c r="E12" s="1486"/>
      <c r="F12" s="351"/>
      <c r="G12" s="351"/>
      <c r="H12" s="351"/>
      <c r="I12" s="351"/>
      <c r="J12" s="351"/>
      <c r="K12" s="351"/>
      <c r="L12" s="307">
        <f t="shared" si="0"/>
        <v>0</v>
      </c>
      <c r="M12" s="312"/>
    </row>
    <row r="13" spans="1:15" ht="21" customHeight="1">
      <c r="B13" s="1485"/>
      <c r="C13" s="1485"/>
      <c r="D13" s="1485"/>
      <c r="E13" s="1486"/>
      <c r="F13" s="351"/>
      <c r="G13" s="351"/>
      <c r="H13" s="351"/>
      <c r="I13" s="351"/>
      <c r="J13" s="351"/>
      <c r="K13" s="351"/>
      <c r="L13" s="307">
        <f t="shared" si="0"/>
        <v>0</v>
      </c>
      <c r="M13" s="312"/>
    </row>
    <row r="14" spans="1:15" ht="21" customHeight="1">
      <c r="B14" s="1485"/>
      <c r="C14" s="1485"/>
      <c r="D14" s="1485"/>
      <c r="E14" s="1486"/>
      <c r="F14" s="351"/>
      <c r="G14" s="351"/>
      <c r="H14" s="351"/>
      <c r="I14" s="351"/>
      <c r="J14" s="351"/>
      <c r="K14" s="351"/>
      <c r="L14" s="307">
        <f t="shared" si="0"/>
        <v>0</v>
      </c>
      <c r="M14" s="312"/>
    </row>
    <row r="15" spans="1:15" ht="21" customHeight="1">
      <c r="A15" s="1692" t="s">
        <v>3292</v>
      </c>
      <c r="B15" s="1485"/>
      <c r="C15" s="1485"/>
      <c r="D15" s="1485"/>
      <c r="E15" s="1486"/>
      <c r="F15" s="351"/>
      <c r="G15" s="351"/>
      <c r="H15" s="351"/>
      <c r="I15" s="351"/>
      <c r="J15" s="351"/>
      <c r="K15" s="351"/>
      <c r="L15" s="307">
        <f t="shared" si="0"/>
        <v>0</v>
      </c>
      <c r="M15" s="312"/>
    </row>
    <row r="16" spans="1:15" ht="21" customHeight="1">
      <c r="A16" s="1692"/>
      <c r="B16" s="1485"/>
      <c r="C16" s="1485"/>
      <c r="D16" s="1485"/>
      <c r="E16" s="1486"/>
      <c r="F16" s="351"/>
      <c r="G16" s="351"/>
      <c r="H16" s="351"/>
      <c r="I16" s="351"/>
      <c r="J16" s="351"/>
      <c r="K16" s="351"/>
      <c r="L16" s="307">
        <f t="shared" si="0"/>
        <v>0</v>
      </c>
      <c r="M16" s="312"/>
    </row>
    <row r="17" spans="1:13" ht="21" customHeight="1">
      <c r="B17" s="1485"/>
      <c r="C17" s="1485"/>
      <c r="D17" s="1485"/>
      <c r="E17" s="1486"/>
      <c r="F17" s="351"/>
      <c r="G17" s="351"/>
      <c r="H17" s="351"/>
      <c r="I17" s="351"/>
      <c r="J17" s="351"/>
      <c r="K17" s="351"/>
      <c r="L17" s="307">
        <f t="shared" si="0"/>
        <v>0</v>
      </c>
      <c r="M17" s="312"/>
    </row>
    <row r="18" spans="1:13" ht="21" customHeight="1">
      <c r="A18" s="720"/>
      <c r="B18" s="1485"/>
      <c r="C18" s="1485"/>
      <c r="D18" s="1485"/>
      <c r="E18" s="1486"/>
      <c r="F18" s="351"/>
      <c r="G18" s="351"/>
      <c r="H18" s="351"/>
      <c r="I18" s="351"/>
      <c r="J18" s="351"/>
      <c r="K18" s="351"/>
      <c r="L18" s="307">
        <f t="shared" si="0"/>
        <v>0</v>
      </c>
      <c r="M18" s="312"/>
    </row>
    <row r="19" spans="1:13" ht="21" customHeight="1">
      <c r="A19" s="720"/>
      <c r="B19" s="1485"/>
      <c r="C19" s="1485"/>
      <c r="D19" s="1485"/>
      <c r="E19" s="1486"/>
      <c r="F19" s="351"/>
      <c r="G19" s="351"/>
      <c r="H19" s="351"/>
      <c r="I19" s="351"/>
      <c r="J19" s="351"/>
      <c r="K19" s="351"/>
      <c r="L19" s="307">
        <f t="shared" si="0"/>
        <v>0</v>
      </c>
      <c r="M19" s="312"/>
    </row>
    <row r="20" spans="1:13" ht="21" customHeight="1">
      <c r="B20" s="1485"/>
      <c r="C20" s="1485"/>
      <c r="D20" s="1485"/>
      <c r="E20" s="1486"/>
      <c r="F20" s="351"/>
      <c r="G20" s="351"/>
      <c r="H20" s="351"/>
      <c r="I20" s="351"/>
      <c r="J20" s="351"/>
      <c r="K20" s="351"/>
      <c r="L20" s="307">
        <f t="shared" si="0"/>
        <v>0</v>
      </c>
      <c r="M20" s="312"/>
    </row>
    <row r="21" spans="1:13" ht="21" customHeight="1">
      <c r="B21" s="1485"/>
      <c r="C21" s="1485"/>
      <c r="D21" s="1485"/>
      <c r="E21" s="1486"/>
      <c r="F21" s="351"/>
      <c r="G21" s="351"/>
      <c r="H21" s="351"/>
      <c r="I21" s="351"/>
      <c r="J21" s="351"/>
      <c r="K21" s="351"/>
      <c r="L21" s="307">
        <f t="shared" si="0"/>
        <v>0</v>
      </c>
      <c r="M21" s="312"/>
    </row>
    <row r="22" spans="1:13" ht="21" customHeight="1">
      <c r="B22" s="1485"/>
      <c r="C22" s="1485"/>
      <c r="D22" s="1485"/>
      <c r="E22" s="1486"/>
      <c r="F22" s="351"/>
      <c r="G22" s="351"/>
      <c r="H22" s="351"/>
      <c r="I22" s="351"/>
      <c r="J22" s="351"/>
      <c r="K22" s="351"/>
      <c r="L22" s="307">
        <f t="shared" si="0"/>
        <v>0</v>
      </c>
      <c r="M22" s="312"/>
    </row>
    <row r="23" spans="1:13" ht="21" customHeight="1">
      <c r="B23" s="1485"/>
      <c r="C23" s="1485"/>
      <c r="D23" s="1485"/>
      <c r="E23" s="1486"/>
      <c r="F23" s="351"/>
      <c r="G23" s="351"/>
      <c r="H23" s="351"/>
      <c r="I23" s="351"/>
      <c r="J23" s="351"/>
      <c r="K23" s="351"/>
      <c r="L23" s="307">
        <f t="shared" si="0"/>
        <v>0</v>
      </c>
      <c r="M23" s="312"/>
    </row>
    <row r="24" spans="1:13" ht="21" customHeight="1">
      <c r="B24" s="1485"/>
      <c r="C24" s="1485"/>
      <c r="D24" s="1485"/>
      <c r="E24" s="1486"/>
      <c r="F24" s="351"/>
      <c r="G24" s="351"/>
      <c r="H24" s="351"/>
      <c r="I24" s="351"/>
      <c r="J24" s="351"/>
      <c r="K24" s="351"/>
      <c r="L24" s="307">
        <f t="shared" si="0"/>
        <v>0</v>
      </c>
      <c r="M24" s="312"/>
    </row>
    <row r="25" spans="1:13" ht="21" customHeight="1">
      <c r="B25" s="1485"/>
      <c r="C25" s="1485"/>
      <c r="D25" s="1485"/>
      <c r="E25" s="1486"/>
      <c r="F25" s="351"/>
      <c r="G25" s="351"/>
      <c r="H25" s="351"/>
      <c r="I25" s="351"/>
      <c r="J25" s="351"/>
      <c r="K25" s="351"/>
      <c r="L25" s="307">
        <f t="shared" si="0"/>
        <v>0</v>
      </c>
      <c r="M25" s="312"/>
    </row>
    <row r="26" spans="1:13" ht="21" customHeight="1">
      <c r="B26" s="1485"/>
      <c r="C26" s="1485"/>
      <c r="D26" s="1485"/>
      <c r="E26" s="1486"/>
      <c r="F26" s="351"/>
      <c r="G26" s="351"/>
      <c r="H26" s="351"/>
      <c r="I26" s="351"/>
      <c r="J26" s="351"/>
      <c r="K26" s="351"/>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5dFKYKIkVOO+nZsf+5dMQoTx+nIla3Amhz40JB/w4I/V72j7mHVAP0e4LxdV0zqbB6CyKtktm2B0bf0SxyeowA==" saltValue="aTTb1bvwECtNExZiz3xPc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 Grants Approp Rsrv'!F27</f>
        <v>23510.980000000003</v>
      </c>
      <c r="G8" s="976">
        <f>+'11.1 Grants Approp Rsrv'!G27</f>
        <v>13528.22</v>
      </c>
      <c r="H8" s="976">
        <f>+'11.1 Grants Approp Rsrv'!H27</f>
        <v>6065.77</v>
      </c>
      <c r="I8" s="976">
        <f>+'11.1 Grants Approp Rsrv'!I27</f>
        <v>20357.46</v>
      </c>
      <c r="J8" s="976">
        <f>+'11.1 Grants Approp Rsrv'!J27</f>
        <v>0</v>
      </c>
      <c r="K8" s="976">
        <f>+'11.1 Grants Approp Rsrv'!K27</f>
        <v>0</v>
      </c>
      <c r="L8" s="977">
        <f>+'11.1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3293</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Lcz3zJdn3CUmCF8FL6k81wII71pHHRVNvBX/DDxNWR6zm+nnBMVXy5fwkia2Enrbqm3HnQ/EpgGI1hNFGHl0Gg==" saltValue="8BovY3fQskAzxgUWcu+fE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 Grants Approp Rsrv'!F27</f>
        <v>23510.980000000003</v>
      </c>
      <c r="G8" s="976">
        <f>+'11.2 Grants Approp Rsrv'!G27</f>
        <v>13528.22</v>
      </c>
      <c r="H8" s="976">
        <f>+'11.2 Grants Approp Rsrv'!H27</f>
        <v>6065.77</v>
      </c>
      <c r="I8" s="976">
        <f>+'11.2 Grants Approp Rsrv'!I27</f>
        <v>20357.46</v>
      </c>
      <c r="J8" s="976">
        <f>+'11.2 Grants Approp Rsrv'!J27</f>
        <v>0</v>
      </c>
      <c r="K8" s="976">
        <f>+'11.2 Grants Approp Rsrv'!K27</f>
        <v>0</v>
      </c>
      <c r="L8" s="977">
        <f>+'11.2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3294</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ZWjd+UbBjhjw1J9r4ys7fzQTdxLOGPFQE9eZU+pHfnb0H8jaakzi/c0jVlD2Ca8YIGPiW85r9RRf8WoPIgmJg==" saltValue="dKs5PofP6DFUR+PMIium2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 Grants Approp Rsrv'!F27</f>
        <v>23510.980000000003</v>
      </c>
      <c r="G8" s="976">
        <f>+'11.3 Grants Approp Rsrv'!G27</f>
        <v>13528.22</v>
      </c>
      <c r="H8" s="976">
        <f>+'11.3 Grants Approp Rsrv'!H27</f>
        <v>6065.77</v>
      </c>
      <c r="I8" s="976">
        <f>+'11.3 Grants Approp Rsrv'!I27</f>
        <v>20357.46</v>
      </c>
      <c r="J8" s="976">
        <f>+'11.3 Grants Approp Rsrv'!J27</f>
        <v>0</v>
      </c>
      <c r="K8" s="976">
        <f>+'11.3 Grants Approp Rsrv'!K27</f>
        <v>0</v>
      </c>
      <c r="L8" s="977">
        <f>+'11.3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3295</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hPJ7GORR4icIgYC3fTYdlvP7hH5AA2cuvK90xTt2k/aAM7NiCTUkzpV53CgxlZsPma5+TqAx6cFUtdu06Sg2XQ==" saltValue="pBYBWUv2H3WNBPx8AaxCp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+'11.4 Grants Approp Rsrv'!F27</f>
        <v>23510.980000000003</v>
      </c>
      <c r="G8" s="976">
        <f>+'11.4 Grants Approp Rsrv'!G27</f>
        <v>13528.22</v>
      </c>
      <c r="H8" s="976">
        <f>+'11.4 Grants Approp Rsrv'!H27</f>
        <v>6065.77</v>
      </c>
      <c r="I8" s="976">
        <f>+'11.4 Grants Approp Rsrv'!I27</f>
        <v>20357.46</v>
      </c>
      <c r="J8" s="976">
        <f>+'11.4 Grants Approp Rsrv'!J27</f>
        <v>0</v>
      </c>
      <c r="K8" s="976">
        <f>+'11.4 Grants Approp Rsrv'!K27</f>
        <v>0</v>
      </c>
      <c r="L8" s="977">
        <f>+'11.4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3296</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fNUeDpfc4jwVydjWAnELTsypXYPkwOxCAlcPyfd5ECBg4TruHHUsQ7qgOz1f52/6WelpS1SPc0nym8H9c9KLVA==" saltValue="W4piou5G+NMQ8OzOT1tIC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+'11.5 Grants Approp Rsrv'!F27</f>
        <v>23510.980000000003</v>
      </c>
      <c r="G8" s="976">
        <f>+'11.5 Grants Approp Rsrv'!G27</f>
        <v>13528.22</v>
      </c>
      <c r="H8" s="976">
        <f>+'11.5 Grants Approp Rsrv'!H27</f>
        <v>6065.77</v>
      </c>
      <c r="I8" s="976">
        <f>+'11.5 Grants Approp Rsrv'!I27</f>
        <v>20357.46</v>
      </c>
      <c r="J8" s="976">
        <f>+'11.5 Grants Approp Rsrv'!J27</f>
        <v>0</v>
      </c>
      <c r="K8" s="976">
        <f>+'11.5 Grants Approp Rsrv'!K27</f>
        <v>0</v>
      </c>
      <c r="L8" s="977">
        <f>+'11.5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3297</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0QXk1sqhbe3wiXnt/hiPsEfJhaSiLY3SNprgdqBAEwvMzBF0J2/2wpt24Jqp8A8J1h/DUsrJ1qrsaIyTbUQk3g==" saltValue="fNUCbi4Wya4c8J51lMrXr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+'11.6 Grants Approp Rsrv'!F27</f>
        <v>23510.980000000003</v>
      </c>
      <c r="G8" s="976">
        <f>+'11.6 Grants Approp Rsrv'!G27</f>
        <v>13528.22</v>
      </c>
      <c r="H8" s="976">
        <f>+'11.6 Grants Approp Rsrv'!H27</f>
        <v>6065.77</v>
      </c>
      <c r="I8" s="976">
        <f>+'11.6 Grants Approp Rsrv'!I27</f>
        <v>20357.46</v>
      </c>
      <c r="J8" s="976">
        <f>+'11.6 Grants Approp Rsrv'!J27</f>
        <v>0</v>
      </c>
      <c r="K8" s="976">
        <f>+'11.6 Grants Approp Rsrv'!K27</f>
        <v>0</v>
      </c>
      <c r="L8" s="977">
        <f>+'11.6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3298</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efOIc960CH60I1jHRXp1tGYYo0ztExmFG9i3BeEclTHF8pg2e83LhdwPtK+LuKyBhKYmDnbZlP5pTcOVJcD2QQ==" saltValue="oLHooshMHC/ST/LLgtU+I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+'11.7 Grants Approp Rsrv'!F27</f>
        <v>23510.980000000003</v>
      </c>
      <c r="G8" s="976">
        <f>+'11.7 Grants Approp Rsrv'!G27</f>
        <v>13528.22</v>
      </c>
      <c r="H8" s="976">
        <f>+'11.7 Grants Approp Rsrv'!H27</f>
        <v>6065.77</v>
      </c>
      <c r="I8" s="976">
        <f>+'11.7 Grants Approp Rsrv'!I27</f>
        <v>20357.46</v>
      </c>
      <c r="J8" s="976">
        <f>+'11.7 Grants Approp Rsrv'!J27</f>
        <v>0</v>
      </c>
      <c r="K8" s="976">
        <f>+'11.7 Grants Approp Rsrv'!K27</f>
        <v>0</v>
      </c>
      <c r="L8" s="977">
        <f>+'11.7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3299</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KOtmHQDc+OCfjwHw5gYu4CqbqdNndZL8DlEPFsCR19ukKv7nrOqZL9erG/U+RtESZyhfnyW0rgiEEd+vCELHRg==" saltValue="1GNSsAWnINS2cqLLlqCPw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+'11.8 Grants Approp Rsrv'!F27</f>
        <v>23510.980000000003</v>
      </c>
      <c r="G8" s="976">
        <f>+'11.8 Grants Approp Rsrv'!G27</f>
        <v>13528.22</v>
      </c>
      <c r="H8" s="976">
        <f>+'11.8 Grants Approp Rsrv'!H27</f>
        <v>6065.77</v>
      </c>
      <c r="I8" s="976">
        <f>+'11.8 Grants Approp Rsrv'!I27</f>
        <v>20357.46</v>
      </c>
      <c r="J8" s="976">
        <f>+'11.8 Grants Approp Rsrv'!J27</f>
        <v>0</v>
      </c>
      <c r="K8" s="976">
        <f>+'11.8 Grants Approp Rsrv'!K27</f>
        <v>0</v>
      </c>
      <c r="L8" s="977">
        <f>+'11.8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3300</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5DzsLnJaC2pgVIr+/jDkkptwWgpWtpttpIBCuvrWiGGKPYlDnWZrZWKUtFKDV0F/pD1IEAUhwOXDvAiglqyDKw==" saltValue="S8kSyCtDd89x8yMN8vY5t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+'11.9 Grants Approp Rsrv'!F27</f>
        <v>23510.980000000003</v>
      </c>
      <c r="G8" s="976">
        <f>+'11.9 Grants Approp Rsrv'!G27</f>
        <v>13528.22</v>
      </c>
      <c r="H8" s="976">
        <f>+'11.9 Grants Approp Rsrv'!H27</f>
        <v>6065.77</v>
      </c>
      <c r="I8" s="976">
        <f>+'11.9 Grants Approp Rsrv'!I27</f>
        <v>20357.46</v>
      </c>
      <c r="J8" s="976">
        <f>+'11.9 Grants Approp Rsrv'!J27</f>
        <v>0</v>
      </c>
      <c r="K8" s="976">
        <f>+'11.9 Grants Approp Rsrv'!K27</f>
        <v>0</v>
      </c>
      <c r="L8" s="977">
        <f>+'11.9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3301</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c365OOvDe2RZWdficwQrGOLWNtbvIzwTTv4Ao+WXli0bAuHet6M+cl45xlfud3oMkhM8O+exW/K46v7z/4AL9Q==" saltValue="lvNWrA4dzGN60rfJySvF2w=="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+'11.10 Grants Approp Rsrv'!F27</f>
        <v>23510.980000000003</v>
      </c>
      <c r="G8" s="976">
        <f>+'11.10 Grants Approp Rsrv'!G27</f>
        <v>13528.22</v>
      </c>
      <c r="H8" s="976">
        <f>+'11.10 Grants Approp Rsrv'!H27</f>
        <v>6065.77</v>
      </c>
      <c r="I8" s="976">
        <f>+'11.10 Grants Approp Rsrv'!I27</f>
        <v>20357.46</v>
      </c>
      <c r="J8" s="976">
        <f>+'11.10 Grants Approp Rsrv'!J27</f>
        <v>0</v>
      </c>
      <c r="K8" s="976">
        <f>+'11.10 Grants Approp Rsrv'!K27</f>
        <v>0</v>
      </c>
      <c r="L8" s="977">
        <f>+'11.10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3302</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VCaOLm78E6GtLDKfpfBscTfnbnZyefTU13tsvkGe0vdtYG2VxAoNrWk1kaXOLHeAh0NW8NNIbFrNrInNtEajyg==" saltValue="wz0tTxV4s1LUNP04BmuGbw=="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+'11.11 Grants Approp Rsrv'!F27</f>
        <v>23510.980000000003</v>
      </c>
      <c r="G8" s="976">
        <f>+'11.11 Grants Approp Rsrv'!G27</f>
        <v>13528.22</v>
      </c>
      <c r="H8" s="976">
        <f>+'11.11 Grants Approp Rsrv'!H27</f>
        <v>6065.77</v>
      </c>
      <c r="I8" s="976">
        <f>+'11.11 Grants Approp Rsrv'!I27</f>
        <v>20357.46</v>
      </c>
      <c r="J8" s="976">
        <f>+'11.11 Grants Approp Rsrv'!J27</f>
        <v>0</v>
      </c>
      <c r="K8" s="976">
        <f>+'11.11 Grants Approp Rsrv'!K27</f>
        <v>0</v>
      </c>
      <c r="L8" s="977">
        <f>+'11.11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3303</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Y6Bss9pWfh1xxHBvYFwMFthBjG+DeT8SAhdkhqq+o7M0EcOoYlmqIyQQtwbvSdJDZE+jY4PfpZ2M9kqlbGUI+A==" saltValue="U5jVnmhDf/bjmdsZmpe9c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+'11.12 Grants Approp Rsrv'!F27</f>
        <v>23510.980000000003</v>
      </c>
      <c r="G8" s="976">
        <f>+'11.12 Grants Approp Rsrv'!G27</f>
        <v>13528.22</v>
      </c>
      <c r="H8" s="976">
        <f>+'11.12 Grants Approp Rsrv'!H27</f>
        <v>6065.77</v>
      </c>
      <c r="I8" s="976">
        <f>+'11.12 Grants Approp Rsrv'!I27</f>
        <v>20357.46</v>
      </c>
      <c r="J8" s="976">
        <f>+'11.12 Grants Approp Rsrv'!J27</f>
        <v>0</v>
      </c>
      <c r="K8" s="976">
        <f>+'11.12 Grants Approp Rsrv'!K27</f>
        <v>0</v>
      </c>
      <c r="L8" s="977">
        <f>+'11.12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3304</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wqdihweT7U5iWQObELVQBqfv7h/tHDeV15wPeZUSM8FSbJ6xmqR6rr9wdbTMXX6eYliWxL0awHKKuwz7pGs3AQ==" saltValue="cI+bomyLdlx+BocitDiEs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+'11.13 Grants Approp Rsrv'!F27</f>
        <v>23510.980000000003</v>
      </c>
      <c r="G8" s="976">
        <f>+'11.13 Grants Approp Rsrv'!G27</f>
        <v>13528.22</v>
      </c>
      <c r="H8" s="976">
        <f>+'11.13 Grants Approp Rsrv'!H27</f>
        <v>6065.77</v>
      </c>
      <c r="I8" s="976">
        <f>+'11.13 Grants Approp Rsrv'!I27</f>
        <v>20357.46</v>
      </c>
      <c r="J8" s="976">
        <f>+'11.13 Grants Approp Rsrv'!J27</f>
        <v>0</v>
      </c>
      <c r="K8" s="976">
        <f>+'11.13 Grants Approp Rsrv'!K27</f>
        <v>0</v>
      </c>
      <c r="L8" s="977">
        <f>+'11.13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3305</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mJkoFKhxnM7tuZupqmBjilMEDHhsd/R+IoQ2ByBHqXV56mRLs7kqDxSyqoViziweLEWJ+N8SAtuSnXCXbOw/JQ==" saltValue="px5kPFHmvHx2EzqljQTYp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+'11.14 Grants Approp Rsrv'!F27</f>
        <v>23510.980000000003</v>
      </c>
      <c r="G8" s="976">
        <f>+'11.14 Grants Approp Rsrv'!G27</f>
        <v>13528.22</v>
      </c>
      <c r="H8" s="976">
        <f>+'11.14 Grants Approp Rsrv'!H27</f>
        <v>6065.77</v>
      </c>
      <c r="I8" s="976">
        <f>+'11.14 Grants Approp Rsrv'!I27</f>
        <v>20357.46</v>
      </c>
      <c r="J8" s="976">
        <f>+'11.14 Grants Approp Rsrv'!J27</f>
        <v>0</v>
      </c>
      <c r="K8" s="976">
        <f>+'11.14 Grants Approp Rsrv'!K27</f>
        <v>0</v>
      </c>
      <c r="L8" s="977">
        <f>+'11.14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3306</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FQaPKMK/EIzqJ3Rgu2M60wWzYfCDScCJv/smUCLbtjoWIKXu5K3pF5gEHcSkVvOHVVR4PKwi36xPn9WfBXIGwA==" saltValue="OhyIUe4XFoUhLQ5rNfWyW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+'11.15 Grants Approp Rsrv'!F27</f>
        <v>23510.980000000003</v>
      </c>
      <c r="G8" s="976">
        <f>+'11.15 Grants Approp Rsrv'!G27</f>
        <v>13528.22</v>
      </c>
      <c r="H8" s="976">
        <f>+'11.15 Grants Approp Rsrv'!H27</f>
        <v>6065.77</v>
      </c>
      <c r="I8" s="976">
        <f>+'11.15 Grants Approp Rsrv'!I27</f>
        <v>20357.46</v>
      </c>
      <c r="J8" s="976">
        <f>+'11.15 Grants Approp Rsrv'!J27</f>
        <v>0</v>
      </c>
      <c r="K8" s="976">
        <f>+'11.15 Grants Approp Rsrv'!K27</f>
        <v>0</v>
      </c>
      <c r="L8" s="977">
        <f>+'11.15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3307</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etM4BDeCOZeCZceW5fHDyhNrLb9sjSUjwQy3BVeK5JVVDytZ0kFMRMAqex64bByZWNwU4ZxqawwC/Y/RMsvQIQ==" saltValue="IcB66kLD1VFjpvty2rC7n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+'11.16 Grants Approp Rsrv'!F27</f>
        <v>23510.980000000003</v>
      </c>
      <c r="G8" s="976">
        <f>+'11.16 Grants Approp Rsrv'!G27</f>
        <v>13528.22</v>
      </c>
      <c r="H8" s="976">
        <f>+'11.16 Grants Approp Rsrv'!H27</f>
        <v>6065.77</v>
      </c>
      <c r="I8" s="976">
        <f>+'11.16 Grants Approp Rsrv'!I27</f>
        <v>20357.46</v>
      </c>
      <c r="J8" s="976">
        <f>+'11.16 Grants Approp Rsrv'!J27</f>
        <v>0</v>
      </c>
      <c r="K8" s="976">
        <f>+'11.16 Grants Approp Rsrv'!K27</f>
        <v>0</v>
      </c>
      <c r="L8" s="977">
        <f>+'11.16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3308</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ZWjW6nx9Zwj7H8Mht7V5jSvR/vp6iVSFNOArMxvjBpfy9NdB3MCiL9tkRQLwqqZrzf7NgKt1nSLi1graNGUFJg==" saltValue="JSgM+s5WZoLh+yTi76EVgw=="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2: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+'11.17 Grants Approp Rsrv'!F27</f>
        <v>23510.980000000003</v>
      </c>
      <c r="G8" s="976">
        <f>+'11.17 Grants Approp Rsrv'!G27</f>
        <v>13528.22</v>
      </c>
      <c r="H8" s="976">
        <f>+'11.17 Grants Approp Rsrv'!H27</f>
        <v>6065.77</v>
      </c>
      <c r="I8" s="976">
        <f>+'11.17 Grants Approp Rsrv'!I27</f>
        <v>20357.46</v>
      </c>
      <c r="J8" s="976">
        <f>+'11.17 Grants Approp Rsrv'!J27</f>
        <v>0</v>
      </c>
      <c r="K8" s="976">
        <f>+'11.17 Grants Approp Rsrv'!K27</f>
        <v>0</v>
      </c>
      <c r="L8" s="977">
        <f>+'11.17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3309</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iIASBsifkGaJmC1YZ7zGIAtoi3nsTMKm7/6uYMDfW6rkheA6EF+0ogaGn9bs6ddpxKay5hmyB8X/UYcUYKqxRA==" saltValue="NLwyj8PqZNnlDcovOX7OZ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+'11.18 Grants Approp Rsrv'!F27</f>
        <v>23510.980000000003</v>
      </c>
      <c r="G8" s="976">
        <f>+'11.18 Grants Approp Rsrv'!G27</f>
        <v>13528.22</v>
      </c>
      <c r="H8" s="976">
        <f>+'11.18 Grants Approp Rsrv'!H27</f>
        <v>6065.77</v>
      </c>
      <c r="I8" s="976">
        <f>+'11.18 Grants Approp Rsrv'!I27</f>
        <v>20357.46</v>
      </c>
      <c r="J8" s="976">
        <f>+'11.18 Grants Approp Rsrv'!J27</f>
        <v>0</v>
      </c>
      <c r="K8" s="976">
        <f>+'11.18 Grants Approp Rsrv'!K27</f>
        <v>0</v>
      </c>
      <c r="L8" s="977">
        <f>+'11.18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3311</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D3A6ev01xQA+eOI8ZSLa3/TYPMjX4FeZpoAhCEJUecHHKneF9vr1S2eV/qS9Xc2dkaoquQUVPMe/yrwlwhgJLg==" saltValue="loq+gm7AnACgQ/hq6YLnE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+'11.19 Grants Approp Rsrv'!F27</f>
        <v>23510.980000000003</v>
      </c>
      <c r="G8" s="976">
        <f>+'11.19 Grants Approp Rsrv'!G27</f>
        <v>13528.22</v>
      </c>
      <c r="H8" s="976">
        <f>+'11.19 Grants Approp Rsrv'!H27</f>
        <v>6065.77</v>
      </c>
      <c r="I8" s="976">
        <f>+'11.19 Grants Approp Rsrv'!I27</f>
        <v>20357.46</v>
      </c>
      <c r="J8" s="976">
        <f>+'11.19 Grants Approp Rsrv'!J27</f>
        <v>0</v>
      </c>
      <c r="K8" s="976">
        <f>+'11.19 Grants Approp Rsrv'!K27</f>
        <v>0</v>
      </c>
      <c r="L8" s="977">
        <f>+'11.19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3310</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PWSKrWI6LK/qxrj5lC0q4ujy9Stmuq7rNH/wSUNUs8KpyaUwTH9oJS6phYnYHXxWsN5iiJ1dTbFwgU19+WhlNA==" saltValue="12ZjPHNqkGZFGv3mSwI7e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+'11.20 Grants Approp Rsrv'!F27</f>
        <v>23510.980000000003</v>
      </c>
      <c r="G8" s="976">
        <f>+'11.20 Grants Approp Rsrv'!G27</f>
        <v>13528.22</v>
      </c>
      <c r="H8" s="976">
        <f>+'11.20 Grants Approp Rsrv'!H27</f>
        <v>6065.77</v>
      </c>
      <c r="I8" s="976">
        <f>+'11.20 Grants Approp Rsrv'!I27</f>
        <v>20357.46</v>
      </c>
      <c r="J8" s="976">
        <f>+'11.20 Grants Approp Rsrv'!J27</f>
        <v>0</v>
      </c>
      <c r="K8" s="976">
        <f>+'11.20 Grants Approp Rsrv'!K27</f>
        <v>0</v>
      </c>
      <c r="L8" s="977">
        <f>+'11.20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3312</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RyRKCaVJxkA7B2LGQA0v6nPk4gE0dD1JyRZSWDOPkV1H8YwoCOqOJTiDGpfeNkqjR+JjAvCnWhPhnAkgNtj4eg==" saltValue="f9aknfkt5snQjLl4DQobH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+'11.21 Grants Approp Rsrv'!F27</f>
        <v>23510.980000000003</v>
      </c>
      <c r="G8" s="976">
        <f>+'11.21 Grants Approp Rsrv'!G27</f>
        <v>13528.22</v>
      </c>
      <c r="H8" s="976">
        <f>+'11.21 Grants Approp Rsrv'!H27</f>
        <v>6065.77</v>
      </c>
      <c r="I8" s="976">
        <f>+'11.21 Grants Approp Rsrv'!I27</f>
        <v>20357.46</v>
      </c>
      <c r="J8" s="976">
        <f>+'11.21 Grants Approp Rsrv'!J27</f>
        <v>0</v>
      </c>
      <c r="K8" s="976">
        <f>+'11.21 Grants Approp Rsrv'!K27</f>
        <v>0</v>
      </c>
      <c r="L8" s="977">
        <f>+'11.21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3313</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Q+laxEup2l7ytXEgE2jLahtiSF6pGpdele7KUvukJ7fv9hn2aS1iG1QcElwZ0YvAKmwPNFzreBzmEI62p9sEWQ==" saltValue="j3z+N0JLkAXpVndRegmXr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+'11.22 Grants Approp Rsrv'!F27</f>
        <v>23510.980000000003</v>
      </c>
      <c r="G8" s="976">
        <f>+'11.22 Grants Approp Rsrv'!G27</f>
        <v>13528.22</v>
      </c>
      <c r="H8" s="976">
        <f>+'11.22 Grants Approp Rsrv'!H27</f>
        <v>6065.77</v>
      </c>
      <c r="I8" s="976">
        <f>+'11.22 Grants Approp Rsrv'!I27</f>
        <v>20357.46</v>
      </c>
      <c r="J8" s="976">
        <f>+'11.22 Grants Approp Rsrv'!J27</f>
        <v>0</v>
      </c>
      <c r="K8" s="976">
        <f>+'11.22 Grants Approp Rsrv'!K27</f>
        <v>0</v>
      </c>
      <c r="L8" s="977">
        <f>+'11.22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3314</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euWjf9ksGT4RAVsjiVhSOcE4u51rcpAKFbPGn1CYn7MYO6ksp435SGgFr/BJ1FAnmD5I4b0RUAsaZznUO4rrZg==" saltValue="l/447xGsYumZ2T7nVt85d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+'11.23 Grants Approp Rsrv'!F27</f>
        <v>23510.980000000003</v>
      </c>
      <c r="G8" s="976">
        <f>+'11.23 Grants Approp Rsrv'!G27</f>
        <v>13528.22</v>
      </c>
      <c r="H8" s="976">
        <f>+'11.23 Grants Approp Rsrv'!H27</f>
        <v>6065.77</v>
      </c>
      <c r="I8" s="976">
        <f>+'11.23 Grants Approp Rsrv'!I27</f>
        <v>20357.46</v>
      </c>
      <c r="J8" s="976">
        <f>+'11.23 Grants Approp Rsrv'!J27</f>
        <v>0</v>
      </c>
      <c r="K8" s="976">
        <f>+'11.23 Grants Approp Rsrv'!K27</f>
        <v>0</v>
      </c>
      <c r="L8" s="977">
        <f>+'11.23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3315</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prYLLsCFROm4VpU+EQFJpVV6lh5mbYDhxhh/7fKR+rygkZFAjTVloiEpPuUj7NFcRqbHdDzS4p4XOK+bSWa3Kg==" saltValue="GhCBhzKpipZA/MoDviWptw=="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+'11.24 Grants Approp Rsrv'!F27</f>
        <v>23510.980000000003</v>
      </c>
      <c r="G8" s="976">
        <f>+'11.24 Grants Approp Rsrv'!G27</f>
        <v>13528.22</v>
      </c>
      <c r="H8" s="976">
        <f>+'11.24 Grants Approp Rsrv'!H27</f>
        <v>6065.77</v>
      </c>
      <c r="I8" s="976">
        <f>+'11.24 Grants Approp Rsrv'!I27</f>
        <v>20357.46</v>
      </c>
      <c r="J8" s="976">
        <f>+'11.24 Grants Approp Rsrv'!J27</f>
        <v>0</v>
      </c>
      <c r="K8" s="976">
        <f>+'11.24 Grants Approp Rsrv'!K27</f>
        <v>0</v>
      </c>
      <c r="L8" s="977">
        <f>+'11.24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3316</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tcl3vMPvRNZb8OKp9r3BNIV/tT4GJz8iDOcyhxgjXZnVA/3iCiw+nZt0NNBPerdYiQR9DA5qt7a+BqQvymBe2A==" saltValue="9Ec5MZwinUFejz0uUW+bD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7"/>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+'11.25 Grants Approp Rsrv'!F27</f>
        <v>23510.980000000003</v>
      </c>
      <c r="G8" s="976">
        <f>+'11.25 Grants Approp Rsrv'!G27</f>
        <v>13528.22</v>
      </c>
      <c r="H8" s="976">
        <f>+'11.25 Grants Approp Rsrv'!H27</f>
        <v>6065.77</v>
      </c>
      <c r="I8" s="976">
        <f>+'11.25 Grants Approp Rsrv'!I27</f>
        <v>20357.46</v>
      </c>
      <c r="J8" s="976">
        <f>+'11.25 Grants Approp Rsrv'!J27</f>
        <v>0</v>
      </c>
      <c r="K8" s="976">
        <f>+'11.25 Grants Approp Rsrv'!K27</f>
        <v>0</v>
      </c>
      <c r="L8" s="977">
        <f>+'11.25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3317</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FcFPaVhCh6Ccx4Yt4iDCkKi2c/gJA3a9YudSwPywKcOocGxLiicBQ+WaiSOnZY8ZanYP0fEIcYuys79I5333og==" saltValue="WaGzzYWGPahhpXmF0fRF5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+'11.26 Grants Approp Rsrv'!F27</f>
        <v>23510.980000000003</v>
      </c>
      <c r="G8" s="976">
        <f>+'11.26 Grants Approp Rsrv'!G27</f>
        <v>13528.22</v>
      </c>
      <c r="H8" s="976">
        <f>+'11.26 Grants Approp Rsrv'!H27</f>
        <v>6065.77</v>
      </c>
      <c r="I8" s="976">
        <f>+'11.26 Grants Approp Rsrv'!I27</f>
        <v>20357.46</v>
      </c>
      <c r="J8" s="976">
        <f>+'11.26 Grants Approp Rsrv'!J27</f>
        <v>0</v>
      </c>
      <c r="K8" s="976">
        <f>+'11.26 Grants Approp Rsrv'!K27</f>
        <v>0</v>
      </c>
      <c r="L8" s="977">
        <f>+'11.26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3318</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bRwuxS6ijAC1wtUucGOb28YKrotmXph5p8brHmoSIwtys5Pg/Nc/HgLQpSM48NEHeprOuUQKDcTlwTu4rRfgUA==" saltValue="XsX15M1Dg17Lfyt0MkJKz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+'11.27 Grants Approp Rsrv'!F27</f>
        <v>23510.980000000003</v>
      </c>
      <c r="G8" s="976">
        <f>+'11.27 Grants Approp Rsrv'!G27</f>
        <v>13528.22</v>
      </c>
      <c r="H8" s="976">
        <f>+'11.27 Grants Approp Rsrv'!H27</f>
        <v>6065.77</v>
      </c>
      <c r="I8" s="976">
        <f>+'11.27 Grants Approp Rsrv'!I27</f>
        <v>20357.46</v>
      </c>
      <c r="J8" s="976">
        <f>+'11.27 Grants Approp Rsrv'!J27</f>
        <v>0</v>
      </c>
      <c r="K8" s="976">
        <f>+'11.27 Grants Approp Rsrv'!K27</f>
        <v>0</v>
      </c>
      <c r="L8" s="977">
        <f>+'11.27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3319</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9PG1kVz2WvyubbrLPXgSBP7xuXKea01jAXvVtEmiCD9l8tQdaMnDXy7QxVZX9RLTFN0hcHIJmEgCiUqodgMvpg==" saltValue="PW3FhRYZDvmQKpl7jNsJR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0"/>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+'11.28 Grants Approp Rsrv'!F27</f>
        <v>23510.980000000003</v>
      </c>
      <c r="G8" s="976">
        <f>+'11.28 Grants Approp Rsrv'!G27</f>
        <v>13528.22</v>
      </c>
      <c r="H8" s="976">
        <f>+'11.28 Grants Approp Rsrv'!H27</f>
        <v>6065.77</v>
      </c>
      <c r="I8" s="976">
        <f>+'11.28 Grants Approp Rsrv'!I27</f>
        <v>20357.46</v>
      </c>
      <c r="J8" s="976">
        <f>+'11.28 Grants Approp Rsrv'!J27</f>
        <v>0</v>
      </c>
      <c r="K8" s="976">
        <f>+'11.28 Grants Approp Rsrv'!K27</f>
        <v>0</v>
      </c>
      <c r="L8" s="977">
        <f>+'11.28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3320</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2/sxol84iEc4J3vgcGKmia124mU5DWUzykRr/LSIvbdGtKLwE+4Ww2lVHkpfTvzt/9m9Kw7Rd59genAdMXkRsw==" saltValue="6gEYFOw9jDYLZ7VuY0hnS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+'11.29 Grants Approp Rsrv'!F27</f>
        <v>23510.980000000003</v>
      </c>
      <c r="G8" s="976">
        <f>+'11.29 Grants Approp Rsrv'!G27</f>
        <v>13528.22</v>
      </c>
      <c r="H8" s="976">
        <f>+'11.29 Grants Approp Rsrv'!H27</f>
        <v>6065.77</v>
      </c>
      <c r="I8" s="976">
        <f>+'11.29 Grants Approp Rsrv'!I27</f>
        <v>20357.46</v>
      </c>
      <c r="J8" s="976">
        <f>+'11.29 Grants Approp Rsrv'!J27</f>
        <v>0</v>
      </c>
      <c r="K8" s="976">
        <f>+'11.29 Grants Approp Rsrv'!K27</f>
        <v>0</v>
      </c>
      <c r="L8" s="977">
        <f>+'11.29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3321</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01UZ+TgCIdBWfu955EcBy/iT5ZrxAtV0byDiT07ENC9xo4F2PXksZSxt0XCenBxbh2cA7GbANCbdpwy03TvWng==" saltValue="du57lzHtffcHrF06WEJXI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+'11.30 Grants Approp Rsrv'!F27</f>
        <v>23510.980000000003</v>
      </c>
      <c r="G8" s="976">
        <f>+'11.30 Grants Approp Rsrv'!G27</f>
        <v>13528.22</v>
      </c>
      <c r="H8" s="976">
        <f>+'11.30 Grants Approp Rsrv'!H27</f>
        <v>6065.77</v>
      </c>
      <c r="I8" s="976">
        <f>+'11.30 Grants Approp Rsrv'!I27</f>
        <v>20357.46</v>
      </c>
      <c r="J8" s="976">
        <f>+'11.30 Grants Approp Rsrv'!J27</f>
        <v>0</v>
      </c>
      <c r="K8" s="976">
        <f>+'11.30 Grants Approp Rsrv'!K27</f>
        <v>0</v>
      </c>
      <c r="L8" s="977">
        <f>+'11.30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3322</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WTW0KPAoeO13IrZHngCSjQcCA4mVdKklEkadm1Fm8G6qh8f10Sx1q3X3Mpt1t86Ekt1olU2gjN/tTU5bVG1iQg==" saltValue="VBvphN1MU+ZgodNpQJVLr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+'11.31 Grants Approp Rsrv'!F27</f>
        <v>23510.980000000003</v>
      </c>
      <c r="G8" s="976">
        <f>+'11.31 Grants Approp Rsrv'!G27</f>
        <v>13528.22</v>
      </c>
      <c r="H8" s="976">
        <f>+'11.31 Grants Approp Rsrv'!H27</f>
        <v>6065.77</v>
      </c>
      <c r="I8" s="976">
        <f>+'11.31 Grants Approp Rsrv'!I27</f>
        <v>20357.46</v>
      </c>
      <c r="J8" s="976">
        <f>+'11.31 Grants Approp Rsrv'!J27</f>
        <v>0</v>
      </c>
      <c r="K8" s="976">
        <f>+'11.31 Grants Approp Rsrv'!K27</f>
        <v>0</v>
      </c>
      <c r="L8" s="977">
        <f>+'11.31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3323</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ErXVy8u9YC/d0iUYMuzQQZI3YlPgAOtKDEedE4+vhyuKoXcPQrG6TjbSblb1ZAaN4irZWqOxOb9dBtoF1k0G/w==" saltValue="l5ZVqEwHzMdWdY6SXFfll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+'11.32 Grants Approp Rsrv'!F27</f>
        <v>23510.980000000003</v>
      </c>
      <c r="G8" s="976">
        <f>+'11.32 Grants Approp Rsrv'!G27</f>
        <v>13528.22</v>
      </c>
      <c r="H8" s="976">
        <f>+'11.32 Grants Approp Rsrv'!H27</f>
        <v>6065.77</v>
      </c>
      <c r="I8" s="976">
        <f>+'11.32 Grants Approp Rsrv'!I27</f>
        <v>20357.46</v>
      </c>
      <c r="J8" s="976">
        <f>+'11.32 Grants Approp Rsrv'!J27</f>
        <v>0</v>
      </c>
      <c r="K8" s="976">
        <f>+'11.32 Grants Approp Rsrv'!K27</f>
        <v>0</v>
      </c>
      <c r="L8" s="977">
        <f>+'11.32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3324</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zI3xgLOTc+3m0gnDRrcpZSxuWxf/Cc7CZLf5+VSpaKPzAT9MQLsJM7FUm0/7p7fDT495mqe13uYcuj6cblWrig==" saltValue="LgiY27UQRBnK4fNNr0JYU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+'11.33 Grants Approp Rsrv'!F27</f>
        <v>23510.980000000003</v>
      </c>
      <c r="G8" s="976">
        <f>+'11.33 Grants Approp Rsrv'!G27</f>
        <v>13528.22</v>
      </c>
      <c r="H8" s="976">
        <f>+'11.33 Grants Approp Rsrv'!H27</f>
        <v>6065.77</v>
      </c>
      <c r="I8" s="976">
        <f>+'11.33 Grants Approp Rsrv'!I27</f>
        <v>20357.46</v>
      </c>
      <c r="J8" s="976">
        <f>+'11.33 Grants Approp Rsrv'!J27</f>
        <v>0</v>
      </c>
      <c r="K8" s="976">
        <f>+'11.33 Grants Approp Rsrv'!K27</f>
        <v>0</v>
      </c>
      <c r="L8" s="977">
        <f>+'11.33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3325</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KBe2RA/zQtzNi5bBuyB6AW6A7vElNR3Ob93+npBfZrEIzJRRwjero9+3E7ZJJyWO7JJMpcJS7e7hGoKxlHFyRQ==" saltValue="RBIdUfe8t3iWxUq51sNp6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+'11.34 Grants Approp Rsrv'!F27</f>
        <v>23510.980000000003</v>
      </c>
      <c r="G8" s="976">
        <f>+'11.34 Grants Approp Rsrv'!G27</f>
        <v>13528.22</v>
      </c>
      <c r="H8" s="976">
        <f>+'11.34 Grants Approp Rsrv'!H27</f>
        <v>6065.77</v>
      </c>
      <c r="I8" s="976">
        <f>+'11.34 Grants Approp Rsrv'!I27</f>
        <v>20357.46</v>
      </c>
      <c r="J8" s="976">
        <f>+'11.34 Grants Approp Rsrv'!J27</f>
        <v>0</v>
      </c>
      <c r="K8" s="976">
        <f>+'11.34 Grants Approp Rsrv'!K27</f>
        <v>0</v>
      </c>
      <c r="L8" s="977">
        <f>+'11.34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3326</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vIS0lNIqP9IUXebvZqPctYfImisjyWCBlIecEwgkAM9uhK/9jfjbhm5AStTDWdq2Zj3cuq/eS5g9+Ngfz3jcLA==" saltValue="Eo1FWsPooZzy/LIu5/G8bg=="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dimension ref="A2: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+'11.35 Grants Approp Rsrv'!F27</f>
        <v>23510.980000000003</v>
      </c>
      <c r="G8" s="976">
        <f>+'11.35 Grants Approp Rsrv'!G27</f>
        <v>13528.22</v>
      </c>
      <c r="H8" s="976">
        <f>+'11.35 Grants Approp Rsrv'!H27</f>
        <v>6065.77</v>
      </c>
      <c r="I8" s="976">
        <f>+'11.35 Grants Approp Rsrv'!I27</f>
        <v>20357.46</v>
      </c>
      <c r="J8" s="976">
        <f>+'11.35 Grants Approp Rsrv'!J27</f>
        <v>0</v>
      </c>
      <c r="K8" s="976">
        <f>+'11.35 Grants Approp Rsrv'!K27</f>
        <v>0</v>
      </c>
      <c r="L8" s="977">
        <f>+'11.35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3327</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fpVOv8KE2nsmDfuTJis0t6Z8tNZeaS59/YnjigEq7QvrfDYj62fyb7+oSif32adnMkJrIp/EsrOAOEkyxOe/7g==" saltValue="hjZWwltVuxVUgwIdST7Ig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+'11.36 Grants Approp Rsrv'!F27</f>
        <v>23510.980000000003</v>
      </c>
      <c r="G8" s="976">
        <f>+'11.36 Grants Approp Rsrv'!G27</f>
        <v>13528.22</v>
      </c>
      <c r="H8" s="976">
        <f>+'11.36 Grants Approp Rsrv'!H27</f>
        <v>6065.77</v>
      </c>
      <c r="I8" s="976">
        <f>+'11.36 Grants Approp Rsrv'!I27</f>
        <v>20357.46</v>
      </c>
      <c r="J8" s="976">
        <f>+'11.36 Grants Approp Rsrv'!J27</f>
        <v>0</v>
      </c>
      <c r="K8" s="976">
        <f>+'11.36 Grants Approp Rsrv'!K27</f>
        <v>0</v>
      </c>
      <c r="L8" s="977">
        <f>+'11.36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3328</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PPW41/OuW5udrs3hmSRaVnZwuhJdMuOB7ZVbt7hy2yySJjYpwakznZjJ1BDUT9/qmueQm9CPn0jAFm4JTmYLgA==" saltValue="cv60JcKf7xT5UuyU1POJ3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+'11.37 Grants Approp Rsrv'!F27</f>
        <v>23510.980000000003</v>
      </c>
      <c r="G8" s="976">
        <f>+'11.37 Grants Approp Rsrv'!G27</f>
        <v>13528.22</v>
      </c>
      <c r="H8" s="976">
        <f>+'11.37 Grants Approp Rsrv'!H27</f>
        <v>6065.77</v>
      </c>
      <c r="I8" s="976">
        <f>+'11.37 Grants Approp Rsrv'!I27</f>
        <v>20357.46</v>
      </c>
      <c r="J8" s="976">
        <f>+'11.37 Grants Approp Rsrv'!J27</f>
        <v>0</v>
      </c>
      <c r="K8" s="976">
        <f>+'11.37 Grants Approp Rsrv'!K27</f>
        <v>0</v>
      </c>
      <c r="L8" s="977">
        <f>+'11.37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3329</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YWT7hzSNjtyW9iFV4iw6mF4nfcJhhjYNUf/b6qKYpbm/1oWNGUsMyqPhLOoOLKej42xy2UoHj6CgWMYOOu3ikA==" saltValue="qUOtKFsG5nPGp32PrZAP8Q=="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O34"/>
  <sheetViews>
    <sheetView zoomScaleNormal="100" workbookViewId="0">
      <selection activeCell="G4" sqref="G4:H4"/>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+'11.38 Grants Approp Rsrv'!F27</f>
        <v>23510.980000000003</v>
      </c>
      <c r="G8" s="976">
        <f>+'11.38 Grants Approp Rsrv'!G27</f>
        <v>13528.22</v>
      </c>
      <c r="H8" s="976">
        <f>+'11.38 Grants Approp Rsrv'!H27</f>
        <v>6065.77</v>
      </c>
      <c r="I8" s="976">
        <f>+'11.38 Grants Approp Rsrv'!I27</f>
        <v>20357.46</v>
      </c>
      <c r="J8" s="976">
        <f>+'11.38 Grants Approp Rsrv'!J27</f>
        <v>0</v>
      </c>
      <c r="K8" s="976">
        <f>+'11.38 Grants Approp Rsrv'!K27</f>
        <v>0</v>
      </c>
      <c r="L8" s="977">
        <f>+'11.38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3330</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3265</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RxvkjbUzO9vcNXk0fOdKTQO3PnNuWL1J9EOG47lE0tG0howT+U6ShcfEzT9Nh7eRQbeUrGVJRq8wzXKSziI4aA==" saltValue="aQyBsVBKpcHeiRcOPAwhvA==" spinCount="100000" sheet="1" objects="1" scenarios="1"/>
  <mergeCells count="6">
    <mergeCell ref="A15:A16"/>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1"/>
  <dimension ref="A1:O34"/>
  <sheetViews>
    <sheetView zoomScaleNormal="100" workbookViewId="0">
      <selection activeCell="L13" sqref="L13"/>
    </sheetView>
  </sheetViews>
  <sheetFormatPr defaultColWidth="9.109375" defaultRowHeight="13.2"/>
  <cols>
    <col min="1" max="1" width="5.6640625" style="309" customWidth="1"/>
    <col min="2" max="2" width="4.109375" style="309" customWidth="1"/>
    <col min="3" max="4" width="4.88671875" style="309" customWidth="1"/>
    <col min="5" max="5" width="43.44140625" style="309" customWidth="1"/>
    <col min="6" max="10" width="15.6640625" style="309" customWidth="1"/>
    <col min="11" max="11" width="15.5546875" style="309" customWidth="1"/>
    <col min="12" max="12" width="15.6640625" style="266" customWidth="1"/>
    <col min="13" max="13" width="10.88671875" style="309" bestFit="1" customWidth="1"/>
    <col min="14" max="16384" width="9.109375" style="309"/>
  </cols>
  <sheetData>
    <row r="1" spans="1:15">
      <c r="B1" s="811"/>
      <c r="C1" s="811"/>
      <c r="D1" s="811"/>
      <c r="E1" s="811"/>
      <c r="F1" s="811"/>
      <c r="G1" s="811"/>
      <c r="H1" s="811"/>
      <c r="I1" s="811"/>
      <c r="J1" s="811"/>
      <c r="K1" s="811"/>
      <c r="L1" s="797"/>
    </row>
    <row r="2" spans="1:15" ht="20.399999999999999">
      <c r="B2" s="1716" t="s">
        <v>236</v>
      </c>
      <c r="C2" s="1716"/>
      <c r="D2" s="1716"/>
      <c r="E2" s="1716"/>
      <c r="F2" s="1716"/>
      <c r="G2" s="1716"/>
      <c r="H2" s="1716"/>
      <c r="I2" s="1716"/>
      <c r="J2" s="1716"/>
      <c r="K2" s="1716"/>
      <c r="L2" s="1716"/>
    </row>
    <row r="3" spans="1:15" ht="21" thickBot="1">
      <c r="B3" s="1716" t="s">
        <v>106</v>
      </c>
      <c r="C3" s="1716"/>
      <c r="D3" s="1716"/>
      <c r="E3" s="1716"/>
      <c r="F3" s="1716"/>
      <c r="G3" s="1716"/>
      <c r="H3" s="1716"/>
      <c r="I3" s="1716"/>
      <c r="J3" s="1716"/>
      <c r="K3" s="1716"/>
      <c r="L3" s="1716"/>
    </row>
    <row r="4" spans="1:15" ht="13.8" thickTop="1">
      <c r="B4" s="844"/>
      <c r="C4" s="844"/>
      <c r="D4" s="844"/>
      <c r="E4" s="844"/>
      <c r="F4" s="845"/>
      <c r="G4" s="1726" t="str">
        <f>IF('KEY INPUTS'!C42="State Fiscal Year","Transferred from Fiscal Year "&amp;'KEY INPUTS'!D33&amp;"","Transferred from "&amp;'KEY INPUTS'!D34&amp;"")</f>
        <v>Transferred from 2021</v>
      </c>
      <c r="H4" s="1727"/>
      <c r="I4" s="845"/>
      <c r="J4" s="846"/>
      <c r="K4" s="844"/>
      <c r="L4" s="970"/>
    </row>
    <row r="5" spans="1:15">
      <c r="B5" s="1717" t="s">
        <v>639</v>
      </c>
      <c r="C5" s="1717"/>
      <c r="D5" s="1717"/>
      <c r="E5" s="1718"/>
      <c r="F5" s="847" t="s">
        <v>530</v>
      </c>
      <c r="G5" s="1728" t="s">
        <v>234</v>
      </c>
      <c r="H5" s="1729"/>
      <c r="I5" s="847" t="s">
        <v>235</v>
      </c>
      <c r="J5" s="848" t="s">
        <v>218</v>
      </c>
      <c r="K5" s="948" t="s">
        <v>445</v>
      </c>
      <c r="L5" s="971" t="s">
        <v>530</v>
      </c>
    </row>
    <row r="6" spans="1:15">
      <c r="B6" s="811"/>
      <c r="C6" s="811"/>
      <c r="D6" s="811"/>
      <c r="E6" s="811"/>
      <c r="F6" s="850" t="str">
        <f>'11 Grants Approp Rsrv'!F6</f>
        <v>Jan. 1, 2021</v>
      </c>
      <c r="G6" s="847" t="s">
        <v>535</v>
      </c>
      <c r="H6" s="847" t="s">
        <v>232</v>
      </c>
      <c r="I6" s="847"/>
      <c r="J6" s="847"/>
      <c r="K6" s="852"/>
      <c r="L6" s="972" t="str">
        <f>'11 Grants Approp Rsrv'!L6</f>
        <v>Dec. 31, 2021</v>
      </c>
    </row>
    <row r="7" spans="1:15" ht="13.8" thickBot="1">
      <c r="B7" s="853"/>
      <c r="C7" s="853"/>
      <c r="D7" s="853"/>
      <c r="E7" s="853"/>
      <c r="F7" s="854"/>
      <c r="G7" s="855"/>
      <c r="H7" s="855" t="s">
        <v>233</v>
      </c>
      <c r="I7" s="854"/>
      <c r="J7" s="855"/>
      <c r="K7" s="856"/>
      <c r="L7" s="973"/>
    </row>
    <row r="8" spans="1:15" ht="21" customHeight="1" thickTop="1">
      <c r="B8" s="974" t="s">
        <v>3266</v>
      </c>
      <c r="C8" s="801"/>
      <c r="D8" s="801"/>
      <c r="E8" s="975"/>
      <c r="F8" s="976">
        <f>+'11.39 Grants Approp Rsrv'!F27</f>
        <v>23510.980000000003</v>
      </c>
      <c r="G8" s="976">
        <f>+'11.39 Grants Approp Rsrv'!G27</f>
        <v>13528.22</v>
      </c>
      <c r="H8" s="976">
        <f>+'11.39 Grants Approp Rsrv'!H27</f>
        <v>6065.77</v>
      </c>
      <c r="I8" s="976">
        <f>+'11.39 Grants Approp Rsrv'!I27</f>
        <v>20357.46</v>
      </c>
      <c r="J8" s="976">
        <f>+'11.39 Grants Approp Rsrv'!J27</f>
        <v>0</v>
      </c>
      <c r="K8" s="976">
        <f>+'11.39 Grants Approp Rsrv'!K27</f>
        <v>0</v>
      </c>
      <c r="L8" s="977">
        <f>+'11.39 Grants Approp Rsrv'!L27</f>
        <v>22747.510000000002</v>
      </c>
      <c r="M8" s="679"/>
    </row>
    <row r="9" spans="1:15" ht="21" customHeight="1">
      <c r="B9" s="1485"/>
      <c r="C9" s="1485"/>
      <c r="D9" s="1485"/>
      <c r="E9" s="1486"/>
      <c r="F9" s="547"/>
      <c r="G9" s="547"/>
      <c r="H9" s="547"/>
      <c r="I9" s="547"/>
      <c r="J9" s="547"/>
      <c r="K9" s="547"/>
      <c r="L9" s="307">
        <f t="shared" ref="L9:L26" si="0">+F9+G9+H9-I9+J9-K9</f>
        <v>0</v>
      </c>
      <c r="M9" s="681"/>
    </row>
    <row r="10" spans="1:15" ht="21" customHeight="1">
      <c r="B10" s="1485"/>
      <c r="C10" s="1485"/>
      <c r="D10" s="1485"/>
      <c r="E10" s="1486"/>
      <c r="F10" s="547"/>
      <c r="G10" s="547"/>
      <c r="H10" s="547"/>
      <c r="I10" s="547"/>
      <c r="J10" s="547"/>
      <c r="K10" s="547"/>
      <c r="L10" s="307">
        <f t="shared" si="0"/>
        <v>0</v>
      </c>
      <c r="M10" s="312"/>
    </row>
    <row r="11" spans="1:15" ht="21" customHeight="1">
      <c r="B11" s="1485"/>
      <c r="C11" s="1485"/>
      <c r="D11" s="1485"/>
      <c r="E11" s="1486"/>
      <c r="F11" s="547"/>
      <c r="G11" s="547"/>
      <c r="H11" s="547"/>
      <c r="I11" s="547"/>
      <c r="J11" s="547"/>
      <c r="K11" s="547"/>
      <c r="L11" s="307">
        <f t="shared" si="0"/>
        <v>0</v>
      </c>
      <c r="M11" s="312"/>
      <c r="O11" s="356"/>
    </row>
    <row r="12" spans="1:15" ht="21" customHeight="1">
      <c r="B12" s="1485"/>
      <c r="C12" s="1485"/>
      <c r="D12" s="1485"/>
      <c r="E12" s="1486"/>
      <c r="F12" s="547"/>
      <c r="G12" s="547"/>
      <c r="H12" s="547"/>
      <c r="I12" s="547"/>
      <c r="J12" s="547"/>
      <c r="K12" s="547"/>
      <c r="L12" s="307">
        <f t="shared" si="0"/>
        <v>0</v>
      </c>
      <c r="M12" s="312"/>
    </row>
    <row r="13" spans="1:15" ht="21" customHeight="1">
      <c r="B13" s="1485"/>
      <c r="C13" s="1485"/>
      <c r="D13" s="1485"/>
      <c r="E13" s="1486"/>
      <c r="F13" s="547"/>
      <c r="G13" s="547"/>
      <c r="H13" s="547"/>
      <c r="I13" s="547"/>
      <c r="J13" s="547"/>
      <c r="K13" s="547"/>
      <c r="L13" s="307">
        <f t="shared" si="0"/>
        <v>0</v>
      </c>
      <c r="M13" s="312"/>
    </row>
    <row r="14" spans="1:15" ht="21" customHeight="1">
      <c r="B14" s="1485"/>
      <c r="C14" s="1485"/>
      <c r="D14" s="1485"/>
      <c r="E14" s="1486"/>
      <c r="F14" s="547"/>
      <c r="G14" s="547"/>
      <c r="H14" s="547"/>
      <c r="I14" s="547"/>
      <c r="J14" s="547"/>
      <c r="K14" s="547"/>
      <c r="L14" s="307">
        <f t="shared" si="0"/>
        <v>0</v>
      </c>
      <c r="M14" s="312"/>
    </row>
    <row r="15" spans="1:15" ht="21" customHeight="1">
      <c r="A15" s="1692" t="s">
        <v>3331</v>
      </c>
      <c r="B15" s="1485"/>
      <c r="C15" s="1485"/>
      <c r="D15" s="1485"/>
      <c r="E15" s="1486"/>
      <c r="F15" s="547"/>
      <c r="G15" s="547"/>
      <c r="H15" s="547"/>
      <c r="I15" s="547"/>
      <c r="J15" s="547"/>
      <c r="K15" s="547"/>
      <c r="L15" s="307">
        <f t="shared" si="0"/>
        <v>0</v>
      </c>
      <c r="M15" s="312"/>
    </row>
    <row r="16" spans="1:15" ht="21" customHeight="1">
      <c r="A16" s="1692"/>
      <c r="B16" s="1485"/>
      <c r="C16" s="1485"/>
      <c r="D16" s="1485"/>
      <c r="E16" s="1486"/>
      <c r="F16" s="547"/>
      <c r="G16" s="547"/>
      <c r="H16" s="547"/>
      <c r="I16" s="547"/>
      <c r="J16" s="547"/>
      <c r="K16" s="547"/>
      <c r="L16" s="307">
        <f t="shared" si="0"/>
        <v>0</v>
      </c>
      <c r="M16" s="312"/>
    </row>
    <row r="17" spans="1:13" ht="21" customHeight="1">
      <c r="A17" s="1730"/>
      <c r="B17" s="1485"/>
      <c r="C17" s="1485"/>
      <c r="D17" s="1485"/>
      <c r="E17" s="1486"/>
      <c r="F17" s="547"/>
      <c r="G17" s="547"/>
      <c r="H17" s="547"/>
      <c r="I17" s="547"/>
      <c r="J17" s="547"/>
      <c r="K17" s="547"/>
      <c r="L17" s="307">
        <f t="shared" si="0"/>
        <v>0</v>
      </c>
      <c r="M17" s="312"/>
    </row>
    <row r="18" spans="1:13" ht="21" customHeight="1">
      <c r="A18" s="720"/>
      <c r="B18" s="1485"/>
      <c r="C18" s="1485"/>
      <c r="D18" s="1485"/>
      <c r="E18" s="1486"/>
      <c r="F18" s="547"/>
      <c r="G18" s="547"/>
      <c r="H18" s="547"/>
      <c r="I18" s="547"/>
      <c r="J18" s="547"/>
      <c r="K18" s="547"/>
      <c r="L18" s="307">
        <f t="shared" si="0"/>
        <v>0</v>
      </c>
      <c r="M18" s="312"/>
    </row>
    <row r="19" spans="1:13" ht="21" customHeight="1">
      <c r="A19" s="720"/>
      <c r="B19" s="1485"/>
      <c r="C19" s="1485"/>
      <c r="D19" s="1485"/>
      <c r="E19" s="1486"/>
      <c r="F19" s="547"/>
      <c r="G19" s="547"/>
      <c r="H19" s="547"/>
      <c r="I19" s="547"/>
      <c r="J19" s="547"/>
      <c r="K19" s="547"/>
      <c r="L19" s="307">
        <f t="shared" si="0"/>
        <v>0</v>
      </c>
      <c r="M19" s="312"/>
    </row>
    <row r="20" spans="1:13" ht="21" customHeight="1">
      <c r="B20" s="1485"/>
      <c r="C20" s="1485"/>
      <c r="D20" s="1485"/>
      <c r="E20" s="1486"/>
      <c r="F20" s="547"/>
      <c r="G20" s="547"/>
      <c r="H20" s="547"/>
      <c r="I20" s="547"/>
      <c r="J20" s="547"/>
      <c r="K20" s="547"/>
      <c r="L20" s="307">
        <f t="shared" si="0"/>
        <v>0</v>
      </c>
      <c r="M20" s="312"/>
    </row>
    <row r="21" spans="1:13" ht="21" customHeight="1">
      <c r="B21" s="1485"/>
      <c r="C21" s="1485"/>
      <c r="D21" s="1485"/>
      <c r="E21" s="1486"/>
      <c r="F21" s="547"/>
      <c r="G21" s="547"/>
      <c r="H21" s="547"/>
      <c r="I21" s="547"/>
      <c r="J21" s="547"/>
      <c r="K21" s="547"/>
      <c r="L21" s="307">
        <f t="shared" si="0"/>
        <v>0</v>
      </c>
      <c r="M21" s="312"/>
    </row>
    <row r="22" spans="1:13" ht="21" customHeight="1">
      <c r="B22" s="1485"/>
      <c r="C22" s="1485"/>
      <c r="D22" s="1485"/>
      <c r="E22" s="1486"/>
      <c r="F22" s="547"/>
      <c r="G22" s="547"/>
      <c r="H22" s="547"/>
      <c r="I22" s="547"/>
      <c r="J22" s="547"/>
      <c r="K22" s="547"/>
      <c r="L22" s="307">
        <f t="shared" si="0"/>
        <v>0</v>
      </c>
      <c r="M22" s="312"/>
    </row>
    <row r="23" spans="1:13" ht="21" customHeight="1">
      <c r="B23" s="1485"/>
      <c r="C23" s="1485"/>
      <c r="D23" s="1485"/>
      <c r="E23" s="1486"/>
      <c r="F23" s="547"/>
      <c r="G23" s="547"/>
      <c r="H23" s="547"/>
      <c r="I23" s="547"/>
      <c r="J23" s="547"/>
      <c r="K23" s="547"/>
      <c r="L23" s="307">
        <f t="shared" si="0"/>
        <v>0</v>
      </c>
      <c r="M23" s="312"/>
    </row>
    <row r="24" spans="1:13" ht="21" customHeight="1">
      <c r="B24" s="1485"/>
      <c r="C24" s="1485"/>
      <c r="D24" s="1485"/>
      <c r="E24" s="1486"/>
      <c r="F24" s="547"/>
      <c r="G24" s="547"/>
      <c r="H24" s="547"/>
      <c r="I24" s="547"/>
      <c r="J24" s="547"/>
      <c r="K24" s="547"/>
      <c r="L24" s="307">
        <f t="shared" si="0"/>
        <v>0</v>
      </c>
      <c r="M24" s="312"/>
    </row>
    <row r="25" spans="1:13" ht="21" customHeight="1">
      <c r="B25" s="1485"/>
      <c r="C25" s="1485"/>
      <c r="D25" s="1485"/>
      <c r="E25" s="1486"/>
      <c r="F25" s="547"/>
      <c r="G25" s="547"/>
      <c r="H25" s="547"/>
      <c r="I25" s="547"/>
      <c r="J25" s="547"/>
      <c r="K25" s="547"/>
      <c r="L25" s="307">
        <f t="shared" si="0"/>
        <v>0</v>
      </c>
      <c r="M25" s="312"/>
    </row>
    <row r="26" spans="1:13" ht="21" customHeight="1">
      <c r="B26" s="1485"/>
      <c r="C26" s="1485"/>
      <c r="D26" s="1485"/>
      <c r="E26" s="1486"/>
      <c r="F26" s="547"/>
      <c r="G26" s="547"/>
      <c r="H26" s="547"/>
      <c r="I26" s="547"/>
      <c r="J26" s="547"/>
      <c r="K26" s="547"/>
      <c r="L26" s="307">
        <f t="shared" si="0"/>
        <v>0</v>
      </c>
    </row>
    <row r="27" spans="1:13" ht="21" customHeight="1" thickBot="1">
      <c r="B27" s="317"/>
      <c r="C27" s="315" t="s">
        <v>3291</v>
      </c>
      <c r="D27" s="315"/>
      <c r="E27" s="306"/>
      <c r="F27" s="319">
        <f t="shared" ref="F27:K27" si="1">SUM(F8:F26)</f>
        <v>23510.980000000003</v>
      </c>
      <c r="G27" s="319">
        <f>SUM(G8:G26)</f>
        <v>13528.22</v>
      </c>
      <c r="H27" s="319">
        <f t="shared" si="1"/>
        <v>6065.77</v>
      </c>
      <c r="I27" s="319">
        <f t="shared" si="1"/>
        <v>20357.46</v>
      </c>
      <c r="J27" s="319">
        <f t="shared" si="1"/>
        <v>0</v>
      </c>
      <c r="K27" s="319">
        <f t="shared" si="1"/>
        <v>0</v>
      </c>
      <c r="L27" s="304">
        <f>SUM(L8:L26)</f>
        <v>22747.510000000002</v>
      </c>
    </row>
    <row r="28" spans="1:13" ht="13.8" thickTop="1"/>
    <row r="31" spans="1:13">
      <c r="F31" s="312"/>
      <c r="L31" s="314"/>
    </row>
    <row r="33" spans="7:12">
      <c r="G33" s="312"/>
      <c r="L33" s="314"/>
    </row>
    <row r="34" spans="7:12">
      <c r="G34" s="312"/>
    </row>
  </sheetData>
  <sheetProtection algorithmName="SHA-512" hashValue="pDCUxvGBaibAv5F6LmlfVE/w9Qa0pe1Yhr6UNMoVKAzgXeS+XculQPcu4/p/Rg3WuL0hvanTGIGNjkKpexXdyQ==" saltValue="Y0F5IYL+g8rGMHnBGmgaew==" spinCount="100000" sheet="1" objects="1" scenarios="1"/>
  <mergeCells count="6">
    <mergeCell ref="A15:A17"/>
    <mergeCell ref="B2:L2"/>
    <mergeCell ref="B3:L3"/>
    <mergeCell ref="G4:H4"/>
    <mergeCell ref="B5:E5"/>
    <mergeCell ref="G5:H5"/>
  </mergeCells>
  <pageMargins left="0.25" right="0.25" top="0.5" bottom="0.5" header="0.25" footer="0.25"/>
  <pageSetup paperSize="5" scale="99" orientation="landscape"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2"/>
  <dimension ref="A1:S32"/>
  <sheetViews>
    <sheetView zoomScaleNormal="100" workbookViewId="0">
      <selection activeCell="G5" sqref="G5:H5"/>
    </sheetView>
  </sheetViews>
  <sheetFormatPr defaultRowHeight="13.2"/>
  <cols>
    <col min="1" max="1" width="5.6640625" customWidth="1"/>
    <col min="2" max="4" width="4.88671875" customWidth="1"/>
    <col min="5" max="5" width="48.44140625" customWidth="1"/>
    <col min="6" max="11" width="15.6640625" customWidth="1"/>
    <col min="12" max="12" width="10.5546875" bestFit="1" customWidth="1"/>
  </cols>
  <sheetData>
    <row r="1" spans="1:19">
      <c r="A1" s="311"/>
      <c r="B1" s="309"/>
      <c r="C1" s="309"/>
      <c r="D1" s="309"/>
      <c r="E1" s="309"/>
      <c r="F1" s="309"/>
      <c r="G1" s="309"/>
      <c r="H1" s="309"/>
      <c r="I1" s="309"/>
      <c r="J1" s="309"/>
      <c r="K1" s="309"/>
    </row>
    <row r="2" spans="1:19" ht="20.399999999999999">
      <c r="B2" s="1619" t="s">
        <v>238</v>
      </c>
      <c r="C2" s="1619"/>
      <c r="D2" s="1619"/>
      <c r="E2" s="1619"/>
      <c r="F2" s="1619"/>
      <c r="G2" s="1619"/>
      <c r="H2" s="1619"/>
      <c r="I2" s="1619"/>
      <c r="J2" s="1619"/>
      <c r="K2" s="1619"/>
    </row>
    <row r="3" spans="1:19" ht="21" thickBot="1">
      <c r="B3" s="1619" t="s">
        <v>106</v>
      </c>
      <c r="C3" s="1619"/>
      <c r="D3" s="1619"/>
      <c r="E3" s="1619"/>
      <c r="F3" s="1619"/>
      <c r="G3" s="1619"/>
      <c r="H3" s="1619"/>
      <c r="I3" s="1619"/>
      <c r="J3" s="1619"/>
      <c r="K3" s="1619"/>
    </row>
    <row r="4" spans="1:19" ht="13.8" thickTop="1">
      <c r="B4" s="11"/>
      <c r="C4" s="11"/>
      <c r="D4" s="11"/>
      <c r="E4" s="11"/>
      <c r="F4" s="12"/>
      <c r="G4" s="1722" t="str">
        <f>IF('KEY INPUTS'!C42="State Fiscal Year","Transferred from FY "&amp;'KEY INPUTS'!D33&amp;"","Transferred from "&amp;TEXT('KEY INPUTS'!D34,"0")&amp;"")</f>
        <v>Transferred from 2021</v>
      </c>
      <c r="H4" s="1723"/>
      <c r="I4" s="12"/>
      <c r="J4" s="11"/>
      <c r="K4" s="18"/>
      <c r="L4" s="754"/>
    </row>
    <row r="5" spans="1:19">
      <c r="B5" s="1663" t="s">
        <v>639</v>
      </c>
      <c r="C5" s="1663"/>
      <c r="D5" s="1663"/>
      <c r="E5" s="1715"/>
      <c r="F5" s="270" t="s">
        <v>530</v>
      </c>
      <c r="G5" s="1724" t="s">
        <v>234</v>
      </c>
      <c r="H5" s="1725"/>
      <c r="I5" s="270" t="s">
        <v>638</v>
      </c>
      <c r="J5" s="677" t="s">
        <v>218</v>
      </c>
      <c r="K5" s="21" t="s">
        <v>530</v>
      </c>
    </row>
    <row r="6" spans="1:19">
      <c r="B6" s="309"/>
      <c r="C6" s="309"/>
      <c r="D6" s="309"/>
      <c r="E6" s="309"/>
      <c r="F6" s="286" t="str">
        <f>IF('KEY INPUTS'!C42 = "State Fiscal Year", 'KEY INPUTS'!F48,'KEY INPUTS'!D48)</f>
        <v>Jan. 1, 2021</v>
      </c>
      <c r="G6" s="270" t="s">
        <v>535</v>
      </c>
      <c r="H6" s="270" t="s">
        <v>232</v>
      </c>
      <c r="I6" s="270"/>
      <c r="J6" s="950"/>
      <c r="K6" s="285" t="str">
        <f>IF('KEY INPUTS'!C42 = "State Fiscal Year", 'KEY INPUTS'!F47,'KEY INPUTS'!D47)</f>
        <v>Dec. 31, 2021</v>
      </c>
    </row>
    <row r="7" spans="1:19" ht="13.8" thickBot="1">
      <c r="B7" s="10"/>
      <c r="C7" s="10"/>
      <c r="D7" s="10"/>
      <c r="E7" s="10"/>
      <c r="F7" s="14"/>
      <c r="G7" s="16"/>
      <c r="H7" s="16" t="s">
        <v>233</v>
      </c>
      <c r="I7" s="14"/>
      <c r="J7" s="17"/>
      <c r="K7" s="19"/>
    </row>
    <row r="8" spans="1:19" ht="21" customHeight="1" thickTop="1">
      <c r="B8" s="541"/>
      <c r="C8" s="610"/>
      <c r="D8" s="541"/>
      <c r="E8" s="682"/>
      <c r="F8" s="543"/>
      <c r="G8" s="543"/>
      <c r="H8" s="543"/>
      <c r="I8" s="543"/>
      <c r="J8" s="543"/>
      <c r="K8" s="130">
        <f>F8-G8-H8+I8+J8</f>
        <v>0</v>
      </c>
    </row>
    <row r="9" spans="1:19" ht="21" customHeight="1">
      <c r="B9" s="538"/>
      <c r="C9" s="539"/>
      <c r="D9" s="538"/>
      <c r="E9" s="549"/>
      <c r="F9" s="353"/>
      <c r="G9" s="353"/>
      <c r="H9" s="353"/>
      <c r="I9" s="353"/>
      <c r="J9" s="353"/>
      <c r="K9" s="130">
        <f t="shared" ref="K9:K26" si="0">F9-G9-H9+I9+J9</f>
        <v>0</v>
      </c>
    </row>
    <row r="10" spans="1:19" ht="21" customHeight="1">
      <c r="B10" s="538"/>
      <c r="C10" s="538"/>
      <c r="D10" s="538"/>
      <c r="E10" s="549"/>
      <c r="F10" s="353"/>
      <c r="G10" s="353"/>
      <c r="H10" s="353"/>
      <c r="I10" s="353"/>
      <c r="J10" s="353"/>
      <c r="K10" s="130">
        <f t="shared" si="0"/>
        <v>0</v>
      </c>
    </row>
    <row r="11" spans="1:19" ht="21" customHeight="1">
      <c r="B11" s="538"/>
      <c r="C11" s="538"/>
      <c r="D11" s="538"/>
      <c r="E11" s="549"/>
      <c r="F11" s="353"/>
      <c r="G11" s="353"/>
      <c r="H11" s="353"/>
      <c r="I11" s="353"/>
      <c r="J11" s="353"/>
      <c r="K11" s="130">
        <f t="shared" si="0"/>
        <v>0</v>
      </c>
      <c r="L11" s="218"/>
    </row>
    <row r="12" spans="1:19" ht="21" customHeight="1">
      <c r="B12" s="538"/>
      <c r="C12" s="538"/>
      <c r="D12" s="538"/>
      <c r="E12" s="549"/>
      <c r="F12" s="353"/>
      <c r="G12" s="353"/>
      <c r="H12" s="353"/>
      <c r="I12" s="353"/>
      <c r="J12" s="353"/>
      <c r="K12" s="130">
        <f t="shared" si="0"/>
        <v>0</v>
      </c>
      <c r="N12" s="309"/>
      <c r="O12" s="309"/>
      <c r="P12" s="309"/>
      <c r="Q12" s="309"/>
      <c r="R12" s="309"/>
      <c r="S12" s="309"/>
    </row>
    <row r="13" spans="1:19" ht="21" customHeight="1">
      <c r="B13" s="538"/>
      <c r="C13" s="538"/>
      <c r="D13" s="538"/>
      <c r="E13" s="549"/>
      <c r="F13" s="353"/>
      <c r="G13" s="353"/>
      <c r="H13" s="353"/>
      <c r="I13" s="353"/>
      <c r="J13" s="353"/>
      <c r="K13" s="130">
        <f t="shared" si="0"/>
        <v>0</v>
      </c>
      <c r="L13" s="218"/>
      <c r="N13" s="309"/>
      <c r="O13" s="309"/>
      <c r="P13" s="309"/>
      <c r="Q13" s="309"/>
      <c r="R13" s="309"/>
      <c r="S13" s="309"/>
    </row>
    <row r="14" spans="1:19" ht="21" customHeight="1">
      <c r="B14" s="538"/>
      <c r="C14" s="538"/>
      <c r="D14" s="538"/>
      <c r="E14" s="549"/>
      <c r="F14" s="353"/>
      <c r="G14" s="353"/>
      <c r="H14" s="353"/>
      <c r="I14" s="353"/>
      <c r="J14" s="353"/>
      <c r="K14" s="130">
        <f t="shared" si="0"/>
        <v>0</v>
      </c>
      <c r="N14" s="356"/>
      <c r="O14" s="309"/>
      <c r="P14" s="309"/>
      <c r="Q14" s="309"/>
      <c r="R14" s="309"/>
      <c r="S14" s="309"/>
    </row>
    <row r="15" spans="1:19" ht="21" customHeight="1">
      <c r="A15" s="1692" t="s">
        <v>237</v>
      </c>
      <c r="B15" s="538"/>
      <c r="C15" s="538"/>
      <c r="D15" s="538"/>
      <c r="E15" s="549"/>
      <c r="F15" s="353"/>
      <c r="G15" s="353"/>
      <c r="H15" s="353"/>
      <c r="I15" s="353"/>
      <c r="J15" s="353"/>
      <c r="K15" s="130">
        <f t="shared" si="0"/>
        <v>0</v>
      </c>
      <c r="L15" s="218"/>
      <c r="N15" s="309"/>
      <c r="O15" s="309"/>
      <c r="P15" s="309"/>
      <c r="Q15" s="309"/>
      <c r="R15" s="309"/>
      <c r="S15" s="309"/>
    </row>
    <row r="16" spans="1:19" ht="21" customHeight="1">
      <c r="A16" s="1692"/>
      <c r="B16" s="538"/>
      <c r="C16" s="538"/>
      <c r="D16" s="538"/>
      <c r="E16" s="549"/>
      <c r="F16" s="353"/>
      <c r="G16" s="353"/>
      <c r="H16" s="353"/>
      <c r="I16" s="353"/>
      <c r="J16" s="353"/>
      <c r="K16" s="130">
        <f t="shared" si="0"/>
        <v>0</v>
      </c>
      <c r="N16" s="309"/>
      <c r="O16" s="309"/>
      <c r="P16" s="309"/>
      <c r="Q16" s="309"/>
      <c r="R16" s="309"/>
      <c r="S16" s="309"/>
    </row>
    <row r="17" spans="1:19" ht="21" customHeight="1">
      <c r="A17" s="1692"/>
      <c r="B17" s="538"/>
      <c r="C17" s="538"/>
      <c r="D17" s="538"/>
      <c r="E17" s="549"/>
      <c r="F17" s="353"/>
      <c r="G17" s="353"/>
      <c r="H17" s="353"/>
      <c r="I17" s="353"/>
      <c r="J17" s="353"/>
      <c r="K17" s="130">
        <f t="shared" si="0"/>
        <v>0</v>
      </c>
      <c r="L17" s="218"/>
      <c r="N17" s="309"/>
      <c r="O17" s="309"/>
      <c r="P17" s="309"/>
      <c r="Q17" s="309"/>
      <c r="R17" s="309"/>
      <c r="S17" s="309"/>
    </row>
    <row r="18" spans="1:19" ht="21" customHeight="1">
      <c r="B18" s="538"/>
      <c r="C18" s="538"/>
      <c r="D18" s="538"/>
      <c r="E18" s="549"/>
      <c r="F18" s="353"/>
      <c r="G18" s="353"/>
      <c r="H18" s="353"/>
      <c r="I18" s="353"/>
      <c r="J18" s="353"/>
      <c r="K18" s="130">
        <f t="shared" si="0"/>
        <v>0</v>
      </c>
      <c r="N18" s="309"/>
      <c r="O18" s="309"/>
      <c r="P18" s="309"/>
      <c r="Q18" s="309"/>
      <c r="R18" s="309"/>
      <c r="S18" s="309"/>
    </row>
    <row r="19" spans="1:19" ht="21" customHeight="1">
      <c r="B19" s="538"/>
      <c r="C19" s="538"/>
      <c r="D19" s="538"/>
      <c r="E19" s="549"/>
      <c r="F19" s="353"/>
      <c r="G19" s="353"/>
      <c r="H19" s="353"/>
      <c r="I19" s="353"/>
      <c r="J19" s="353"/>
      <c r="K19" s="130">
        <f t="shared" si="0"/>
        <v>0</v>
      </c>
      <c r="L19" s="218"/>
      <c r="N19" s="309"/>
      <c r="O19" s="309"/>
      <c r="P19" s="309"/>
      <c r="Q19" s="309"/>
      <c r="R19" s="309"/>
      <c r="S19" s="309"/>
    </row>
    <row r="20" spans="1:19" ht="21" customHeight="1">
      <c r="B20" s="538"/>
      <c r="C20" s="538"/>
      <c r="D20" s="538"/>
      <c r="E20" s="549"/>
      <c r="F20" s="353"/>
      <c r="G20" s="353"/>
      <c r="H20" s="353"/>
      <c r="I20" s="353"/>
      <c r="J20" s="353"/>
      <c r="K20" s="130">
        <f t="shared" si="0"/>
        <v>0</v>
      </c>
      <c r="N20" s="309"/>
      <c r="O20" s="309"/>
      <c r="P20" s="309"/>
      <c r="Q20" s="309"/>
      <c r="R20" s="309"/>
      <c r="S20" s="309"/>
    </row>
    <row r="21" spans="1:19" s="309" customFormat="1" ht="21" customHeight="1">
      <c r="B21" s="538"/>
      <c r="C21" s="538"/>
      <c r="D21" s="538"/>
      <c r="E21" s="549"/>
      <c r="F21" s="353"/>
      <c r="G21" s="353"/>
      <c r="H21" s="353"/>
      <c r="I21" s="353"/>
      <c r="J21" s="353"/>
      <c r="K21" s="130">
        <f t="shared" si="0"/>
        <v>0</v>
      </c>
    </row>
    <row r="22" spans="1:19" s="309" customFormat="1" ht="21" customHeight="1">
      <c r="B22" s="538"/>
      <c r="C22" s="538"/>
      <c r="D22" s="538"/>
      <c r="E22" s="549"/>
      <c r="F22" s="353"/>
      <c r="G22" s="353"/>
      <c r="H22" s="353"/>
      <c r="I22" s="353"/>
      <c r="J22" s="353"/>
      <c r="K22" s="130">
        <f t="shared" si="0"/>
        <v>0</v>
      </c>
    </row>
    <row r="23" spans="1:19" ht="21" customHeight="1">
      <c r="B23" s="538"/>
      <c r="C23" s="538"/>
      <c r="D23" s="538"/>
      <c r="E23" s="549"/>
      <c r="F23" s="353"/>
      <c r="G23" s="353"/>
      <c r="H23" s="353"/>
      <c r="I23" s="353"/>
      <c r="J23" s="353"/>
      <c r="K23" s="130">
        <f t="shared" si="0"/>
        <v>0</v>
      </c>
      <c r="L23" s="279"/>
      <c r="N23" s="309"/>
      <c r="O23" s="309"/>
      <c r="P23" s="309"/>
      <c r="Q23" s="309"/>
      <c r="R23" s="309"/>
      <c r="S23" s="309"/>
    </row>
    <row r="24" spans="1:19" ht="21" customHeight="1">
      <c r="B24" s="538"/>
      <c r="C24" s="538"/>
      <c r="D24" s="538"/>
      <c r="E24" s="549"/>
      <c r="F24" s="353"/>
      <c r="G24" s="353"/>
      <c r="H24" s="353"/>
      <c r="I24" s="353"/>
      <c r="J24" s="353"/>
      <c r="K24" s="130">
        <f t="shared" si="0"/>
        <v>0</v>
      </c>
      <c r="N24" s="309"/>
      <c r="O24" s="309"/>
      <c r="P24" s="309"/>
      <c r="Q24" s="309"/>
      <c r="R24" s="309"/>
      <c r="S24" s="309"/>
    </row>
    <row r="25" spans="1:19" ht="21" customHeight="1">
      <c r="B25" s="538"/>
      <c r="C25" s="538"/>
      <c r="D25" s="538"/>
      <c r="E25" s="549"/>
      <c r="F25" s="353"/>
      <c r="G25" s="353"/>
      <c r="H25" s="353"/>
      <c r="I25" s="353"/>
      <c r="J25" s="353"/>
      <c r="K25" s="130">
        <f t="shared" si="0"/>
        <v>0</v>
      </c>
      <c r="L25" s="279"/>
      <c r="N25" s="309"/>
      <c r="O25" s="309"/>
      <c r="P25" s="309"/>
      <c r="Q25" s="309"/>
      <c r="R25" s="309"/>
      <c r="S25" s="309"/>
    </row>
    <row r="26" spans="1:19" ht="21" customHeight="1">
      <c r="B26" s="538"/>
      <c r="C26" s="538"/>
      <c r="D26" s="538"/>
      <c r="E26" s="549"/>
      <c r="F26" s="353"/>
      <c r="G26" s="353"/>
      <c r="H26" s="353"/>
      <c r="I26" s="353"/>
      <c r="J26" s="353"/>
      <c r="K26" s="130">
        <f t="shared" si="0"/>
        <v>0</v>
      </c>
      <c r="N26" s="309"/>
      <c r="O26" s="309"/>
      <c r="P26" s="309"/>
      <c r="Q26" s="309"/>
      <c r="R26" s="309"/>
      <c r="S26" s="309"/>
    </row>
    <row r="27" spans="1:19" ht="21" customHeight="1" thickBot="1">
      <c r="B27" s="27"/>
      <c r="C27" s="315" t="s">
        <v>3265</v>
      </c>
      <c r="D27" s="27"/>
      <c r="E27" s="41"/>
      <c r="F27" s="97">
        <f>SUM(F8:F26)</f>
        <v>0</v>
      </c>
      <c r="G27" s="97">
        <f t="shared" ref="G27:K27" si="1">SUM(G8:G26)</f>
        <v>0</v>
      </c>
      <c r="H27" s="97">
        <f t="shared" si="1"/>
        <v>0</v>
      </c>
      <c r="I27" s="97">
        <f>SUM(I8:I26)</f>
        <v>0</v>
      </c>
      <c r="J27" s="97">
        <f t="shared" si="1"/>
        <v>0</v>
      </c>
      <c r="K27" s="132">
        <f t="shared" si="1"/>
        <v>0</v>
      </c>
      <c r="L27" s="679"/>
    </row>
    <row r="28" spans="1:19" ht="13.8" thickTop="1"/>
    <row r="29" spans="1:19">
      <c r="K29" s="218"/>
    </row>
    <row r="30" spans="1:19">
      <c r="F30" s="218"/>
      <c r="G30" s="218"/>
      <c r="J30" s="218"/>
      <c r="K30" s="279"/>
    </row>
    <row r="32" spans="1:19">
      <c r="K32" s="218"/>
    </row>
  </sheetData>
  <sheetProtection algorithmName="SHA-512" hashValue="36r42ee8di3mhHAHyklgZj6L2zeShBoZfYwtwWFPvStvNEgQxVMZ/L3RLKOsobSe1w78FMvb9Ryv/VosiaPRyw==" saltValue="BOx97BCy1+p9wY8gpahQ6w==" spinCount="100000" sheet="1" objects="1" scenarios="1"/>
  <mergeCells count="6">
    <mergeCell ref="B2:K2"/>
    <mergeCell ref="B3:K3"/>
    <mergeCell ref="A15:A17"/>
    <mergeCell ref="B5:E5"/>
    <mergeCell ref="G4:H4"/>
    <mergeCell ref="G5:H5"/>
  </mergeCells>
  <phoneticPr fontId="0" type="noConversion"/>
  <pageMargins left="0.25" right="0.25" top="0.5" bottom="0.5" header="0.25" footer="0.25"/>
  <pageSetup paperSize="5" scale="98" orientation="landscape"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A1:N32"/>
  <sheetViews>
    <sheetView zoomScaleNormal="100" workbookViewId="0">
      <selection activeCell="G5" sqref="G5:H5"/>
    </sheetView>
  </sheetViews>
  <sheetFormatPr defaultColWidth="9.109375" defaultRowHeight="13.2"/>
  <cols>
    <col min="1" max="1" width="5.6640625" style="309" customWidth="1"/>
    <col min="2" max="4" width="4.88671875" style="309" customWidth="1"/>
    <col min="5" max="5" width="48.44140625" style="309" customWidth="1"/>
    <col min="6" max="11" width="15.6640625" style="309" customWidth="1"/>
    <col min="12" max="12" width="10.5546875" style="309" bestFit="1" customWidth="1"/>
    <col min="13" max="16384" width="9.109375" style="309"/>
  </cols>
  <sheetData>
    <row r="1" spans="1:14">
      <c r="A1" s="311"/>
      <c r="B1" s="811"/>
      <c r="C1" s="811"/>
      <c r="D1" s="811"/>
      <c r="E1" s="811"/>
      <c r="F1" s="811"/>
      <c r="G1" s="811"/>
      <c r="H1" s="811"/>
      <c r="I1" s="811"/>
      <c r="J1" s="811"/>
      <c r="K1" s="811"/>
    </row>
    <row r="2" spans="1:14" ht="20.399999999999999">
      <c r="B2" s="1716" t="s">
        <v>238</v>
      </c>
      <c r="C2" s="1716"/>
      <c r="D2" s="1716"/>
      <c r="E2" s="1716"/>
      <c r="F2" s="1716"/>
      <c r="G2" s="1716"/>
      <c r="H2" s="1716"/>
      <c r="I2" s="1716"/>
      <c r="J2" s="1716"/>
      <c r="K2" s="1716"/>
    </row>
    <row r="3" spans="1:14" ht="21" thickBot="1">
      <c r="B3" s="1716" t="s">
        <v>106</v>
      </c>
      <c r="C3" s="1716"/>
      <c r="D3" s="1716"/>
      <c r="E3" s="1716"/>
      <c r="F3" s="1716"/>
      <c r="G3" s="1716"/>
      <c r="H3" s="1716"/>
      <c r="I3" s="1716"/>
      <c r="J3" s="1716"/>
      <c r="K3" s="1716"/>
    </row>
    <row r="4" spans="1:14" ht="13.8" thickTop="1">
      <c r="B4" s="844"/>
      <c r="C4" s="844"/>
      <c r="D4" s="844"/>
      <c r="E4" s="844"/>
      <c r="F4" s="845"/>
      <c r="G4" s="1726" t="str">
        <f>IF('KEY INPUTS'!C42="State Fiscal Year","Transferred from FY "&amp;'KEY INPUTS'!D33&amp;"","Transferred from "&amp;TEXT('KEY INPUTS'!D34,"0")&amp;"")</f>
        <v>Transferred from 2021</v>
      </c>
      <c r="H4" s="1727"/>
      <c r="I4" s="845"/>
      <c r="J4" s="844"/>
      <c r="K4" s="821"/>
      <c r="L4" s="754"/>
    </row>
    <row r="5" spans="1:14">
      <c r="B5" s="1717" t="s">
        <v>639</v>
      </c>
      <c r="C5" s="1717"/>
      <c r="D5" s="1717"/>
      <c r="E5" s="1718"/>
      <c r="F5" s="847" t="s">
        <v>530</v>
      </c>
      <c r="G5" s="1728" t="s">
        <v>234</v>
      </c>
      <c r="H5" s="1729"/>
      <c r="I5" s="847" t="s">
        <v>638</v>
      </c>
      <c r="J5" s="978" t="s">
        <v>218</v>
      </c>
      <c r="K5" s="822" t="s">
        <v>530</v>
      </c>
    </row>
    <row r="6" spans="1:14">
      <c r="B6" s="811"/>
      <c r="C6" s="811"/>
      <c r="D6" s="811"/>
      <c r="E6" s="811"/>
      <c r="F6" s="850" t="str">
        <f>'12-Grants Unappropriated'!F6</f>
        <v>Jan. 1, 2021</v>
      </c>
      <c r="G6" s="847" t="s">
        <v>535</v>
      </c>
      <c r="H6" s="847" t="s">
        <v>232</v>
      </c>
      <c r="I6" s="847"/>
      <c r="J6" s="852"/>
      <c r="K6" s="823" t="str">
        <f>'12-Grants Unappropriated'!K6</f>
        <v>Dec. 31, 2021</v>
      </c>
    </row>
    <row r="7" spans="1:14" ht="13.8" thickBot="1">
      <c r="B7" s="853"/>
      <c r="C7" s="853"/>
      <c r="D7" s="853"/>
      <c r="E7" s="853"/>
      <c r="F7" s="854"/>
      <c r="G7" s="855"/>
      <c r="H7" s="855" t="s">
        <v>233</v>
      </c>
      <c r="I7" s="854"/>
      <c r="J7" s="856"/>
      <c r="K7" s="824"/>
    </row>
    <row r="8" spans="1:14" ht="21" customHeight="1" thickTop="1">
      <c r="B8" s="841"/>
      <c r="C8" s="979" t="s">
        <v>3266</v>
      </c>
      <c r="D8" s="841"/>
      <c r="E8" s="979"/>
      <c r="F8" s="858">
        <f>+'12-Grants Unappropriated'!F27</f>
        <v>0</v>
      </c>
      <c r="G8" s="858">
        <f>+'12-Grants Unappropriated'!G27</f>
        <v>0</v>
      </c>
      <c r="H8" s="858">
        <f>+'12-Grants Unappropriated'!H27</f>
        <v>0</v>
      </c>
      <c r="I8" s="858">
        <f>+'12-Grants Unappropriated'!I27</f>
        <v>0</v>
      </c>
      <c r="J8" s="858">
        <f>+'12-Grants Unappropriated'!J27</f>
        <v>0</v>
      </c>
      <c r="K8" s="802">
        <f>+'12-Grants Unappropriated'!K27</f>
        <v>0</v>
      </c>
    </row>
    <row r="9" spans="1:14" ht="21" customHeight="1">
      <c r="B9" s="538"/>
      <c r="C9" s="539"/>
      <c r="D9" s="538"/>
      <c r="E9" s="549"/>
      <c r="F9" s="353"/>
      <c r="G9" s="353"/>
      <c r="H9" s="353"/>
      <c r="I9" s="353"/>
      <c r="J9" s="353"/>
      <c r="K9" s="130">
        <f t="shared" ref="K9:K26" si="0">F9-G9-H9+I9+J9</f>
        <v>0</v>
      </c>
    </row>
    <row r="10" spans="1:14" ht="21" customHeight="1">
      <c r="B10" s="538"/>
      <c r="C10" s="635"/>
      <c r="D10" s="354"/>
      <c r="E10" s="755"/>
      <c r="F10" s="633"/>
      <c r="G10" s="633"/>
      <c r="H10" s="633"/>
      <c r="I10" s="633"/>
      <c r="J10" s="633"/>
      <c r="K10" s="130">
        <f t="shared" si="0"/>
        <v>0</v>
      </c>
    </row>
    <row r="11" spans="1:14" ht="21" customHeight="1">
      <c r="B11" s="538"/>
      <c r="C11" s="538"/>
      <c r="D11" s="538"/>
      <c r="E11" s="549"/>
      <c r="F11" s="353"/>
      <c r="G11" s="353"/>
      <c r="H11" s="353"/>
      <c r="I11" s="353"/>
      <c r="J11" s="353"/>
      <c r="K11" s="130">
        <f t="shared" si="0"/>
        <v>0</v>
      </c>
      <c r="L11" s="312"/>
    </row>
    <row r="12" spans="1:14" ht="21" customHeight="1">
      <c r="B12" s="538"/>
      <c r="C12" s="538"/>
      <c r="D12" s="538"/>
      <c r="E12" s="549"/>
      <c r="F12" s="353"/>
      <c r="G12" s="353"/>
      <c r="H12" s="353"/>
      <c r="I12" s="353"/>
      <c r="J12" s="353"/>
      <c r="K12" s="130">
        <f t="shared" si="0"/>
        <v>0</v>
      </c>
    </row>
    <row r="13" spans="1:14" ht="21" customHeight="1">
      <c r="B13" s="538"/>
      <c r="C13" s="538"/>
      <c r="D13" s="538"/>
      <c r="E13" s="549"/>
      <c r="F13" s="353"/>
      <c r="G13" s="353"/>
      <c r="H13" s="353"/>
      <c r="I13" s="353"/>
      <c r="J13" s="353"/>
      <c r="K13" s="130">
        <f t="shared" si="0"/>
        <v>0</v>
      </c>
      <c r="L13" s="312"/>
    </row>
    <row r="14" spans="1:14" ht="21" customHeight="1">
      <c r="B14" s="538"/>
      <c r="C14" s="538"/>
      <c r="D14" s="538"/>
      <c r="E14" s="549"/>
      <c r="F14" s="353"/>
      <c r="G14" s="353"/>
      <c r="H14" s="353"/>
      <c r="I14" s="353"/>
      <c r="J14" s="353"/>
      <c r="K14" s="130">
        <f t="shared" si="0"/>
        <v>0</v>
      </c>
      <c r="N14" s="356"/>
    </row>
    <row r="15" spans="1:14" ht="21" customHeight="1">
      <c r="A15" s="1692" t="s">
        <v>3371</v>
      </c>
      <c r="B15" s="538"/>
      <c r="C15" s="538"/>
      <c r="D15" s="538"/>
      <c r="E15" s="549"/>
      <c r="F15" s="353"/>
      <c r="G15" s="353"/>
      <c r="H15" s="353"/>
      <c r="I15" s="353"/>
      <c r="J15" s="353"/>
      <c r="K15" s="130">
        <f t="shared" si="0"/>
        <v>0</v>
      </c>
      <c r="L15" s="312"/>
    </row>
    <row r="16" spans="1:14" ht="21" customHeight="1">
      <c r="A16" s="1692"/>
      <c r="B16" s="538"/>
      <c r="C16" s="538"/>
      <c r="D16" s="538"/>
      <c r="E16" s="549"/>
      <c r="F16" s="353"/>
      <c r="G16" s="353"/>
      <c r="H16" s="353"/>
      <c r="I16" s="353"/>
      <c r="J16" s="353"/>
      <c r="K16" s="130">
        <f t="shared" si="0"/>
        <v>0</v>
      </c>
    </row>
    <row r="17" spans="1:12" ht="21" customHeight="1">
      <c r="A17" s="1692"/>
      <c r="B17" s="538"/>
      <c r="C17" s="538"/>
      <c r="D17" s="538"/>
      <c r="E17" s="549"/>
      <c r="F17" s="353"/>
      <c r="G17" s="353"/>
      <c r="H17" s="353"/>
      <c r="I17" s="353"/>
      <c r="J17" s="353"/>
      <c r="K17" s="130">
        <f t="shared" si="0"/>
        <v>0</v>
      </c>
      <c r="L17" s="312"/>
    </row>
    <row r="18" spans="1:12" ht="21" customHeight="1">
      <c r="B18" s="538"/>
      <c r="C18" s="538"/>
      <c r="D18" s="538"/>
      <c r="E18" s="549"/>
      <c r="F18" s="353"/>
      <c r="G18" s="353"/>
      <c r="H18" s="353"/>
      <c r="I18" s="353"/>
      <c r="J18" s="353"/>
      <c r="K18" s="130">
        <f t="shared" si="0"/>
        <v>0</v>
      </c>
    </row>
    <row r="19" spans="1:12" ht="21" customHeight="1">
      <c r="B19" s="538"/>
      <c r="C19" s="538"/>
      <c r="D19" s="538"/>
      <c r="E19" s="549"/>
      <c r="F19" s="353"/>
      <c r="G19" s="353"/>
      <c r="H19" s="353"/>
      <c r="I19" s="353"/>
      <c r="J19" s="353"/>
      <c r="K19" s="130">
        <f t="shared" si="0"/>
        <v>0</v>
      </c>
      <c r="L19" s="312"/>
    </row>
    <row r="20" spans="1:12" ht="21" customHeight="1">
      <c r="B20" s="538"/>
      <c r="C20" s="538"/>
      <c r="D20" s="538"/>
      <c r="E20" s="549"/>
      <c r="F20" s="353"/>
      <c r="G20" s="353"/>
      <c r="H20" s="353"/>
      <c r="I20" s="353"/>
      <c r="J20" s="353"/>
      <c r="K20" s="130">
        <f t="shared" si="0"/>
        <v>0</v>
      </c>
    </row>
    <row r="21" spans="1:12" ht="21" customHeight="1">
      <c r="B21" s="538"/>
      <c r="C21" s="538"/>
      <c r="D21" s="538"/>
      <c r="E21" s="549"/>
      <c r="F21" s="353"/>
      <c r="G21" s="353"/>
      <c r="H21" s="353"/>
      <c r="I21" s="353"/>
      <c r="J21" s="353"/>
      <c r="K21" s="130">
        <f t="shared" si="0"/>
        <v>0</v>
      </c>
    </row>
    <row r="22" spans="1:12" ht="21" customHeight="1">
      <c r="B22" s="538"/>
      <c r="C22" s="538"/>
      <c r="D22" s="538"/>
      <c r="E22" s="549"/>
      <c r="F22" s="353"/>
      <c r="G22" s="353"/>
      <c r="H22" s="353"/>
      <c r="I22" s="353"/>
      <c r="J22" s="353"/>
      <c r="K22" s="130">
        <f t="shared" si="0"/>
        <v>0</v>
      </c>
    </row>
    <row r="23" spans="1:12" ht="21" customHeight="1">
      <c r="B23" s="538"/>
      <c r="C23" s="538"/>
      <c r="D23" s="538"/>
      <c r="E23" s="549"/>
      <c r="F23" s="353"/>
      <c r="G23" s="353"/>
      <c r="H23" s="353"/>
      <c r="I23" s="353"/>
      <c r="J23" s="353"/>
      <c r="K23" s="130">
        <f t="shared" si="0"/>
        <v>0</v>
      </c>
      <c r="L23" s="312"/>
    </row>
    <row r="24" spans="1:12" ht="21" customHeight="1">
      <c r="B24" s="538"/>
      <c r="C24" s="538"/>
      <c r="D24" s="538"/>
      <c r="E24" s="549"/>
      <c r="F24" s="353"/>
      <c r="G24" s="353"/>
      <c r="H24" s="353"/>
      <c r="I24" s="353"/>
      <c r="J24" s="353"/>
      <c r="K24" s="130">
        <f t="shared" si="0"/>
        <v>0</v>
      </c>
    </row>
    <row r="25" spans="1:12" ht="21" customHeight="1">
      <c r="B25" s="538"/>
      <c r="C25" s="538"/>
      <c r="D25" s="538"/>
      <c r="E25" s="549"/>
      <c r="F25" s="353"/>
      <c r="G25" s="353"/>
      <c r="H25" s="353"/>
      <c r="I25" s="353"/>
      <c r="J25" s="353"/>
      <c r="K25" s="130">
        <f t="shared" si="0"/>
        <v>0</v>
      </c>
      <c r="L25" s="312"/>
    </row>
    <row r="26" spans="1:12" ht="21" customHeight="1">
      <c r="B26" s="538"/>
      <c r="C26" s="538"/>
      <c r="D26" s="538"/>
      <c r="E26" s="549"/>
      <c r="F26" s="353"/>
      <c r="G26" s="353"/>
      <c r="H26" s="353"/>
      <c r="I26" s="353"/>
      <c r="J26" s="353"/>
      <c r="K26" s="130">
        <f t="shared" si="0"/>
        <v>0</v>
      </c>
    </row>
    <row r="27" spans="1:12" ht="21" customHeight="1" thickBot="1">
      <c r="B27" s="27"/>
      <c r="C27" s="315" t="s">
        <v>3265</v>
      </c>
      <c r="D27" s="27"/>
      <c r="E27" s="41"/>
      <c r="F27" s="97">
        <f>SUM(F8:F26)</f>
        <v>0</v>
      </c>
      <c r="G27" s="97">
        <f t="shared" ref="G27:K27" si="1">SUM(G8:G26)</f>
        <v>0</v>
      </c>
      <c r="H27" s="97">
        <f t="shared" si="1"/>
        <v>0</v>
      </c>
      <c r="I27" s="97">
        <f>SUM(I8:I26)</f>
        <v>0</v>
      </c>
      <c r="J27" s="97">
        <f t="shared" si="1"/>
        <v>0</v>
      </c>
      <c r="K27" s="132">
        <f t="shared" si="1"/>
        <v>0</v>
      </c>
      <c r="L27" s="679"/>
    </row>
    <row r="28" spans="1:12" ht="13.8" thickTop="1"/>
    <row r="29" spans="1:12">
      <c r="K29" s="312"/>
    </row>
    <row r="30" spans="1:12">
      <c r="F30" s="312"/>
      <c r="G30" s="312"/>
      <c r="J30" s="312"/>
      <c r="K30" s="312"/>
    </row>
    <row r="32" spans="1:12">
      <c r="K32" s="312"/>
    </row>
  </sheetData>
  <sheetProtection algorithmName="SHA-512" hashValue="pO0pzVQsh+kviMUy+K0S7n0HgiHBRuYA0E/602pufX3GzuiuMCHAXEQ5thwcFiQ4nti1o2LtHX6nMYL2DvrrlQ==" saltValue="n3eUPmmP4iOMe2wqeQQRYg==" spinCount="100000"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dimension ref="A1:N32"/>
  <sheetViews>
    <sheetView zoomScaleNormal="100" workbookViewId="0">
      <selection activeCell="G5" sqref="G5:H5"/>
    </sheetView>
  </sheetViews>
  <sheetFormatPr defaultColWidth="9.109375" defaultRowHeight="13.2"/>
  <cols>
    <col min="1" max="1" width="5.6640625" style="309" customWidth="1"/>
    <col min="2" max="4" width="4.88671875" style="309" customWidth="1"/>
    <col min="5" max="5" width="48.44140625" style="309" customWidth="1"/>
    <col min="6" max="11" width="15.6640625" style="309" customWidth="1"/>
    <col min="12" max="12" width="10.5546875" style="309" bestFit="1" customWidth="1"/>
    <col min="13" max="16384" width="9.109375" style="309"/>
  </cols>
  <sheetData>
    <row r="1" spans="1:14">
      <c r="A1" s="311"/>
      <c r="B1" s="811"/>
      <c r="C1" s="811"/>
      <c r="D1" s="811"/>
      <c r="E1" s="811"/>
      <c r="F1" s="811"/>
      <c r="G1" s="811"/>
      <c r="H1" s="811"/>
      <c r="I1" s="811"/>
      <c r="J1" s="811"/>
      <c r="K1" s="811"/>
    </row>
    <row r="2" spans="1:14" ht="20.399999999999999">
      <c r="B2" s="1716" t="s">
        <v>238</v>
      </c>
      <c r="C2" s="1716"/>
      <c r="D2" s="1716"/>
      <c r="E2" s="1716"/>
      <c r="F2" s="1716"/>
      <c r="G2" s="1716"/>
      <c r="H2" s="1716"/>
      <c r="I2" s="1716"/>
      <c r="J2" s="1716"/>
      <c r="K2" s="1716"/>
    </row>
    <row r="3" spans="1:14" ht="21" thickBot="1">
      <c r="B3" s="1716" t="s">
        <v>106</v>
      </c>
      <c r="C3" s="1716"/>
      <c r="D3" s="1716"/>
      <c r="E3" s="1716"/>
      <c r="F3" s="1716"/>
      <c r="G3" s="1716"/>
      <c r="H3" s="1716"/>
      <c r="I3" s="1716"/>
      <c r="J3" s="1716"/>
      <c r="K3" s="1716"/>
    </row>
    <row r="4" spans="1:14" ht="13.8" thickTop="1">
      <c r="B4" s="844"/>
      <c r="C4" s="844"/>
      <c r="D4" s="844"/>
      <c r="E4" s="844"/>
      <c r="F4" s="845"/>
      <c r="G4" s="1726" t="str">
        <f>IF('KEY INPUTS'!C42="State Fiscal Year","Transferred from FY "&amp;'KEY INPUTS'!D33&amp;"","Transferred from "&amp;TEXT('KEY INPUTS'!D34,"0")&amp;"")</f>
        <v>Transferred from 2021</v>
      </c>
      <c r="H4" s="1727"/>
      <c r="I4" s="845"/>
      <c r="J4" s="844"/>
      <c r="K4" s="821"/>
      <c r="L4" s="754"/>
    </row>
    <row r="5" spans="1:14">
      <c r="B5" s="1717" t="s">
        <v>639</v>
      </c>
      <c r="C5" s="1717"/>
      <c r="D5" s="1717"/>
      <c r="E5" s="1718"/>
      <c r="F5" s="847" t="s">
        <v>530</v>
      </c>
      <c r="G5" s="1728" t="s">
        <v>234</v>
      </c>
      <c r="H5" s="1729"/>
      <c r="I5" s="847" t="s">
        <v>638</v>
      </c>
      <c r="J5" s="978" t="s">
        <v>218</v>
      </c>
      <c r="K5" s="822" t="s">
        <v>530</v>
      </c>
    </row>
    <row r="6" spans="1:14">
      <c r="B6" s="811"/>
      <c r="C6" s="811"/>
      <c r="D6" s="811"/>
      <c r="E6" s="811"/>
      <c r="F6" s="850" t="str">
        <f>'12-Grants Unappropriated'!F6</f>
        <v>Jan. 1, 2021</v>
      </c>
      <c r="G6" s="847" t="s">
        <v>535</v>
      </c>
      <c r="H6" s="847" t="s">
        <v>232</v>
      </c>
      <c r="I6" s="847"/>
      <c r="J6" s="852"/>
      <c r="K6" s="823" t="str">
        <f>'12-Grants Unappropriated'!K6</f>
        <v>Dec. 31, 2021</v>
      </c>
    </row>
    <row r="7" spans="1:14" ht="13.8" thickBot="1">
      <c r="B7" s="853"/>
      <c r="C7" s="853"/>
      <c r="D7" s="853"/>
      <c r="E7" s="853"/>
      <c r="F7" s="854"/>
      <c r="G7" s="855"/>
      <c r="H7" s="855" t="s">
        <v>233</v>
      </c>
      <c r="I7" s="854"/>
      <c r="J7" s="856"/>
      <c r="K7" s="824"/>
    </row>
    <row r="8" spans="1:14" ht="21" customHeight="1" thickTop="1">
      <c r="B8" s="841"/>
      <c r="C8" s="979" t="s">
        <v>3266</v>
      </c>
      <c r="D8" s="841"/>
      <c r="E8" s="979"/>
      <c r="F8" s="858">
        <f>+'12.1-Grants Unappropriated'!F27</f>
        <v>0</v>
      </c>
      <c r="G8" s="858">
        <f>+'12.1-Grants Unappropriated'!G27</f>
        <v>0</v>
      </c>
      <c r="H8" s="858">
        <f>+'12.1-Grants Unappropriated'!H27</f>
        <v>0</v>
      </c>
      <c r="I8" s="858">
        <f>+'12.1-Grants Unappropriated'!I27</f>
        <v>0</v>
      </c>
      <c r="J8" s="858">
        <f>+'12.1-Grants Unappropriated'!J27</f>
        <v>0</v>
      </c>
      <c r="K8" s="802">
        <f>+'12.1-Grants Unappropriated'!K27</f>
        <v>0</v>
      </c>
    </row>
    <row r="9" spans="1:14" ht="21" customHeight="1">
      <c r="B9" s="538"/>
      <c r="C9" s="539"/>
      <c r="D9" s="538"/>
      <c r="E9" s="549"/>
      <c r="F9" s="353"/>
      <c r="G9" s="353"/>
      <c r="H9" s="353"/>
      <c r="I9" s="353"/>
      <c r="J9" s="353"/>
      <c r="K9" s="130">
        <f t="shared" ref="K9:K26" si="0">F9-G9-H9+I9+J9</f>
        <v>0</v>
      </c>
    </row>
    <row r="10" spans="1:14" ht="21" customHeight="1">
      <c r="B10" s="538"/>
      <c r="C10" s="635"/>
      <c r="D10" s="354"/>
      <c r="E10" s="755"/>
      <c r="F10" s="633"/>
      <c r="G10" s="633"/>
      <c r="H10" s="633"/>
      <c r="I10" s="633"/>
      <c r="J10" s="633"/>
      <c r="K10" s="130">
        <f t="shared" si="0"/>
        <v>0</v>
      </c>
    </row>
    <row r="11" spans="1:14" ht="21" customHeight="1">
      <c r="B11" s="538"/>
      <c r="C11" s="538"/>
      <c r="D11" s="538"/>
      <c r="E11" s="549"/>
      <c r="F11" s="353"/>
      <c r="G11" s="353"/>
      <c r="H11" s="353"/>
      <c r="I11" s="353"/>
      <c r="J11" s="353"/>
      <c r="K11" s="130">
        <f t="shared" si="0"/>
        <v>0</v>
      </c>
      <c r="L11" s="312"/>
    </row>
    <row r="12" spans="1:14" ht="21" customHeight="1">
      <c r="B12" s="538"/>
      <c r="C12" s="538"/>
      <c r="D12" s="538"/>
      <c r="E12" s="549"/>
      <c r="F12" s="353"/>
      <c r="G12" s="353"/>
      <c r="H12" s="353"/>
      <c r="I12" s="353"/>
      <c r="J12" s="353"/>
      <c r="K12" s="130">
        <f t="shared" si="0"/>
        <v>0</v>
      </c>
    </row>
    <row r="13" spans="1:14" ht="21" customHeight="1">
      <c r="B13" s="538"/>
      <c r="C13" s="538"/>
      <c r="D13" s="538"/>
      <c r="E13" s="549"/>
      <c r="F13" s="353"/>
      <c r="G13" s="353"/>
      <c r="H13" s="353"/>
      <c r="I13" s="353"/>
      <c r="J13" s="353"/>
      <c r="K13" s="130">
        <f t="shared" si="0"/>
        <v>0</v>
      </c>
      <c r="L13" s="312"/>
    </row>
    <row r="14" spans="1:14" ht="21" customHeight="1">
      <c r="B14" s="538"/>
      <c r="C14" s="538"/>
      <c r="D14" s="538"/>
      <c r="E14" s="549"/>
      <c r="F14" s="353"/>
      <c r="G14" s="353"/>
      <c r="H14" s="353"/>
      <c r="I14" s="353"/>
      <c r="J14" s="353"/>
      <c r="K14" s="130">
        <f t="shared" si="0"/>
        <v>0</v>
      </c>
      <c r="N14" s="356"/>
    </row>
    <row r="15" spans="1:14" ht="21" customHeight="1">
      <c r="A15" s="1692" t="s">
        <v>3332</v>
      </c>
      <c r="B15" s="538"/>
      <c r="C15" s="538"/>
      <c r="D15" s="538"/>
      <c r="E15" s="549"/>
      <c r="F15" s="353"/>
      <c r="G15" s="353"/>
      <c r="H15" s="353"/>
      <c r="I15" s="353"/>
      <c r="J15" s="353"/>
      <c r="K15" s="130">
        <f t="shared" si="0"/>
        <v>0</v>
      </c>
      <c r="L15" s="312"/>
    </row>
    <row r="16" spans="1:14" ht="21" customHeight="1">
      <c r="A16" s="1692"/>
      <c r="B16" s="538"/>
      <c r="C16" s="538"/>
      <c r="D16" s="538"/>
      <c r="E16" s="549"/>
      <c r="F16" s="353"/>
      <c r="G16" s="353"/>
      <c r="H16" s="353"/>
      <c r="I16" s="353"/>
      <c r="J16" s="353"/>
      <c r="K16" s="130">
        <f t="shared" si="0"/>
        <v>0</v>
      </c>
    </row>
    <row r="17" spans="1:12" ht="21" customHeight="1">
      <c r="A17" s="1692"/>
      <c r="B17" s="538"/>
      <c r="C17" s="538"/>
      <c r="D17" s="538"/>
      <c r="E17" s="549"/>
      <c r="F17" s="353"/>
      <c r="G17" s="353"/>
      <c r="H17" s="353"/>
      <c r="I17" s="353"/>
      <c r="J17" s="353"/>
      <c r="K17" s="130">
        <f t="shared" si="0"/>
        <v>0</v>
      </c>
      <c r="L17" s="312"/>
    </row>
    <row r="18" spans="1:12" ht="21" customHeight="1">
      <c r="B18" s="538"/>
      <c r="C18" s="538"/>
      <c r="D18" s="538"/>
      <c r="E18" s="549"/>
      <c r="F18" s="353"/>
      <c r="G18" s="353"/>
      <c r="H18" s="353"/>
      <c r="I18" s="353"/>
      <c r="J18" s="353"/>
      <c r="K18" s="130">
        <f t="shared" si="0"/>
        <v>0</v>
      </c>
    </row>
    <row r="19" spans="1:12" ht="21" customHeight="1">
      <c r="B19" s="538"/>
      <c r="C19" s="538"/>
      <c r="D19" s="538"/>
      <c r="E19" s="549"/>
      <c r="F19" s="353"/>
      <c r="G19" s="353"/>
      <c r="H19" s="353"/>
      <c r="I19" s="353"/>
      <c r="J19" s="353"/>
      <c r="K19" s="130">
        <f t="shared" si="0"/>
        <v>0</v>
      </c>
      <c r="L19" s="312"/>
    </row>
    <row r="20" spans="1:12" ht="21" customHeight="1">
      <c r="B20" s="538"/>
      <c r="C20" s="538"/>
      <c r="D20" s="538"/>
      <c r="E20" s="549"/>
      <c r="F20" s="353"/>
      <c r="G20" s="353"/>
      <c r="H20" s="353"/>
      <c r="I20" s="353"/>
      <c r="J20" s="353"/>
      <c r="K20" s="130">
        <f t="shared" si="0"/>
        <v>0</v>
      </c>
    </row>
    <row r="21" spans="1:12" ht="21" customHeight="1">
      <c r="B21" s="538"/>
      <c r="C21" s="538"/>
      <c r="D21" s="538"/>
      <c r="E21" s="549"/>
      <c r="F21" s="353"/>
      <c r="G21" s="353"/>
      <c r="H21" s="353"/>
      <c r="I21" s="353"/>
      <c r="J21" s="353"/>
      <c r="K21" s="130">
        <f t="shared" si="0"/>
        <v>0</v>
      </c>
    </row>
    <row r="22" spans="1:12" ht="21" customHeight="1">
      <c r="B22" s="538"/>
      <c r="C22" s="538"/>
      <c r="D22" s="538"/>
      <c r="E22" s="549"/>
      <c r="F22" s="353"/>
      <c r="G22" s="353"/>
      <c r="H22" s="353"/>
      <c r="I22" s="353"/>
      <c r="J22" s="353"/>
      <c r="K22" s="130">
        <f t="shared" si="0"/>
        <v>0</v>
      </c>
    </row>
    <row r="23" spans="1:12" ht="21" customHeight="1">
      <c r="B23" s="538"/>
      <c r="C23" s="538"/>
      <c r="D23" s="538"/>
      <c r="E23" s="549"/>
      <c r="F23" s="353"/>
      <c r="G23" s="353"/>
      <c r="H23" s="353"/>
      <c r="I23" s="353"/>
      <c r="J23" s="353"/>
      <c r="K23" s="130">
        <f t="shared" si="0"/>
        <v>0</v>
      </c>
      <c r="L23" s="312"/>
    </row>
    <row r="24" spans="1:12" ht="21" customHeight="1">
      <c r="B24" s="538"/>
      <c r="C24" s="538"/>
      <c r="D24" s="538"/>
      <c r="E24" s="549"/>
      <c r="F24" s="353"/>
      <c r="G24" s="353"/>
      <c r="H24" s="353"/>
      <c r="I24" s="353"/>
      <c r="J24" s="353"/>
      <c r="K24" s="130">
        <f t="shared" si="0"/>
        <v>0</v>
      </c>
    </row>
    <row r="25" spans="1:12" ht="21" customHeight="1">
      <c r="B25" s="538"/>
      <c r="C25" s="538"/>
      <c r="D25" s="538"/>
      <c r="E25" s="549"/>
      <c r="F25" s="353"/>
      <c r="G25" s="353"/>
      <c r="H25" s="353"/>
      <c r="I25" s="353"/>
      <c r="J25" s="353"/>
      <c r="K25" s="130">
        <f t="shared" si="0"/>
        <v>0</v>
      </c>
      <c r="L25" s="312"/>
    </row>
    <row r="26" spans="1:12" ht="21" customHeight="1">
      <c r="B26" s="538"/>
      <c r="C26" s="538"/>
      <c r="D26" s="538"/>
      <c r="E26" s="549"/>
      <c r="F26" s="353"/>
      <c r="G26" s="353"/>
      <c r="H26" s="353"/>
      <c r="I26" s="353"/>
      <c r="J26" s="353"/>
      <c r="K26" s="130">
        <f t="shared" si="0"/>
        <v>0</v>
      </c>
    </row>
    <row r="27" spans="1:12" ht="21" customHeight="1" thickBot="1">
      <c r="B27" s="27"/>
      <c r="C27" s="315" t="s">
        <v>3265</v>
      </c>
      <c r="D27" s="27"/>
      <c r="E27" s="41"/>
      <c r="F27" s="97">
        <f>SUM(F8:F26)</f>
        <v>0</v>
      </c>
      <c r="G27" s="97">
        <f t="shared" ref="G27:K27" si="1">SUM(G8:G26)</f>
        <v>0</v>
      </c>
      <c r="H27" s="97">
        <f t="shared" si="1"/>
        <v>0</v>
      </c>
      <c r="I27" s="97">
        <f>SUM(I8:I26)</f>
        <v>0</v>
      </c>
      <c r="J27" s="97">
        <f t="shared" si="1"/>
        <v>0</v>
      </c>
      <c r="K27" s="132">
        <f t="shared" si="1"/>
        <v>0</v>
      </c>
      <c r="L27" s="679"/>
    </row>
    <row r="28" spans="1:12" ht="13.8" thickTop="1"/>
    <row r="29" spans="1:12">
      <c r="K29" s="312"/>
    </row>
    <row r="30" spans="1:12">
      <c r="F30" s="312"/>
      <c r="G30" s="312"/>
      <c r="J30" s="312"/>
      <c r="K30" s="312"/>
    </row>
    <row r="32" spans="1:12">
      <c r="K32" s="312"/>
    </row>
  </sheetData>
  <sheetProtection algorithmName="SHA-512" hashValue="I4g1nkwysgUK64f4BKpYbX4z728LEUhBMXo/wIfmUWsDBXrbk1gzSKUzjp/D9ybQK9/1mNKvRBK369XHKhdjkQ==" saltValue="ZaqqfMMeHKzCD0Wamin9bw==" spinCount="100000"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dimension ref="A1:N32"/>
  <sheetViews>
    <sheetView zoomScaleNormal="100" workbookViewId="0">
      <selection activeCell="B12" sqref="B12"/>
    </sheetView>
  </sheetViews>
  <sheetFormatPr defaultColWidth="9.109375" defaultRowHeight="13.2"/>
  <cols>
    <col min="1" max="1" width="5.6640625" style="309" customWidth="1"/>
    <col min="2" max="4" width="4.88671875" style="309" customWidth="1"/>
    <col min="5" max="5" width="48.44140625" style="309" customWidth="1"/>
    <col min="6" max="11" width="15.6640625" style="309" customWidth="1"/>
    <col min="12" max="12" width="10.5546875" style="309" bestFit="1" customWidth="1"/>
    <col min="13" max="16384" width="9.109375" style="309"/>
  </cols>
  <sheetData>
    <row r="1" spans="1:14">
      <c r="A1" s="311"/>
      <c r="B1" s="811"/>
      <c r="C1" s="811"/>
      <c r="D1" s="811"/>
      <c r="E1" s="811"/>
      <c r="F1" s="811"/>
      <c r="G1" s="811"/>
      <c r="H1" s="811"/>
      <c r="I1" s="811"/>
      <c r="J1" s="811"/>
      <c r="K1" s="811"/>
    </row>
    <row r="2" spans="1:14" ht="20.399999999999999">
      <c r="B2" s="1716" t="s">
        <v>238</v>
      </c>
      <c r="C2" s="1716"/>
      <c r="D2" s="1716"/>
      <c r="E2" s="1716"/>
      <c r="F2" s="1716"/>
      <c r="G2" s="1716"/>
      <c r="H2" s="1716"/>
      <c r="I2" s="1716"/>
      <c r="J2" s="1716"/>
      <c r="K2" s="1716"/>
    </row>
    <row r="3" spans="1:14" ht="21" thickBot="1">
      <c r="B3" s="1716" t="s">
        <v>106</v>
      </c>
      <c r="C3" s="1716"/>
      <c r="D3" s="1716"/>
      <c r="E3" s="1716"/>
      <c r="F3" s="1716"/>
      <c r="G3" s="1716"/>
      <c r="H3" s="1716"/>
      <c r="I3" s="1716"/>
      <c r="J3" s="1716"/>
      <c r="K3" s="1716"/>
    </row>
    <row r="4" spans="1:14" ht="13.8" thickTop="1">
      <c r="B4" s="844"/>
      <c r="C4" s="844"/>
      <c r="D4" s="844"/>
      <c r="E4" s="844"/>
      <c r="F4" s="845"/>
      <c r="G4" s="1726" t="str">
        <f>IF('KEY INPUTS'!C42="State Fiscal Year","Transferred from FY "&amp;'KEY INPUTS'!D33&amp;"","Transferred from "&amp;TEXT('KEY INPUTS'!D34,"0")&amp;"")</f>
        <v>Transferred from 2021</v>
      </c>
      <c r="H4" s="1727"/>
      <c r="I4" s="845"/>
      <c r="J4" s="844"/>
      <c r="K4" s="821"/>
      <c r="L4" s="754"/>
    </row>
    <row r="5" spans="1:14">
      <c r="B5" s="1717" t="s">
        <v>639</v>
      </c>
      <c r="C5" s="1717"/>
      <c r="D5" s="1717"/>
      <c r="E5" s="1718"/>
      <c r="F5" s="847" t="s">
        <v>530</v>
      </c>
      <c r="G5" s="1728" t="s">
        <v>234</v>
      </c>
      <c r="H5" s="1729"/>
      <c r="I5" s="847" t="s">
        <v>638</v>
      </c>
      <c r="J5" s="978" t="s">
        <v>218</v>
      </c>
      <c r="K5" s="822" t="s">
        <v>530</v>
      </c>
    </row>
    <row r="6" spans="1:14">
      <c r="B6" s="811"/>
      <c r="C6" s="811"/>
      <c r="D6" s="811"/>
      <c r="E6" s="811"/>
      <c r="F6" s="850" t="str">
        <f>'12-Grants Unappropriated'!F6</f>
        <v>Jan. 1, 2021</v>
      </c>
      <c r="G6" s="847" t="s">
        <v>535</v>
      </c>
      <c r="H6" s="847" t="s">
        <v>232</v>
      </c>
      <c r="I6" s="847"/>
      <c r="J6" s="852"/>
      <c r="K6" s="823" t="str">
        <f>'12-Grants Unappropriated'!K6</f>
        <v>Dec. 31, 2021</v>
      </c>
    </row>
    <row r="7" spans="1:14" ht="13.8" thickBot="1">
      <c r="B7" s="853"/>
      <c r="C7" s="853"/>
      <c r="D7" s="853"/>
      <c r="E7" s="853"/>
      <c r="F7" s="854"/>
      <c r="G7" s="855"/>
      <c r="H7" s="855" t="s">
        <v>233</v>
      </c>
      <c r="I7" s="854"/>
      <c r="J7" s="856"/>
      <c r="K7" s="824"/>
    </row>
    <row r="8" spans="1:14" ht="21" customHeight="1" thickTop="1">
      <c r="B8" s="841"/>
      <c r="C8" s="979" t="s">
        <v>3266</v>
      </c>
      <c r="D8" s="841"/>
      <c r="E8" s="979"/>
      <c r="F8" s="858">
        <f>+'12.2-Grants Unappropriated'!F27</f>
        <v>0</v>
      </c>
      <c r="G8" s="858">
        <f>+'12.2-Grants Unappropriated'!G27</f>
        <v>0</v>
      </c>
      <c r="H8" s="858">
        <f>+'12.2-Grants Unappropriated'!H27</f>
        <v>0</v>
      </c>
      <c r="I8" s="858">
        <f>+'12.2-Grants Unappropriated'!I27</f>
        <v>0</v>
      </c>
      <c r="J8" s="858">
        <f>+'12.2-Grants Unappropriated'!J27</f>
        <v>0</v>
      </c>
      <c r="K8" s="802">
        <f>+'12.2-Grants Unappropriated'!K27</f>
        <v>0</v>
      </c>
    </row>
    <row r="9" spans="1:14" ht="21" customHeight="1">
      <c r="B9" s="538" t="s">
        <v>3687</v>
      </c>
      <c r="C9" s="539"/>
      <c r="D9" s="538"/>
      <c r="E9" s="549"/>
      <c r="F9" s="353">
        <v>1062.42</v>
      </c>
      <c r="G9" s="353"/>
      <c r="H9" s="353"/>
      <c r="I9" s="353"/>
      <c r="J9" s="353"/>
      <c r="K9" s="130">
        <f t="shared" ref="K9:K26" si="0">F9-G9-H9+I9+J9</f>
        <v>1062.42</v>
      </c>
    </row>
    <row r="10" spans="1:14" ht="21" customHeight="1">
      <c r="B10" s="538" t="s">
        <v>3680</v>
      </c>
      <c r="C10" s="635"/>
      <c r="D10" s="354"/>
      <c r="E10" s="755"/>
      <c r="F10" s="633">
        <v>0</v>
      </c>
      <c r="G10" s="633"/>
      <c r="H10" s="633"/>
      <c r="I10" s="633"/>
      <c r="J10" s="633"/>
      <c r="K10" s="130">
        <f t="shared" si="0"/>
        <v>0</v>
      </c>
    </row>
    <row r="11" spans="1:14" ht="21" customHeight="1">
      <c r="B11" s="538" t="s">
        <v>3684</v>
      </c>
      <c r="C11" s="538"/>
      <c r="D11" s="538"/>
      <c r="E11" s="549"/>
      <c r="F11" s="353">
        <v>0</v>
      </c>
      <c r="G11" s="353"/>
      <c r="H11" s="353"/>
      <c r="I11" s="353"/>
      <c r="J11" s="353"/>
      <c r="K11" s="130">
        <f t="shared" si="0"/>
        <v>0</v>
      </c>
      <c r="L11" s="312"/>
    </row>
    <row r="12" spans="1:14" ht="21" customHeight="1">
      <c r="B12" s="538" t="s">
        <v>3742</v>
      </c>
      <c r="C12" s="538"/>
      <c r="D12" s="538"/>
      <c r="E12" s="549"/>
      <c r="F12" s="353"/>
      <c r="G12" s="353"/>
      <c r="H12" s="353"/>
      <c r="I12" s="353">
        <v>7119.42</v>
      </c>
      <c r="J12" s="353"/>
      <c r="K12" s="130">
        <f t="shared" si="0"/>
        <v>7119.42</v>
      </c>
    </row>
    <row r="13" spans="1:14" ht="21" customHeight="1">
      <c r="B13" s="538"/>
      <c r="C13" s="538"/>
      <c r="D13" s="538"/>
      <c r="E13" s="549"/>
      <c r="F13" s="353"/>
      <c r="G13" s="353"/>
      <c r="H13" s="353"/>
      <c r="I13" s="353"/>
      <c r="J13" s="353"/>
      <c r="K13" s="130">
        <f t="shared" si="0"/>
        <v>0</v>
      </c>
      <c r="L13" s="312"/>
    </row>
    <row r="14" spans="1:14" ht="21" customHeight="1">
      <c r="B14" s="538"/>
      <c r="C14" s="538"/>
      <c r="D14" s="538"/>
      <c r="E14" s="549"/>
      <c r="F14" s="353"/>
      <c r="G14" s="353"/>
      <c r="H14" s="353"/>
      <c r="I14" s="353"/>
      <c r="J14" s="353"/>
      <c r="K14" s="130">
        <f t="shared" si="0"/>
        <v>0</v>
      </c>
      <c r="N14" s="356"/>
    </row>
    <row r="15" spans="1:14" ht="21" customHeight="1">
      <c r="A15" s="1692" t="s">
        <v>3333</v>
      </c>
      <c r="B15" s="538"/>
      <c r="C15" s="538"/>
      <c r="D15" s="538"/>
      <c r="E15" s="549"/>
      <c r="F15" s="353"/>
      <c r="G15" s="353"/>
      <c r="H15" s="353"/>
      <c r="I15" s="353"/>
      <c r="J15" s="353"/>
      <c r="K15" s="130">
        <f t="shared" si="0"/>
        <v>0</v>
      </c>
      <c r="L15" s="312"/>
    </row>
    <row r="16" spans="1:14" ht="21" customHeight="1">
      <c r="A16" s="1692"/>
      <c r="B16" s="538"/>
      <c r="C16" s="538"/>
      <c r="D16" s="538"/>
      <c r="E16" s="549"/>
      <c r="F16" s="353"/>
      <c r="G16" s="353"/>
      <c r="H16" s="353"/>
      <c r="I16" s="353"/>
      <c r="J16" s="353"/>
      <c r="K16" s="130">
        <f t="shared" si="0"/>
        <v>0</v>
      </c>
    </row>
    <row r="17" spans="1:12" ht="21" customHeight="1">
      <c r="A17" s="1692"/>
      <c r="B17" s="538"/>
      <c r="C17" s="538"/>
      <c r="D17" s="538"/>
      <c r="E17" s="549"/>
      <c r="F17" s="353"/>
      <c r="G17" s="353"/>
      <c r="H17" s="353"/>
      <c r="I17" s="353"/>
      <c r="J17" s="353"/>
      <c r="K17" s="130">
        <f t="shared" si="0"/>
        <v>0</v>
      </c>
      <c r="L17" s="312"/>
    </row>
    <row r="18" spans="1:12" ht="21" customHeight="1">
      <c r="B18" s="538"/>
      <c r="C18" s="538"/>
      <c r="D18" s="538"/>
      <c r="E18" s="549"/>
      <c r="F18" s="353"/>
      <c r="G18" s="353"/>
      <c r="H18" s="353"/>
      <c r="I18" s="353"/>
      <c r="J18" s="353"/>
      <c r="K18" s="130">
        <f t="shared" si="0"/>
        <v>0</v>
      </c>
    </row>
    <row r="19" spans="1:12" ht="21" customHeight="1">
      <c r="B19" s="538"/>
      <c r="C19" s="538"/>
      <c r="D19" s="538"/>
      <c r="E19" s="549"/>
      <c r="F19" s="353"/>
      <c r="G19" s="353"/>
      <c r="H19" s="353"/>
      <c r="I19" s="353"/>
      <c r="J19" s="353"/>
      <c r="K19" s="130">
        <f t="shared" si="0"/>
        <v>0</v>
      </c>
      <c r="L19" s="312"/>
    </row>
    <row r="20" spans="1:12" ht="21" customHeight="1">
      <c r="B20" s="538"/>
      <c r="C20" s="538"/>
      <c r="D20" s="538"/>
      <c r="E20" s="549"/>
      <c r="F20" s="353"/>
      <c r="G20" s="353"/>
      <c r="H20" s="353"/>
      <c r="I20" s="353"/>
      <c r="J20" s="353"/>
      <c r="K20" s="130">
        <f t="shared" si="0"/>
        <v>0</v>
      </c>
    </row>
    <row r="21" spans="1:12" ht="21" customHeight="1">
      <c r="B21" s="538"/>
      <c r="C21" s="538"/>
      <c r="D21" s="538"/>
      <c r="E21" s="549"/>
      <c r="F21" s="353"/>
      <c r="G21" s="353"/>
      <c r="H21" s="353"/>
      <c r="I21" s="353"/>
      <c r="J21" s="353"/>
      <c r="K21" s="130">
        <f t="shared" si="0"/>
        <v>0</v>
      </c>
    </row>
    <row r="22" spans="1:12" ht="21" customHeight="1">
      <c r="B22" s="538"/>
      <c r="C22" s="538"/>
      <c r="D22" s="538"/>
      <c r="E22" s="549"/>
      <c r="F22" s="353"/>
      <c r="G22" s="353"/>
      <c r="H22" s="353"/>
      <c r="I22" s="353"/>
      <c r="J22" s="353"/>
      <c r="K22" s="130">
        <f t="shared" si="0"/>
        <v>0</v>
      </c>
    </row>
    <row r="23" spans="1:12" ht="21" customHeight="1">
      <c r="B23" s="538"/>
      <c r="C23" s="538"/>
      <c r="D23" s="538"/>
      <c r="E23" s="549"/>
      <c r="F23" s="353"/>
      <c r="G23" s="353"/>
      <c r="H23" s="353"/>
      <c r="I23" s="353"/>
      <c r="J23" s="353"/>
      <c r="K23" s="130">
        <f t="shared" si="0"/>
        <v>0</v>
      </c>
      <c r="L23" s="312"/>
    </row>
    <row r="24" spans="1:12" ht="21" customHeight="1">
      <c r="B24" s="538"/>
      <c r="C24" s="538"/>
      <c r="D24" s="538"/>
      <c r="E24" s="549"/>
      <c r="F24" s="353"/>
      <c r="G24" s="353"/>
      <c r="H24" s="353"/>
      <c r="I24" s="353"/>
      <c r="J24" s="353"/>
      <c r="K24" s="130">
        <f t="shared" si="0"/>
        <v>0</v>
      </c>
    </row>
    <row r="25" spans="1:12" ht="21" customHeight="1">
      <c r="B25" s="538"/>
      <c r="C25" s="538"/>
      <c r="D25" s="538"/>
      <c r="E25" s="549"/>
      <c r="F25" s="353"/>
      <c r="G25" s="353"/>
      <c r="H25" s="353"/>
      <c r="I25" s="353"/>
      <c r="J25" s="353"/>
      <c r="K25" s="130">
        <f t="shared" si="0"/>
        <v>0</v>
      </c>
      <c r="L25" s="312"/>
    </row>
    <row r="26" spans="1:12" ht="21" customHeight="1">
      <c r="B26" s="538"/>
      <c r="C26" s="538"/>
      <c r="D26" s="538"/>
      <c r="E26" s="549"/>
      <c r="F26" s="353"/>
      <c r="G26" s="353"/>
      <c r="H26" s="353"/>
      <c r="I26" s="353"/>
      <c r="J26" s="353"/>
      <c r="K26" s="130">
        <f t="shared" si="0"/>
        <v>0</v>
      </c>
    </row>
    <row r="27" spans="1:12" ht="21" customHeight="1" thickBot="1">
      <c r="B27" s="27"/>
      <c r="C27" s="315" t="s">
        <v>3291</v>
      </c>
      <c r="D27" s="27"/>
      <c r="E27" s="41"/>
      <c r="F27" s="97">
        <f>SUM(F8:F26)</f>
        <v>1062.42</v>
      </c>
      <c r="G27" s="97">
        <f t="shared" ref="G27:K27" si="1">SUM(G8:G26)</f>
        <v>0</v>
      </c>
      <c r="H27" s="97">
        <f t="shared" si="1"/>
        <v>0</v>
      </c>
      <c r="I27" s="97">
        <f>SUM(I8:I26)</f>
        <v>7119.42</v>
      </c>
      <c r="J27" s="97">
        <f t="shared" si="1"/>
        <v>0</v>
      </c>
      <c r="K27" s="132">
        <f t="shared" si="1"/>
        <v>8181.84</v>
      </c>
      <c r="L27" s="679"/>
    </row>
    <row r="28" spans="1:12" ht="13.8" thickTop="1"/>
    <row r="29" spans="1:12">
      <c r="K29" s="312"/>
    </row>
    <row r="30" spans="1:12">
      <c r="F30" s="312"/>
      <c r="G30" s="312"/>
      <c r="J30" s="312"/>
      <c r="K30" s="312"/>
    </row>
    <row r="32" spans="1:12">
      <c r="K32" s="312"/>
    </row>
  </sheetData>
  <sheetProtection algorithmName="SHA-512" hashValue="nSdT3MNWQ1EmjNTzPYcl0rrd7cbuwrBTbPidK1Wh6PhHy0ZZI+UeLe1aBfq49dBUy7HafIXLy6JD2HVNAgVVuA==" saltValue="k2fw/b9JM24dlAwehXhLJg==" spinCount="100000" sheet="1" objects="1" scenarios="1"/>
  <mergeCells count="6">
    <mergeCell ref="A15:A17"/>
    <mergeCell ref="B2:K2"/>
    <mergeCell ref="B3:K3"/>
    <mergeCell ref="G4:H4"/>
    <mergeCell ref="B5:E5"/>
    <mergeCell ref="G5:H5"/>
  </mergeCells>
  <pageMargins left="0.25" right="0.25" top="0.5" bottom="0.5" header="0.25" footer="0.25"/>
  <pageSetup paperSize="5" scale="98" orientation="landscape"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dimension ref="B5:R50"/>
  <sheetViews>
    <sheetView zoomScaleNormal="100" workbookViewId="0">
      <selection activeCell="G15" sqref="G15"/>
    </sheetView>
  </sheetViews>
  <sheetFormatPr defaultRowHeight="13.2"/>
  <cols>
    <col min="1" max="1" width="4.6640625" customWidth="1"/>
    <col min="2" max="2" width="4.88671875" customWidth="1"/>
    <col min="3" max="4" width="4.6640625" customWidth="1"/>
    <col min="5" max="5" width="33.6640625" customWidth="1"/>
    <col min="6" max="6" width="15.6640625" customWidth="1"/>
    <col min="7" max="8" width="16.6640625" customWidth="1"/>
    <col min="9" max="9" width="12.88671875" bestFit="1" customWidth="1"/>
  </cols>
  <sheetData>
    <row r="5" spans="2:18" ht="22.8">
      <c r="B5" s="1665" t="s">
        <v>251</v>
      </c>
      <c r="C5" s="1665"/>
      <c r="D5" s="1665"/>
      <c r="E5" s="1665"/>
      <c r="F5" s="1665"/>
      <c r="G5" s="1665"/>
      <c r="H5" s="1665"/>
      <c r="I5" s="679"/>
    </row>
    <row r="6" spans="2:18" ht="13.8" thickBot="1"/>
    <row r="7" spans="2:18" ht="36" customHeight="1" thickTop="1" thickBot="1">
      <c r="B7" s="1668"/>
      <c r="C7" s="1668"/>
      <c r="D7" s="1668"/>
      <c r="E7" s="1668"/>
      <c r="F7" s="1669"/>
      <c r="G7" s="4" t="s">
        <v>96</v>
      </c>
      <c r="H7" s="3" t="s">
        <v>97</v>
      </c>
    </row>
    <row r="8" spans="2:18" ht="21" customHeight="1" thickTop="1">
      <c r="B8" s="309" t="str">
        <f>IF('KEY INPUTS'!C42 = "State Fiscal Year", 'KEY INPUTS'!F25,'KEY INPUTS'!D25)</f>
        <v>Balance - January 1, 2021</v>
      </c>
      <c r="C8" s="309"/>
      <c r="D8" s="309"/>
      <c r="E8" s="309"/>
      <c r="F8" s="309"/>
      <c r="G8" s="162" t="s">
        <v>301</v>
      </c>
      <c r="H8" s="163" t="s">
        <v>690</v>
      </c>
    </row>
    <row r="9" spans="2:18" ht="21" customHeight="1">
      <c r="B9" s="310"/>
      <c r="C9" s="310" t="s">
        <v>252</v>
      </c>
      <c r="D9" s="310"/>
      <c r="E9" s="310"/>
      <c r="F9" s="48"/>
      <c r="G9" s="142" t="s">
        <v>301</v>
      </c>
      <c r="H9" s="730">
        <v>0.52</v>
      </c>
      <c r="I9" s="279"/>
    </row>
    <row r="10" spans="2:18">
      <c r="B10" s="7"/>
      <c r="C10" s="7" t="s">
        <v>253</v>
      </c>
      <c r="D10" s="7"/>
      <c r="E10" s="7"/>
      <c r="F10" s="51"/>
      <c r="G10" s="164"/>
      <c r="H10" s="923"/>
    </row>
    <row r="11" spans="2:18">
      <c r="B11" s="272"/>
      <c r="C11" s="272" t="str">
        <f>"(Not in excess of  50% of Levy - "&amp;TEXT('KEY INPUTS'!D35,"0")&amp;" - "&amp;TEXT('KEY INPUTS'!D34,"0")&amp;")"</f>
        <v>(Not in excess of  50% of Levy - 2020 - 2021)</v>
      </c>
      <c r="D11" s="272"/>
      <c r="E11" s="272"/>
      <c r="F11" s="52"/>
      <c r="G11" s="302" t="s">
        <v>301</v>
      </c>
      <c r="H11" s="895"/>
      <c r="I11" s="279"/>
    </row>
    <row r="12" spans="2:18" ht="21" customHeight="1">
      <c r="B12" s="310" t="str">
        <f>"Levy School Year July 1, "&amp;TEXT('KEY INPUTS'!D34,"0")&amp;" - June 30, "&amp;TEXT('KEY INPUTS'!D33,"0")</f>
        <v>Levy School Year July 1, 2021 - June 30, 2022</v>
      </c>
      <c r="C12" s="310"/>
      <c r="D12" s="310"/>
      <c r="E12" s="310"/>
      <c r="F12" s="48"/>
      <c r="G12" s="297" t="s">
        <v>301</v>
      </c>
      <c r="H12" s="550">
        <v>3060523</v>
      </c>
      <c r="I12" s="218"/>
      <c r="L12" s="723" t="s">
        <v>3478</v>
      </c>
      <c r="M12" s="309"/>
      <c r="N12" s="309"/>
      <c r="O12" s="309"/>
      <c r="P12" s="309"/>
      <c r="Q12" s="309"/>
      <c r="R12" s="309"/>
    </row>
    <row r="13" spans="2:18" ht="21" customHeight="1">
      <c r="B13" s="310" t="str">
        <f>"Levy Calendar Year "&amp;TEXT('KEY INPUTS'!D34,"0")</f>
        <v>Levy Calendar Year 2021</v>
      </c>
      <c r="C13" s="310"/>
      <c r="D13" s="310"/>
      <c r="E13" s="310"/>
      <c r="F13" s="48"/>
      <c r="G13" s="297" t="s">
        <v>301</v>
      </c>
      <c r="H13" s="550"/>
      <c r="M13" s="309"/>
      <c r="N13" s="309"/>
      <c r="O13" s="309"/>
      <c r="P13" s="309"/>
      <c r="Q13" s="309"/>
      <c r="R13" s="309"/>
    </row>
    <row r="14" spans="2:18" ht="21" customHeight="1">
      <c r="B14" s="310" t="s">
        <v>254</v>
      </c>
      <c r="C14" s="310"/>
      <c r="D14" s="310"/>
      <c r="E14" s="310"/>
      <c r="F14" s="48"/>
      <c r="G14" s="353">
        <v>3060523</v>
      </c>
      <c r="H14" s="254" t="s">
        <v>690</v>
      </c>
      <c r="M14" s="356"/>
      <c r="N14" s="309"/>
      <c r="O14" s="309"/>
      <c r="P14" s="309"/>
      <c r="Q14" s="309"/>
      <c r="R14" s="309"/>
    </row>
    <row r="15" spans="2:18" ht="21" customHeight="1">
      <c r="B15" s="310" t="str">
        <f>IF('KEY INPUTS'!C42 = "State Fiscal Year", 'KEY INPUTS'!F26,'KEY INPUTS'!D26)</f>
        <v>Balance - December 31, 2021</v>
      </c>
      <c r="C15" s="310"/>
      <c r="D15" s="310"/>
      <c r="E15" s="310"/>
      <c r="F15" s="48"/>
      <c r="G15" s="297" t="s">
        <v>301</v>
      </c>
      <c r="H15" s="254" t="s">
        <v>690</v>
      </c>
      <c r="M15" s="309"/>
      <c r="N15" s="309"/>
      <c r="O15" s="309"/>
      <c r="P15" s="309"/>
      <c r="Q15" s="309"/>
      <c r="R15" s="309"/>
    </row>
    <row r="16" spans="2:18" ht="21" customHeight="1">
      <c r="B16" s="310"/>
      <c r="C16" s="310" t="s">
        <v>252</v>
      </c>
      <c r="D16" s="310"/>
      <c r="E16" s="310"/>
      <c r="F16" s="48"/>
      <c r="G16" s="237">
        <f>+H9+H11+H12+H13-G14-G18</f>
        <v>0.52000000001862645</v>
      </c>
      <c r="H16" s="123" t="s">
        <v>690</v>
      </c>
      <c r="I16" s="711"/>
      <c r="M16" s="309"/>
      <c r="N16" s="309"/>
      <c r="O16" s="309"/>
      <c r="P16" s="309"/>
      <c r="Q16" s="309"/>
      <c r="R16" s="309"/>
    </row>
    <row r="17" spans="2:18">
      <c r="B17" s="7"/>
      <c r="C17" s="7" t="s">
        <v>253</v>
      </c>
      <c r="D17" s="7"/>
      <c r="E17" s="7"/>
      <c r="F17" s="51"/>
      <c r="G17" s="896"/>
      <c r="H17" s="71"/>
      <c r="I17" s="312"/>
      <c r="M17" s="309"/>
      <c r="N17" s="309"/>
      <c r="O17" s="309"/>
      <c r="P17" s="309"/>
      <c r="Q17" s="309"/>
      <c r="R17" s="309"/>
    </row>
    <row r="18" spans="2:18">
      <c r="B18" s="272"/>
      <c r="C18" s="272" t="str">
        <f>"(Not in excess of 50% of Levy - "&amp;TEXT('KEY INPUTS'!D34,"0")&amp;" - "&amp;TEXT('KEY INPUTS'!D33,"0")&amp;")"</f>
        <v>(Not in excess of 50% of Levy - 2021 - 2022)</v>
      </c>
      <c r="D18" s="272"/>
      <c r="E18" s="272"/>
      <c r="F18" s="924"/>
      <c r="G18" s="929"/>
      <c r="H18" s="124" t="s">
        <v>690</v>
      </c>
      <c r="I18" s="218"/>
      <c r="M18" s="309"/>
      <c r="N18" s="309"/>
      <c r="O18" s="309"/>
      <c r="P18" s="309"/>
      <c r="Q18" s="309"/>
      <c r="R18" s="309"/>
    </row>
    <row r="19" spans="2:18" ht="21" customHeight="1" thickBot="1">
      <c r="B19" s="43" t="s">
        <v>573</v>
      </c>
      <c r="C19" s="7"/>
      <c r="D19" s="7"/>
      <c r="E19" s="7"/>
      <c r="F19" s="7"/>
      <c r="G19" s="97">
        <f>SUM(G14:G18)</f>
        <v>3060523.52</v>
      </c>
      <c r="H19" s="78">
        <f>SUM(H8:H13)</f>
        <v>3060523.52</v>
      </c>
      <c r="I19" s="263"/>
      <c r="M19" s="309"/>
      <c r="N19" s="309"/>
      <c r="O19" s="309"/>
      <c r="P19" s="309"/>
      <c r="Q19" s="309"/>
      <c r="R19" s="309"/>
    </row>
    <row r="20" spans="2:18" ht="12.75" customHeight="1" thickTop="1">
      <c r="B20" s="42"/>
      <c r="C20" s="44" t="s">
        <v>299</v>
      </c>
      <c r="D20" s="42"/>
      <c r="E20" s="42"/>
      <c r="F20" s="42"/>
      <c r="G20" s="11"/>
      <c r="H20" s="11"/>
      <c r="M20" s="309"/>
      <c r="N20" s="309"/>
      <c r="O20" s="309"/>
      <c r="P20" s="309"/>
      <c r="Q20" s="309"/>
      <c r="R20" s="309"/>
    </row>
    <row r="21" spans="2:18" ht="12.75" customHeight="1">
      <c r="B21" s="44" t="s">
        <v>300</v>
      </c>
      <c r="C21" s="42"/>
      <c r="D21" s="42"/>
      <c r="E21" s="42"/>
      <c r="F21" s="42"/>
      <c r="G21" s="42"/>
      <c r="H21" s="42"/>
      <c r="M21" s="309"/>
      <c r="N21" s="309"/>
      <c r="O21" s="309"/>
      <c r="P21" s="309"/>
      <c r="Q21" s="309"/>
      <c r="R21" s="309"/>
    </row>
    <row r="22" spans="2:18" ht="21" customHeight="1">
      <c r="B22" s="42"/>
      <c r="C22" s="42"/>
      <c r="D22" s="42"/>
      <c r="E22" s="42"/>
      <c r="F22" s="42"/>
      <c r="G22" s="42"/>
      <c r="H22" s="42"/>
      <c r="M22" s="309"/>
      <c r="N22" s="309"/>
      <c r="O22" s="309"/>
      <c r="P22" s="309"/>
      <c r="Q22" s="309"/>
      <c r="R22" s="309"/>
    </row>
    <row r="23" spans="2:18" ht="21" customHeight="1">
      <c r="B23" s="42"/>
      <c r="C23" s="42"/>
      <c r="D23" s="42"/>
      <c r="E23" s="42"/>
      <c r="F23" s="42"/>
      <c r="G23" s="42"/>
      <c r="H23" s="42"/>
      <c r="M23" s="309"/>
      <c r="N23" s="309"/>
      <c r="O23" s="309"/>
      <c r="P23" s="309"/>
      <c r="Q23" s="309"/>
      <c r="R23" s="309"/>
    </row>
    <row r="24" spans="2:18" ht="21" customHeight="1">
      <c r="B24" s="42"/>
      <c r="C24" s="42"/>
      <c r="D24" s="42"/>
      <c r="E24" s="42"/>
      <c r="F24" s="42"/>
      <c r="G24" s="42"/>
      <c r="H24" s="42"/>
      <c r="M24" s="309"/>
      <c r="N24" s="309"/>
      <c r="O24" s="309"/>
      <c r="P24" s="309"/>
      <c r="Q24" s="309"/>
      <c r="R24" s="309"/>
    </row>
    <row r="25" spans="2:18" ht="21" customHeight="1">
      <c r="M25" s="309"/>
      <c r="N25" s="309"/>
      <c r="O25" s="309"/>
      <c r="P25" s="309"/>
      <c r="Q25" s="309"/>
      <c r="R25" s="309"/>
    </row>
    <row r="26" spans="2:18" ht="21" customHeight="1">
      <c r="B26" s="1544"/>
      <c r="C26" s="1544"/>
      <c r="D26" s="1544"/>
      <c r="E26" s="1544"/>
      <c r="F26" s="1544"/>
      <c r="G26" s="1544"/>
      <c r="H26" s="1544"/>
      <c r="M26" s="309"/>
      <c r="N26" s="309"/>
      <c r="O26" s="309"/>
      <c r="P26" s="309"/>
      <c r="Q26" s="309"/>
      <c r="R26" s="309"/>
    </row>
    <row r="27" spans="2:18" ht="21" customHeight="1">
      <c r="B27" s="1545"/>
      <c r="C27" s="1545"/>
      <c r="D27" s="1545"/>
      <c r="E27" s="1545"/>
      <c r="F27" s="1545"/>
      <c r="G27" s="1545"/>
      <c r="H27" s="1545"/>
    </row>
    <row r="28" spans="2:18" ht="30" customHeight="1">
      <c r="B28" s="1552"/>
      <c r="C28" s="1552"/>
      <c r="D28" s="1552"/>
      <c r="E28" s="1552"/>
      <c r="F28" s="1552"/>
      <c r="G28" s="1546"/>
      <c r="H28" s="1546"/>
    </row>
    <row r="29" spans="2:18" ht="21" customHeight="1">
      <c r="B29" s="1545"/>
      <c r="C29" s="1545"/>
      <c r="D29" s="1545"/>
      <c r="E29" s="1545"/>
      <c r="F29" s="1547"/>
      <c r="G29" s="1548"/>
      <c r="H29" s="1127"/>
    </row>
    <row r="30" spans="2:18" ht="21" customHeight="1">
      <c r="B30" s="1545"/>
      <c r="C30" s="1545"/>
      <c r="D30" s="1545"/>
      <c r="E30" s="1545"/>
      <c r="F30" s="1547"/>
      <c r="G30" s="1549"/>
      <c r="H30" s="1127"/>
    </row>
    <row r="31" spans="2:18" ht="21" customHeight="1">
      <c r="B31" s="1545"/>
      <c r="C31" s="1545"/>
      <c r="D31" s="1545"/>
      <c r="E31" s="1545"/>
      <c r="F31" s="1547"/>
      <c r="G31" s="1548"/>
      <c r="H31" s="1127"/>
    </row>
    <row r="32" spans="2:18" ht="21" customHeight="1">
      <c r="B32" s="1545"/>
      <c r="C32" s="1545"/>
      <c r="D32" s="1545"/>
      <c r="E32" s="1545"/>
      <c r="F32" s="1547"/>
      <c r="G32" s="1549"/>
      <c r="H32" s="1127"/>
    </row>
    <row r="33" spans="2:8" ht="21" customHeight="1">
      <c r="B33" s="1545"/>
      <c r="C33" s="1545"/>
      <c r="D33" s="1545"/>
      <c r="E33" s="1545"/>
      <c r="F33" s="1547"/>
      <c r="G33" s="1548"/>
      <c r="H33" s="1127"/>
    </row>
    <row r="34" spans="2:8" ht="21" customHeight="1">
      <c r="B34" s="1545"/>
      <c r="C34" s="1545"/>
      <c r="D34" s="1545"/>
      <c r="E34" s="1545"/>
      <c r="F34" s="1547"/>
      <c r="G34" s="1550"/>
      <c r="H34" s="1548"/>
    </row>
    <row r="35" spans="2:8" ht="21" customHeight="1">
      <c r="B35" s="1545"/>
      <c r="C35" s="1545"/>
      <c r="D35" s="1545"/>
      <c r="E35" s="1545"/>
      <c r="F35" s="1547"/>
      <c r="G35" s="1550"/>
      <c r="H35" s="1548"/>
    </row>
    <row r="36" spans="2:8" ht="21" customHeight="1">
      <c r="B36" s="1545"/>
      <c r="C36" s="1545"/>
      <c r="D36" s="1545"/>
      <c r="E36" s="1545"/>
      <c r="F36" s="1547"/>
      <c r="G36" s="1550"/>
      <c r="H36" s="1548"/>
    </row>
    <row r="37" spans="2:8" ht="21" customHeight="1">
      <c r="B37" s="1551"/>
      <c r="C37" s="1545"/>
      <c r="D37" s="1545"/>
      <c r="E37" s="1545"/>
      <c r="F37" s="1545"/>
      <c r="G37" s="1127"/>
      <c r="H37" s="1127"/>
    </row>
    <row r="38" spans="2:8" ht="21" customHeight="1">
      <c r="B38" s="1545"/>
      <c r="C38" s="1545"/>
      <c r="D38" s="1545"/>
      <c r="E38" s="1545"/>
      <c r="F38" s="1545"/>
      <c r="G38" s="1545"/>
      <c r="H38" s="1545"/>
    </row>
    <row r="40" spans="2:8">
      <c r="B40" s="1"/>
      <c r="C40" s="1"/>
      <c r="D40" s="1"/>
      <c r="E40" s="1"/>
      <c r="F40" s="1"/>
      <c r="G40" s="1"/>
      <c r="H40" s="1"/>
    </row>
    <row r="41" spans="2:8">
      <c r="B41" s="1"/>
      <c r="C41" s="1"/>
      <c r="D41" s="1"/>
      <c r="E41" s="1"/>
      <c r="F41" s="1"/>
      <c r="G41" s="1"/>
      <c r="H41" s="1"/>
    </row>
    <row r="42" spans="2:8">
      <c r="B42" s="1"/>
      <c r="C42" s="1"/>
      <c r="D42" s="1"/>
      <c r="E42" s="1"/>
      <c r="F42" s="1"/>
      <c r="G42" s="1"/>
      <c r="H42" s="1"/>
    </row>
    <row r="43" spans="2:8">
      <c r="B43" s="1"/>
      <c r="C43" s="1"/>
      <c r="D43" s="1"/>
      <c r="E43" s="1"/>
      <c r="F43" s="1"/>
      <c r="G43" s="1"/>
      <c r="H43" s="1"/>
    </row>
    <row r="44" spans="2:8">
      <c r="B44" s="1"/>
      <c r="C44" s="1"/>
      <c r="D44" s="1"/>
      <c r="E44" s="1"/>
      <c r="F44" s="1"/>
      <c r="G44" s="1"/>
      <c r="H44" s="1"/>
    </row>
    <row r="45" spans="2:8">
      <c r="B45" s="1"/>
      <c r="C45" s="1"/>
      <c r="D45" s="1"/>
      <c r="E45" s="1"/>
      <c r="F45" s="1"/>
      <c r="G45" s="1"/>
      <c r="H45" s="1"/>
    </row>
    <row r="46" spans="2:8">
      <c r="B46" s="1"/>
      <c r="C46" s="1"/>
      <c r="D46" s="1"/>
      <c r="E46" s="1"/>
      <c r="F46" s="1"/>
      <c r="G46" s="1"/>
      <c r="H46" s="1"/>
    </row>
    <row r="47" spans="2:8">
      <c r="B47" s="1"/>
      <c r="C47" s="1"/>
      <c r="D47" s="1"/>
      <c r="E47" s="1"/>
      <c r="F47" s="1"/>
      <c r="G47" s="1"/>
      <c r="H47" s="1"/>
    </row>
    <row r="48" spans="2:8">
      <c r="B48" s="1"/>
      <c r="C48" s="1"/>
      <c r="D48" s="1"/>
      <c r="E48" s="1"/>
      <c r="F48" s="1"/>
      <c r="G48" s="1"/>
      <c r="H48" s="1"/>
    </row>
    <row r="50" spans="2:8" ht="13.8">
      <c r="B50" s="1618" t="s">
        <v>255</v>
      </c>
      <c r="C50" s="1618"/>
      <c r="D50" s="1618"/>
      <c r="E50" s="1618"/>
      <c r="F50" s="1618"/>
      <c r="G50" s="1618"/>
      <c r="H50" s="1618"/>
    </row>
  </sheetData>
  <sheetProtection algorithmName="SHA-512" hashValue="qFY5ilAoPXcNBtNq9B1FHT9E34UUSxYpevrc7p/a1SuCG/wfsfYJTUpapD6wTg1Ndb4DO1CflqSMW32MeNaBqg==" saltValue="i2U7sL9NB8UAmAQPfglQhg==" spinCount="100000" sheet="1" objects="1" scenarios="1"/>
  <mergeCells count="3">
    <mergeCell ref="B7:F7"/>
    <mergeCell ref="B50:H50"/>
    <mergeCell ref="B5:H5"/>
  </mergeCells>
  <phoneticPr fontId="0" type="noConversion"/>
  <pageMargins left="0.25" right="0.25" top="0.5" bottom="0.5" header="0.25" footer="0.25"/>
  <pageSetup paperSize="5" orientation="portrait"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dimension ref="B5:P52"/>
  <sheetViews>
    <sheetView topLeftCell="A16" zoomScaleNormal="100" workbookViewId="0">
      <selection activeCell="G41" sqref="G41"/>
    </sheetView>
  </sheetViews>
  <sheetFormatPr defaultRowHeight="13.2"/>
  <cols>
    <col min="1" max="1" width="4.6640625" customWidth="1"/>
    <col min="2" max="2" width="4.88671875" customWidth="1"/>
    <col min="3" max="4" width="4.6640625" customWidth="1"/>
    <col min="5" max="5" width="33.6640625" customWidth="1"/>
    <col min="6" max="6" width="15.6640625" customWidth="1"/>
    <col min="7" max="8" width="16.6640625" customWidth="1"/>
    <col min="9" max="9" width="13.88671875" bestFit="1" customWidth="1"/>
    <col min="10" max="10" width="12.88671875" bestFit="1" customWidth="1"/>
    <col min="11" max="11" width="10.33203125" bestFit="1" customWidth="1"/>
  </cols>
  <sheetData>
    <row r="5" spans="2:16" ht="22.8">
      <c r="B5" s="1665" t="s">
        <v>691</v>
      </c>
      <c r="C5" s="1665"/>
      <c r="D5" s="1665"/>
      <c r="E5" s="1665"/>
      <c r="F5" s="1665"/>
      <c r="G5" s="1665"/>
      <c r="H5" s="1665"/>
      <c r="I5" s="679"/>
    </row>
    <row r="6" spans="2:16" ht="13.5" customHeight="1">
      <c r="B6" s="1731" t="s">
        <v>692</v>
      </c>
      <c r="C6" s="1731"/>
      <c r="D6" s="1731"/>
      <c r="E6" s="1731"/>
      <c r="F6" s="1731"/>
      <c r="G6" s="1731"/>
      <c r="H6" s="1731"/>
    </row>
    <row r="7" spans="2:16" ht="13.8" thickBot="1"/>
    <row r="8" spans="2:16" ht="36" customHeight="1" thickTop="1" thickBot="1">
      <c r="B8" s="1668"/>
      <c r="C8" s="1668"/>
      <c r="D8" s="1668"/>
      <c r="E8" s="1668"/>
      <c r="F8" s="1669"/>
      <c r="G8" s="4" t="s">
        <v>96</v>
      </c>
      <c r="H8" s="3" t="s">
        <v>97</v>
      </c>
    </row>
    <row r="9" spans="2:16" ht="21" customHeight="1" thickTop="1">
      <c r="B9" s="309" t="str">
        <f>'13-Other Taxes'!B8</f>
        <v>Balance - January 1, 2021</v>
      </c>
      <c r="C9" s="309"/>
      <c r="D9" s="309"/>
      <c r="E9" s="309"/>
      <c r="F9" s="309"/>
      <c r="G9" s="162" t="s">
        <v>301</v>
      </c>
      <c r="H9" s="163" t="s">
        <v>690</v>
      </c>
    </row>
    <row r="10" spans="2:16" ht="21" customHeight="1">
      <c r="B10" s="310"/>
      <c r="C10" s="310" t="s">
        <v>252</v>
      </c>
      <c r="D10" s="310"/>
      <c r="E10" s="310"/>
      <c r="F10" s="48"/>
      <c r="G10" s="142" t="s">
        <v>301</v>
      </c>
      <c r="H10" s="550">
        <v>0</v>
      </c>
      <c r="K10" s="309"/>
      <c r="L10" s="309"/>
      <c r="M10" s="309"/>
      <c r="N10" s="309"/>
      <c r="O10" s="309"/>
      <c r="P10" s="309"/>
    </row>
    <row r="11" spans="2:16">
      <c r="B11" s="7"/>
      <c r="C11" s="7" t="s">
        <v>253</v>
      </c>
      <c r="D11" s="7"/>
      <c r="E11" s="7"/>
      <c r="F11" s="51"/>
      <c r="G11" s="164"/>
      <c r="H11" s="923"/>
      <c r="K11" s="309"/>
      <c r="L11" s="309"/>
      <c r="M11" s="309"/>
      <c r="N11" s="309"/>
      <c r="O11" s="309"/>
      <c r="P11" s="309"/>
    </row>
    <row r="12" spans="2:16">
      <c r="B12" s="272"/>
      <c r="C12" s="272" t="str">
        <f>'13-Other Taxes'!C11</f>
        <v>(Not in excess of  50% of Levy - 2020 - 2021)</v>
      </c>
      <c r="D12" s="272"/>
      <c r="E12" s="272"/>
      <c r="F12" s="52"/>
      <c r="G12" s="154" t="s">
        <v>301</v>
      </c>
      <c r="H12" s="895"/>
      <c r="K12" s="356"/>
      <c r="L12" s="309"/>
      <c r="M12" s="309"/>
      <c r="N12" s="309"/>
      <c r="O12" s="309"/>
      <c r="P12" s="309"/>
    </row>
    <row r="13" spans="2:16" ht="21" customHeight="1">
      <c r="B13" s="310" t="str">
        <f>'13-Other Taxes'!B12</f>
        <v>Levy School Year July 1, 2021 - June 30, 2022</v>
      </c>
      <c r="C13" s="310"/>
      <c r="D13" s="310"/>
      <c r="E13" s="310"/>
      <c r="F13" s="48"/>
      <c r="G13" s="142" t="s">
        <v>301</v>
      </c>
      <c r="H13" s="550"/>
      <c r="K13" s="309"/>
      <c r="L13" s="309"/>
      <c r="M13" s="309"/>
      <c r="N13" s="309"/>
      <c r="O13" s="309"/>
      <c r="P13" s="309"/>
    </row>
    <row r="14" spans="2:16" ht="21" customHeight="1">
      <c r="B14" s="310" t="str">
        <f>'13-Other Taxes'!B13</f>
        <v>Levy Calendar Year 2021</v>
      </c>
      <c r="C14" s="310"/>
      <c r="D14" s="310"/>
      <c r="E14" s="310"/>
      <c r="F14" s="48"/>
      <c r="G14" s="142" t="s">
        <v>301</v>
      </c>
      <c r="H14" s="550"/>
      <c r="K14" s="309"/>
      <c r="L14" s="723" t="s">
        <v>3478</v>
      </c>
      <c r="M14" s="309"/>
      <c r="N14" s="309"/>
      <c r="O14" s="309"/>
      <c r="P14" s="309"/>
    </row>
    <row r="15" spans="2:16" ht="21" customHeight="1">
      <c r="B15" s="310" t="s">
        <v>254</v>
      </c>
      <c r="C15" s="310"/>
      <c r="D15" s="310"/>
      <c r="E15" s="310"/>
      <c r="F15" s="48"/>
      <c r="G15" s="353"/>
      <c r="H15" s="123" t="s">
        <v>690</v>
      </c>
      <c r="K15" s="309"/>
      <c r="L15" s="309"/>
      <c r="M15" s="309"/>
      <c r="N15" s="309"/>
      <c r="O15" s="309"/>
      <c r="P15" s="309"/>
    </row>
    <row r="16" spans="2:16" ht="21" customHeight="1">
      <c r="B16" s="310" t="str">
        <f>'13-Other Taxes'!B15</f>
        <v>Balance - December 31, 2021</v>
      </c>
      <c r="C16" s="310"/>
      <c r="D16" s="310"/>
      <c r="E16" s="310"/>
      <c r="F16" s="48"/>
      <c r="G16" s="926" t="s">
        <v>301</v>
      </c>
      <c r="H16" s="123" t="s">
        <v>690</v>
      </c>
      <c r="K16" s="309"/>
      <c r="L16" s="309"/>
      <c r="M16" s="309"/>
      <c r="N16" s="309"/>
      <c r="O16" s="309"/>
      <c r="P16" s="309"/>
    </row>
    <row r="17" spans="2:16" ht="21" customHeight="1">
      <c r="B17" s="310"/>
      <c r="C17" s="310" t="s">
        <v>252</v>
      </c>
      <c r="D17" s="310"/>
      <c r="E17" s="310"/>
      <c r="F17" s="48"/>
      <c r="G17" s="800">
        <f>+H10+H12+H13+H14-G15-G19</f>
        <v>0</v>
      </c>
      <c r="H17" s="123" t="s">
        <v>690</v>
      </c>
      <c r="K17" s="309"/>
      <c r="L17" s="309"/>
      <c r="M17" s="309"/>
      <c r="N17" s="309"/>
      <c r="O17" s="309"/>
      <c r="P17" s="309"/>
    </row>
    <row r="18" spans="2:16">
      <c r="B18" s="7"/>
      <c r="C18" s="7" t="s">
        <v>253</v>
      </c>
      <c r="D18" s="7"/>
      <c r="E18" s="7"/>
      <c r="F18" s="51"/>
      <c r="G18" s="927"/>
      <c r="H18" s="71"/>
      <c r="K18" s="309"/>
      <c r="L18" s="309"/>
      <c r="M18" s="309"/>
      <c r="N18" s="309"/>
      <c r="O18" s="309"/>
      <c r="P18" s="309"/>
    </row>
    <row r="19" spans="2:16" ht="12.75" customHeight="1">
      <c r="B19" s="272"/>
      <c r="C19" s="272" t="str">
        <f>'13-Other Taxes'!C18</f>
        <v>(Not in excess of 50% of Levy - 2021 - 2022)</v>
      </c>
      <c r="D19" s="272"/>
      <c r="E19" s="272"/>
      <c r="F19" s="52"/>
      <c r="G19" s="929"/>
      <c r="H19" s="124" t="s">
        <v>690</v>
      </c>
      <c r="K19" s="309"/>
      <c r="L19" s="309"/>
      <c r="M19" s="309"/>
      <c r="N19" s="309"/>
      <c r="O19" s="309"/>
      <c r="P19" s="309"/>
    </row>
    <row r="20" spans="2:16" ht="21" customHeight="1" thickBot="1">
      <c r="B20" s="44" t="s">
        <v>300</v>
      </c>
      <c r="C20" s="7"/>
      <c r="D20" s="7"/>
      <c r="E20" s="7"/>
      <c r="F20" s="7"/>
      <c r="G20" s="97">
        <f>SUM(G15:G19)</f>
        <v>0</v>
      </c>
      <c r="H20" s="78">
        <f>SUM(H9:H19)</f>
        <v>0</v>
      </c>
      <c r="K20" s="309"/>
      <c r="L20" s="309"/>
      <c r="M20" s="309"/>
      <c r="N20" s="309"/>
      <c r="O20" s="309"/>
      <c r="P20" s="309"/>
    </row>
    <row r="21" spans="2:16" ht="12.75" customHeight="1" thickTop="1">
      <c r="B21" s="42"/>
      <c r="C21" s="44"/>
      <c r="D21" s="42"/>
      <c r="E21" s="42"/>
      <c r="F21" s="42"/>
      <c r="G21" s="11"/>
      <c r="H21" s="11"/>
      <c r="K21" s="309"/>
      <c r="L21" s="309"/>
      <c r="M21" s="309"/>
      <c r="N21" s="309"/>
      <c r="O21" s="309"/>
      <c r="P21" s="309"/>
    </row>
    <row r="22" spans="2:16" ht="12.75" customHeight="1">
      <c r="B22" s="44"/>
      <c r="C22" s="42"/>
      <c r="D22" s="42"/>
      <c r="E22" s="42"/>
      <c r="F22" s="42"/>
      <c r="G22" s="42"/>
      <c r="H22" s="42"/>
      <c r="K22" s="309"/>
      <c r="L22" s="309"/>
      <c r="M22" s="309"/>
      <c r="N22" s="309"/>
      <c r="O22" s="309"/>
      <c r="P22" s="309"/>
    </row>
    <row r="23" spans="2:16" ht="21" customHeight="1">
      <c r="B23" s="42"/>
      <c r="C23" s="42"/>
      <c r="D23" s="42"/>
      <c r="E23" s="42"/>
      <c r="F23" s="42"/>
      <c r="G23" s="42"/>
      <c r="H23" s="42"/>
      <c r="K23" s="309"/>
      <c r="L23" s="309"/>
      <c r="M23" s="309"/>
      <c r="N23" s="309"/>
      <c r="O23" s="309"/>
      <c r="P23" s="309"/>
    </row>
    <row r="24" spans="2:16" ht="21" customHeight="1">
      <c r="B24" s="42"/>
      <c r="C24" s="42"/>
      <c r="D24" s="42"/>
      <c r="E24" s="42"/>
      <c r="F24" s="42"/>
      <c r="G24" s="42"/>
      <c r="H24" s="42"/>
      <c r="K24" s="309"/>
      <c r="L24" s="309"/>
      <c r="M24" s="309"/>
      <c r="N24" s="309"/>
      <c r="O24" s="309"/>
      <c r="P24" s="309"/>
    </row>
    <row r="25" spans="2:16" ht="21" customHeight="1">
      <c r="B25" s="42"/>
      <c r="C25" s="42"/>
      <c r="D25" s="42"/>
      <c r="E25" s="42"/>
      <c r="F25" s="42"/>
      <c r="G25" s="42"/>
      <c r="H25" s="42"/>
    </row>
    <row r="26" spans="2:16" ht="21" customHeight="1"/>
    <row r="27" spans="2:16" ht="21" customHeight="1">
      <c r="B27" s="1665" t="s">
        <v>693</v>
      </c>
      <c r="C27" s="1665"/>
      <c r="D27" s="1665"/>
      <c r="E27" s="1665"/>
      <c r="F27" s="1665"/>
      <c r="G27" s="1665"/>
      <c r="H27" s="1665"/>
    </row>
    <row r="28" spans="2:16" ht="21" customHeight="1" thickBot="1"/>
    <row r="29" spans="2:16" ht="30" customHeight="1" thickTop="1" thickBot="1">
      <c r="B29" s="1668"/>
      <c r="C29" s="1668"/>
      <c r="D29" s="1668"/>
      <c r="E29" s="1668"/>
      <c r="F29" s="1669"/>
      <c r="G29" s="4" t="s">
        <v>96</v>
      </c>
      <c r="H29" s="3" t="s">
        <v>97</v>
      </c>
    </row>
    <row r="30" spans="2:16" ht="21" customHeight="1" thickTop="1">
      <c r="B30" s="309" t="str">
        <f>'13-Other Taxes'!B8</f>
        <v>Balance - January 1, 2021</v>
      </c>
      <c r="C30" s="309"/>
      <c r="D30" s="309"/>
      <c r="E30" s="309"/>
      <c r="F30" s="309"/>
      <c r="G30" s="162" t="s">
        <v>301</v>
      </c>
      <c r="H30" s="163" t="s">
        <v>690</v>
      </c>
    </row>
    <row r="31" spans="2:16" ht="21" customHeight="1">
      <c r="B31" s="310"/>
      <c r="C31" s="310" t="s">
        <v>252</v>
      </c>
      <c r="D31" s="310"/>
      <c r="E31" s="310"/>
      <c r="F31" s="48"/>
      <c r="G31" s="142" t="s">
        <v>301</v>
      </c>
      <c r="H31" s="550">
        <v>1321291.28</v>
      </c>
    </row>
    <row r="32" spans="2:16">
      <c r="B32" s="7"/>
      <c r="C32" s="7" t="s">
        <v>253</v>
      </c>
      <c r="D32" s="7"/>
      <c r="E32" s="7"/>
      <c r="F32" s="51"/>
      <c r="G32" s="303"/>
      <c r="H32" s="923"/>
    </row>
    <row r="33" spans="2:12" ht="12.75" customHeight="1">
      <c r="B33" s="272"/>
      <c r="C33" s="272" t="str">
        <f>C12</f>
        <v>(Not in excess of  50% of Levy - 2020 - 2021)</v>
      </c>
      <c r="D33" s="272"/>
      <c r="E33" s="272"/>
      <c r="F33" s="52"/>
      <c r="G33" s="302" t="s">
        <v>301</v>
      </c>
      <c r="H33" s="895">
        <v>238358.08</v>
      </c>
    </row>
    <row r="34" spans="2:12" ht="21" customHeight="1">
      <c r="B34" s="310" t="str">
        <f>B13</f>
        <v>Levy School Year July 1, 2021 - June 30, 2022</v>
      </c>
      <c r="C34" s="310"/>
      <c r="D34" s="310"/>
      <c r="E34" s="310"/>
      <c r="F34" s="48"/>
      <c r="G34" s="297" t="s">
        <v>301</v>
      </c>
      <c r="H34" s="550">
        <v>3103402</v>
      </c>
      <c r="K34" s="218"/>
    </row>
    <row r="35" spans="2:12" ht="21" customHeight="1">
      <c r="B35" s="310" t="str">
        <f>B14</f>
        <v>Levy Calendar Year 2021</v>
      </c>
      <c r="C35" s="310"/>
      <c r="D35" s="310"/>
      <c r="E35" s="310"/>
      <c r="F35" s="48"/>
      <c r="G35" s="297" t="s">
        <v>301</v>
      </c>
      <c r="H35" s="550"/>
      <c r="L35" s="723" t="s">
        <v>3478</v>
      </c>
    </row>
    <row r="36" spans="2:12" ht="21" customHeight="1">
      <c r="B36" s="310" t="s">
        <v>254</v>
      </c>
      <c r="C36" s="310"/>
      <c r="D36" s="310"/>
      <c r="E36" s="310"/>
      <c r="F36" s="48"/>
      <c r="G36" s="353">
        <v>3111347.5</v>
      </c>
      <c r="H36" s="254" t="s">
        <v>690</v>
      </c>
    </row>
    <row r="37" spans="2:12" ht="21" customHeight="1">
      <c r="B37" s="310" t="str">
        <f>'13-Other Taxes'!B15</f>
        <v>Balance - December 31, 2021</v>
      </c>
      <c r="C37" s="310"/>
      <c r="D37" s="310"/>
      <c r="E37" s="310"/>
      <c r="F37" s="48"/>
      <c r="G37" s="297" t="s">
        <v>301</v>
      </c>
      <c r="H37" s="254" t="s">
        <v>690</v>
      </c>
    </row>
    <row r="38" spans="2:12" ht="21" customHeight="1">
      <c r="B38" s="310"/>
      <c r="C38" s="310" t="s">
        <v>252</v>
      </c>
      <c r="D38" s="310"/>
      <c r="E38" s="310"/>
      <c r="F38" s="48"/>
      <c r="G38" s="928">
        <f>+H31+H33+H34+H35-G36-G40</f>
        <v>1313345.7800000003</v>
      </c>
      <c r="H38" s="123" t="s">
        <v>690</v>
      </c>
    </row>
    <row r="39" spans="2:12">
      <c r="B39" s="7"/>
      <c r="C39" s="7" t="s">
        <v>253</v>
      </c>
      <c r="D39" s="7"/>
      <c r="E39" s="7"/>
      <c r="F39" s="51"/>
      <c r="G39" s="927"/>
      <c r="H39" s="165"/>
    </row>
    <row r="40" spans="2:12" ht="12.75" customHeight="1">
      <c r="B40" s="272"/>
      <c r="C40" s="272" t="str">
        <f>C19</f>
        <v>(Not in excess of 50% of Levy - 2021 - 2022)</v>
      </c>
      <c r="D40" s="272"/>
      <c r="E40" s="272"/>
      <c r="F40" s="52"/>
      <c r="G40" s="929">
        <v>238358.08</v>
      </c>
      <c r="H40" s="124" t="s">
        <v>690</v>
      </c>
    </row>
    <row r="41" spans="2:12" ht="21" customHeight="1" thickBot="1">
      <c r="B41" s="43" t="s">
        <v>300</v>
      </c>
      <c r="C41" s="7"/>
      <c r="D41" s="7"/>
      <c r="E41" s="7"/>
      <c r="F41" s="7"/>
      <c r="G41" s="97">
        <f>SUM(G34:G40)</f>
        <v>4663051.3600000003</v>
      </c>
      <c r="H41" s="78">
        <f>SUM(H30:H40)</f>
        <v>4663051.3600000003</v>
      </c>
    </row>
    <row r="42" spans="2:12" ht="21" customHeight="1" thickTop="1">
      <c r="B42" s="42"/>
      <c r="C42" s="42"/>
      <c r="D42" s="42"/>
      <c r="E42" s="42"/>
      <c r="F42" s="42"/>
      <c r="G42" s="11"/>
      <c r="H42" s="11"/>
    </row>
    <row r="44" spans="2:12">
      <c r="B44" s="1"/>
      <c r="C44" s="1"/>
      <c r="D44" s="1"/>
      <c r="E44" s="1"/>
      <c r="F44" s="1"/>
      <c r="G44" s="1"/>
      <c r="H44" s="1"/>
    </row>
    <row r="45" spans="2:12">
      <c r="B45" s="1"/>
      <c r="C45" s="1"/>
      <c r="D45" s="1"/>
      <c r="E45" s="1"/>
      <c r="F45" s="1"/>
      <c r="G45" s="1"/>
      <c r="H45" s="1"/>
    </row>
    <row r="46" spans="2:12">
      <c r="B46" s="1"/>
      <c r="C46" s="1"/>
      <c r="D46" s="1"/>
      <c r="E46" s="1"/>
      <c r="F46" s="1"/>
      <c r="G46" s="1"/>
      <c r="H46" s="1"/>
    </row>
    <row r="47" spans="2:12">
      <c r="B47" s="1"/>
      <c r="C47" s="1"/>
      <c r="D47" s="1"/>
      <c r="E47" s="1"/>
      <c r="F47" s="1"/>
      <c r="G47" s="1"/>
      <c r="H47" s="1"/>
    </row>
    <row r="48" spans="2:12">
      <c r="B48" s="1"/>
      <c r="C48" s="1"/>
      <c r="D48" s="1"/>
      <c r="E48" s="1"/>
      <c r="F48" s="1"/>
      <c r="G48" s="1"/>
      <c r="H48" s="1"/>
    </row>
    <row r="49" spans="2:8">
      <c r="B49" s="1"/>
      <c r="C49" s="1"/>
      <c r="D49" s="1"/>
      <c r="E49" s="1"/>
      <c r="F49" s="1"/>
      <c r="G49" s="1"/>
      <c r="H49" s="1"/>
    </row>
    <row r="50" spans="2:8">
      <c r="B50" s="1"/>
      <c r="C50" s="1"/>
      <c r="D50" s="1"/>
      <c r="E50" s="1"/>
      <c r="F50" s="1"/>
      <c r="G50" s="1"/>
      <c r="H50" s="1"/>
    </row>
    <row r="52" spans="2:8" ht="13.8">
      <c r="B52" s="1618" t="s">
        <v>694</v>
      </c>
      <c r="C52" s="1618"/>
      <c r="D52" s="1618"/>
      <c r="E52" s="1618"/>
      <c r="F52" s="1618"/>
      <c r="G52" s="1618"/>
      <c r="H52" s="1618"/>
    </row>
  </sheetData>
  <sheetProtection algorithmName="SHA-512" hashValue="CeN0iyl+GW1mAulyohtHZd3Tv+QBAJZ/jVRZIAmObhwAGOzdjpGNNVXyQ9pbo9p04T//pi0QuJiL3AQ2ssRK5w==" saltValue="OtAWn/1djsxa5SsfJFrWhQ==" spinCount="100000" sheet="1" objects="1" scenarios="1"/>
  <mergeCells count="6">
    <mergeCell ref="B8:F8"/>
    <mergeCell ref="B52:H52"/>
    <mergeCell ref="B5:H5"/>
    <mergeCell ref="B27:H27"/>
    <mergeCell ref="B29:F29"/>
    <mergeCell ref="B6:H6"/>
  </mergeCells>
  <phoneticPr fontId="0" type="noConversion"/>
  <pageMargins left="0.25" right="0.25" top="0.5" bottom="0.5" header="0.25" footer="0.25"/>
  <pageSetup paperSize="5" orientation="portrait"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dimension ref="B3:S47"/>
  <sheetViews>
    <sheetView zoomScaleNormal="100" workbookViewId="0">
      <selection activeCell="I38" sqref="I38"/>
    </sheetView>
  </sheetViews>
  <sheetFormatPr defaultRowHeight="13.2"/>
  <cols>
    <col min="1" max="1" width="4.6640625" customWidth="1"/>
    <col min="2" max="2" width="4.88671875" customWidth="1"/>
    <col min="3" max="6" width="4.6640625" customWidth="1"/>
    <col min="7" max="7" width="23.6640625" customWidth="1"/>
    <col min="8" max="8" width="15.6640625" customWidth="1"/>
    <col min="9" max="10" width="16.6640625" customWidth="1"/>
    <col min="11" max="11" width="10.109375" bestFit="1" customWidth="1"/>
  </cols>
  <sheetData>
    <row r="3" spans="2:19" ht="22.8">
      <c r="B3" s="1665" t="s">
        <v>160</v>
      </c>
      <c r="C3" s="1665"/>
      <c r="D3" s="1665"/>
      <c r="E3" s="1665"/>
      <c r="F3" s="1665"/>
      <c r="G3" s="1665"/>
      <c r="H3" s="1665"/>
      <c r="I3" s="1665"/>
      <c r="J3" s="1665"/>
      <c r="K3" s="679"/>
    </row>
    <row r="4" spans="2:19" ht="13.8" thickBot="1"/>
    <row r="5" spans="2:19" ht="36" customHeight="1" thickTop="1" thickBot="1">
      <c r="B5" s="1668"/>
      <c r="C5" s="1668"/>
      <c r="D5" s="1668"/>
      <c r="E5" s="1668"/>
      <c r="F5" s="1668"/>
      <c r="G5" s="1668"/>
      <c r="H5" s="1669"/>
      <c r="I5" s="4" t="s">
        <v>96</v>
      </c>
      <c r="J5" s="3" t="s">
        <v>97</v>
      </c>
    </row>
    <row r="6" spans="2:19" ht="21" customHeight="1" thickTop="1">
      <c r="B6" t="str">
        <f>'13-Other Taxes'!B8</f>
        <v>Balance - January 1, 2021</v>
      </c>
      <c r="I6" s="162" t="s">
        <v>301</v>
      </c>
      <c r="J6" s="163" t="s">
        <v>690</v>
      </c>
    </row>
    <row r="7" spans="2:19" ht="21" customHeight="1">
      <c r="B7" s="5"/>
      <c r="C7" s="5" t="s">
        <v>696</v>
      </c>
      <c r="D7" s="5"/>
      <c r="E7" s="5"/>
      <c r="F7" s="5"/>
      <c r="G7" s="5"/>
      <c r="H7" s="48"/>
      <c r="I7" s="142" t="s">
        <v>301</v>
      </c>
      <c r="J7" s="550">
        <v>0</v>
      </c>
    </row>
    <row r="8" spans="2:19" ht="21" customHeight="1">
      <c r="B8" s="5"/>
      <c r="C8" s="5" t="s">
        <v>697</v>
      </c>
      <c r="D8" s="5"/>
      <c r="E8" s="5"/>
      <c r="F8" s="5"/>
      <c r="G8" s="5"/>
      <c r="H8" s="48"/>
      <c r="I8" s="142" t="s">
        <v>301</v>
      </c>
      <c r="J8" s="550">
        <v>2184.35</v>
      </c>
      <c r="L8" s="279"/>
    </row>
    <row r="9" spans="2:19" ht="21" customHeight="1">
      <c r="B9" s="5"/>
      <c r="C9" s="5"/>
      <c r="D9" s="5"/>
      <c r="E9" s="5"/>
      <c r="F9" s="5"/>
      <c r="G9" s="5"/>
      <c r="H9" s="48"/>
      <c r="I9" s="297"/>
      <c r="J9" s="261"/>
      <c r="N9" s="309"/>
      <c r="O9" s="309"/>
      <c r="P9" s="309"/>
      <c r="Q9" s="309"/>
      <c r="R9" s="309"/>
      <c r="S9" s="309"/>
    </row>
    <row r="10" spans="2:19" ht="21" customHeight="1">
      <c r="B10" s="5" t="str">
        <f>IF('KEY INPUTS'!C42 = "State Fiscal Year", "FY "&amp;'KEY INPUTS'!D33&amp;"", 'KEY INPUTS'!D34)&amp;" Levy:"</f>
        <v>2021 Levy:</v>
      </c>
      <c r="C10" s="5"/>
      <c r="D10" s="288"/>
      <c r="E10" s="5"/>
      <c r="F10" s="5"/>
      <c r="G10" s="5"/>
      <c r="H10" s="48"/>
      <c r="I10" s="297" t="s">
        <v>301</v>
      </c>
      <c r="J10" s="254" t="s">
        <v>690</v>
      </c>
      <c r="N10" s="309"/>
      <c r="O10" s="309"/>
      <c r="P10" s="309"/>
      <c r="Q10" s="309"/>
      <c r="R10" s="309"/>
      <c r="S10" s="309"/>
    </row>
    <row r="11" spans="2:19" ht="21" customHeight="1">
      <c r="B11" s="5"/>
      <c r="C11" s="5" t="s">
        <v>698</v>
      </c>
      <c r="D11" s="5"/>
      <c r="E11" s="5"/>
      <c r="F11" s="5"/>
      <c r="G11" s="5"/>
      <c r="H11" s="48"/>
      <c r="I11" s="297" t="s">
        <v>301</v>
      </c>
      <c r="J11" s="550">
        <v>1441864</v>
      </c>
      <c r="N11" s="356"/>
      <c r="O11" s="309"/>
      <c r="P11" s="309"/>
      <c r="Q11" s="309"/>
      <c r="R11" s="309"/>
      <c r="S11" s="309"/>
    </row>
    <row r="12" spans="2:19" ht="21" customHeight="1">
      <c r="B12" s="5"/>
      <c r="C12" s="5" t="s">
        <v>699</v>
      </c>
      <c r="D12" s="5"/>
      <c r="E12" s="5"/>
      <c r="F12" s="5"/>
      <c r="G12" s="5"/>
      <c r="H12" s="48"/>
      <c r="I12" s="297" t="s">
        <v>301</v>
      </c>
      <c r="J12" s="550">
        <v>0</v>
      </c>
      <c r="N12" s="309"/>
      <c r="O12" s="309"/>
      <c r="P12" s="309"/>
      <c r="Q12" s="309"/>
      <c r="R12" s="309"/>
      <c r="S12" s="309"/>
    </row>
    <row r="13" spans="2:19" ht="21" customHeight="1">
      <c r="B13" s="5"/>
      <c r="C13" s="5" t="s">
        <v>700</v>
      </c>
      <c r="D13" s="5"/>
      <c r="E13" s="5"/>
      <c r="F13" s="5"/>
      <c r="G13" s="5"/>
      <c r="H13" s="48"/>
      <c r="I13" s="297" t="s">
        <v>301</v>
      </c>
      <c r="J13" s="550">
        <v>0</v>
      </c>
      <c r="N13" s="309"/>
      <c r="O13" s="309"/>
      <c r="P13" s="309"/>
      <c r="Q13" s="309"/>
      <c r="R13" s="309"/>
      <c r="S13" s="309"/>
    </row>
    <row r="14" spans="2:19" ht="21" customHeight="1">
      <c r="B14" s="5"/>
      <c r="C14" s="5" t="s">
        <v>701</v>
      </c>
      <c r="D14" s="5"/>
      <c r="E14" s="5"/>
      <c r="F14" s="5"/>
      <c r="G14" s="5"/>
      <c r="H14" s="48"/>
      <c r="I14" s="297" t="s">
        <v>301</v>
      </c>
      <c r="J14" s="550">
        <v>88141</v>
      </c>
      <c r="N14" s="309"/>
      <c r="O14" s="309"/>
      <c r="P14" s="309"/>
      <c r="Q14" s="309"/>
      <c r="R14" s="309"/>
      <c r="S14" s="309"/>
    </row>
    <row r="15" spans="2:19" ht="21" customHeight="1">
      <c r="B15" s="5"/>
      <c r="C15" s="5" t="s">
        <v>697</v>
      </c>
      <c r="D15" s="5"/>
      <c r="E15" s="5"/>
      <c r="F15" s="5"/>
      <c r="G15" s="5"/>
      <c r="H15" s="48"/>
      <c r="I15" s="297" t="s">
        <v>301</v>
      </c>
      <c r="J15" s="550">
        <v>1201.3499999999999</v>
      </c>
      <c r="N15" s="309"/>
      <c r="O15" s="309"/>
      <c r="P15" s="309"/>
      <c r="Q15" s="309"/>
      <c r="R15" s="309"/>
      <c r="S15" s="309"/>
    </row>
    <row r="16" spans="2:19" ht="21" customHeight="1">
      <c r="B16" s="5" t="s">
        <v>254</v>
      </c>
      <c r="C16" s="5"/>
      <c r="D16" s="5"/>
      <c r="E16" s="5"/>
      <c r="F16" s="5"/>
      <c r="G16" s="5"/>
      <c r="H16" s="5"/>
      <c r="I16" s="353">
        <f>1530005+2184.35</f>
        <v>1532189.35</v>
      </c>
      <c r="J16" s="254" t="s">
        <v>690</v>
      </c>
      <c r="K16" s="218"/>
      <c r="N16" s="309"/>
      <c r="O16" s="309"/>
      <c r="P16" s="309"/>
      <c r="Q16" s="309"/>
      <c r="R16" s="309"/>
      <c r="S16" s="309"/>
    </row>
    <row r="17" spans="2:19" ht="21" customHeight="1">
      <c r="B17" s="5" t="str">
        <f>'13-Other Taxes'!B15</f>
        <v>Balance - December 31, 2021</v>
      </c>
      <c r="C17" s="5"/>
      <c r="D17" s="5"/>
      <c r="E17" s="5"/>
      <c r="F17" s="5"/>
      <c r="G17" s="5"/>
      <c r="H17" s="5"/>
      <c r="I17" s="297" t="s">
        <v>301</v>
      </c>
      <c r="J17" s="254" t="s">
        <v>690</v>
      </c>
      <c r="N17" s="309"/>
      <c r="O17" s="309"/>
      <c r="P17" s="309"/>
      <c r="Q17" s="309"/>
      <c r="R17" s="309"/>
      <c r="S17" s="309"/>
    </row>
    <row r="18" spans="2:19" ht="21" customHeight="1">
      <c r="B18" s="5"/>
      <c r="C18" s="5" t="s">
        <v>696</v>
      </c>
      <c r="D18" s="5"/>
      <c r="E18" s="5"/>
      <c r="F18" s="5"/>
      <c r="G18" s="5"/>
      <c r="H18" s="5"/>
      <c r="I18" s="353"/>
      <c r="J18" s="123" t="s">
        <v>690</v>
      </c>
      <c r="N18" s="309"/>
      <c r="O18" s="309"/>
      <c r="P18" s="309"/>
      <c r="Q18" s="309"/>
      <c r="R18" s="309"/>
      <c r="S18" s="309"/>
    </row>
    <row r="19" spans="2:19" ht="21" customHeight="1" thickBot="1">
      <c r="B19" s="5"/>
      <c r="C19" s="5" t="s">
        <v>697</v>
      </c>
      <c r="D19" s="5"/>
      <c r="E19" s="5"/>
      <c r="F19" s="5"/>
      <c r="G19" s="5"/>
      <c r="H19" s="5"/>
      <c r="I19" s="74">
        <f>+J7+J8+J11+J12+J13+J14+J15-I16-I18</f>
        <v>1201.3500000000931</v>
      </c>
      <c r="J19" s="166" t="s">
        <v>690</v>
      </c>
      <c r="K19" s="218"/>
      <c r="N19" s="309"/>
      <c r="O19" s="309"/>
      <c r="P19" s="309"/>
      <c r="Q19" s="309"/>
      <c r="R19" s="309"/>
      <c r="S19" s="309"/>
    </row>
    <row r="20" spans="2:19" ht="21" customHeight="1" thickBot="1">
      <c r="B20" s="44"/>
      <c r="C20" s="7"/>
      <c r="D20" s="7"/>
      <c r="E20" s="7"/>
      <c r="F20" s="7"/>
      <c r="G20" s="7"/>
      <c r="H20" s="7"/>
      <c r="I20" s="77">
        <f>SUM(I6:I19)</f>
        <v>1533390.7000000002</v>
      </c>
      <c r="J20" s="76">
        <f>SUM(J6:J19)</f>
        <v>1533390.7000000002</v>
      </c>
      <c r="K20" s="218"/>
      <c r="N20" s="309"/>
      <c r="O20" s="309"/>
      <c r="P20" s="309"/>
      <c r="Q20" s="309"/>
      <c r="R20" s="309"/>
      <c r="S20" s="309"/>
    </row>
    <row r="21" spans="2:19" ht="12.75" customHeight="1" thickTop="1">
      <c r="B21" s="42"/>
      <c r="C21" s="44"/>
      <c r="D21" s="44"/>
      <c r="E21" s="44"/>
      <c r="F21" s="42"/>
      <c r="G21" s="42"/>
      <c r="H21" s="42"/>
      <c r="I21" s="11"/>
      <c r="J21" s="11"/>
      <c r="N21" s="309"/>
      <c r="O21" s="309"/>
      <c r="P21" s="309"/>
      <c r="Q21" s="309"/>
      <c r="R21" s="309"/>
      <c r="S21" s="309"/>
    </row>
    <row r="22" spans="2:19" ht="12.75" customHeight="1">
      <c r="B22" s="44"/>
      <c r="C22" s="42"/>
      <c r="D22" s="42"/>
      <c r="E22" s="42"/>
      <c r="F22" s="42"/>
      <c r="G22" s="42"/>
      <c r="H22" s="42"/>
      <c r="I22" s="42"/>
      <c r="J22" s="42"/>
      <c r="N22" s="309"/>
      <c r="O22" s="309"/>
      <c r="P22" s="309"/>
      <c r="Q22" s="309"/>
      <c r="R22" s="309"/>
      <c r="S22" s="309"/>
    </row>
    <row r="23" spans="2:19" ht="21" customHeight="1">
      <c r="N23" s="309"/>
      <c r="O23" s="309"/>
      <c r="P23" s="309"/>
      <c r="Q23" s="309"/>
      <c r="R23" s="309"/>
      <c r="S23" s="309"/>
    </row>
    <row r="24" spans="2:19" ht="21" customHeight="1">
      <c r="B24" s="1665" t="s">
        <v>695</v>
      </c>
      <c r="C24" s="1665"/>
      <c r="D24" s="1665"/>
      <c r="E24" s="1665"/>
      <c r="F24" s="1665"/>
      <c r="G24" s="1665"/>
      <c r="H24" s="1665"/>
      <c r="I24" s="1665"/>
      <c r="J24" s="1665"/>
    </row>
    <row r="25" spans="2:19" ht="12.75" customHeight="1" thickBot="1"/>
    <row r="26" spans="2:19" ht="33" customHeight="1" thickTop="1" thickBot="1">
      <c r="B26" s="1668"/>
      <c r="C26" s="1668"/>
      <c r="D26" s="1668"/>
      <c r="E26" s="1668"/>
      <c r="F26" s="1668"/>
      <c r="G26" s="1668"/>
      <c r="H26" s="1669"/>
      <c r="I26" s="4" t="s">
        <v>96</v>
      </c>
      <c r="J26" s="3" t="s">
        <v>97</v>
      </c>
    </row>
    <row r="27" spans="2:19" ht="21" customHeight="1" thickTop="1">
      <c r="B27" t="str">
        <f>B6</f>
        <v>Balance - January 1, 2021</v>
      </c>
      <c r="H27" s="38"/>
      <c r="I27" s="162" t="s">
        <v>301</v>
      </c>
      <c r="J27" s="550">
        <v>0</v>
      </c>
    </row>
    <row r="28" spans="2:19" ht="21" customHeight="1">
      <c r="B28" s="269" t="str">
        <f>TEXT('KEY INPUTS'!D34,"0")&amp;" Levy: (List Each Type of District Tax Separately - See Footnote)"</f>
        <v>2021 Levy: (List Each Type of District Tax Separately - See Footnote)</v>
      </c>
      <c r="C28" s="5"/>
      <c r="D28" s="5"/>
      <c r="E28" s="5"/>
      <c r="F28" s="5"/>
      <c r="G28" s="5"/>
      <c r="H28" s="5"/>
      <c r="I28" s="142" t="s">
        <v>301</v>
      </c>
      <c r="J28" s="930" t="s">
        <v>690</v>
      </c>
    </row>
    <row r="29" spans="2:19" ht="21" customHeight="1">
      <c r="B29" s="5"/>
      <c r="C29" s="538" t="s">
        <v>702</v>
      </c>
      <c r="D29" s="538"/>
      <c r="E29" s="538"/>
      <c r="F29" s="538"/>
      <c r="G29" s="783"/>
      <c r="H29" s="353"/>
      <c r="I29" s="142" t="s">
        <v>301</v>
      </c>
      <c r="J29" s="930" t="s">
        <v>690</v>
      </c>
    </row>
    <row r="30" spans="2:19" ht="21" customHeight="1">
      <c r="B30" s="5"/>
      <c r="C30" s="538" t="s">
        <v>703</v>
      </c>
      <c r="D30" s="538"/>
      <c r="E30" s="538"/>
      <c r="F30" s="538"/>
      <c r="G30" s="783"/>
      <c r="H30" s="353"/>
      <c r="I30" s="142" t="s">
        <v>301</v>
      </c>
      <c r="J30" s="930" t="s">
        <v>690</v>
      </c>
    </row>
    <row r="31" spans="2:19" ht="21" customHeight="1">
      <c r="B31" s="5"/>
      <c r="C31" s="538" t="s">
        <v>704</v>
      </c>
      <c r="D31" s="538"/>
      <c r="E31" s="538"/>
      <c r="F31" s="538"/>
      <c r="G31" s="783"/>
      <c r="H31" s="353"/>
      <c r="I31" s="142" t="s">
        <v>301</v>
      </c>
      <c r="J31" s="930" t="s">
        <v>690</v>
      </c>
    </row>
    <row r="32" spans="2:19" ht="21" customHeight="1">
      <c r="B32" s="30"/>
      <c r="C32" s="354" t="s">
        <v>705</v>
      </c>
      <c r="D32" s="354"/>
      <c r="E32" s="354"/>
      <c r="F32" s="354"/>
      <c r="G32" s="783"/>
      <c r="H32" s="633"/>
      <c r="I32" s="142" t="s">
        <v>301</v>
      </c>
      <c r="J32" s="930" t="s">
        <v>690</v>
      </c>
    </row>
    <row r="33" spans="2:10" ht="21" customHeight="1">
      <c r="B33" s="5"/>
      <c r="C33" s="538"/>
      <c r="D33" s="538"/>
      <c r="E33" s="538"/>
      <c r="F33" s="538"/>
      <c r="G33" s="783"/>
      <c r="H33" s="353"/>
      <c r="I33" s="142" t="s">
        <v>301</v>
      </c>
      <c r="J33" s="930" t="s">
        <v>690</v>
      </c>
    </row>
    <row r="34" spans="2:10" ht="21" customHeight="1">
      <c r="B34" s="5"/>
      <c r="C34" s="538"/>
      <c r="D34" s="538"/>
      <c r="E34" s="538"/>
      <c r="F34" s="538"/>
      <c r="G34" s="538"/>
      <c r="H34" s="353"/>
      <c r="I34" s="142" t="s">
        <v>301</v>
      </c>
      <c r="J34" s="930" t="s">
        <v>690</v>
      </c>
    </row>
    <row r="35" spans="2:10" ht="21" customHeight="1">
      <c r="B35" s="5"/>
      <c r="C35" s="538"/>
      <c r="D35" s="538"/>
      <c r="E35" s="538"/>
      <c r="F35" s="538"/>
      <c r="G35" s="538"/>
      <c r="H35" s="353"/>
      <c r="I35" s="142" t="s">
        <v>301</v>
      </c>
      <c r="J35" s="930" t="s">
        <v>690</v>
      </c>
    </row>
    <row r="36" spans="2:10" ht="21" customHeight="1">
      <c r="B36" s="269" t="str">
        <f>"Total "&amp;TEXT('KEY INPUTS'!D34,"0")&amp;" Levy"</f>
        <v>Total 2021 Levy</v>
      </c>
      <c r="C36" s="5"/>
      <c r="D36" s="5"/>
      <c r="E36" s="5"/>
      <c r="F36" s="5"/>
      <c r="G36" s="5"/>
      <c r="H36" s="48"/>
      <c r="I36" s="142" t="s">
        <v>301</v>
      </c>
      <c r="J36" s="632">
        <f>SUM(H29:H35)</f>
        <v>0</v>
      </c>
    </row>
    <row r="37" spans="2:10" ht="21" customHeight="1">
      <c r="B37" s="5" t="s">
        <v>254</v>
      </c>
      <c r="C37" s="5"/>
      <c r="D37" s="5"/>
      <c r="E37" s="5"/>
      <c r="F37" s="5"/>
      <c r="G37" s="5"/>
      <c r="H37" s="48"/>
      <c r="I37" s="353">
        <v>0</v>
      </c>
      <c r="J37" s="930" t="s">
        <v>690</v>
      </c>
    </row>
    <row r="38" spans="2:10" ht="21" customHeight="1" thickBot="1">
      <c r="B38" s="5" t="str">
        <f>B17</f>
        <v>Balance - December 31, 2021</v>
      </c>
      <c r="C38" s="5"/>
      <c r="D38" s="5"/>
      <c r="E38" s="5"/>
      <c r="F38" s="5"/>
      <c r="G38" s="5"/>
      <c r="H38" s="48"/>
      <c r="I38" s="195">
        <f>+J27+J36-I37</f>
        <v>0</v>
      </c>
      <c r="J38" s="931" t="s">
        <v>690</v>
      </c>
    </row>
    <row r="39" spans="2:10" ht="21" customHeight="1" thickBot="1">
      <c r="B39" s="43"/>
      <c r="C39" s="7"/>
      <c r="D39" s="7"/>
      <c r="E39" s="7"/>
      <c r="F39" s="7"/>
      <c r="G39" s="7"/>
      <c r="H39" s="7"/>
      <c r="I39" s="77">
        <f>SUM(I36:I38)</f>
        <v>0</v>
      </c>
      <c r="J39" s="932">
        <f>SUM(J27:J38)</f>
        <v>0</v>
      </c>
    </row>
    <row r="40" spans="2:10" ht="21" customHeight="1" thickTop="1">
      <c r="B40" s="42"/>
      <c r="C40" s="42"/>
      <c r="D40" s="42"/>
      <c r="E40" s="42"/>
      <c r="F40" s="42"/>
      <c r="G40" s="42"/>
      <c r="H40" s="42"/>
      <c r="I40" s="11"/>
      <c r="J40" s="11"/>
    </row>
    <row r="41" spans="2:10">
      <c r="B41" t="s">
        <v>707</v>
      </c>
    </row>
    <row r="42" spans="2:10">
      <c r="B42" s="1"/>
      <c r="C42" s="1"/>
      <c r="D42" s="1"/>
      <c r="E42" s="1"/>
      <c r="F42" s="1"/>
      <c r="G42" s="1"/>
      <c r="H42" s="1"/>
      <c r="I42" s="1"/>
      <c r="J42" s="1"/>
    </row>
    <row r="43" spans="2:10">
      <c r="B43" s="1"/>
      <c r="C43" s="1"/>
      <c r="D43" s="1"/>
      <c r="E43" s="1"/>
      <c r="F43" s="1"/>
      <c r="G43" s="1"/>
      <c r="H43" s="1"/>
      <c r="I43" s="1"/>
      <c r="J43" s="1"/>
    </row>
    <row r="44" spans="2:10">
      <c r="B44" s="1"/>
      <c r="C44" s="1"/>
      <c r="D44" s="1"/>
      <c r="E44" s="1"/>
      <c r="F44" s="1"/>
      <c r="G44" s="1"/>
      <c r="H44" s="1"/>
      <c r="I44" s="1"/>
      <c r="J44" s="1"/>
    </row>
    <row r="45" spans="2:10">
      <c r="B45" s="1"/>
      <c r="C45" s="1"/>
      <c r="D45" s="1"/>
      <c r="E45" s="1"/>
      <c r="F45" s="1"/>
      <c r="G45" s="1"/>
      <c r="H45" s="1"/>
      <c r="I45" s="1"/>
      <c r="J45" s="1"/>
    </row>
    <row r="47" spans="2:10" ht="13.8">
      <c r="B47" s="1618" t="s">
        <v>706</v>
      </c>
      <c r="C47" s="1618"/>
      <c r="D47" s="1618"/>
      <c r="E47" s="1618"/>
      <c r="F47" s="1618"/>
      <c r="G47" s="1618"/>
      <c r="H47" s="1618"/>
      <c r="I47" s="1618"/>
      <c r="J47" s="1618"/>
    </row>
  </sheetData>
  <sheetProtection algorithmName="SHA-512" hashValue="3tZF3MD48/LYoL+bYltWkssCJwvrpGNZ889J2mzEZ8tF3TYJRfjUXjYgM2n+zxNQwzwsp/OYoCf94M9S6BHi5w==" saltValue="iRJFb889J8fgWqpAAigocQ==" spinCount="100000" sheet="1" objects="1" scenarios="1"/>
  <mergeCells count="5">
    <mergeCell ref="B5:H5"/>
    <mergeCell ref="B47:J47"/>
    <mergeCell ref="B3:J3"/>
    <mergeCell ref="B24:J24"/>
    <mergeCell ref="B26:H26"/>
  </mergeCells>
  <phoneticPr fontId="0" type="noConversion"/>
  <pageMargins left="0.25" right="0.25" top="0.5" bottom="0.5" header="0.25" footer="0.25"/>
  <pageSetup paperSize="5" orientation="portrait"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dimension ref="B2:V53"/>
  <sheetViews>
    <sheetView zoomScaleNormal="100" workbookViewId="0">
      <selection activeCell="I11" sqref="I11"/>
    </sheetView>
  </sheetViews>
  <sheetFormatPr defaultRowHeight="13.2"/>
  <cols>
    <col min="1" max="1" width="4.6640625" customWidth="1"/>
    <col min="2" max="3" width="3.6640625" customWidth="1"/>
    <col min="4" max="4" width="4.6640625" customWidth="1"/>
    <col min="6" max="6" width="16.6640625" customWidth="1"/>
    <col min="7" max="7" width="8.6640625" customWidth="1"/>
    <col min="8" max="10" width="16.6640625" customWidth="1"/>
    <col min="11" max="11" width="13.5546875" bestFit="1" customWidth="1"/>
  </cols>
  <sheetData>
    <row r="2" spans="2:22" ht="22.8">
      <c r="B2" s="1665" t="str">
        <f>"STATEMENT OF GENERAL BUDGET REVENUES "&amp;IF('KEY INPUTS'!C42 = "State Fiscal Year", "FY "&amp;'KEY INPUTS'!D33&amp;"", 'KEY INPUTS'!D34)&amp;""</f>
        <v>STATEMENT OF GENERAL BUDGET REVENUES 2021</v>
      </c>
      <c r="C2" s="1665"/>
      <c r="D2" s="1665"/>
      <c r="E2" s="1665"/>
      <c r="F2" s="1665"/>
      <c r="G2" s="1665"/>
      <c r="H2" s="1665"/>
      <c r="I2" s="1665"/>
      <c r="J2" s="1665"/>
      <c r="V2" s="1417" t="str">
        <f>'KEY INPUTS'!F7</f>
        <v>Municipality</v>
      </c>
    </row>
    <row r="3" spans="2:22" ht="13.8" thickBot="1"/>
    <row r="4" spans="2:22" ht="13.8" thickTop="1">
      <c r="B4" s="1736" t="s">
        <v>165</v>
      </c>
      <c r="C4" s="1736"/>
      <c r="D4" s="1736"/>
      <c r="E4" s="1736"/>
      <c r="F4" s="1736"/>
      <c r="G4" s="1737"/>
      <c r="H4" s="12" t="s">
        <v>535</v>
      </c>
      <c r="I4" s="12" t="s">
        <v>637</v>
      </c>
      <c r="J4" s="53" t="s">
        <v>172</v>
      </c>
    </row>
    <row r="5" spans="2:22" ht="14.4" thickBot="1">
      <c r="B5" s="1738"/>
      <c r="C5" s="1738"/>
      <c r="D5" s="1738"/>
      <c r="E5" s="1738"/>
      <c r="F5" s="1738"/>
      <c r="G5" s="1739"/>
      <c r="H5" s="55" t="s">
        <v>169</v>
      </c>
      <c r="I5" s="55" t="s">
        <v>170</v>
      </c>
      <c r="J5" s="54" t="s">
        <v>171</v>
      </c>
      <c r="L5" s="1600" t="s">
        <v>3622</v>
      </c>
    </row>
    <row r="6" spans="2:22" ht="21" customHeight="1" thickTop="1" thickBot="1">
      <c r="B6" s="271" t="s">
        <v>166</v>
      </c>
      <c r="C6" s="271"/>
      <c r="D6" s="271"/>
      <c r="E6" s="271"/>
      <c r="F6" s="271"/>
      <c r="G6" s="57"/>
      <c r="H6" s="980">
        <v>414000</v>
      </c>
      <c r="I6" s="211">
        <f>+H6</f>
        <v>414000</v>
      </c>
      <c r="J6" s="212">
        <f>+I6-H6</f>
        <v>0</v>
      </c>
      <c r="K6" s="312"/>
      <c r="L6" s="1599" t="s">
        <v>3623</v>
      </c>
      <c r="O6" s="1601"/>
      <c r="P6" s="1602"/>
    </row>
    <row r="7" spans="2:22" ht="10.5" customHeight="1">
      <c r="B7" s="34" t="s">
        <v>167</v>
      </c>
      <c r="C7" s="309"/>
      <c r="D7" s="309"/>
      <c r="E7" s="309"/>
      <c r="F7" s="309"/>
      <c r="G7" s="722"/>
      <c r="H7" s="102"/>
      <c r="I7" s="102"/>
      <c r="J7" s="220"/>
    </row>
    <row r="8" spans="2:22" ht="13.8">
      <c r="B8" s="734" t="s">
        <v>3618</v>
      </c>
      <c r="C8" s="272"/>
      <c r="D8" s="272"/>
      <c r="E8" s="272"/>
      <c r="F8" s="272"/>
      <c r="G8" s="58"/>
      <c r="H8" s="561"/>
      <c r="I8" s="561"/>
      <c r="J8" s="221">
        <f>+I8-H8</f>
        <v>0</v>
      </c>
    </row>
    <row r="9" spans="2:22" ht="21" customHeight="1">
      <c r="B9" s="310" t="s">
        <v>173</v>
      </c>
      <c r="C9" s="310"/>
      <c r="D9" s="310"/>
      <c r="E9" s="310"/>
      <c r="F9" s="310"/>
      <c r="G9" s="310"/>
      <c r="H9" s="142" t="s">
        <v>628</v>
      </c>
      <c r="I9" s="142" t="s">
        <v>628</v>
      </c>
      <c r="J9" s="123" t="s">
        <v>628</v>
      </c>
    </row>
    <row r="10" spans="2:22" ht="21" customHeight="1">
      <c r="B10" s="310"/>
      <c r="C10" s="310"/>
      <c r="D10" s="310" t="s">
        <v>174</v>
      </c>
      <c r="E10" s="310"/>
      <c r="F10" s="310"/>
      <c r="G10" s="310"/>
      <c r="H10" s="351">
        <f>884359.2-88200-414000</f>
        <v>382159.19999999995</v>
      </c>
      <c r="I10" s="351">
        <f>413422.99-6065.77</f>
        <v>407357.22</v>
      </c>
      <c r="J10" s="209">
        <f>+I10-H10</f>
        <v>25198.020000000019</v>
      </c>
      <c r="K10" s="312"/>
    </row>
    <row r="11" spans="2:22" ht="21" customHeight="1">
      <c r="B11" s="310"/>
      <c r="C11" s="310"/>
      <c r="D11" s="310" t="s">
        <v>3559</v>
      </c>
      <c r="E11" s="310"/>
      <c r="F11" s="310"/>
      <c r="G11" s="310"/>
      <c r="H11" s="324">
        <f>+'17a Totals-Budget Revenues'!H43</f>
        <v>6065.77</v>
      </c>
      <c r="I11" s="324">
        <f>+H11</f>
        <v>6065.77</v>
      </c>
      <c r="J11" s="209">
        <f>+I11-H11</f>
        <v>0</v>
      </c>
    </row>
    <row r="12" spans="2:22" ht="21" customHeight="1">
      <c r="B12" s="5"/>
      <c r="C12" s="5"/>
      <c r="D12" s="538"/>
      <c r="E12" s="538"/>
      <c r="F12" s="538"/>
      <c r="G12" s="538"/>
      <c r="H12" s="351"/>
      <c r="I12" s="351"/>
      <c r="J12" s="209">
        <f t="shared" ref="J12:J13" si="0">+I12-H12</f>
        <v>0</v>
      </c>
    </row>
    <row r="13" spans="2:22" ht="21" customHeight="1" thickBot="1">
      <c r="B13" s="5"/>
      <c r="C13" s="5"/>
      <c r="D13" s="538"/>
      <c r="E13" s="538"/>
      <c r="F13" s="538"/>
      <c r="G13" s="538"/>
      <c r="H13" s="605"/>
      <c r="I13" s="605"/>
      <c r="J13" s="904">
        <f t="shared" si="0"/>
        <v>0</v>
      </c>
    </row>
    <row r="14" spans="2:22" ht="21" customHeight="1" thickTop="1">
      <c r="B14" s="5" t="s">
        <v>805</v>
      </c>
      <c r="C14" s="5"/>
      <c r="D14" s="5"/>
      <c r="E14" s="5"/>
      <c r="F14" s="5"/>
      <c r="G14" s="59"/>
      <c r="H14" s="296">
        <f>SUM(H10:H13)</f>
        <v>388224.97</v>
      </c>
      <c r="I14" s="296">
        <f>SUM(I10:I13)</f>
        <v>413422.99</v>
      </c>
      <c r="J14" s="221">
        <f>SUM(J10:J13)</f>
        <v>25198.020000000019</v>
      </c>
      <c r="K14" s="312"/>
    </row>
    <row r="15" spans="2:22" ht="21" customHeight="1">
      <c r="B15" s="5" t="s">
        <v>806</v>
      </c>
      <c r="C15" s="5"/>
      <c r="D15" s="5"/>
      <c r="E15" s="5"/>
      <c r="F15" s="5"/>
      <c r="G15" s="59"/>
      <c r="H15" s="351">
        <v>88200</v>
      </c>
      <c r="I15" s="324">
        <f>+'26-Delinquent Taxes and Liens'!M22</f>
        <v>109620.22</v>
      </c>
      <c r="J15" s="209">
        <f>+I15-H15</f>
        <v>21420.22</v>
      </c>
      <c r="K15" s="312"/>
    </row>
    <row r="16" spans="2:22" ht="21" customHeight="1">
      <c r="B16" s="5"/>
      <c r="C16" s="5"/>
      <c r="D16" s="5"/>
      <c r="E16" s="5"/>
      <c r="F16" s="5"/>
      <c r="G16" s="5"/>
      <c r="H16" s="324"/>
      <c r="I16" s="324"/>
      <c r="J16" s="209"/>
    </row>
    <row r="17" spans="2:12" ht="21" customHeight="1">
      <c r="B17" s="5" t="s">
        <v>807</v>
      </c>
      <c r="C17" s="5"/>
      <c r="D17" s="5"/>
      <c r="E17" s="5"/>
      <c r="F17" s="5"/>
      <c r="G17" s="5"/>
      <c r="H17" s="297" t="s">
        <v>628</v>
      </c>
      <c r="I17" s="297" t="s">
        <v>628</v>
      </c>
      <c r="J17" s="123" t="s">
        <v>628</v>
      </c>
    </row>
    <row r="18" spans="2:12" ht="21" customHeight="1">
      <c r="B18" s="5"/>
      <c r="C18" s="31" t="s">
        <v>808</v>
      </c>
      <c r="D18" s="31"/>
      <c r="E18" s="5"/>
      <c r="F18" s="5"/>
      <c r="G18" s="59"/>
      <c r="H18" s="351">
        <v>1454988.13</v>
      </c>
      <c r="I18" s="297" t="s">
        <v>628</v>
      </c>
      <c r="J18" s="123" t="s">
        <v>628</v>
      </c>
    </row>
    <row r="19" spans="2:12" ht="21" customHeight="1">
      <c r="B19" s="5"/>
      <c r="C19" s="31" t="s">
        <v>809</v>
      </c>
      <c r="D19" s="31"/>
      <c r="E19" s="5"/>
      <c r="F19" s="5"/>
      <c r="G19" s="59"/>
      <c r="H19" s="351"/>
      <c r="I19" s="142" t="s">
        <v>628</v>
      </c>
      <c r="J19" s="123" t="s">
        <v>628</v>
      </c>
    </row>
    <row r="20" spans="2:12" s="309" customFormat="1" ht="21" customHeight="1">
      <c r="B20" s="310"/>
      <c r="C20" s="31" t="s">
        <v>3354</v>
      </c>
      <c r="D20" s="31"/>
      <c r="E20" s="310"/>
      <c r="F20" s="310"/>
      <c r="G20" s="58"/>
      <c r="H20" s="351">
        <v>74361.89</v>
      </c>
      <c r="I20" s="142" t="s">
        <v>628</v>
      </c>
      <c r="J20" s="951" t="s">
        <v>628</v>
      </c>
    </row>
    <row r="21" spans="2:12" ht="21" customHeight="1" thickBot="1">
      <c r="B21" s="5"/>
      <c r="C21" s="31"/>
      <c r="D21" s="31" t="s">
        <v>261</v>
      </c>
      <c r="E21" s="5"/>
      <c r="F21" s="5"/>
      <c r="G21" s="58"/>
      <c r="H21" s="222">
        <f>+H19+H18+H20</f>
        <v>1529350.0199999998</v>
      </c>
      <c r="I21" s="1598">
        <f>+I41</f>
        <v>1739777.0900000012</v>
      </c>
      <c r="J21" s="220">
        <f>+I21-H21</f>
        <v>210427.07000000146</v>
      </c>
      <c r="K21" s="299"/>
      <c r="L21" s="277"/>
    </row>
    <row r="22" spans="2:12" ht="21" customHeight="1" thickTop="1" thickBot="1">
      <c r="H22" s="210">
        <f>+H21+H15+H14+H8+H6</f>
        <v>2419774.9899999998</v>
      </c>
      <c r="I22" s="210">
        <f>+I21+I15+I14+I8+I6</f>
        <v>2676820.3000000012</v>
      </c>
      <c r="J22" s="223">
        <f>+J21+J15+J14+J8+J6</f>
        <v>257045.31000000148</v>
      </c>
      <c r="K22" s="312"/>
    </row>
    <row r="23" spans="2:12" ht="13.8" thickTop="1"/>
    <row r="24" spans="2:12">
      <c r="H24" s="218"/>
      <c r="J24" s="218"/>
    </row>
    <row r="25" spans="2:12">
      <c r="I25" s="218"/>
    </row>
    <row r="26" spans="2:12" ht="22.8">
      <c r="B26" s="1665" t="s">
        <v>810</v>
      </c>
      <c r="C26" s="1665"/>
      <c r="D26" s="1665"/>
      <c r="E26" s="1665"/>
      <c r="F26" s="1665"/>
      <c r="G26" s="1665"/>
      <c r="H26" s="1665"/>
      <c r="I26" s="1665"/>
      <c r="J26" s="1665"/>
    </row>
    <row r="27" spans="2:12" ht="12.75" customHeight="1" thickBot="1">
      <c r="B27" s="26"/>
      <c r="C27" s="26"/>
      <c r="D27" s="26"/>
      <c r="E27" s="26"/>
      <c r="F27" s="26"/>
      <c r="G27" s="26"/>
      <c r="H27" s="26"/>
      <c r="I27" s="26"/>
      <c r="J27" s="26"/>
    </row>
    <row r="28" spans="2:12" ht="26.1" customHeight="1" thickTop="1" thickBot="1">
      <c r="B28" s="60"/>
      <c r="C28" s="60"/>
      <c r="D28" s="60"/>
      <c r="E28" s="60"/>
      <c r="F28" s="60"/>
      <c r="G28" s="60"/>
      <c r="H28" s="60"/>
      <c r="I28" s="4" t="s">
        <v>96</v>
      </c>
      <c r="J28" s="3" t="s">
        <v>97</v>
      </c>
    </row>
    <row r="29" spans="2:12" ht="21" customHeight="1" thickTop="1">
      <c r="B29" s="756" t="s">
        <v>812</v>
      </c>
      <c r="C29" s="22"/>
      <c r="D29" s="22"/>
      <c r="E29" s="22"/>
      <c r="F29" s="22"/>
      <c r="G29" s="22"/>
      <c r="H29" s="49"/>
      <c r="I29" s="141" t="s">
        <v>628</v>
      </c>
      <c r="J29" s="212">
        <f>+'22-CY Levy'!L48</f>
        <v>9156977.9400000013</v>
      </c>
    </row>
    <row r="30" spans="2:12" ht="21" customHeight="1">
      <c r="B30" s="5" t="s">
        <v>813</v>
      </c>
      <c r="C30" s="5"/>
      <c r="D30" s="5"/>
      <c r="E30" s="5"/>
      <c r="F30" s="5"/>
      <c r="G30" s="5"/>
      <c r="H30" s="48"/>
      <c r="I30" s="142" t="s">
        <v>628</v>
      </c>
      <c r="J30" s="123" t="s">
        <v>628</v>
      </c>
    </row>
    <row r="31" spans="2:12" ht="21" customHeight="1">
      <c r="B31" s="5"/>
      <c r="C31" s="5"/>
      <c r="D31" s="5" t="s">
        <v>814</v>
      </c>
      <c r="E31" s="5"/>
      <c r="F31" s="5"/>
      <c r="G31" s="5"/>
      <c r="H31" s="48"/>
      <c r="I31" s="324">
        <f>+'13-Other Taxes'!H12+'13-Other Taxes'!H13</f>
        <v>3060523</v>
      </c>
      <c r="J31" s="254" t="s">
        <v>628</v>
      </c>
    </row>
    <row r="32" spans="2:12" ht="21" customHeight="1">
      <c r="B32" s="5"/>
      <c r="C32" s="5"/>
      <c r="D32" s="5" t="s">
        <v>815</v>
      </c>
      <c r="E32" s="5"/>
      <c r="F32" s="5"/>
      <c r="G32" s="5"/>
      <c r="H32" s="48"/>
      <c r="I32" s="324">
        <f>+'14-Other Taxes'!H13+'14-Other Taxes'!H14</f>
        <v>0</v>
      </c>
      <c r="J32" s="254" t="s">
        <v>628</v>
      </c>
    </row>
    <row r="33" spans="2:11" ht="21" customHeight="1">
      <c r="B33" s="5"/>
      <c r="C33" s="5"/>
      <c r="D33" s="5" t="s">
        <v>816</v>
      </c>
      <c r="E33" s="5"/>
      <c r="F33" s="5"/>
      <c r="G33" s="5"/>
      <c r="H33" s="48"/>
      <c r="I33" s="324">
        <f>+'14-Other Taxes'!H34+'14-Other Taxes'!H35</f>
        <v>3103402</v>
      </c>
      <c r="J33" s="254" t="s">
        <v>628</v>
      </c>
    </row>
    <row r="34" spans="2:11" ht="21" customHeight="1">
      <c r="B34" s="5"/>
      <c r="C34" s="5"/>
      <c r="D34" s="5" t="s">
        <v>696</v>
      </c>
      <c r="E34" s="5"/>
      <c r="F34" s="5"/>
      <c r="G34" s="5"/>
      <c r="H34" s="48"/>
      <c r="I34" s="324">
        <f>+'15-Other Taxes'!J11+'15-Other Taxes'!J12+'15-Other Taxes'!J13+'15-Other Taxes'!J14</f>
        <v>1530005</v>
      </c>
      <c r="J34" s="254" t="s">
        <v>628</v>
      </c>
      <c r="K34" s="362"/>
    </row>
    <row r="35" spans="2:11" ht="21" customHeight="1">
      <c r="B35" s="5"/>
      <c r="C35" s="5"/>
      <c r="D35" s="5" t="s">
        <v>697</v>
      </c>
      <c r="E35" s="5"/>
      <c r="F35" s="5"/>
      <c r="G35" s="5"/>
      <c r="H35" s="48"/>
      <c r="I35" s="324">
        <f>+'15-Other Taxes'!J15</f>
        <v>1201.3499999999999</v>
      </c>
      <c r="J35" s="254" t="s">
        <v>628</v>
      </c>
      <c r="K35" s="362"/>
    </row>
    <row r="36" spans="2:11" ht="21" customHeight="1">
      <c r="B36" s="5"/>
      <c r="C36" s="5"/>
      <c r="D36" s="5" t="s">
        <v>817</v>
      </c>
      <c r="E36" s="5"/>
      <c r="F36" s="5"/>
      <c r="G36" s="5"/>
      <c r="H36" s="48"/>
      <c r="I36" s="324">
        <f>+'15-Other Taxes'!J36</f>
        <v>0</v>
      </c>
      <c r="J36" s="254" t="s">
        <v>628</v>
      </c>
    </row>
    <row r="37" spans="2:11" ht="21" customHeight="1">
      <c r="B37" s="5"/>
      <c r="C37" s="5"/>
      <c r="D37" s="5" t="s">
        <v>776</v>
      </c>
      <c r="E37" s="5"/>
      <c r="F37" s="5"/>
      <c r="G37" s="5"/>
      <c r="H37" s="48"/>
      <c r="I37" s="351"/>
      <c r="J37" s="254" t="s">
        <v>628</v>
      </c>
    </row>
    <row r="38" spans="2:11" s="309" customFormat="1" ht="21" customHeight="1">
      <c r="B38" s="310"/>
      <c r="C38" s="310"/>
      <c r="D38" s="313" t="s">
        <v>3621</v>
      </c>
      <c r="E38" s="310"/>
      <c r="F38" s="310"/>
      <c r="G38" s="310"/>
      <c r="H38" s="48"/>
      <c r="I38" s="351"/>
      <c r="J38" s="254" t="s">
        <v>628</v>
      </c>
    </row>
    <row r="39" spans="2:11" ht="21" customHeight="1">
      <c r="B39" s="5" t="s">
        <v>818</v>
      </c>
      <c r="C39" s="5"/>
      <c r="D39" s="5"/>
      <c r="E39" s="5"/>
      <c r="F39" s="5"/>
      <c r="G39" s="5"/>
      <c r="H39" s="48"/>
      <c r="I39" s="297" t="s">
        <v>628</v>
      </c>
      <c r="J39" s="298">
        <f>+'18-Budget Appropriations'!I15</f>
        <v>277930.5</v>
      </c>
      <c r="K39" s="312"/>
    </row>
    <row r="40" spans="2:11" ht="21" customHeight="1">
      <c r="B40" s="5" t="s">
        <v>257</v>
      </c>
      <c r="C40" s="5"/>
      <c r="D40" s="5"/>
      <c r="E40" s="5"/>
      <c r="F40" s="5"/>
      <c r="G40" s="5"/>
      <c r="H40" s="48"/>
      <c r="I40" s="297" t="s">
        <v>628</v>
      </c>
      <c r="J40" s="298">
        <f>IF(I52&lt;0,-I52,0)</f>
        <v>0</v>
      </c>
    </row>
    <row r="41" spans="2:11" ht="21" customHeight="1">
      <c r="B41" s="5" t="s">
        <v>258</v>
      </c>
      <c r="C41" s="5"/>
      <c r="D41" s="5"/>
      <c r="E41" s="5"/>
      <c r="F41" s="5"/>
      <c r="G41" s="5"/>
      <c r="H41" s="48"/>
      <c r="I41" s="324">
        <f>+J29+J39-I31-I32-I33-I34-I35-I36-I37-I38</f>
        <v>1739777.0900000012</v>
      </c>
      <c r="J41" s="123" t="s">
        <v>628</v>
      </c>
      <c r="K41" s="312"/>
    </row>
    <row r="42" spans="2:11" ht="21" customHeight="1">
      <c r="B42" s="5" t="s">
        <v>259</v>
      </c>
      <c r="C42" s="5"/>
      <c r="D42" s="5"/>
      <c r="E42" s="5"/>
      <c r="F42" s="5"/>
      <c r="G42" s="5"/>
      <c r="H42" s="48"/>
      <c r="I42" s="351"/>
      <c r="J42" s="123" t="s">
        <v>628</v>
      </c>
    </row>
    <row r="43" spans="2:11" ht="21" customHeight="1" thickBot="1">
      <c r="B43" s="5" t="s">
        <v>260</v>
      </c>
      <c r="C43" s="5"/>
      <c r="D43" s="5"/>
      <c r="E43" s="5"/>
      <c r="F43" s="5"/>
      <c r="G43" s="5"/>
      <c r="H43" s="48"/>
      <c r="I43" s="959" t="s">
        <v>628</v>
      </c>
      <c r="J43" s="981"/>
    </row>
    <row r="44" spans="2:11" ht="21" customHeight="1" thickTop="1" thickBot="1">
      <c r="B44" s="1740" t="s">
        <v>262</v>
      </c>
      <c r="C44" s="1740"/>
      <c r="D44" s="1740"/>
      <c r="E44" s="1740"/>
      <c r="F44" s="1740"/>
      <c r="G44" s="1740"/>
      <c r="H44" s="1740"/>
      <c r="I44" s="210">
        <f>SUM(I29:I43)</f>
        <v>9434908.4400000013</v>
      </c>
      <c r="J44" s="223">
        <f>SUM(J29:J43)</f>
        <v>9434908.4400000013</v>
      </c>
    </row>
    <row r="45" spans="2:11" ht="13.8" thickTop="1">
      <c r="B45" s="1741"/>
      <c r="C45" s="1741"/>
      <c r="D45" s="1741"/>
      <c r="E45" s="1741"/>
      <c r="F45" s="1741"/>
      <c r="G45" s="1741"/>
      <c r="H45" s="1741"/>
    </row>
    <row r="47" spans="2:11">
      <c r="I47" s="218"/>
    </row>
    <row r="49" spans="2:10" ht="13.8">
      <c r="B49" s="1618" t="s">
        <v>811</v>
      </c>
      <c r="C49" s="1618"/>
      <c r="D49" s="1618"/>
      <c r="E49" s="1618"/>
      <c r="F49" s="1618"/>
      <c r="G49" s="1618"/>
      <c r="H49" s="1618"/>
      <c r="I49" s="1618"/>
      <c r="J49" s="1618"/>
    </row>
    <row r="51" spans="2:10" ht="13.8" thickBot="1"/>
    <row r="52" spans="2:10">
      <c r="G52" s="1732" t="s">
        <v>454</v>
      </c>
      <c r="H52" s="1733"/>
      <c r="I52" s="194">
        <f>+J29-SUM(I31:I37)+J39</f>
        <v>1739777.0900000017</v>
      </c>
    </row>
    <row r="53" spans="2:10" ht="13.8" thickBot="1">
      <c r="G53" s="1734" t="s">
        <v>455</v>
      </c>
      <c r="H53" s="1735"/>
      <c r="I53" s="176"/>
    </row>
  </sheetData>
  <sheetProtection algorithmName="SHA-512" hashValue="nKNKk8/kqTRa8VQ1tGpJll7QWsUJMoJgh+C7ewpddlUkoxDqYVu/BNYkHLx7+/2b7+Uxdhh1He3Hl6WWkWZehw==" saltValue="eFaLyH+BoDEMeVVP5xpG/w==" spinCount="100000" sheet="1" objects="1" scenarios="1"/>
  <mergeCells count="7">
    <mergeCell ref="G52:H52"/>
    <mergeCell ref="G53:H53"/>
    <mergeCell ref="B4:G5"/>
    <mergeCell ref="B2:J2"/>
    <mergeCell ref="B26:J26"/>
    <mergeCell ref="B49:J49"/>
    <mergeCell ref="B44:H45"/>
  </mergeCells>
  <phoneticPr fontId="0" type="noConversion"/>
  <pageMargins left="0.25" right="0.25" top="0.5" bottom="0.5" header="0.25" footer="0.25"/>
  <pageSetup paperSize="5" orientation="portrait"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dimension ref="B4:L52"/>
  <sheetViews>
    <sheetView topLeftCell="A16" zoomScaleNormal="100" zoomScaleSheetLayoutView="90" workbookViewId="0">
      <selection activeCell="E48" sqref="E48:H48"/>
    </sheetView>
  </sheetViews>
  <sheetFormatPr defaultRowHeight="13.2"/>
  <cols>
    <col min="1" max="3" width="4.6640625" customWidth="1"/>
    <col min="7" max="7" width="9.109375" customWidth="1"/>
    <col min="8" max="9" width="16.6640625" customWidth="1"/>
    <col min="10" max="10" width="19.5546875" customWidth="1"/>
  </cols>
  <sheetData>
    <row r="4" spans="2:12" ht="22.8">
      <c r="B4" s="1665" t="str">
        <f>'17-Budget Revenues'!B2:J2</f>
        <v>STATEMENT OF GENERAL BUDGET REVENUES 2021</v>
      </c>
      <c r="C4" s="1665"/>
      <c r="D4" s="1665"/>
      <c r="E4" s="1665"/>
      <c r="F4" s="1665"/>
      <c r="G4" s="1665"/>
      <c r="H4" s="1665"/>
      <c r="I4" s="1665"/>
      <c r="J4" s="1665"/>
    </row>
    <row r="5" spans="2:12" ht="13.8">
      <c r="B5" s="1618" t="s">
        <v>263</v>
      </c>
      <c r="C5" s="1618"/>
      <c r="D5" s="1618"/>
      <c r="E5" s="1618"/>
      <c r="F5" s="1618"/>
      <c r="G5" s="1618"/>
      <c r="H5" s="1618"/>
      <c r="I5" s="1618"/>
      <c r="J5" s="1618"/>
    </row>
    <row r="7" spans="2:12" ht="15.6">
      <c r="B7" s="1656" t="s">
        <v>3560</v>
      </c>
      <c r="C7" s="1656"/>
      <c r="D7" s="1656"/>
      <c r="E7" s="1656"/>
      <c r="F7" s="1656"/>
      <c r="G7" s="1656"/>
      <c r="H7" s="1656"/>
      <c r="I7" s="1656"/>
      <c r="J7" s="1656"/>
    </row>
    <row r="8" spans="2:12" ht="8.25" customHeight="1" thickBot="1">
      <c r="B8" s="10"/>
      <c r="C8" s="10"/>
      <c r="D8" s="10"/>
      <c r="E8" s="10"/>
      <c r="F8" s="10"/>
      <c r="G8" s="10"/>
      <c r="H8" s="10"/>
      <c r="I8" s="10"/>
      <c r="J8" s="10"/>
    </row>
    <row r="9" spans="2:12" ht="32.1" customHeight="1" thickTop="1" thickBot="1">
      <c r="B9" s="1668" t="s">
        <v>165</v>
      </c>
      <c r="C9" s="1668"/>
      <c r="D9" s="1668"/>
      <c r="E9" s="1668"/>
      <c r="F9" s="1668"/>
      <c r="G9" s="1668"/>
      <c r="H9" s="4" t="s">
        <v>535</v>
      </c>
      <c r="I9" s="4" t="s">
        <v>637</v>
      </c>
      <c r="J9" s="945" t="s">
        <v>264</v>
      </c>
    </row>
    <row r="10" spans="2:12" ht="21.9" customHeight="1" thickTop="1" thickBot="1">
      <c r="B10" s="22"/>
      <c r="C10" s="22"/>
      <c r="D10" s="22"/>
      <c r="E10" s="22"/>
      <c r="F10" s="22"/>
      <c r="G10" s="22"/>
      <c r="H10" s="61"/>
      <c r="I10" s="61"/>
      <c r="J10" s="62"/>
    </row>
    <row r="11" spans="2:12" ht="21.9" customHeight="1" thickTop="1">
      <c r="B11" s="610" t="s">
        <v>3678</v>
      </c>
      <c r="C11" s="538"/>
      <c r="D11" s="538"/>
      <c r="E11" s="538"/>
      <c r="F11" s="538"/>
      <c r="G11" s="538"/>
      <c r="H11" s="351">
        <v>6065.77</v>
      </c>
      <c r="I11" s="351">
        <f>H11</f>
        <v>6065.77</v>
      </c>
      <c r="J11" s="209">
        <f t="shared" ref="J11:J12" si="0">H11-I11</f>
        <v>0</v>
      </c>
      <c r="L11" s="1392" t="s">
        <v>3481</v>
      </c>
    </row>
    <row r="12" spans="2:12" ht="21.9" customHeight="1">
      <c r="B12" s="539"/>
      <c r="C12" s="538"/>
      <c r="D12" s="538"/>
      <c r="E12" s="538"/>
      <c r="F12" s="538"/>
      <c r="G12" s="538"/>
      <c r="H12" s="351"/>
      <c r="I12" s="351">
        <f>+H12</f>
        <v>0</v>
      </c>
      <c r="J12" s="209">
        <f t="shared" si="0"/>
        <v>0</v>
      </c>
    </row>
    <row r="13" spans="2:12" ht="21.9" customHeight="1">
      <c r="B13" s="539"/>
      <c r="C13" s="538"/>
      <c r="D13" s="538"/>
      <c r="E13" s="538"/>
      <c r="F13" s="538"/>
      <c r="G13" s="538"/>
      <c r="H13" s="351"/>
      <c r="I13" s="351">
        <f t="shared" ref="I13:I42" si="1">+H13</f>
        <v>0</v>
      </c>
      <c r="J13" s="209">
        <f t="shared" ref="J13:J42" si="2">H13-I13</f>
        <v>0</v>
      </c>
    </row>
    <row r="14" spans="2:12" ht="21.9" customHeight="1">
      <c r="B14" s="539"/>
      <c r="C14" s="538"/>
      <c r="D14" s="538"/>
      <c r="E14" s="538"/>
      <c r="F14" s="538"/>
      <c r="G14" s="538"/>
      <c r="H14" s="351"/>
      <c r="I14" s="351">
        <f t="shared" si="1"/>
        <v>0</v>
      </c>
      <c r="J14" s="209">
        <f t="shared" si="2"/>
        <v>0</v>
      </c>
    </row>
    <row r="15" spans="2:12" ht="21.9" customHeight="1">
      <c r="B15" s="539"/>
      <c r="C15" s="538"/>
      <c r="D15" s="538"/>
      <c r="E15" s="538"/>
      <c r="F15" s="538"/>
      <c r="G15" s="538"/>
      <c r="H15" s="351"/>
      <c r="I15" s="351">
        <f t="shared" si="1"/>
        <v>0</v>
      </c>
      <c r="J15" s="209">
        <f t="shared" si="2"/>
        <v>0</v>
      </c>
    </row>
    <row r="16" spans="2:12" ht="21.9" customHeight="1">
      <c r="B16" s="539"/>
      <c r="C16" s="538"/>
      <c r="D16" s="538"/>
      <c r="E16" s="538"/>
      <c r="F16" s="538"/>
      <c r="G16" s="538"/>
      <c r="H16" s="351"/>
      <c r="I16" s="351">
        <f t="shared" si="1"/>
        <v>0</v>
      </c>
      <c r="J16" s="209">
        <f t="shared" si="2"/>
        <v>0</v>
      </c>
    </row>
    <row r="17" spans="2:10" ht="21.9" customHeight="1">
      <c r="B17" s="539"/>
      <c r="C17" s="538"/>
      <c r="D17" s="538"/>
      <c r="E17" s="538"/>
      <c r="F17" s="538"/>
      <c r="G17" s="538"/>
      <c r="H17" s="351"/>
      <c r="I17" s="351">
        <f t="shared" si="1"/>
        <v>0</v>
      </c>
      <c r="J17" s="209">
        <f t="shared" si="2"/>
        <v>0</v>
      </c>
    </row>
    <row r="18" spans="2:10" ht="21.9" customHeight="1">
      <c r="B18" s="539"/>
      <c r="C18" s="538"/>
      <c r="D18" s="538"/>
      <c r="E18" s="538"/>
      <c r="F18" s="538"/>
      <c r="G18" s="538"/>
      <c r="H18" s="351"/>
      <c r="I18" s="351">
        <f t="shared" si="1"/>
        <v>0</v>
      </c>
      <c r="J18" s="209">
        <f t="shared" si="2"/>
        <v>0</v>
      </c>
    </row>
    <row r="19" spans="2:10" ht="21.9" customHeight="1">
      <c r="B19" s="539"/>
      <c r="C19" s="538"/>
      <c r="D19" s="538"/>
      <c r="E19" s="538"/>
      <c r="F19" s="538"/>
      <c r="G19" s="538"/>
      <c r="H19" s="351"/>
      <c r="I19" s="351">
        <f t="shared" si="1"/>
        <v>0</v>
      </c>
      <c r="J19" s="209">
        <f t="shared" si="2"/>
        <v>0</v>
      </c>
    </row>
    <row r="20" spans="2:10" ht="21.9" customHeight="1">
      <c r="B20" s="539"/>
      <c r="C20" s="538"/>
      <c r="D20" s="538"/>
      <c r="E20" s="538"/>
      <c r="F20" s="538"/>
      <c r="G20" s="538"/>
      <c r="H20" s="351"/>
      <c r="I20" s="351">
        <f t="shared" si="1"/>
        <v>0</v>
      </c>
      <c r="J20" s="209">
        <f t="shared" si="2"/>
        <v>0</v>
      </c>
    </row>
    <row r="21" spans="2:10" ht="21.9" customHeight="1">
      <c r="B21" s="539"/>
      <c r="C21" s="538"/>
      <c r="D21" s="538"/>
      <c r="E21" s="538"/>
      <c r="F21" s="538"/>
      <c r="G21" s="538"/>
      <c r="H21" s="351"/>
      <c r="I21" s="351">
        <f t="shared" si="1"/>
        <v>0</v>
      </c>
      <c r="J21" s="209">
        <f t="shared" si="2"/>
        <v>0</v>
      </c>
    </row>
    <row r="22" spans="2:10" ht="21.9" customHeight="1">
      <c r="B22" s="539"/>
      <c r="C22" s="538"/>
      <c r="D22" s="538"/>
      <c r="E22" s="538"/>
      <c r="F22" s="538"/>
      <c r="G22" s="538"/>
      <c r="H22" s="351"/>
      <c r="I22" s="351">
        <f t="shared" si="1"/>
        <v>0</v>
      </c>
      <c r="J22" s="209">
        <f t="shared" si="2"/>
        <v>0</v>
      </c>
    </row>
    <row r="23" spans="2:10" ht="21.9" customHeight="1">
      <c r="B23" s="539"/>
      <c r="C23" s="538"/>
      <c r="D23" s="538"/>
      <c r="E23" s="538"/>
      <c r="F23" s="538"/>
      <c r="G23" s="538"/>
      <c r="H23" s="351"/>
      <c r="I23" s="351">
        <f t="shared" si="1"/>
        <v>0</v>
      </c>
      <c r="J23" s="209">
        <f t="shared" si="2"/>
        <v>0</v>
      </c>
    </row>
    <row r="24" spans="2:10" ht="21.9" customHeight="1">
      <c r="B24" s="539"/>
      <c r="C24" s="538"/>
      <c r="D24" s="538"/>
      <c r="E24" s="538"/>
      <c r="F24" s="538"/>
      <c r="G24" s="538"/>
      <c r="H24" s="351"/>
      <c r="I24" s="351">
        <f t="shared" si="1"/>
        <v>0</v>
      </c>
      <c r="J24" s="209">
        <f t="shared" si="2"/>
        <v>0</v>
      </c>
    </row>
    <row r="25" spans="2:10" ht="21.9" customHeight="1">
      <c r="B25" s="539"/>
      <c r="C25" s="538"/>
      <c r="D25" s="538"/>
      <c r="E25" s="538"/>
      <c r="F25" s="538"/>
      <c r="G25" s="538"/>
      <c r="H25" s="351"/>
      <c r="I25" s="351">
        <f t="shared" si="1"/>
        <v>0</v>
      </c>
      <c r="J25" s="209">
        <f t="shared" si="2"/>
        <v>0</v>
      </c>
    </row>
    <row r="26" spans="2:10" ht="21.9" customHeight="1">
      <c r="B26" s="539"/>
      <c r="C26" s="538"/>
      <c r="D26" s="538"/>
      <c r="E26" s="538"/>
      <c r="F26" s="538"/>
      <c r="G26" s="538"/>
      <c r="H26" s="351"/>
      <c r="I26" s="351">
        <f t="shared" si="1"/>
        <v>0</v>
      </c>
      <c r="J26" s="209">
        <f t="shared" si="2"/>
        <v>0</v>
      </c>
    </row>
    <row r="27" spans="2:10" ht="21.9" customHeight="1">
      <c r="B27" s="539"/>
      <c r="C27" s="538"/>
      <c r="D27" s="538"/>
      <c r="E27" s="538"/>
      <c r="F27" s="538"/>
      <c r="G27" s="538"/>
      <c r="H27" s="351"/>
      <c r="I27" s="351">
        <f t="shared" si="1"/>
        <v>0</v>
      </c>
      <c r="J27" s="209">
        <f t="shared" si="2"/>
        <v>0</v>
      </c>
    </row>
    <row r="28" spans="2:10" ht="21.9" customHeight="1">
      <c r="B28" s="539"/>
      <c r="C28" s="538"/>
      <c r="D28" s="538"/>
      <c r="E28" s="538"/>
      <c r="F28" s="538"/>
      <c r="G28" s="538"/>
      <c r="H28" s="351"/>
      <c r="I28" s="351">
        <f t="shared" si="1"/>
        <v>0</v>
      </c>
      <c r="J28" s="209">
        <f t="shared" si="2"/>
        <v>0</v>
      </c>
    </row>
    <row r="29" spans="2:10" s="309" customFormat="1" ht="21.9" customHeight="1">
      <c r="B29" s="539"/>
      <c r="C29" s="538"/>
      <c r="D29" s="538"/>
      <c r="E29" s="538"/>
      <c r="F29" s="538"/>
      <c r="G29" s="538"/>
      <c r="H29" s="351"/>
      <c r="I29" s="351">
        <f t="shared" si="1"/>
        <v>0</v>
      </c>
      <c r="J29" s="209">
        <f t="shared" si="2"/>
        <v>0</v>
      </c>
    </row>
    <row r="30" spans="2:10" s="309" customFormat="1" ht="21.9" customHeight="1">
      <c r="B30" s="539"/>
      <c r="C30" s="538"/>
      <c r="D30" s="538"/>
      <c r="E30" s="538"/>
      <c r="F30" s="538"/>
      <c r="G30" s="538"/>
      <c r="H30" s="351"/>
      <c r="I30" s="351">
        <f t="shared" si="1"/>
        <v>0</v>
      </c>
      <c r="J30" s="209">
        <f t="shared" si="2"/>
        <v>0</v>
      </c>
    </row>
    <row r="31" spans="2:10" s="309" customFormat="1" ht="21.9" customHeight="1">
      <c r="B31" s="539"/>
      <c r="C31" s="538"/>
      <c r="D31" s="538"/>
      <c r="E31" s="538"/>
      <c r="F31" s="538"/>
      <c r="G31" s="538"/>
      <c r="H31" s="351"/>
      <c r="I31" s="351">
        <f t="shared" si="1"/>
        <v>0</v>
      </c>
      <c r="J31" s="209">
        <f t="shared" si="2"/>
        <v>0</v>
      </c>
    </row>
    <row r="32" spans="2:10" ht="21.9" customHeight="1">
      <c r="B32" s="539"/>
      <c r="C32" s="538"/>
      <c r="D32" s="538"/>
      <c r="E32" s="538"/>
      <c r="F32" s="538"/>
      <c r="G32" s="538"/>
      <c r="H32" s="351"/>
      <c r="I32" s="351">
        <f t="shared" si="1"/>
        <v>0</v>
      </c>
      <c r="J32" s="209">
        <f t="shared" si="2"/>
        <v>0</v>
      </c>
    </row>
    <row r="33" spans="2:11" ht="21.9" customHeight="1">
      <c r="B33" s="539"/>
      <c r="C33" s="538"/>
      <c r="D33" s="538"/>
      <c r="E33" s="538"/>
      <c r="F33" s="538"/>
      <c r="G33" s="538"/>
      <c r="H33" s="351"/>
      <c r="I33" s="351">
        <f t="shared" si="1"/>
        <v>0</v>
      </c>
      <c r="J33" s="209">
        <f t="shared" si="2"/>
        <v>0</v>
      </c>
    </row>
    <row r="34" spans="2:11" ht="21.9" customHeight="1">
      <c r="B34" s="539"/>
      <c r="C34" s="538"/>
      <c r="D34" s="538"/>
      <c r="E34" s="538"/>
      <c r="F34" s="538"/>
      <c r="G34" s="538"/>
      <c r="H34" s="351"/>
      <c r="I34" s="351">
        <f t="shared" si="1"/>
        <v>0</v>
      </c>
      <c r="J34" s="209">
        <f t="shared" si="2"/>
        <v>0</v>
      </c>
    </row>
    <row r="35" spans="2:11" ht="21.9" customHeight="1">
      <c r="B35" s="539"/>
      <c r="C35" s="538"/>
      <c r="D35" s="538"/>
      <c r="E35" s="538"/>
      <c r="F35" s="538"/>
      <c r="G35" s="538"/>
      <c r="H35" s="351"/>
      <c r="I35" s="351">
        <f t="shared" si="1"/>
        <v>0</v>
      </c>
      <c r="J35" s="209">
        <f t="shared" si="2"/>
        <v>0</v>
      </c>
    </row>
    <row r="36" spans="2:11" ht="21.9" customHeight="1">
      <c r="B36" s="539"/>
      <c r="C36" s="538"/>
      <c r="D36" s="538"/>
      <c r="E36" s="538"/>
      <c r="F36" s="538"/>
      <c r="G36" s="538"/>
      <c r="H36" s="351"/>
      <c r="I36" s="351">
        <f t="shared" si="1"/>
        <v>0</v>
      </c>
      <c r="J36" s="209">
        <f t="shared" si="2"/>
        <v>0</v>
      </c>
    </row>
    <row r="37" spans="2:11" ht="21.9" customHeight="1">
      <c r="B37" s="539"/>
      <c r="C37" s="538"/>
      <c r="D37" s="538"/>
      <c r="E37" s="538"/>
      <c r="F37" s="538"/>
      <c r="G37" s="538"/>
      <c r="H37" s="351"/>
      <c r="I37" s="351">
        <f t="shared" si="1"/>
        <v>0</v>
      </c>
      <c r="J37" s="209">
        <f t="shared" si="2"/>
        <v>0</v>
      </c>
    </row>
    <row r="38" spans="2:11" ht="21.9" customHeight="1">
      <c r="B38" s="539"/>
      <c r="C38" s="538"/>
      <c r="D38" s="538"/>
      <c r="E38" s="538"/>
      <c r="F38" s="538"/>
      <c r="G38" s="538"/>
      <c r="H38" s="351"/>
      <c r="I38" s="351">
        <f t="shared" si="1"/>
        <v>0</v>
      </c>
      <c r="J38" s="209">
        <f t="shared" si="2"/>
        <v>0</v>
      </c>
    </row>
    <row r="39" spans="2:11" ht="21.9" customHeight="1">
      <c r="B39" s="539"/>
      <c r="C39" s="538"/>
      <c r="D39" s="538"/>
      <c r="E39" s="538"/>
      <c r="F39" s="538"/>
      <c r="G39" s="538"/>
      <c r="H39" s="351"/>
      <c r="I39" s="351">
        <f t="shared" si="1"/>
        <v>0</v>
      </c>
      <c r="J39" s="209">
        <f t="shared" si="2"/>
        <v>0</v>
      </c>
    </row>
    <row r="40" spans="2:11" ht="21.9" customHeight="1">
      <c r="B40" s="539"/>
      <c r="C40" s="538"/>
      <c r="D40" s="538"/>
      <c r="E40" s="538"/>
      <c r="F40" s="538"/>
      <c r="G40" s="538"/>
      <c r="H40" s="351"/>
      <c r="I40" s="351">
        <f t="shared" si="1"/>
        <v>0</v>
      </c>
      <c r="J40" s="209">
        <f t="shared" si="2"/>
        <v>0</v>
      </c>
    </row>
    <row r="41" spans="2:11" ht="21.9" customHeight="1">
      <c r="B41" s="539"/>
      <c r="C41" s="538"/>
      <c r="D41" s="538"/>
      <c r="E41" s="538"/>
      <c r="F41" s="538"/>
      <c r="G41" s="538"/>
      <c r="H41" s="351"/>
      <c r="I41" s="351">
        <f t="shared" si="1"/>
        <v>0</v>
      </c>
      <c r="J41" s="209">
        <f t="shared" si="2"/>
        <v>0</v>
      </c>
    </row>
    <row r="42" spans="2:11" ht="21.9" customHeight="1">
      <c r="B42" s="539"/>
      <c r="C42" s="538"/>
      <c r="D42" s="538"/>
      <c r="E42" s="538"/>
      <c r="F42" s="538"/>
      <c r="G42" s="538"/>
      <c r="H42" s="351"/>
      <c r="I42" s="351">
        <f t="shared" si="1"/>
        <v>0</v>
      </c>
      <c r="J42" s="209">
        <f t="shared" si="2"/>
        <v>0</v>
      </c>
    </row>
    <row r="43" spans="2:11" ht="21.9" customHeight="1" thickBot="1">
      <c r="B43" s="27"/>
      <c r="C43" s="315" t="s">
        <v>3265</v>
      </c>
      <c r="D43" s="27"/>
      <c r="E43" s="27"/>
      <c r="F43" s="27"/>
      <c r="G43" s="27"/>
      <c r="H43" s="103">
        <f>SUM(H10:H42)</f>
        <v>6065.77</v>
      </c>
      <c r="I43" s="103">
        <f>SUM(I10:I42)</f>
        <v>6065.77</v>
      </c>
      <c r="J43" s="229">
        <f>SUM(J10:J42)</f>
        <v>0</v>
      </c>
      <c r="K43" s="312"/>
    </row>
    <row r="44" spans="2:11" ht="13.8" thickTop="1">
      <c r="B44" t="s">
        <v>278</v>
      </c>
    </row>
    <row r="45" spans="2:11">
      <c r="B45" t="s">
        <v>279</v>
      </c>
    </row>
    <row r="46" spans="2:11">
      <c r="B46" t="s">
        <v>280</v>
      </c>
      <c r="H46" s="218"/>
    </row>
    <row r="48" spans="2:11">
      <c r="B48" t="s">
        <v>281</v>
      </c>
      <c r="E48" s="1654" t="s">
        <v>3658</v>
      </c>
      <c r="F48" s="1651"/>
      <c r="G48" s="1651"/>
      <c r="H48" s="1651"/>
    </row>
    <row r="49" spans="2:10" ht="13.8">
      <c r="B49" s="1618" t="s">
        <v>829</v>
      </c>
      <c r="C49" s="1618"/>
      <c r="D49" s="1618"/>
      <c r="E49" s="1618"/>
      <c r="F49" s="1618"/>
      <c r="G49" s="1618"/>
      <c r="H49" s="1618"/>
      <c r="I49" s="1618"/>
      <c r="J49" s="1618"/>
    </row>
    <row r="52" spans="2:10">
      <c r="I52" s="218"/>
    </row>
  </sheetData>
  <sheetProtection algorithmName="SHA-512" hashValue="6gAwbm3n5T8zawin9orzJ7UCaJoHOxJm19JwXsJv9EhuoIWNUHrazgbpwi8TXTPHt+nrH437Sa4NE6B7AQf2wA==" saltValue="YJuHH1EAdzZhBw/axjcSxw==" spinCount="100000" sheet="1" objects="1" scenarios="1"/>
  <mergeCells count="6">
    <mergeCell ref="B49:J49"/>
    <mergeCell ref="B4:J4"/>
    <mergeCell ref="B5:J5"/>
    <mergeCell ref="B7:J7"/>
    <mergeCell ref="B9:G9"/>
    <mergeCell ref="E48:H48"/>
  </mergeCells>
  <phoneticPr fontId="0" type="noConversion"/>
  <pageMargins left="0.25" right="0.25" top="0.5" bottom="0.5" header="0.25" footer="0.25"/>
  <pageSetup paperSize="5" scale="98" orientation="portrait" r:id="rId1"/>
  <headerFooter alignWithMargins="0"/>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B4:L52"/>
  <sheetViews>
    <sheetView zoomScaleNormal="100" zoomScaleSheetLayoutView="90" workbookViewId="0">
      <selection activeCell="B8" sqref="B8"/>
    </sheetView>
  </sheetViews>
  <sheetFormatPr defaultColWidth="9.109375" defaultRowHeight="13.2"/>
  <cols>
    <col min="1" max="3" width="4.6640625" style="309" customWidth="1"/>
    <col min="4" max="6" width="9.109375" style="309"/>
    <col min="7" max="7" width="9.109375" style="309" customWidth="1"/>
    <col min="8" max="9" width="16.6640625" style="309" customWidth="1"/>
    <col min="10" max="10" width="19.5546875" style="309" customWidth="1"/>
    <col min="11" max="16384" width="9.109375" style="309"/>
  </cols>
  <sheetData>
    <row r="4" spans="2:12" ht="22.8">
      <c r="B4" s="1665" t="str">
        <f>'17-Budget Revenues'!B2:J2</f>
        <v>STATEMENT OF GENERAL BUDGET REVENUES 2021</v>
      </c>
      <c r="C4" s="1665"/>
      <c r="D4" s="1665"/>
      <c r="E4" s="1665"/>
      <c r="F4" s="1665"/>
      <c r="G4" s="1665"/>
      <c r="H4" s="1665"/>
      <c r="I4" s="1665"/>
      <c r="J4" s="1665"/>
    </row>
    <row r="5" spans="2:12" ht="13.8">
      <c r="B5" s="1618" t="s">
        <v>263</v>
      </c>
      <c r="C5" s="1618"/>
      <c r="D5" s="1618"/>
      <c r="E5" s="1618"/>
      <c r="F5" s="1618"/>
      <c r="G5" s="1618"/>
      <c r="H5" s="1618"/>
      <c r="I5" s="1618"/>
      <c r="J5" s="1618"/>
    </row>
    <row r="7" spans="2:12" ht="15.6">
      <c r="B7" s="1656" t="s">
        <v>3560</v>
      </c>
      <c r="C7" s="1656"/>
      <c r="D7" s="1656"/>
      <c r="E7" s="1656"/>
      <c r="F7" s="1656"/>
      <c r="G7" s="1656"/>
      <c r="H7" s="1656"/>
      <c r="I7" s="1656"/>
      <c r="J7" s="1656"/>
    </row>
    <row r="8" spans="2:12" ht="8.25" customHeight="1" thickBot="1">
      <c r="B8" s="10"/>
      <c r="C8" s="10"/>
      <c r="D8" s="10"/>
      <c r="E8" s="10"/>
      <c r="F8" s="10"/>
      <c r="G8" s="10"/>
      <c r="H8" s="10"/>
      <c r="I8" s="10"/>
      <c r="J8" s="10"/>
    </row>
    <row r="9" spans="2:12" ht="32.1" customHeight="1" thickTop="1" thickBot="1">
      <c r="B9" s="1668" t="s">
        <v>165</v>
      </c>
      <c r="C9" s="1668"/>
      <c r="D9" s="1668"/>
      <c r="E9" s="1668"/>
      <c r="F9" s="1668"/>
      <c r="G9" s="1668"/>
      <c r="H9" s="4" t="s">
        <v>535</v>
      </c>
      <c r="I9" s="4" t="s">
        <v>637</v>
      </c>
      <c r="J9" s="719" t="s">
        <v>264</v>
      </c>
    </row>
    <row r="10" spans="2:12" ht="21.9" customHeight="1" thickTop="1">
      <c r="B10" s="756" t="s">
        <v>3266</v>
      </c>
      <c r="C10" s="271"/>
      <c r="D10" s="271"/>
      <c r="E10" s="271"/>
      <c r="F10" s="271"/>
      <c r="G10" s="271"/>
      <c r="H10" s="61">
        <f>+'17a-Budget Revenues'!H43</f>
        <v>6065.77</v>
      </c>
      <c r="I10" s="61">
        <f>+'17a-Budget Revenues'!I43</f>
        <v>6065.77</v>
      </c>
      <c r="J10" s="62">
        <f>+'17a-Budget Revenues'!J43</f>
        <v>0</v>
      </c>
    </row>
    <row r="11" spans="2:12" ht="21.9" customHeight="1">
      <c r="B11" s="539"/>
      <c r="C11" s="538"/>
      <c r="D11" s="538"/>
      <c r="E11" s="538"/>
      <c r="F11" s="538"/>
      <c r="G11" s="538"/>
      <c r="H11" s="351"/>
      <c r="I11" s="351">
        <f t="shared" ref="I11:I42" si="0">+H11</f>
        <v>0</v>
      </c>
      <c r="J11" s="209">
        <f t="shared" ref="J11:J42" si="1">H11-I11</f>
        <v>0</v>
      </c>
      <c r="L11" s="1392" t="s">
        <v>3481</v>
      </c>
    </row>
    <row r="12" spans="2:12" ht="21.9" customHeight="1">
      <c r="B12" s="539"/>
      <c r="C12" s="538"/>
      <c r="D12" s="538"/>
      <c r="E12" s="538"/>
      <c r="F12" s="538"/>
      <c r="G12" s="538"/>
      <c r="H12" s="351"/>
      <c r="I12" s="351">
        <f t="shared" si="0"/>
        <v>0</v>
      </c>
      <c r="J12" s="209">
        <f t="shared" si="1"/>
        <v>0</v>
      </c>
    </row>
    <row r="13" spans="2:12" ht="21.9" customHeight="1">
      <c r="B13" s="539"/>
      <c r="C13" s="538"/>
      <c r="D13" s="538"/>
      <c r="E13" s="538"/>
      <c r="F13" s="538"/>
      <c r="G13" s="538"/>
      <c r="H13" s="351"/>
      <c r="I13" s="351">
        <f t="shared" si="0"/>
        <v>0</v>
      </c>
      <c r="J13" s="209">
        <f t="shared" si="1"/>
        <v>0</v>
      </c>
    </row>
    <row r="14" spans="2:12" ht="21.9" customHeight="1">
      <c r="B14" s="539"/>
      <c r="C14" s="538"/>
      <c r="D14" s="538"/>
      <c r="E14" s="538"/>
      <c r="F14" s="538"/>
      <c r="G14" s="538"/>
      <c r="H14" s="351"/>
      <c r="I14" s="351">
        <f t="shared" si="0"/>
        <v>0</v>
      </c>
      <c r="J14" s="209">
        <f t="shared" si="1"/>
        <v>0</v>
      </c>
    </row>
    <row r="15" spans="2:12" ht="21.9" customHeight="1">
      <c r="B15" s="539"/>
      <c r="C15" s="538"/>
      <c r="D15" s="538"/>
      <c r="E15" s="538"/>
      <c r="F15" s="538"/>
      <c r="G15" s="538"/>
      <c r="H15" s="351"/>
      <c r="I15" s="351">
        <f t="shared" si="0"/>
        <v>0</v>
      </c>
      <c r="J15" s="209">
        <f t="shared" si="1"/>
        <v>0</v>
      </c>
    </row>
    <row r="16" spans="2:12" ht="21.9" customHeight="1">
      <c r="B16" s="539"/>
      <c r="C16" s="538"/>
      <c r="D16" s="538"/>
      <c r="E16" s="538"/>
      <c r="F16" s="538"/>
      <c r="G16" s="538"/>
      <c r="H16" s="351"/>
      <c r="I16" s="351">
        <f t="shared" si="0"/>
        <v>0</v>
      </c>
      <c r="J16" s="209">
        <f t="shared" si="1"/>
        <v>0</v>
      </c>
    </row>
    <row r="17" spans="2:10" ht="21.9" customHeight="1">
      <c r="B17" s="539"/>
      <c r="C17" s="538"/>
      <c r="D17" s="538"/>
      <c r="E17" s="538"/>
      <c r="F17" s="538"/>
      <c r="G17" s="538"/>
      <c r="H17" s="351"/>
      <c r="I17" s="351">
        <f t="shared" si="0"/>
        <v>0</v>
      </c>
      <c r="J17" s="209">
        <f t="shared" si="1"/>
        <v>0</v>
      </c>
    </row>
    <row r="18" spans="2:10" ht="21.9" customHeight="1">
      <c r="B18" s="539"/>
      <c r="C18" s="538"/>
      <c r="D18" s="538"/>
      <c r="E18" s="538"/>
      <c r="F18" s="538"/>
      <c r="G18" s="538"/>
      <c r="H18" s="351"/>
      <c r="I18" s="351">
        <f t="shared" si="0"/>
        <v>0</v>
      </c>
      <c r="J18" s="209">
        <f t="shared" si="1"/>
        <v>0</v>
      </c>
    </row>
    <row r="19" spans="2:10" ht="21.9" customHeight="1">
      <c r="B19" s="539"/>
      <c r="C19" s="538"/>
      <c r="D19" s="538"/>
      <c r="E19" s="538"/>
      <c r="F19" s="538"/>
      <c r="G19" s="538"/>
      <c r="H19" s="351"/>
      <c r="I19" s="351">
        <f t="shared" si="0"/>
        <v>0</v>
      </c>
      <c r="J19" s="209">
        <f t="shared" si="1"/>
        <v>0</v>
      </c>
    </row>
    <row r="20" spans="2:10" ht="21.9" customHeight="1">
      <c r="B20" s="539"/>
      <c r="C20" s="538"/>
      <c r="D20" s="538"/>
      <c r="E20" s="538"/>
      <c r="F20" s="538"/>
      <c r="G20" s="538"/>
      <c r="H20" s="351"/>
      <c r="I20" s="351">
        <f t="shared" si="0"/>
        <v>0</v>
      </c>
      <c r="J20" s="209">
        <f t="shared" si="1"/>
        <v>0</v>
      </c>
    </row>
    <row r="21" spans="2:10" ht="21.9" customHeight="1">
      <c r="B21" s="539"/>
      <c r="C21" s="538"/>
      <c r="D21" s="538"/>
      <c r="E21" s="538"/>
      <c r="F21" s="538"/>
      <c r="G21" s="538"/>
      <c r="H21" s="351"/>
      <c r="I21" s="351">
        <f t="shared" si="0"/>
        <v>0</v>
      </c>
      <c r="J21" s="209">
        <f t="shared" si="1"/>
        <v>0</v>
      </c>
    </row>
    <row r="22" spans="2:10" ht="21.9" customHeight="1">
      <c r="B22" s="539"/>
      <c r="C22" s="538"/>
      <c r="D22" s="538"/>
      <c r="E22" s="538"/>
      <c r="F22" s="538"/>
      <c r="G22" s="538"/>
      <c r="H22" s="351"/>
      <c r="I22" s="351">
        <f t="shared" si="0"/>
        <v>0</v>
      </c>
      <c r="J22" s="209">
        <f t="shared" si="1"/>
        <v>0</v>
      </c>
    </row>
    <row r="23" spans="2:10" ht="21.9" customHeight="1">
      <c r="B23" s="539"/>
      <c r="C23" s="538"/>
      <c r="D23" s="538"/>
      <c r="E23" s="538"/>
      <c r="F23" s="538"/>
      <c r="G23" s="538"/>
      <c r="H23" s="351"/>
      <c r="I23" s="351">
        <f t="shared" si="0"/>
        <v>0</v>
      </c>
      <c r="J23" s="209">
        <f t="shared" si="1"/>
        <v>0</v>
      </c>
    </row>
    <row r="24" spans="2:10" ht="21.9" customHeight="1">
      <c r="B24" s="539"/>
      <c r="C24" s="538"/>
      <c r="D24" s="538"/>
      <c r="E24" s="538"/>
      <c r="F24" s="538"/>
      <c r="G24" s="538"/>
      <c r="H24" s="351"/>
      <c r="I24" s="351">
        <f t="shared" si="0"/>
        <v>0</v>
      </c>
      <c r="J24" s="209">
        <f t="shared" si="1"/>
        <v>0</v>
      </c>
    </row>
    <row r="25" spans="2:10" ht="21.9" customHeight="1">
      <c r="B25" s="539"/>
      <c r="C25" s="538"/>
      <c r="D25" s="538"/>
      <c r="E25" s="538"/>
      <c r="F25" s="538"/>
      <c r="G25" s="538"/>
      <c r="H25" s="351"/>
      <c r="I25" s="351">
        <f t="shared" si="0"/>
        <v>0</v>
      </c>
      <c r="J25" s="209">
        <f t="shared" si="1"/>
        <v>0</v>
      </c>
    </row>
    <row r="26" spans="2:10" ht="21.9" customHeight="1">
      <c r="B26" s="539"/>
      <c r="C26" s="538"/>
      <c r="D26" s="538"/>
      <c r="E26" s="538"/>
      <c r="F26" s="538"/>
      <c r="G26" s="538"/>
      <c r="H26" s="351"/>
      <c r="I26" s="351">
        <f t="shared" si="0"/>
        <v>0</v>
      </c>
      <c r="J26" s="209">
        <f t="shared" si="1"/>
        <v>0</v>
      </c>
    </row>
    <row r="27" spans="2:10" ht="21.9" customHeight="1">
      <c r="B27" s="539"/>
      <c r="C27" s="538"/>
      <c r="D27" s="538"/>
      <c r="E27" s="538"/>
      <c r="F27" s="538"/>
      <c r="G27" s="538"/>
      <c r="H27" s="351"/>
      <c r="I27" s="351">
        <f t="shared" si="0"/>
        <v>0</v>
      </c>
      <c r="J27" s="209">
        <f t="shared" si="1"/>
        <v>0</v>
      </c>
    </row>
    <row r="28" spans="2:10" ht="21.9" customHeight="1">
      <c r="B28" s="539"/>
      <c r="C28" s="538"/>
      <c r="D28" s="538"/>
      <c r="E28" s="538"/>
      <c r="F28" s="538"/>
      <c r="G28" s="538"/>
      <c r="H28" s="351"/>
      <c r="I28" s="351">
        <f t="shared" si="0"/>
        <v>0</v>
      </c>
      <c r="J28" s="209">
        <f t="shared" si="1"/>
        <v>0</v>
      </c>
    </row>
    <row r="29" spans="2:10" ht="21.9" customHeight="1">
      <c r="B29" s="539"/>
      <c r="C29" s="538"/>
      <c r="D29" s="538"/>
      <c r="E29" s="538"/>
      <c r="F29" s="538"/>
      <c r="G29" s="538"/>
      <c r="H29" s="351"/>
      <c r="I29" s="351">
        <f t="shared" si="0"/>
        <v>0</v>
      </c>
      <c r="J29" s="209">
        <f t="shared" si="1"/>
        <v>0</v>
      </c>
    </row>
    <row r="30" spans="2:10" ht="21.9" customHeight="1">
      <c r="B30" s="539"/>
      <c r="C30" s="538"/>
      <c r="D30" s="538"/>
      <c r="E30" s="538"/>
      <c r="F30" s="538"/>
      <c r="G30" s="538"/>
      <c r="H30" s="351"/>
      <c r="I30" s="351">
        <f t="shared" si="0"/>
        <v>0</v>
      </c>
      <c r="J30" s="209">
        <f t="shared" si="1"/>
        <v>0</v>
      </c>
    </row>
    <row r="31" spans="2:10" ht="21.9" customHeight="1">
      <c r="B31" s="539"/>
      <c r="C31" s="538"/>
      <c r="D31" s="538"/>
      <c r="E31" s="538"/>
      <c r="F31" s="538"/>
      <c r="G31" s="538"/>
      <c r="H31" s="351"/>
      <c r="I31" s="351">
        <f t="shared" si="0"/>
        <v>0</v>
      </c>
      <c r="J31" s="209">
        <f t="shared" si="1"/>
        <v>0</v>
      </c>
    </row>
    <row r="32" spans="2:10" ht="21.9" customHeight="1">
      <c r="B32" s="539"/>
      <c r="C32" s="538"/>
      <c r="D32" s="538"/>
      <c r="E32" s="538"/>
      <c r="F32" s="538"/>
      <c r="G32" s="538"/>
      <c r="H32" s="351"/>
      <c r="I32" s="351">
        <f t="shared" si="0"/>
        <v>0</v>
      </c>
      <c r="J32" s="209">
        <f t="shared" si="1"/>
        <v>0</v>
      </c>
    </row>
    <row r="33" spans="2:11" ht="21.9" customHeight="1">
      <c r="B33" s="539"/>
      <c r="C33" s="538"/>
      <c r="D33" s="538"/>
      <c r="E33" s="538"/>
      <c r="F33" s="538"/>
      <c r="G33" s="538"/>
      <c r="H33" s="351"/>
      <c r="I33" s="351">
        <f t="shared" si="0"/>
        <v>0</v>
      </c>
      <c r="J33" s="209">
        <f t="shared" si="1"/>
        <v>0</v>
      </c>
    </row>
    <row r="34" spans="2:11" ht="21.9" customHeight="1">
      <c r="B34" s="539"/>
      <c r="C34" s="538"/>
      <c r="D34" s="538"/>
      <c r="E34" s="538"/>
      <c r="F34" s="538"/>
      <c r="G34" s="538"/>
      <c r="H34" s="351"/>
      <c r="I34" s="351">
        <f t="shared" si="0"/>
        <v>0</v>
      </c>
      <c r="J34" s="209">
        <f t="shared" si="1"/>
        <v>0</v>
      </c>
    </row>
    <row r="35" spans="2:11" ht="21.9" customHeight="1">
      <c r="B35" s="539"/>
      <c r="C35" s="538"/>
      <c r="D35" s="538"/>
      <c r="E35" s="538"/>
      <c r="F35" s="538"/>
      <c r="G35" s="538"/>
      <c r="H35" s="351"/>
      <c r="I35" s="351">
        <f t="shared" si="0"/>
        <v>0</v>
      </c>
      <c r="J35" s="209">
        <f t="shared" si="1"/>
        <v>0</v>
      </c>
    </row>
    <row r="36" spans="2:11" ht="21.9" customHeight="1">
      <c r="B36" s="539"/>
      <c r="C36" s="538"/>
      <c r="D36" s="538"/>
      <c r="E36" s="538"/>
      <c r="F36" s="538"/>
      <c r="G36" s="538"/>
      <c r="H36" s="351"/>
      <c r="I36" s="351">
        <f t="shared" si="0"/>
        <v>0</v>
      </c>
      <c r="J36" s="209">
        <f t="shared" si="1"/>
        <v>0</v>
      </c>
    </row>
    <row r="37" spans="2:11" ht="21.9" customHeight="1">
      <c r="B37" s="539"/>
      <c r="C37" s="538"/>
      <c r="D37" s="538"/>
      <c r="E37" s="538"/>
      <c r="F37" s="538"/>
      <c r="G37" s="538"/>
      <c r="H37" s="351"/>
      <c r="I37" s="351">
        <f t="shared" si="0"/>
        <v>0</v>
      </c>
      <c r="J37" s="209">
        <f t="shared" si="1"/>
        <v>0</v>
      </c>
    </row>
    <row r="38" spans="2:11" ht="21.9" customHeight="1">
      <c r="B38" s="539"/>
      <c r="C38" s="538"/>
      <c r="D38" s="538"/>
      <c r="E38" s="538"/>
      <c r="F38" s="538"/>
      <c r="G38" s="538"/>
      <c r="H38" s="351"/>
      <c r="I38" s="351">
        <f t="shared" si="0"/>
        <v>0</v>
      </c>
      <c r="J38" s="209">
        <f t="shared" si="1"/>
        <v>0</v>
      </c>
    </row>
    <row r="39" spans="2:11" ht="21.9" customHeight="1">
      <c r="B39" s="539"/>
      <c r="C39" s="538"/>
      <c r="D39" s="538"/>
      <c r="E39" s="538"/>
      <c r="F39" s="538"/>
      <c r="G39" s="538"/>
      <c r="H39" s="351"/>
      <c r="I39" s="351">
        <f t="shared" si="0"/>
        <v>0</v>
      </c>
      <c r="J39" s="209">
        <f t="shared" si="1"/>
        <v>0</v>
      </c>
    </row>
    <row r="40" spans="2:11" ht="21.9" customHeight="1">
      <c r="B40" s="539"/>
      <c r="C40" s="538"/>
      <c r="D40" s="538"/>
      <c r="E40" s="538"/>
      <c r="F40" s="538"/>
      <c r="G40" s="538"/>
      <c r="H40" s="351"/>
      <c r="I40" s="351">
        <f t="shared" si="0"/>
        <v>0</v>
      </c>
      <c r="J40" s="209">
        <f t="shared" si="1"/>
        <v>0</v>
      </c>
    </row>
    <row r="41" spans="2:11" ht="21.9" customHeight="1">
      <c r="B41" s="539"/>
      <c r="C41" s="538"/>
      <c r="D41" s="538"/>
      <c r="E41" s="538"/>
      <c r="F41" s="538"/>
      <c r="G41" s="538"/>
      <c r="H41" s="351"/>
      <c r="I41" s="351">
        <f t="shared" si="0"/>
        <v>0</v>
      </c>
      <c r="J41" s="209">
        <f t="shared" si="1"/>
        <v>0</v>
      </c>
    </row>
    <row r="42" spans="2:11" ht="21.9" customHeight="1">
      <c r="B42" s="539"/>
      <c r="C42" s="538"/>
      <c r="D42" s="538"/>
      <c r="E42" s="538"/>
      <c r="F42" s="538"/>
      <c r="G42" s="538"/>
      <c r="H42" s="351"/>
      <c r="I42" s="351">
        <f t="shared" si="0"/>
        <v>0</v>
      </c>
      <c r="J42" s="209">
        <f t="shared" si="1"/>
        <v>0</v>
      </c>
    </row>
    <row r="43" spans="2:11" ht="21.9" customHeight="1" thickBot="1">
      <c r="B43" s="27"/>
      <c r="C43" s="315" t="s">
        <v>3265</v>
      </c>
      <c r="D43" s="27"/>
      <c r="E43" s="27"/>
      <c r="F43" s="27"/>
      <c r="G43" s="27"/>
      <c r="H43" s="103">
        <f>SUM(H10:H42)</f>
        <v>6065.77</v>
      </c>
      <c r="I43" s="103">
        <f>SUM(I10:I42)</f>
        <v>6065.77</v>
      </c>
      <c r="J43" s="229">
        <f>SUM(J10:J42)</f>
        <v>0</v>
      </c>
      <c r="K43" s="312"/>
    </row>
    <row r="44" spans="2:11" ht="13.8" thickTop="1">
      <c r="B44" s="309" t="s">
        <v>278</v>
      </c>
    </row>
    <row r="45" spans="2:11">
      <c r="B45" s="309" t="s">
        <v>279</v>
      </c>
    </row>
    <row r="46" spans="2:11">
      <c r="B46" s="309" t="s">
        <v>280</v>
      </c>
      <c r="H46" s="312"/>
    </row>
    <row r="48" spans="2:11">
      <c r="B48" s="309" t="s">
        <v>281</v>
      </c>
      <c r="E48" s="1651"/>
      <c r="F48" s="1651"/>
      <c r="G48" s="1651"/>
      <c r="H48" s="1651"/>
    </row>
    <row r="49" spans="2:10" ht="13.8">
      <c r="B49" s="1618" t="s">
        <v>3335</v>
      </c>
      <c r="C49" s="1618"/>
      <c r="D49" s="1618"/>
      <c r="E49" s="1618"/>
      <c r="F49" s="1618"/>
      <c r="G49" s="1618"/>
      <c r="H49" s="1618"/>
      <c r="I49" s="1618"/>
      <c r="J49" s="1618"/>
    </row>
    <row r="52" spans="2:10">
      <c r="I52" s="312"/>
    </row>
  </sheetData>
  <sheetProtection algorithmName="SHA-512" hashValue="l+psSsWcfrA8DAZUNxu4SxKIltkHBxP6+usTHyMVH9yzrm7kDAXIApVdVNkfcJmirVdUzHJL5MSaedAsq5ct6w==" saltValue="LW+f302Oa9Wxz+xuL1z5zQ=="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2"/>
  <dimension ref="B4:L52"/>
  <sheetViews>
    <sheetView zoomScaleNormal="100" zoomScaleSheetLayoutView="90" workbookViewId="0">
      <selection activeCell="B8" sqref="B8"/>
    </sheetView>
  </sheetViews>
  <sheetFormatPr defaultColWidth="9.109375" defaultRowHeight="13.2"/>
  <cols>
    <col min="1" max="3" width="4.6640625" style="309" customWidth="1"/>
    <col min="4" max="6" width="9.109375" style="309"/>
    <col min="7" max="7" width="9.109375" style="309" customWidth="1"/>
    <col min="8" max="9" width="16.6640625" style="309" customWidth="1"/>
    <col min="10" max="10" width="19.5546875" style="309" customWidth="1"/>
    <col min="11" max="16384" width="9.109375" style="309"/>
  </cols>
  <sheetData>
    <row r="4" spans="2:12" ht="22.8">
      <c r="B4" s="1665" t="str">
        <f>'17-Budget Revenues'!B2:J2</f>
        <v>STATEMENT OF GENERAL BUDGET REVENUES 2021</v>
      </c>
      <c r="C4" s="1665"/>
      <c r="D4" s="1665"/>
      <c r="E4" s="1665"/>
      <c r="F4" s="1665"/>
      <c r="G4" s="1665"/>
      <c r="H4" s="1665"/>
      <c r="I4" s="1665"/>
      <c r="J4" s="1665"/>
    </row>
    <row r="5" spans="2:12" ht="13.8">
      <c r="B5" s="1618" t="s">
        <v>263</v>
      </c>
      <c r="C5" s="1618"/>
      <c r="D5" s="1618"/>
      <c r="E5" s="1618"/>
      <c r="F5" s="1618"/>
      <c r="G5" s="1618"/>
      <c r="H5" s="1618"/>
      <c r="I5" s="1618"/>
      <c r="J5" s="1618"/>
    </row>
    <row r="7" spans="2:12" ht="15.6">
      <c r="B7" s="1656" t="s">
        <v>3560</v>
      </c>
      <c r="C7" s="1656"/>
      <c r="D7" s="1656"/>
      <c r="E7" s="1656"/>
      <c r="F7" s="1656"/>
      <c r="G7" s="1656"/>
      <c r="H7" s="1656"/>
      <c r="I7" s="1656"/>
      <c r="J7" s="1656"/>
    </row>
    <row r="8" spans="2:12" ht="8.25" customHeight="1" thickBot="1">
      <c r="B8" s="10"/>
      <c r="C8" s="10"/>
      <c r="D8" s="10"/>
      <c r="E8" s="10"/>
      <c r="F8" s="10"/>
      <c r="G8" s="10"/>
      <c r="H8" s="10"/>
      <c r="I8" s="10"/>
      <c r="J8" s="10"/>
    </row>
    <row r="9" spans="2:12" ht="32.1" customHeight="1" thickTop="1" thickBot="1">
      <c r="B9" s="1668" t="s">
        <v>165</v>
      </c>
      <c r="C9" s="1668"/>
      <c r="D9" s="1668"/>
      <c r="E9" s="1668"/>
      <c r="F9" s="1668"/>
      <c r="G9" s="1668"/>
      <c r="H9" s="4" t="s">
        <v>535</v>
      </c>
      <c r="I9" s="4" t="s">
        <v>637</v>
      </c>
      <c r="J9" s="719" t="s">
        <v>264</v>
      </c>
    </row>
    <row r="10" spans="2:12" ht="21.9" customHeight="1" thickTop="1">
      <c r="B10" s="756" t="s">
        <v>3266</v>
      </c>
      <c r="C10" s="271"/>
      <c r="D10" s="271"/>
      <c r="E10" s="271"/>
      <c r="F10" s="271"/>
      <c r="G10" s="271"/>
      <c r="H10" s="61">
        <f>+'17a.1-Budget Revenues '!H43</f>
        <v>6065.77</v>
      </c>
      <c r="I10" s="61">
        <f>+'17a.1-Budget Revenues '!I43</f>
        <v>6065.77</v>
      </c>
      <c r="J10" s="62">
        <f>+'17a.1-Budget Revenues '!J43</f>
        <v>0</v>
      </c>
    </row>
    <row r="11" spans="2:12" ht="21.9" customHeight="1">
      <c r="B11" s="539"/>
      <c r="C11" s="538"/>
      <c r="D11" s="538"/>
      <c r="E11" s="538"/>
      <c r="F11" s="538"/>
      <c r="G11" s="538"/>
      <c r="H11" s="351"/>
      <c r="I11" s="351">
        <f t="shared" ref="I11:I42" si="0">+H11</f>
        <v>0</v>
      </c>
      <c r="J11" s="209">
        <f t="shared" ref="J11:J42" si="1">H11-I11</f>
        <v>0</v>
      </c>
      <c r="L11" s="1392" t="s">
        <v>3481</v>
      </c>
    </row>
    <row r="12" spans="2:12" ht="21.9" customHeight="1">
      <c r="B12" s="539"/>
      <c r="C12" s="538"/>
      <c r="D12" s="538"/>
      <c r="E12" s="538"/>
      <c r="F12" s="538"/>
      <c r="G12" s="538"/>
      <c r="H12" s="351"/>
      <c r="I12" s="351">
        <f t="shared" si="0"/>
        <v>0</v>
      </c>
      <c r="J12" s="209">
        <f t="shared" si="1"/>
        <v>0</v>
      </c>
    </row>
    <row r="13" spans="2:12" ht="21.9" customHeight="1">
      <c r="B13" s="539"/>
      <c r="C13" s="538"/>
      <c r="D13" s="538"/>
      <c r="E13" s="538"/>
      <c r="F13" s="538"/>
      <c r="G13" s="538"/>
      <c r="H13" s="351"/>
      <c r="I13" s="351">
        <f t="shared" si="0"/>
        <v>0</v>
      </c>
      <c r="J13" s="209">
        <f t="shared" si="1"/>
        <v>0</v>
      </c>
    </row>
    <row r="14" spans="2:12" ht="21.9" customHeight="1">
      <c r="B14" s="539"/>
      <c r="C14" s="538"/>
      <c r="D14" s="538"/>
      <c r="E14" s="538"/>
      <c r="F14" s="538"/>
      <c r="G14" s="538"/>
      <c r="H14" s="351"/>
      <c r="I14" s="351">
        <f t="shared" si="0"/>
        <v>0</v>
      </c>
      <c r="J14" s="209">
        <f t="shared" si="1"/>
        <v>0</v>
      </c>
    </row>
    <row r="15" spans="2:12" ht="21.9" customHeight="1">
      <c r="B15" s="539"/>
      <c r="C15" s="538"/>
      <c r="D15" s="538"/>
      <c r="E15" s="538"/>
      <c r="F15" s="538"/>
      <c r="G15" s="538"/>
      <c r="H15" s="351"/>
      <c r="I15" s="351">
        <f t="shared" si="0"/>
        <v>0</v>
      </c>
      <c r="J15" s="209">
        <f t="shared" si="1"/>
        <v>0</v>
      </c>
    </row>
    <row r="16" spans="2:12" ht="21.9" customHeight="1">
      <c r="B16" s="539"/>
      <c r="C16" s="538"/>
      <c r="D16" s="538"/>
      <c r="E16" s="538"/>
      <c r="F16" s="538"/>
      <c r="G16" s="538"/>
      <c r="H16" s="351"/>
      <c r="I16" s="351">
        <f t="shared" si="0"/>
        <v>0</v>
      </c>
      <c r="J16" s="209">
        <f t="shared" si="1"/>
        <v>0</v>
      </c>
    </row>
    <row r="17" spans="2:10" ht="21.9" customHeight="1">
      <c r="B17" s="539"/>
      <c r="C17" s="538"/>
      <c r="D17" s="538"/>
      <c r="E17" s="538"/>
      <c r="F17" s="538"/>
      <c r="G17" s="538"/>
      <c r="H17" s="351"/>
      <c r="I17" s="351">
        <f t="shared" si="0"/>
        <v>0</v>
      </c>
      <c r="J17" s="209">
        <f t="shared" si="1"/>
        <v>0</v>
      </c>
    </row>
    <row r="18" spans="2:10" ht="21.9" customHeight="1">
      <c r="B18" s="539"/>
      <c r="C18" s="538"/>
      <c r="D18" s="538"/>
      <c r="E18" s="538"/>
      <c r="F18" s="538"/>
      <c r="G18" s="538"/>
      <c r="H18" s="351"/>
      <c r="I18" s="351">
        <f t="shared" si="0"/>
        <v>0</v>
      </c>
      <c r="J18" s="209">
        <f t="shared" si="1"/>
        <v>0</v>
      </c>
    </row>
    <row r="19" spans="2:10" ht="21.9" customHeight="1">
      <c r="B19" s="539"/>
      <c r="C19" s="538"/>
      <c r="D19" s="538"/>
      <c r="E19" s="538"/>
      <c r="F19" s="538"/>
      <c r="G19" s="538"/>
      <c r="H19" s="351"/>
      <c r="I19" s="351">
        <f t="shared" si="0"/>
        <v>0</v>
      </c>
      <c r="J19" s="209">
        <f t="shared" si="1"/>
        <v>0</v>
      </c>
    </row>
    <row r="20" spans="2:10" ht="21.9" customHeight="1">
      <c r="B20" s="539"/>
      <c r="C20" s="538"/>
      <c r="D20" s="538"/>
      <c r="E20" s="538"/>
      <c r="F20" s="538"/>
      <c r="G20" s="538"/>
      <c r="H20" s="351"/>
      <c r="I20" s="351">
        <f t="shared" si="0"/>
        <v>0</v>
      </c>
      <c r="J20" s="209">
        <f t="shared" si="1"/>
        <v>0</v>
      </c>
    </row>
    <row r="21" spans="2:10" ht="21.9" customHeight="1">
      <c r="B21" s="539"/>
      <c r="C21" s="538"/>
      <c r="D21" s="538"/>
      <c r="E21" s="538"/>
      <c r="F21" s="538"/>
      <c r="G21" s="538"/>
      <c r="H21" s="351"/>
      <c r="I21" s="351">
        <f t="shared" si="0"/>
        <v>0</v>
      </c>
      <c r="J21" s="209">
        <f t="shared" si="1"/>
        <v>0</v>
      </c>
    </row>
    <row r="22" spans="2:10" ht="21.9" customHeight="1">
      <c r="B22" s="539"/>
      <c r="C22" s="538"/>
      <c r="D22" s="538"/>
      <c r="E22" s="538"/>
      <c r="F22" s="538"/>
      <c r="G22" s="538"/>
      <c r="H22" s="351"/>
      <c r="I22" s="351">
        <f t="shared" si="0"/>
        <v>0</v>
      </c>
      <c r="J22" s="209">
        <f t="shared" si="1"/>
        <v>0</v>
      </c>
    </row>
    <row r="23" spans="2:10" ht="21.9" customHeight="1">
      <c r="B23" s="539"/>
      <c r="C23" s="538"/>
      <c r="D23" s="538"/>
      <c r="E23" s="538"/>
      <c r="F23" s="538"/>
      <c r="G23" s="538"/>
      <c r="H23" s="351"/>
      <c r="I23" s="351">
        <f t="shared" si="0"/>
        <v>0</v>
      </c>
      <c r="J23" s="209">
        <f t="shared" si="1"/>
        <v>0</v>
      </c>
    </row>
    <row r="24" spans="2:10" ht="21.9" customHeight="1">
      <c r="B24" s="539"/>
      <c r="C24" s="538"/>
      <c r="D24" s="538"/>
      <c r="E24" s="538"/>
      <c r="F24" s="538"/>
      <c r="G24" s="538"/>
      <c r="H24" s="351"/>
      <c r="I24" s="351">
        <f t="shared" si="0"/>
        <v>0</v>
      </c>
      <c r="J24" s="209">
        <f t="shared" si="1"/>
        <v>0</v>
      </c>
    </row>
    <row r="25" spans="2:10" ht="21.9" customHeight="1">
      <c r="B25" s="539"/>
      <c r="C25" s="538"/>
      <c r="D25" s="538"/>
      <c r="E25" s="538"/>
      <c r="F25" s="538"/>
      <c r="G25" s="538"/>
      <c r="H25" s="351"/>
      <c r="I25" s="351">
        <f t="shared" si="0"/>
        <v>0</v>
      </c>
      <c r="J25" s="209">
        <f t="shared" si="1"/>
        <v>0</v>
      </c>
    </row>
    <row r="26" spans="2:10" ht="21.9" customHeight="1">
      <c r="B26" s="539"/>
      <c r="C26" s="538"/>
      <c r="D26" s="538"/>
      <c r="E26" s="538"/>
      <c r="F26" s="538"/>
      <c r="G26" s="538"/>
      <c r="H26" s="351"/>
      <c r="I26" s="351">
        <f t="shared" si="0"/>
        <v>0</v>
      </c>
      <c r="J26" s="209">
        <f t="shared" si="1"/>
        <v>0</v>
      </c>
    </row>
    <row r="27" spans="2:10" ht="21.9" customHeight="1">
      <c r="B27" s="539"/>
      <c r="C27" s="538"/>
      <c r="D27" s="538"/>
      <c r="E27" s="538"/>
      <c r="F27" s="538"/>
      <c r="G27" s="538"/>
      <c r="H27" s="351"/>
      <c r="I27" s="351">
        <f t="shared" si="0"/>
        <v>0</v>
      </c>
      <c r="J27" s="209">
        <f t="shared" si="1"/>
        <v>0</v>
      </c>
    </row>
    <row r="28" spans="2:10" ht="21.9" customHeight="1">
      <c r="B28" s="539"/>
      <c r="C28" s="538"/>
      <c r="D28" s="538"/>
      <c r="E28" s="538"/>
      <c r="F28" s="538"/>
      <c r="G28" s="538"/>
      <c r="H28" s="351"/>
      <c r="I28" s="351">
        <f t="shared" si="0"/>
        <v>0</v>
      </c>
      <c r="J28" s="209">
        <f t="shared" si="1"/>
        <v>0</v>
      </c>
    </row>
    <row r="29" spans="2:10" ht="21.9" customHeight="1">
      <c r="B29" s="539"/>
      <c r="C29" s="538"/>
      <c r="D29" s="538"/>
      <c r="E29" s="538"/>
      <c r="F29" s="538"/>
      <c r="G29" s="538"/>
      <c r="H29" s="351"/>
      <c r="I29" s="351">
        <f t="shared" si="0"/>
        <v>0</v>
      </c>
      <c r="J29" s="209">
        <f t="shared" si="1"/>
        <v>0</v>
      </c>
    </row>
    <row r="30" spans="2:10" ht="21.9" customHeight="1">
      <c r="B30" s="539"/>
      <c r="C30" s="538"/>
      <c r="D30" s="538"/>
      <c r="E30" s="538"/>
      <c r="F30" s="538"/>
      <c r="G30" s="538"/>
      <c r="H30" s="351"/>
      <c r="I30" s="351">
        <f t="shared" si="0"/>
        <v>0</v>
      </c>
      <c r="J30" s="209">
        <f t="shared" si="1"/>
        <v>0</v>
      </c>
    </row>
    <row r="31" spans="2:10" ht="21.9" customHeight="1">
      <c r="B31" s="539"/>
      <c r="C31" s="538"/>
      <c r="D31" s="538"/>
      <c r="E31" s="538"/>
      <c r="F31" s="538"/>
      <c r="G31" s="538"/>
      <c r="H31" s="351"/>
      <c r="I31" s="351">
        <f t="shared" si="0"/>
        <v>0</v>
      </c>
      <c r="J31" s="209">
        <f t="shared" si="1"/>
        <v>0</v>
      </c>
    </row>
    <row r="32" spans="2:10" ht="21.9" customHeight="1">
      <c r="B32" s="539"/>
      <c r="C32" s="538"/>
      <c r="D32" s="538"/>
      <c r="E32" s="538"/>
      <c r="F32" s="538"/>
      <c r="G32" s="538"/>
      <c r="H32" s="351"/>
      <c r="I32" s="351">
        <f t="shared" si="0"/>
        <v>0</v>
      </c>
      <c r="J32" s="209">
        <f t="shared" si="1"/>
        <v>0</v>
      </c>
    </row>
    <row r="33" spans="2:11" ht="21.9" customHeight="1">
      <c r="B33" s="539"/>
      <c r="C33" s="538"/>
      <c r="D33" s="538"/>
      <c r="E33" s="538"/>
      <c r="F33" s="538"/>
      <c r="G33" s="538"/>
      <c r="H33" s="351"/>
      <c r="I33" s="351">
        <f t="shared" si="0"/>
        <v>0</v>
      </c>
      <c r="J33" s="209">
        <f t="shared" si="1"/>
        <v>0</v>
      </c>
    </row>
    <row r="34" spans="2:11" ht="21.9" customHeight="1">
      <c r="B34" s="539"/>
      <c r="C34" s="538"/>
      <c r="D34" s="538"/>
      <c r="E34" s="538"/>
      <c r="F34" s="538"/>
      <c r="G34" s="538"/>
      <c r="H34" s="351"/>
      <c r="I34" s="351">
        <f t="shared" si="0"/>
        <v>0</v>
      </c>
      <c r="J34" s="209">
        <f t="shared" si="1"/>
        <v>0</v>
      </c>
    </row>
    <row r="35" spans="2:11" ht="21.9" customHeight="1">
      <c r="B35" s="539"/>
      <c r="C35" s="538"/>
      <c r="D35" s="538"/>
      <c r="E35" s="538"/>
      <c r="F35" s="538"/>
      <c r="G35" s="538"/>
      <c r="H35" s="351"/>
      <c r="I35" s="351">
        <f t="shared" si="0"/>
        <v>0</v>
      </c>
      <c r="J35" s="209">
        <f t="shared" si="1"/>
        <v>0</v>
      </c>
    </row>
    <row r="36" spans="2:11" ht="21.9" customHeight="1">
      <c r="B36" s="539"/>
      <c r="C36" s="538"/>
      <c r="D36" s="538"/>
      <c r="E36" s="538"/>
      <c r="F36" s="538"/>
      <c r="G36" s="538"/>
      <c r="H36" s="351"/>
      <c r="I36" s="351">
        <f t="shared" si="0"/>
        <v>0</v>
      </c>
      <c r="J36" s="209">
        <f t="shared" si="1"/>
        <v>0</v>
      </c>
    </row>
    <row r="37" spans="2:11" ht="21.9" customHeight="1">
      <c r="B37" s="539"/>
      <c r="C37" s="538"/>
      <c r="D37" s="538"/>
      <c r="E37" s="538"/>
      <c r="F37" s="538"/>
      <c r="G37" s="538"/>
      <c r="H37" s="351"/>
      <c r="I37" s="351">
        <f t="shared" si="0"/>
        <v>0</v>
      </c>
      <c r="J37" s="209">
        <f t="shared" si="1"/>
        <v>0</v>
      </c>
    </row>
    <row r="38" spans="2:11" ht="21.9" customHeight="1">
      <c r="B38" s="539"/>
      <c r="C38" s="538"/>
      <c r="D38" s="538"/>
      <c r="E38" s="538"/>
      <c r="F38" s="538"/>
      <c r="G38" s="538"/>
      <c r="H38" s="351"/>
      <c r="I38" s="351">
        <f t="shared" si="0"/>
        <v>0</v>
      </c>
      <c r="J38" s="209">
        <f t="shared" si="1"/>
        <v>0</v>
      </c>
    </row>
    <row r="39" spans="2:11" ht="21.9" customHeight="1">
      <c r="B39" s="539"/>
      <c r="C39" s="538"/>
      <c r="D39" s="538"/>
      <c r="E39" s="538"/>
      <c r="F39" s="538"/>
      <c r="G39" s="538"/>
      <c r="H39" s="351"/>
      <c r="I39" s="351">
        <f t="shared" si="0"/>
        <v>0</v>
      </c>
      <c r="J39" s="209">
        <f t="shared" si="1"/>
        <v>0</v>
      </c>
    </row>
    <row r="40" spans="2:11" ht="21.9" customHeight="1">
      <c r="B40" s="539"/>
      <c r="C40" s="538"/>
      <c r="D40" s="538"/>
      <c r="E40" s="538"/>
      <c r="F40" s="538"/>
      <c r="G40" s="538"/>
      <c r="H40" s="351"/>
      <c r="I40" s="351">
        <f t="shared" si="0"/>
        <v>0</v>
      </c>
      <c r="J40" s="209">
        <f t="shared" si="1"/>
        <v>0</v>
      </c>
    </row>
    <row r="41" spans="2:11" ht="21.9" customHeight="1">
      <c r="B41" s="539"/>
      <c r="C41" s="538"/>
      <c r="D41" s="538"/>
      <c r="E41" s="538"/>
      <c r="F41" s="538"/>
      <c r="G41" s="538"/>
      <c r="H41" s="351"/>
      <c r="I41" s="351">
        <f t="shared" si="0"/>
        <v>0</v>
      </c>
      <c r="J41" s="209">
        <f t="shared" si="1"/>
        <v>0</v>
      </c>
    </row>
    <row r="42" spans="2:11" ht="21.9" customHeight="1">
      <c r="B42" s="539"/>
      <c r="C42" s="538"/>
      <c r="D42" s="538"/>
      <c r="E42" s="538"/>
      <c r="F42" s="538"/>
      <c r="G42" s="538"/>
      <c r="H42" s="351"/>
      <c r="I42" s="351">
        <f t="shared" si="0"/>
        <v>0</v>
      </c>
      <c r="J42" s="209">
        <f t="shared" si="1"/>
        <v>0</v>
      </c>
    </row>
    <row r="43" spans="2:11" ht="21.9" customHeight="1" thickBot="1">
      <c r="B43" s="27"/>
      <c r="C43" s="315" t="s">
        <v>3265</v>
      </c>
      <c r="D43" s="27"/>
      <c r="E43" s="27"/>
      <c r="F43" s="27"/>
      <c r="G43" s="27"/>
      <c r="H43" s="103">
        <f>SUM(H10:H42)</f>
        <v>6065.77</v>
      </c>
      <c r="I43" s="103">
        <f>SUM(I10:I42)</f>
        <v>6065.77</v>
      </c>
      <c r="J43" s="229">
        <f>SUM(J10:J42)</f>
        <v>0</v>
      </c>
      <c r="K43" s="312"/>
    </row>
    <row r="44" spans="2:11" ht="13.8" thickTop="1">
      <c r="B44" s="309" t="s">
        <v>278</v>
      </c>
    </row>
    <row r="45" spans="2:11">
      <c r="B45" s="309" t="s">
        <v>279</v>
      </c>
    </row>
    <row r="46" spans="2:11">
      <c r="B46" s="309" t="s">
        <v>280</v>
      </c>
      <c r="H46" s="312"/>
    </row>
    <row r="48" spans="2:11">
      <c r="B48" s="309" t="s">
        <v>281</v>
      </c>
      <c r="E48" s="1651"/>
      <c r="F48" s="1651"/>
      <c r="G48" s="1651"/>
      <c r="H48" s="1651"/>
    </row>
    <row r="49" spans="2:10" ht="13.8">
      <c r="B49" s="1618" t="s">
        <v>3334</v>
      </c>
      <c r="C49" s="1618"/>
      <c r="D49" s="1618"/>
      <c r="E49" s="1618"/>
      <c r="F49" s="1618"/>
      <c r="G49" s="1618"/>
      <c r="H49" s="1618"/>
      <c r="I49" s="1618"/>
      <c r="J49" s="1618"/>
    </row>
    <row r="52" spans="2:10">
      <c r="I52" s="312"/>
    </row>
  </sheetData>
  <sheetProtection algorithmName="SHA-512" hashValue="WWvYJYXyzWmMTaWZ0JTkpOp+kiOjcNEioHuGicx20YeKCkSKr19lzRBihyBR+ivqKJ8H1DBLzwJis9iFWgjiSw==" saltValue="R8y0N7mEJbNY60qhif7UVA=="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3"/>
  <dimension ref="B4:L52"/>
  <sheetViews>
    <sheetView zoomScaleNormal="100" zoomScaleSheetLayoutView="90" workbookViewId="0">
      <selection activeCell="B8" sqref="B8"/>
    </sheetView>
  </sheetViews>
  <sheetFormatPr defaultColWidth="9.109375" defaultRowHeight="13.2"/>
  <cols>
    <col min="1" max="3" width="4.6640625" style="309" customWidth="1"/>
    <col min="4" max="6" width="9.109375" style="309"/>
    <col min="7" max="7" width="9.109375" style="309" customWidth="1"/>
    <col min="8" max="9" width="16.6640625" style="309" customWidth="1"/>
    <col min="10" max="10" width="19.5546875" style="309" customWidth="1"/>
    <col min="11" max="16384" width="9.109375" style="309"/>
  </cols>
  <sheetData>
    <row r="4" spans="2:12" ht="22.8">
      <c r="B4" s="1665" t="str">
        <f>'17-Budget Revenues'!B2:J2</f>
        <v>STATEMENT OF GENERAL BUDGET REVENUES 2021</v>
      </c>
      <c r="C4" s="1665"/>
      <c r="D4" s="1665"/>
      <c r="E4" s="1665"/>
      <c r="F4" s="1665"/>
      <c r="G4" s="1665"/>
      <c r="H4" s="1665"/>
      <c r="I4" s="1665"/>
      <c r="J4" s="1665"/>
    </row>
    <row r="5" spans="2:12" ht="13.8">
      <c r="B5" s="1618" t="s">
        <v>263</v>
      </c>
      <c r="C5" s="1618"/>
      <c r="D5" s="1618"/>
      <c r="E5" s="1618"/>
      <c r="F5" s="1618"/>
      <c r="G5" s="1618"/>
      <c r="H5" s="1618"/>
      <c r="I5" s="1618"/>
      <c r="J5" s="1618"/>
    </row>
    <row r="7" spans="2:12" ht="15.6">
      <c r="B7" s="1656" t="s">
        <v>3560</v>
      </c>
      <c r="C7" s="1656"/>
      <c r="D7" s="1656"/>
      <c r="E7" s="1656"/>
      <c r="F7" s="1656"/>
      <c r="G7" s="1656"/>
      <c r="H7" s="1656"/>
      <c r="I7" s="1656"/>
      <c r="J7" s="1656"/>
    </row>
    <row r="8" spans="2:12" ht="8.25" customHeight="1" thickBot="1">
      <c r="B8" s="10"/>
      <c r="C8" s="10"/>
      <c r="D8" s="10"/>
      <c r="E8" s="10"/>
      <c r="F8" s="10"/>
      <c r="G8" s="10"/>
      <c r="H8" s="10"/>
      <c r="I8" s="10"/>
      <c r="J8" s="10"/>
    </row>
    <row r="9" spans="2:12" ht="32.1" customHeight="1" thickTop="1" thickBot="1">
      <c r="B9" s="1668" t="s">
        <v>165</v>
      </c>
      <c r="C9" s="1668"/>
      <c r="D9" s="1668"/>
      <c r="E9" s="1668"/>
      <c r="F9" s="1668"/>
      <c r="G9" s="1668"/>
      <c r="H9" s="4" t="s">
        <v>535</v>
      </c>
      <c r="I9" s="4" t="s">
        <v>637</v>
      </c>
      <c r="J9" s="719" t="s">
        <v>264</v>
      </c>
    </row>
    <row r="10" spans="2:12" ht="21.9" customHeight="1" thickTop="1">
      <c r="B10" s="756" t="s">
        <v>3266</v>
      </c>
      <c r="C10" s="271"/>
      <c r="D10" s="271"/>
      <c r="E10" s="271"/>
      <c r="F10" s="271"/>
      <c r="G10" s="271"/>
      <c r="H10" s="61">
        <f>+'17a.2-Budget Revenues'!H43</f>
        <v>6065.77</v>
      </c>
      <c r="I10" s="61">
        <f>+'17a.2-Budget Revenues'!I43</f>
        <v>6065.77</v>
      </c>
      <c r="J10" s="62">
        <f>+'17a.2-Budget Revenues'!J43</f>
        <v>0</v>
      </c>
    </row>
    <row r="11" spans="2:12" ht="21.9" customHeight="1">
      <c r="B11" s="539"/>
      <c r="C11" s="538"/>
      <c r="D11" s="538"/>
      <c r="E11" s="538"/>
      <c r="F11" s="538"/>
      <c r="G11" s="538"/>
      <c r="H11" s="351"/>
      <c r="I11" s="351">
        <f t="shared" ref="I11:I42" si="0">+H11</f>
        <v>0</v>
      </c>
      <c r="J11" s="209">
        <f t="shared" ref="J11:J42" si="1">H11-I11</f>
        <v>0</v>
      </c>
      <c r="L11" s="1392" t="s">
        <v>3481</v>
      </c>
    </row>
    <row r="12" spans="2:12" ht="21.9" customHeight="1">
      <c r="B12" s="539"/>
      <c r="C12" s="538"/>
      <c r="D12" s="538"/>
      <c r="E12" s="538"/>
      <c r="F12" s="538"/>
      <c r="G12" s="538"/>
      <c r="H12" s="351"/>
      <c r="I12" s="351">
        <f t="shared" si="0"/>
        <v>0</v>
      </c>
      <c r="J12" s="209">
        <f t="shared" si="1"/>
        <v>0</v>
      </c>
    </row>
    <row r="13" spans="2:12" ht="21.9" customHeight="1">
      <c r="B13" s="539"/>
      <c r="C13" s="538"/>
      <c r="D13" s="538"/>
      <c r="E13" s="538"/>
      <c r="F13" s="538"/>
      <c r="G13" s="538"/>
      <c r="H13" s="351"/>
      <c r="I13" s="351">
        <f t="shared" si="0"/>
        <v>0</v>
      </c>
      <c r="J13" s="209">
        <f t="shared" si="1"/>
        <v>0</v>
      </c>
    </row>
    <row r="14" spans="2:12" ht="21.9" customHeight="1">
      <c r="B14" s="539"/>
      <c r="C14" s="538"/>
      <c r="D14" s="538"/>
      <c r="E14" s="538"/>
      <c r="F14" s="538"/>
      <c r="G14" s="538"/>
      <c r="H14" s="351"/>
      <c r="I14" s="351">
        <f t="shared" si="0"/>
        <v>0</v>
      </c>
      <c r="J14" s="209">
        <f t="shared" si="1"/>
        <v>0</v>
      </c>
    </row>
    <row r="15" spans="2:12" ht="21.9" customHeight="1">
      <c r="B15" s="539"/>
      <c r="C15" s="538"/>
      <c r="D15" s="538"/>
      <c r="E15" s="538"/>
      <c r="F15" s="538"/>
      <c r="G15" s="538"/>
      <c r="H15" s="351"/>
      <c r="I15" s="351">
        <f t="shared" si="0"/>
        <v>0</v>
      </c>
      <c r="J15" s="209">
        <f t="shared" si="1"/>
        <v>0</v>
      </c>
    </row>
    <row r="16" spans="2:12" ht="21.9" customHeight="1">
      <c r="B16" s="539"/>
      <c r="C16" s="538"/>
      <c r="D16" s="538"/>
      <c r="E16" s="538"/>
      <c r="F16" s="538"/>
      <c r="G16" s="538"/>
      <c r="H16" s="351"/>
      <c r="I16" s="351">
        <f t="shared" si="0"/>
        <v>0</v>
      </c>
      <c r="J16" s="209">
        <f t="shared" si="1"/>
        <v>0</v>
      </c>
    </row>
    <row r="17" spans="2:10" ht="21.9" customHeight="1">
      <c r="B17" s="539"/>
      <c r="C17" s="538"/>
      <c r="D17" s="538"/>
      <c r="E17" s="538"/>
      <c r="F17" s="538"/>
      <c r="G17" s="538"/>
      <c r="H17" s="351"/>
      <c r="I17" s="351">
        <f t="shared" si="0"/>
        <v>0</v>
      </c>
      <c r="J17" s="209">
        <f t="shared" si="1"/>
        <v>0</v>
      </c>
    </row>
    <row r="18" spans="2:10" ht="21.9" customHeight="1">
      <c r="B18" s="539"/>
      <c r="C18" s="538"/>
      <c r="D18" s="538"/>
      <c r="E18" s="538"/>
      <c r="F18" s="538"/>
      <c r="G18" s="538"/>
      <c r="H18" s="351"/>
      <c r="I18" s="351">
        <f t="shared" si="0"/>
        <v>0</v>
      </c>
      <c r="J18" s="209">
        <f t="shared" si="1"/>
        <v>0</v>
      </c>
    </row>
    <row r="19" spans="2:10" ht="21.9" customHeight="1">
      <c r="B19" s="539"/>
      <c r="C19" s="538"/>
      <c r="D19" s="538"/>
      <c r="E19" s="538"/>
      <c r="F19" s="538"/>
      <c r="G19" s="538"/>
      <c r="H19" s="351"/>
      <c r="I19" s="351">
        <f t="shared" si="0"/>
        <v>0</v>
      </c>
      <c r="J19" s="209">
        <f t="shared" si="1"/>
        <v>0</v>
      </c>
    </row>
    <row r="20" spans="2:10" ht="21.9" customHeight="1">
      <c r="B20" s="539"/>
      <c r="C20" s="538"/>
      <c r="D20" s="538"/>
      <c r="E20" s="538"/>
      <c r="F20" s="538"/>
      <c r="G20" s="538"/>
      <c r="H20" s="351"/>
      <c r="I20" s="351">
        <f t="shared" si="0"/>
        <v>0</v>
      </c>
      <c r="J20" s="209">
        <f t="shared" si="1"/>
        <v>0</v>
      </c>
    </row>
    <row r="21" spans="2:10" ht="21.9" customHeight="1">
      <c r="B21" s="539"/>
      <c r="C21" s="538"/>
      <c r="D21" s="538"/>
      <c r="E21" s="538"/>
      <c r="F21" s="538"/>
      <c r="G21" s="538"/>
      <c r="H21" s="351"/>
      <c r="I21" s="351">
        <f t="shared" si="0"/>
        <v>0</v>
      </c>
      <c r="J21" s="209">
        <f t="shared" si="1"/>
        <v>0</v>
      </c>
    </row>
    <row r="22" spans="2:10" ht="21.9" customHeight="1">
      <c r="B22" s="539"/>
      <c r="C22" s="538"/>
      <c r="D22" s="538"/>
      <c r="E22" s="538"/>
      <c r="F22" s="538"/>
      <c r="G22" s="538"/>
      <c r="H22" s="351"/>
      <c r="I22" s="351">
        <f t="shared" si="0"/>
        <v>0</v>
      </c>
      <c r="J22" s="209">
        <f t="shared" si="1"/>
        <v>0</v>
      </c>
    </row>
    <row r="23" spans="2:10" ht="21.9" customHeight="1">
      <c r="B23" s="539"/>
      <c r="C23" s="538"/>
      <c r="D23" s="538"/>
      <c r="E23" s="538"/>
      <c r="F23" s="538"/>
      <c r="G23" s="538"/>
      <c r="H23" s="351"/>
      <c r="I23" s="351">
        <f t="shared" si="0"/>
        <v>0</v>
      </c>
      <c r="J23" s="209">
        <f t="shared" si="1"/>
        <v>0</v>
      </c>
    </row>
    <row r="24" spans="2:10" ht="21.9" customHeight="1">
      <c r="B24" s="539"/>
      <c r="C24" s="538"/>
      <c r="D24" s="538"/>
      <c r="E24" s="538"/>
      <c r="F24" s="538"/>
      <c r="G24" s="538"/>
      <c r="H24" s="351"/>
      <c r="I24" s="351">
        <f t="shared" si="0"/>
        <v>0</v>
      </c>
      <c r="J24" s="209">
        <f t="shared" si="1"/>
        <v>0</v>
      </c>
    </row>
    <row r="25" spans="2:10" ht="21.9" customHeight="1">
      <c r="B25" s="539"/>
      <c r="C25" s="538"/>
      <c r="D25" s="538"/>
      <c r="E25" s="538"/>
      <c r="F25" s="538"/>
      <c r="G25" s="538"/>
      <c r="H25" s="351"/>
      <c r="I25" s="351">
        <f t="shared" si="0"/>
        <v>0</v>
      </c>
      <c r="J25" s="209">
        <f t="shared" si="1"/>
        <v>0</v>
      </c>
    </row>
    <row r="26" spans="2:10" ht="21.9" customHeight="1">
      <c r="B26" s="539"/>
      <c r="C26" s="538"/>
      <c r="D26" s="538"/>
      <c r="E26" s="538"/>
      <c r="F26" s="538"/>
      <c r="G26" s="538"/>
      <c r="H26" s="351"/>
      <c r="I26" s="351">
        <f t="shared" si="0"/>
        <v>0</v>
      </c>
      <c r="J26" s="209">
        <f t="shared" si="1"/>
        <v>0</v>
      </c>
    </row>
    <row r="27" spans="2:10" ht="21.9" customHeight="1">
      <c r="B27" s="539"/>
      <c r="C27" s="538"/>
      <c r="D27" s="538"/>
      <c r="E27" s="538"/>
      <c r="F27" s="538"/>
      <c r="G27" s="538"/>
      <c r="H27" s="351"/>
      <c r="I27" s="351">
        <f t="shared" si="0"/>
        <v>0</v>
      </c>
      <c r="J27" s="209">
        <f t="shared" si="1"/>
        <v>0</v>
      </c>
    </row>
    <row r="28" spans="2:10" ht="21.9" customHeight="1">
      <c r="B28" s="539"/>
      <c r="C28" s="538"/>
      <c r="D28" s="538"/>
      <c r="E28" s="538"/>
      <c r="F28" s="538"/>
      <c r="G28" s="538"/>
      <c r="H28" s="351"/>
      <c r="I28" s="351">
        <f t="shared" si="0"/>
        <v>0</v>
      </c>
      <c r="J28" s="209">
        <f t="shared" si="1"/>
        <v>0</v>
      </c>
    </row>
    <row r="29" spans="2:10" ht="21.9" customHeight="1">
      <c r="B29" s="539"/>
      <c r="C29" s="538"/>
      <c r="D29" s="538"/>
      <c r="E29" s="538"/>
      <c r="F29" s="538"/>
      <c r="G29" s="538"/>
      <c r="H29" s="351"/>
      <c r="I29" s="351">
        <f t="shared" si="0"/>
        <v>0</v>
      </c>
      <c r="J29" s="209">
        <f t="shared" si="1"/>
        <v>0</v>
      </c>
    </row>
    <row r="30" spans="2:10" ht="21.9" customHeight="1">
      <c r="B30" s="539"/>
      <c r="C30" s="538"/>
      <c r="D30" s="538"/>
      <c r="E30" s="538"/>
      <c r="F30" s="538"/>
      <c r="G30" s="538"/>
      <c r="H30" s="351"/>
      <c r="I30" s="351">
        <f t="shared" si="0"/>
        <v>0</v>
      </c>
      <c r="J30" s="209">
        <f t="shared" si="1"/>
        <v>0</v>
      </c>
    </row>
    <row r="31" spans="2:10" ht="21.9" customHeight="1">
      <c r="B31" s="539"/>
      <c r="C31" s="538"/>
      <c r="D31" s="538"/>
      <c r="E31" s="538"/>
      <c r="F31" s="538"/>
      <c r="G31" s="538"/>
      <c r="H31" s="351"/>
      <c r="I31" s="351">
        <f t="shared" si="0"/>
        <v>0</v>
      </c>
      <c r="J31" s="209">
        <f t="shared" si="1"/>
        <v>0</v>
      </c>
    </row>
    <row r="32" spans="2:10" ht="21.9" customHeight="1">
      <c r="B32" s="539"/>
      <c r="C32" s="538"/>
      <c r="D32" s="538"/>
      <c r="E32" s="538"/>
      <c r="F32" s="538"/>
      <c r="G32" s="538"/>
      <c r="H32" s="351"/>
      <c r="I32" s="351">
        <f t="shared" si="0"/>
        <v>0</v>
      </c>
      <c r="J32" s="209">
        <f t="shared" si="1"/>
        <v>0</v>
      </c>
    </row>
    <row r="33" spans="2:11" ht="21.9" customHeight="1">
      <c r="B33" s="539"/>
      <c r="C33" s="538"/>
      <c r="D33" s="538"/>
      <c r="E33" s="538"/>
      <c r="F33" s="538"/>
      <c r="G33" s="538"/>
      <c r="H33" s="351"/>
      <c r="I33" s="351">
        <f t="shared" si="0"/>
        <v>0</v>
      </c>
      <c r="J33" s="209">
        <f t="shared" si="1"/>
        <v>0</v>
      </c>
    </row>
    <row r="34" spans="2:11" ht="21.9" customHeight="1">
      <c r="B34" s="539"/>
      <c r="C34" s="538"/>
      <c r="D34" s="538"/>
      <c r="E34" s="538"/>
      <c r="F34" s="538"/>
      <c r="G34" s="538"/>
      <c r="H34" s="351"/>
      <c r="I34" s="351">
        <f t="shared" si="0"/>
        <v>0</v>
      </c>
      <c r="J34" s="209">
        <f t="shared" si="1"/>
        <v>0</v>
      </c>
    </row>
    <row r="35" spans="2:11" ht="21.9" customHeight="1">
      <c r="B35" s="539"/>
      <c r="C35" s="538"/>
      <c r="D35" s="538"/>
      <c r="E35" s="538"/>
      <c r="F35" s="538"/>
      <c r="G35" s="538"/>
      <c r="H35" s="351"/>
      <c r="I35" s="351">
        <f t="shared" si="0"/>
        <v>0</v>
      </c>
      <c r="J35" s="209">
        <f t="shared" si="1"/>
        <v>0</v>
      </c>
    </row>
    <row r="36" spans="2:11" ht="21.9" customHeight="1">
      <c r="B36" s="539"/>
      <c r="C36" s="538"/>
      <c r="D36" s="538"/>
      <c r="E36" s="538"/>
      <c r="F36" s="538"/>
      <c r="G36" s="538"/>
      <c r="H36" s="351"/>
      <c r="I36" s="351">
        <f t="shared" si="0"/>
        <v>0</v>
      </c>
      <c r="J36" s="209">
        <f t="shared" si="1"/>
        <v>0</v>
      </c>
    </row>
    <row r="37" spans="2:11" ht="21.9" customHeight="1">
      <c r="B37" s="539"/>
      <c r="C37" s="538"/>
      <c r="D37" s="538"/>
      <c r="E37" s="538"/>
      <c r="F37" s="538"/>
      <c r="G37" s="538"/>
      <c r="H37" s="351"/>
      <c r="I37" s="351">
        <f t="shared" si="0"/>
        <v>0</v>
      </c>
      <c r="J37" s="209">
        <f t="shared" si="1"/>
        <v>0</v>
      </c>
    </row>
    <row r="38" spans="2:11" ht="21.9" customHeight="1">
      <c r="B38" s="539"/>
      <c r="C38" s="538"/>
      <c r="D38" s="538"/>
      <c r="E38" s="538"/>
      <c r="F38" s="538"/>
      <c r="G38" s="538"/>
      <c r="H38" s="351"/>
      <c r="I38" s="351">
        <f t="shared" si="0"/>
        <v>0</v>
      </c>
      <c r="J38" s="209">
        <f t="shared" si="1"/>
        <v>0</v>
      </c>
    </row>
    <row r="39" spans="2:11" ht="21.9" customHeight="1">
      <c r="B39" s="539"/>
      <c r="C39" s="538"/>
      <c r="D39" s="538"/>
      <c r="E39" s="538"/>
      <c r="F39" s="538"/>
      <c r="G39" s="538"/>
      <c r="H39" s="351"/>
      <c r="I39" s="351">
        <f t="shared" si="0"/>
        <v>0</v>
      </c>
      <c r="J39" s="209">
        <f t="shared" si="1"/>
        <v>0</v>
      </c>
    </row>
    <row r="40" spans="2:11" ht="21.9" customHeight="1">
      <c r="B40" s="539"/>
      <c r="C40" s="538"/>
      <c r="D40" s="538"/>
      <c r="E40" s="538"/>
      <c r="F40" s="538"/>
      <c r="G40" s="538"/>
      <c r="H40" s="351"/>
      <c r="I40" s="351">
        <f t="shared" si="0"/>
        <v>0</v>
      </c>
      <c r="J40" s="209">
        <f t="shared" si="1"/>
        <v>0</v>
      </c>
    </row>
    <row r="41" spans="2:11" ht="21.9" customHeight="1">
      <c r="B41" s="539"/>
      <c r="C41" s="538"/>
      <c r="D41" s="538"/>
      <c r="E41" s="538"/>
      <c r="F41" s="538"/>
      <c r="G41" s="538"/>
      <c r="H41" s="351"/>
      <c r="I41" s="351">
        <f t="shared" si="0"/>
        <v>0</v>
      </c>
      <c r="J41" s="209">
        <f t="shared" si="1"/>
        <v>0</v>
      </c>
    </row>
    <row r="42" spans="2:11" ht="21.9" customHeight="1">
      <c r="B42" s="539"/>
      <c r="C42" s="538"/>
      <c r="D42" s="538"/>
      <c r="E42" s="538"/>
      <c r="F42" s="538"/>
      <c r="G42" s="538"/>
      <c r="H42" s="351"/>
      <c r="I42" s="351">
        <f t="shared" si="0"/>
        <v>0</v>
      </c>
      <c r="J42" s="209">
        <f t="shared" si="1"/>
        <v>0</v>
      </c>
    </row>
    <row r="43" spans="2:11" ht="21.9" customHeight="1" thickBot="1">
      <c r="B43" s="27"/>
      <c r="C43" s="315" t="s">
        <v>3265</v>
      </c>
      <c r="D43" s="27"/>
      <c r="E43" s="27"/>
      <c r="F43" s="27"/>
      <c r="G43" s="27"/>
      <c r="H43" s="103">
        <f>SUM(H10:H42)</f>
        <v>6065.77</v>
      </c>
      <c r="I43" s="103">
        <f>SUM(I10:I42)</f>
        <v>6065.77</v>
      </c>
      <c r="J43" s="229">
        <f>SUM(J10:J42)</f>
        <v>0</v>
      </c>
      <c r="K43" s="312"/>
    </row>
    <row r="44" spans="2:11" ht="13.8" thickTop="1">
      <c r="B44" s="309" t="s">
        <v>278</v>
      </c>
    </row>
    <row r="45" spans="2:11">
      <c r="B45" s="309" t="s">
        <v>279</v>
      </c>
    </row>
    <row r="46" spans="2:11">
      <c r="B46" s="309" t="s">
        <v>280</v>
      </c>
      <c r="H46" s="312"/>
    </row>
    <row r="48" spans="2:11">
      <c r="B48" s="309" t="s">
        <v>281</v>
      </c>
      <c r="E48" s="1651"/>
      <c r="F48" s="1651"/>
      <c r="G48" s="1651"/>
      <c r="H48" s="1651"/>
    </row>
    <row r="49" spans="2:10" ht="13.8">
      <c r="B49" s="1618" t="s">
        <v>3336</v>
      </c>
      <c r="C49" s="1618"/>
      <c r="D49" s="1618"/>
      <c r="E49" s="1618"/>
      <c r="F49" s="1618"/>
      <c r="G49" s="1618"/>
      <c r="H49" s="1618"/>
      <c r="I49" s="1618"/>
      <c r="J49" s="1618"/>
    </row>
    <row r="52" spans="2:10">
      <c r="I52" s="312"/>
    </row>
  </sheetData>
  <sheetProtection algorithmName="SHA-512" hashValue="hKjPqFsIZR7VF+tFOhMk+qgB1ZSBx1wbras4TRCdksEs7AqXN2Bu0EmPtG0MxBZbPsbr+l2bULTX9Lxg+D9JCg==" saltValue="xEl4xPh1R2D4KozP7vKWpg=="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4"/>
  <dimension ref="B4:L52"/>
  <sheetViews>
    <sheetView topLeftCell="A22" zoomScaleNormal="100" zoomScaleSheetLayoutView="90" workbookViewId="0">
      <selection activeCell="E48" sqref="E48:H48"/>
    </sheetView>
  </sheetViews>
  <sheetFormatPr defaultColWidth="9.109375" defaultRowHeight="13.2"/>
  <cols>
    <col min="1" max="3" width="4.6640625" style="309" customWidth="1"/>
    <col min="4" max="6" width="9.109375" style="309"/>
    <col min="7" max="7" width="9.109375" style="309" customWidth="1"/>
    <col min="8" max="9" width="16.6640625" style="309" customWidth="1"/>
    <col min="10" max="10" width="19.5546875" style="309" customWidth="1"/>
    <col min="11" max="16384" width="9.109375" style="309"/>
  </cols>
  <sheetData>
    <row r="4" spans="2:12" ht="22.8">
      <c r="B4" s="1665" t="str">
        <f>'17-Budget Revenues'!B2:J2</f>
        <v>STATEMENT OF GENERAL BUDGET REVENUES 2021</v>
      </c>
      <c r="C4" s="1665"/>
      <c r="D4" s="1665"/>
      <c r="E4" s="1665"/>
      <c r="F4" s="1665"/>
      <c r="G4" s="1665"/>
      <c r="H4" s="1665"/>
      <c r="I4" s="1665"/>
      <c r="J4" s="1665"/>
    </row>
    <row r="5" spans="2:12" ht="13.8">
      <c r="B5" s="1618" t="s">
        <v>263</v>
      </c>
      <c r="C5" s="1618"/>
      <c r="D5" s="1618"/>
      <c r="E5" s="1618"/>
      <c r="F5" s="1618"/>
      <c r="G5" s="1618"/>
      <c r="H5" s="1618"/>
      <c r="I5" s="1618"/>
      <c r="J5" s="1618"/>
    </row>
    <row r="7" spans="2:12" ht="15.6">
      <c r="B7" s="1656" t="s">
        <v>3560</v>
      </c>
      <c r="C7" s="1656"/>
      <c r="D7" s="1656"/>
      <c r="E7" s="1656"/>
      <c r="F7" s="1656"/>
      <c r="G7" s="1656"/>
      <c r="H7" s="1656"/>
      <c r="I7" s="1656"/>
      <c r="J7" s="1656"/>
    </row>
    <row r="8" spans="2:12" ht="8.25" customHeight="1" thickBot="1">
      <c r="B8" s="10"/>
      <c r="C8" s="10"/>
      <c r="D8" s="10"/>
      <c r="E8" s="10"/>
      <c r="F8" s="10"/>
      <c r="G8" s="10"/>
      <c r="H8" s="10"/>
      <c r="I8" s="10"/>
      <c r="J8" s="10"/>
    </row>
    <row r="9" spans="2:12" ht="32.1" customHeight="1" thickTop="1" thickBot="1">
      <c r="B9" s="1668" t="s">
        <v>165</v>
      </c>
      <c r="C9" s="1668"/>
      <c r="D9" s="1668"/>
      <c r="E9" s="1668"/>
      <c r="F9" s="1668"/>
      <c r="G9" s="1668"/>
      <c r="H9" s="4" t="s">
        <v>535</v>
      </c>
      <c r="I9" s="4" t="s">
        <v>637</v>
      </c>
      <c r="J9" s="719" t="s">
        <v>264</v>
      </c>
    </row>
    <row r="10" spans="2:12" ht="21.9" customHeight="1" thickTop="1">
      <c r="B10" s="756" t="s">
        <v>3266</v>
      </c>
      <c r="C10" s="271"/>
      <c r="D10" s="271"/>
      <c r="E10" s="271"/>
      <c r="F10" s="271"/>
      <c r="G10" s="271"/>
      <c r="H10" s="61">
        <f>+'17a.3-Budget Revenues'!H43</f>
        <v>6065.77</v>
      </c>
      <c r="I10" s="61">
        <f>+'17a.3-Budget Revenues'!I43</f>
        <v>6065.77</v>
      </c>
      <c r="J10" s="62">
        <f>+'17a.3-Budget Revenues'!J43</f>
        <v>0</v>
      </c>
    </row>
    <row r="11" spans="2:12" ht="21.9" customHeight="1">
      <c r="B11" s="539"/>
      <c r="C11" s="538"/>
      <c r="D11" s="538"/>
      <c r="E11" s="538"/>
      <c r="F11" s="538"/>
      <c r="G11" s="538"/>
      <c r="H11" s="351"/>
      <c r="I11" s="351">
        <f t="shared" ref="I11:I42" si="0">+H11</f>
        <v>0</v>
      </c>
      <c r="J11" s="209">
        <f t="shared" ref="J11:J42" si="1">H11-I11</f>
        <v>0</v>
      </c>
      <c r="L11" s="1392" t="s">
        <v>3481</v>
      </c>
    </row>
    <row r="12" spans="2:12" ht="21.9" customHeight="1">
      <c r="B12" s="539"/>
      <c r="C12" s="538"/>
      <c r="D12" s="538"/>
      <c r="E12" s="538"/>
      <c r="F12" s="538"/>
      <c r="G12" s="538"/>
      <c r="H12" s="351"/>
      <c r="I12" s="351">
        <f t="shared" si="0"/>
        <v>0</v>
      </c>
      <c r="J12" s="209">
        <f t="shared" si="1"/>
        <v>0</v>
      </c>
    </row>
    <row r="13" spans="2:12" ht="21.9" customHeight="1">
      <c r="B13" s="539"/>
      <c r="C13" s="538"/>
      <c r="D13" s="538"/>
      <c r="E13" s="538"/>
      <c r="F13" s="538"/>
      <c r="G13" s="538"/>
      <c r="H13" s="351"/>
      <c r="I13" s="351">
        <f t="shared" si="0"/>
        <v>0</v>
      </c>
      <c r="J13" s="209">
        <f t="shared" si="1"/>
        <v>0</v>
      </c>
    </row>
    <row r="14" spans="2:12" ht="21.9" customHeight="1">
      <c r="B14" s="539"/>
      <c r="C14" s="538"/>
      <c r="D14" s="538"/>
      <c r="E14" s="538"/>
      <c r="F14" s="538"/>
      <c r="G14" s="538"/>
      <c r="H14" s="351"/>
      <c r="I14" s="351">
        <f t="shared" si="0"/>
        <v>0</v>
      </c>
      <c r="J14" s="209">
        <f t="shared" si="1"/>
        <v>0</v>
      </c>
    </row>
    <row r="15" spans="2:12" ht="21.9" customHeight="1">
      <c r="B15" s="539"/>
      <c r="C15" s="538"/>
      <c r="D15" s="538"/>
      <c r="E15" s="538"/>
      <c r="F15" s="538"/>
      <c r="G15" s="538"/>
      <c r="H15" s="351"/>
      <c r="I15" s="351">
        <f t="shared" si="0"/>
        <v>0</v>
      </c>
      <c r="J15" s="209">
        <f t="shared" si="1"/>
        <v>0</v>
      </c>
    </row>
    <row r="16" spans="2:12" ht="21.9" customHeight="1">
      <c r="B16" s="539"/>
      <c r="C16" s="538"/>
      <c r="D16" s="538"/>
      <c r="E16" s="538"/>
      <c r="F16" s="538"/>
      <c r="G16" s="538"/>
      <c r="H16" s="351"/>
      <c r="I16" s="351">
        <f t="shared" si="0"/>
        <v>0</v>
      </c>
      <c r="J16" s="209">
        <f t="shared" si="1"/>
        <v>0</v>
      </c>
    </row>
    <row r="17" spans="2:10" ht="21.9" customHeight="1">
      <c r="B17" s="539"/>
      <c r="C17" s="538"/>
      <c r="D17" s="538"/>
      <c r="E17" s="538"/>
      <c r="F17" s="538"/>
      <c r="G17" s="538"/>
      <c r="H17" s="351"/>
      <c r="I17" s="351">
        <f t="shared" si="0"/>
        <v>0</v>
      </c>
      <c r="J17" s="209">
        <f t="shared" si="1"/>
        <v>0</v>
      </c>
    </row>
    <row r="18" spans="2:10" ht="21.9" customHeight="1">
      <c r="B18" s="539"/>
      <c r="C18" s="538"/>
      <c r="D18" s="538"/>
      <c r="E18" s="538"/>
      <c r="F18" s="538"/>
      <c r="G18" s="538"/>
      <c r="H18" s="351"/>
      <c r="I18" s="351">
        <f t="shared" si="0"/>
        <v>0</v>
      </c>
      <c r="J18" s="209">
        <f t="shared" si="1"/>
        <v>0</v>
      </c>
    </row>
    <row r="19" spans="2:10" ht="21.9" customHeight="1">
      <c r="B19" s="539"/>
      <c r="C19" s="538"/>
      <c r="D19" s="538"/>
      <c r="E19" s="538"/>
      <c r="F19" s="538"/>
      <c r="G19" s="538"/>
      <c r="H19" s="351"/>
      <c r="I19" s="351">
        <f t="shared" si="0"/>
        <v>0</v>
      </c>
      <c r="J19" s="209">
        <f t="shared" si="1"/>
        <v>0</v>
      </c>
    </row>
    <row r="20" spans="2:10" ht="21.9" customHeight="1">
      <c r="B20" s="539"/>
      <c r="C20" s="538"/>
      <c r="D20" s="538"/>
      <c r="E20" s="538"/>
      <c r="F20" s="538"/>
      <c r="G20" s="538"/>
      <c r="H20" s="351"/>
      <c r="I20" s="351">
        <f t="shared" si="0"/>
        <v>0</v>
      </c>
      <c r="J20" s="209">
        <f t="shared" si="1"/>
        <v>0</v>
      </c>
    </row>
    <row r="21" spans="2:10" ht="21.9" customHeight="1">
      <c r="B21" s="539"/>
      <c r="C21" s="538"/>
      <c r="D21" s="538"/>
      <c r="E21" s="538"/>
      <c r="F21" s="538"/>
      <c r="G21" s="538"/>
      <c r="H21" s="351"/>
      <c r="I21" s="351">
        <f t="shared" si="0"/>
        <v>0</v>
      </c>
      <c r="J21" s="209">
        <f t="shared" si="1"/>
        <v>0</v>
      </c>
    </row>
    <row r="22" spans="2:10" ht="21.9" customHeight="1">
      <c r="B22" s="539"/>
      <c r="C22" s="538"/>
      <c r="D22" s="538"/>
      <c r="E22" s="538"/>
      <c r="F22" s="538"/>
      <c r="G22" s="538"/>
      <c r="H22" s="351"/>
      <c r="I22" s="351">
        <f t="shared" si="0"/>
        <v>0</v>
      </c>
      <c r="J22" s="209">
        <f t="shared" si="1"/>
        <v>0</v>
      </c>
    </row>
    <row r="23" spans="2:10" ht="21.9" customHeight="1">
      <c r="B23" s="539"/>
      <c r="C23" s="538"/>
      <c r="D23" s="538"/>
      <c r="E23" s="538"/>
      <c r="F23" s="538"/>
      <c r="G23" s="538"/>
      <c r="H23" s="351"/>
      <c r="I23" s="351">
        <f t="shared" si="0"/>
        <v>0</v>
      </c>
      <c r="J23" s="209">
        <f t="shared" si="1"/>
        <v>0</v>
      </c>
    </row>
    <row r="24" spans="2:10" ht="21.9" customHeight="1">
      <c r="B24" s="539"/>
      <c r="C24" s="538"/>
      <c r="D24" s="538"/>
      <c r="E24" s="538"/>
      <c r="F24" s="538"/>
      <c r="G24" s="538"/>
      <c r="H24" s="351"/>
      <c r="I24" s="351">
        <f t="shared" si="0"/>
        <v>0</v>
      </c>
      <c r="J24" s="209">
        <f t="shared" si="1"/>
        <v>0</v>
      </c>
    </row>
    <row r="25" spans="2:10" ht="21.9" customHeight="1">
      <c r="B25" s="539"/>
      <c r="C25" s="538"/>
      <c r="D25" s="538"/>
      <c r="E25" s="538"/>
      <c r="F25" s="538"/>
      <c r="G25" s="538"/>
      <c r="H25" s="351"/>
      <c r="I25" s="351">
        <f t="shared" si="0"/>
        <v>0</v>
      </c>
      <c r="J25" s="209">
        <f t="shared" si="1"/>
        <v>0</v>
      </c>
    </row>
    <row r="26" spans="2:10" ht="21.9" customHeight="1">
      <c r="B26" s="539"/>
      <c r="C26" s="538"/>
      <c r="D26" s="538"/>
      <c r="E26" s="538"/>
      <c r="F26" s="538"/>
      <c r="G26" s="538"/>
      <c r="H26" s="351"/>
      <c r="I26" s="351">
        <f t="shared" si="0"/>
        <v>0</v>
      </c>
      <c r="J26" s="209">
        <f t="shared" si="1"/>
        <v>0</v>
      </c>
    </row>
    <row r="27" spans="2:10" ht="21.9" customHeight="1">
      <c r="B27" s="539"/>
      <c r="C27" s="538"/>
      <c r="D27" s="538"/>
      <c r="E27" s="538"/>
      <c r="F27" s="538"/>
      <c r="G27" s="538"/>
      <c r="H27" s="351"/>
      <c r="I27" s="351">
        <f t="shared" si="0"/>
        <v>0</v>
      </c>
      <c r="J27" s="209">
        <f t="shared" si="1"/>
        <v>0</v>
      </c>
    </row>
    <row r="28" spans="2:10" ht="21.9" customHeight="1">
      <c r="B28" s="539"/>
      <c r="C28" s="538"/>
      <c r="D28" s="538"/>
      <c r="E28" s="538"/>
      <c r="F28" s="538"/>
      <c r="G28" s="538"/>
      <c r="H28" s="351"/>
      <c r="I28" s="351">
        <f t="shared" si="0"/>
        <v>0</v>
      </c>
      <c r="J28" s="209">
        <f t="shared" si="1"/>
        <v>0</v>
      </c>
    </row>
    <row r="29" spans="2:10" ht="21.9" customHeight="1">
      <c r="B29" s="539"/>
      <c r="C29" s="538"/>
      <c r="D29" s="538"/>
      <c r="E29" s="538"/>
      <c r="F29" s="538"/>
      <c r="G29" s="538"/>
      <c r="H29" s="351"/>
      <c r="I29" s="351">
        <f t="shared" si="0"/>
        <v>0</v>
      </c>
      <c r="J29" s="209">
        <f t="shared" si="1"/>
        <v>0</v>
      </c>
    </row>
    <row r="30" spans="2:10" ht="21.9" customHeight="1">
      <c r="B30" s="539"/>
      <c r="C30" s="538"/>
      <c r="D30" s="538"/>
      <c r="E30" s="538"/>
      <c r="F30" s="538"/>
      <c r="G30" s="538"/>
      <c r="H30" s="351"/>
      <c r="I30" s="351">
        <f t="shared" si="0"/>
        <v>0</v>
      </c>
      <c r="J30" s="209">
        <f t="shared" si="1"/>
        <v>0</v>
      </c>
    </row>
    <row r="31" spans="2:10" ht="21.9" customHeight="1">
      <c r="B31" s="539"/>
      <c r="C31" s="538"/>
      <c r="D31" s="538"/>
      <c r="E31" s="538"/>
      <c r="F31" s="538"/>
      <c r="G31" s="538"/>
      <c r="H31" s="351"/>
      <c r="I31" s="351">
        <f t="shared" si="0"/>
        <v>0</v>
      </c>
      <c r="J31" s="209">
        <f t="shared" si="1"/>
        <v>0</v>
      </c>
    </row>
    <row r="32" spans="2:10" ht="21.9" customHeight="1">
      <c r="B32" s="539"/>
      <c r="C32" s="538"/>
      <c r="D32" s="538"/>
      <c r="E32" s="538"/>
      <c r="F32" s="538"/>
      <c r="G32" s="538"/>
      <c r="H32" s="351"/>
      <c r="I32" s="351">
        <f t="shared" si="0"/>
        <v>0</v>
      </c>
      <c r="J32" s="209">
        <f t="shared" si="1"/>
        <v>0</v>
      </c>
    </row>
    <row r="33" spans="2:11" ht="21.9" customHeight="1">
      <c r="B33" s="539"/>
      <c r="C33" s="538"/>
      <c r="D33" s="538"/>
      <c r="E33" s="538"/>
      <c r="F33" s="538"/>
      <c r="G33" s="538"/>
      <c r="H33" s="351"/>
      <c r="I33" s="351">
        <f t="shared" si="0"/>
        <v>0</v>
      </c>
      <c r="J33" s="209">
        <f t="shared" si="1"/>
        <v>0</v>
      </c>
    </row>
    <row r="34" spans="2:11" ht="21.9" customHeight="1">
      <c r="B34" s="539"/>
      <c r="C34" s="538"/>
      <c r="D34" s="538"/>
      <c r="E34" s="538"/>
      <c r="F34" s="538"/>
      <c r="G34" s="538"/>
      <c r="H34" s="351"/>
      <c r="I34" s="351">
        <f t="shared" si="0"/>
        <v>0</v>
      </c>
      <c r="J34" s="209">
        <f t="shared" si="1"/>
        <v>0</v>
      </c>
    </row>
    <row r="35" spans="2:11" ht="21.9" customHeight="1">
      <c r="B35" s="539"/>
      <c r="C35" s="538"/>
      <c r="D35" s="538"/>
      <c r="E35" s="538"/>
      <c r="F35" s="538"/>
      <c r="G35" s="538"/>
      <c r="H35" s="351"/>
      <c r="I35" s="351">
        <f t="shared" si="0"/>
        <v>0</v>
      </c>
      <c r="J35" s="209">
        <f t="shared" si="1"/>
        <v>0</v>
      </c>
    </row>
    <row r="36" spans="2:11" ht="21.9" customHeight="1">
      <c r="B36" s="539"/>
      <c r="C36" s="538"/>
      <c r="D36" s="538"/>
      <c r="E36" s="538"/>
      <c r="F36" s="538"/>
      <c r="G36" s="538"/>
      <c r="H36" s="351"/>
      <c r="I36" s="351">
        <f t="shared" si="0"/>
        <v>0</v>
      </c>
      <c r="J36" s="209">
        <f t="shared" si="1"/>
        <v>0</v>
      </c>
    </row>
    <row r="37" spans="2:11" ht="21.9" customHeight="1">
      <c r="B37" s="539"/>
      <c r="C37" s="538"/>
      <c r="D37" s="538"/>
      <c r="E37" s="538"/>
      <c r="F37" s="538"/>
      <c r="G37" s="538"/>
      <c r="H37" s="351"/>
      <c r="I37" s="351">
        <f t="shared" si="0"/>
        <v>0</v>
      </c>
      <c r="J37" s="209">
        <f t="shared" si="1"/>
        <v>0</v>
      </c>
    </row>
    <row r="38" spans="2:11" ht="21.9" customHeight="1">
      <c r="B38" s="539"/>
      <c r="C38" s="538"/>
      <c r="D38" s="538"/>
      <c r="E38" s="538"/>
      <c r="F38" s="538"/>
      <c r="G38" s="538"/>
      <c r="H38" s="351"/>
      <c r="I38" s="351">
        <f t="shared" si="0"/>
        <v>0</v>
      </c>
      <c r="J38" s="209">
        <f t="shared" si="1"/>
        <v>0</v>
      </c>
    </row>
    <row r="39" spans="2:11" ht="21.9" customHeight="1">
      <c r="B39" s="539"/>
      <c r="C39" s="538"/>
      <c r="D39" s="538"/>
      <c r="E39" s="538"/>
      <c r="F39" s="538"/>
      <c r="G39" s="538"/>
      <c r="H39" s="351"/>
      <c r="I39" s="351">
        <f t="shared" si="0"/>
        <v>0</v>
      </c>
      <c r="J39" s="209">
        <f t="shared" si="1"/>
        <v>0</v>
      </c>
    </row>
    <row r="40" spans="2:11" ht="21.9" customHeight="1">
      <c r="B40" s="539"/>
      <c r="C40" s="538"/>
      <c r="D40" s="538"/>
      <c r="E40" s="538"/>
      <c r="F40" s="538"/>
      <c r="G40" s="538"/>
      <c r="H40" s="351"/>
      <c r="I40" s="351">
        <f t="shared" si="0"/>
        <v>0</v>
      </c>
      <c r="J40" s="209">
        <f t="shared" si="1"/>
        <v>0</v>
      </c>
    </row>
    <row r="41" spans="2:11" ht="21.9" customHeight="1">
      <c r="B41" s="539"/>
      <c r="C41" s="538"/>
      <c r="D41" s="538"/>
      <c r="E41" s="538"/>
      <c r="F41" s="538"/>
      <c r="G41" s="538"/>
      <c r="H41" s="351"/>
      <c r="I41" s="351">
        <f t="shared" si="0"/>
        <v>0</v>
      </c>
      <c r="J41" s="209">
        <f t="shared" si="1"/>
        <v>0</v>
      </c>
    </row>
    <row r="42" spans="2:11" ht="21.9" customHeight="1">
      <c r="B42" s="539"/>
      <c r="C42" s="538"/>
      <c r="D42" s="538"/>
      <c r="E42" s="538"/>
      <c r="F42" s="538"/>
      <c r="G42" s="538"/>
      <c r="H42" s="351"/>
      <c r="I42" s="351">
        <f t="shared" si="0"/>
        <v>0</v>
      </c>
      <c r="J42" s="209">
        <f t="shared" si="1"/>
        <v>0</v>
      </c>
    </row>
    <row r="43" spans="2:11" ht="21.9" customHeight="1" thickBot="1">
      <c r="B43" s="27"/>
      <c r="C43" s="315" t="s">
        <v>3291</v>
      </c>
      <c r="D43" s="27"/>
      <c r="E43" s="27"/>
      <c r="F43" s="27"/>
      <c r="G43" s="27"/>
      <c r="H43" s="103">
        <f>SUM(H10:H42)</f>
        <v>6065.77</v>
      </c>
      <c r="I43" s="103">
        <f>SUM(I10:I42)</f>
        <v>6065.77</v>
      </c>
      <c r="J43" s="229">
        <f>SUM(J10:J42)</f>
        <v>0</v>
      </c>
      <c r="K43" s="312"/>
    </row>
    <row r="44" spans="2:11" ht="13.8" thickTop="1">
      <c r="B44" s="309" t="s">
        <v>278</v>
      </c>
    </row>
    <row r="45" spans="2:11">
      <c r="B45" s="309" t="s">
        <v>279</v>
      </c>
    </row>
    <row r="46" spans="2:11">
      <c r="B46" s="309" t="s">
        <v>280</v>
      </c>
      <c r="H46" s="312"/>
    </row>
    <row r="48" spans="2:11">
      <c r="B48" s="309" t="s">
        <v>281</v>
      </c>
      <c r="E48" s="1654" t="s">
        <v>3658</v>
      </c>
      <c r="F48" s="1651"/>
      <c r="G48" s="1651"/>
      <c r="H48" s="1651"/>
    </row>
    <row r="49" spans="2:10" ht="13.8">
      <c r="B49" s="1618" t="s">
        <v>3337</v>
      </c>
      <c r="C49" s="1618"/>
      <c r="D49" s="1618"/>
      <c r="E49" s="1618"/>
      <c r="F49" s="1618"/>
      <c r="G49" s="1618"/>
      <c r="H49" s="1618"/>
      <c r="I49" s="1618"/>
      <c r="J49" s="1618"/>
    </row>
    <row r="52" spans="2:10">
      <c r="I52" s="312"/>
    </row>
  </sheetData>
  <sheetProtection algorithmName="SHA-512" hashValue="Lt/dnjq6NpNnfPklYvbUs7HrC1kLe8l5Q+kEutRDzs/qWc+swB4KN0yadKRIJ1GHQqINA0bA43bFi3yM4ZN8eg==" saltValue="4mx2QKx6xeA9w7w1yg2YKA==" spinCount="100000" sheet="1" objects="1" scenarios="1"/>
  <mergeCells count="6">
    <mergeCell ref="B49:J49"/>
    <mergeCell ref="B4:J4"/>
    <mergeCell ref="B5:J5"/>
    <mergeCell ref="B7:J7"/>
    <mergeCell ref="B9:G9"/>
    <mergeCell ref="E48:H48"/>
  </mergeCells>
  <pageMargins left="0.25" right="0.25" top="0.5" bottom="0.5" header="0.25" footer="0.25"/>
  <pageSetup paperSize="5" scale="98" orientation="portrait"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5"/>
  <dimension ref="B4:L54"/>
  <sheetViews>
    <sheetView topLeftCell="A4" zoomScaleNormal="100" workbookViewId="0">
      <selection activeCell="I17" sqref="I17"/>
    </sheetView>
  </sheetViews>
  <sheetFormatPr defaultRowHeight="13.2"/>
  <cols>
    <col min="1" max="1" width="3.6640625" customWidth="1"/>
    <col min="2" max="4" width="4.6640625" customWidth="1"/>
    <col min="7" max="7" width="23.5546875" customWidth="1"/>
    <col min="9" max="10" width="16.6640625" customWidth="1"/>
    <col min="11" max="12" width="13.5546875" bestFit="1" customWidth="1"/>
  </cols>
  <sheetData>
    <row r="4" spans="2:12" ht="20.399999999999999">
      <c r="B4" s="1619" t="str">
        <f>"STATEMENT OF GENERAL BUDGET APPROPRIATIONS "&amp;IF('KEY INPUTS'!C42 = "State Fiscal Year", "FY "&amp;'KEY INPUTS'!D33&amp;"", 'KEY INPUTS'!D34)</f>
        <v>STATEMENT OF GENERAL BUDGET APPROPRIATIONS 2021</v>
      </c>
      <c r="C4" s="1619"/>
      <c r="D4" s="1619"/>
      <c r="E4" s="1619"/>
      <c r="F4" s="1619"/>
      <c r="G4" s="1619"/>
      <c r="H4" s="1619"/>
      <c r="I4" s="1619"/>
      <c r="J4" s="1619"/>
    </row>
    <row r="5" spans="2:12" ht="13.8" thickBot="1">
      <c r="B5" s="10"/>
      <c r="C5" s="10"/>
      <c r="D5" s="10"/>
      <c r="E5" s="10"/>
      <c r="F5" s="10"/>
      <c r="G5" s="10"/>
      <c r="H5" s="10"/>
      <c r="I5" s="10"/>
      <c r="J5" s="10"/>
    </row>
    <row r="6" spans="2:12" ht="21.9" customHeight="1" thickTop="1">
      <c r="B6" s="271" t="str">
        <f>IF('KEY INPUTS'!C42="State Fiscal Year","Fiscal Year "&amp;'KEY INPUTS'!D33&amp;"",'KEY INPUTS'!D34)&amp;" Budget As Adopted"</f>
        <v>2021 Budget As Adopted</v>
      </c>
      <c r="C6" s="22"/>
      <c r="D6" s="22"/>
      <c r="E6" s="22"/>
      <c r="F6" s="22"/>
      <c r="G6" s="22"/>
      <c r="H6" s="22"/>
      <c r="I6" s="49"/>
      <c r="J6" s="215">
        <f>+'17-Budget Revenues'!H22-J7</f>
        <v>2413709.2199999997</v>
      </c>
    </row>
    <row r="7" spans="2:12" ht="21.9" customHeight="1" thickBot="1">
      <c r="B7" s="269" t="str">
        <f>IF('KEY INPUTS'!C42="State Fiscal Year","Fiscal Year "&amp;'KEY INPUTS'!D33&amp;"",'KEY INPUTS'!D34)&amp;" Budget - Added by N.J.S.A. 40A:4-87"</f>
        <v>2021 Budget - Added by N.J.S.A. 40A:4-87</v>
      </c>
      <c r="C7" s="5"/>
      <c r="D7" s="5"/>
      <c r="E7" s="5"/>
      <c r="F7" s="5"/>
      <c r="G7" s="5"/>
      <c r="H7" s="5"/>
      <c r="I7" s="48"/>
      <c r="J7" s="227">
        <f>+'17a Totals-Budget Revenues'!H43</f>
        <v>6065.77</v>
      </c>
    </row>
    <row r="8" spans="2:12" ht="21.9" customHeight="1">
      <c r="B8" s="269" t="str">
        <f>"Appropriated for "&amp;IF('KEY INPUTS'!C42="State Fiscal Year","Fiscal Year "&amp;'KEY INPUTS'!D33&amp;"",'KEY INPUTS'!D34)&amp;" (Budget Statement Item 9)"</f>
        <v>Appropriated for 2021 (Budget Statement Item 9)</v>
      </c>
      <c r="C8" s="5"/>
      <c r="D8" s="5"/>
      <c r="E8" s="5"/>
      <c r="F8" s="5"/>
      <c r="G8" s="5"/>
      <c r="H8" s="5"/>
      <c r="I8" s="48"/>
      <c r="J8" s="217">
        <f>+J7+J6</f>
        <v>2419774.9899999998</v>
      </c>
      <c r="K8" s="218"/>
      <c r="L8" s="218"/>
    </row>
    <row r="9" spans="2:12" ht="21.9" customHeight="1" thickBot="1">
      <c r="B9" s="269" t="str">
        <f>"Appropriated for "&amp;IF('KEY INPUTS'!C42="State Fiscal Year","Fiscal Year "&amp;'KEY INPUTS'!D33&amp;"",'KEY INPUTS'!D34)&amp;" by Emergency Appropriation (Budget Statement Item 9)"</f>
        <v>Appropriated for 2021 by Emergency Appropriation (Budget Statement Item 9)</v>
      </c>
      <c r="C9" s="5"/>
      <c r="D9" s="5"/>
      <c r="E9" s="5"/>
      <c r="F9" s="5"/>
      <c r="G9" s="5"/>
      <c r="H9" s="5"/>
      <c r="I9" s="48"/>
      <c r="J9" s="555">
        <v>0</v>
      </c>
      <c r="K9" s="218"/>
    </row>
    <row r="10" spans="2:12" ht="21.9" customHeight="1">
      <c r="B10" s="5" t="s">
        <v>781</v>
      </c>
      <c r="C10" s="5"/>
      <c r="D10" s="5"/>
      <c r="E10" s="5"/>
      <c r="F10" s="5"/>
      <c r="G10" s="5"/>
      <c r="H10" s="5"/>
      <c r="I10" s="48"/>
      <c r="J10" s="217">
        <f>+J9+J8</f>
        <v>2419774.9899999998</v>
      </c>
      <c r="K10" s="218"/>
      <c r="L10" s="218"/>
    </row>
    <row r="11" spans="2:12" ht="21.9" customHeight="1" thickBot="1">
      <c r="B11" s="5" t="s">
        <v>782</v>
      </c>
      <c r="C11" s="5"/>
      <c r="D11" s="5"/>
      <c r="E11" s="5"/>
      <c r="F11" s="5"/>
      <c r="G11" s="5"/>
      <c r="H11" s="5"/>
      <c r="I11" s="48"/>
      <c r="J11" s="555">
        <v>0</v>
      </c>
      <c r="L11" s="218"/>
    </row>
    <row r="12" spans="2:12" ht="21.9" customHeight="1">
      <c r="B12" s="5"/>
      <c r="C12" s="5" t="s">
        <v>727</v>
      </c>
      <c r="D12" s="5"/>
      <c r="E12" s="5"/>
      <c r="F12" s="5"/>
      <c r="G12" s="5"/>
      <c r="H12" s="5"/>
      <c r="I12" s="48"/>
      <c r="J12" s="217">
        <f>+J10+J11</f>
        <v>2419774.9899999998</v>
      </c>
      <c r="K12" s="218"/>
    </row>
    <row r="13" spans="2:12" ht="21.9" customHeight="1">
      <c r="B13" s="5" t="s">
        <v>728</v>
      </c>
      <c r="C13" s="5"/>
      <c r="D13" s="5"/>
      <c r="E13" s="5"/>
      <c r="F13" s="5"/>
      <c r="G13" s="5"/>
      <c r="H13" s="5"/>
      <c r="I13" s="48"/>
      <c r="J13" s="72"/>
    </row>
    <row r="14" spans="2:12" ht="21.9" customHeight="1">
      <c r="B14" s="5"/>
      <c r="C14" s="5" t="s">
        <v>729</v>
      </c>
      <c r="D14" s="5"/>
      <c r="E14" s="5"/>
      <c r="F14" s="5"/>
      <c r="G14" s="5"/>
      <c r="H14" s="5"/>
      <c r="I14" s="351">
        <f>2763308.11-600000-250000+39542.48</f>
        <v>1952850.5899999999</v>
      </c>
      <c r="J14" s="72"/>
      <c r="K14" s="218"/>
    </row>
    <row r="15" spans="2:12" ht="21.9" customHeight="1">
      <c r="B15" s="5"/>
      <c r="C15" s="5" t="s">
        <v>730</v>
      </c>
      <c r="D15" s="5"/>
      <c r="E15" s="5"/>
      <c r="F15" s="5"/>
      <c r="G15" s="5"/>
      <c r="H15" s="5"/>
      <c r="I15" s="351">
        <v>277930.5</v>
      </c>
      <c r="J15" s="72"/>
      <c r="K15" s="218"/>
    </row>
    <row r="16" spans="2:12" ht="21.9" customHeight="1" thickBot="1">
      <c r="B16" s="5"/>
      <c r="C16" s="5" t="s">
        <v>731</v>
      </c>
      <c r="D16" s="5"/>
      <c r="E16" s="5"/>
      <c r="F16" s="5"/>
      <c r="G16" s="5"/>
      <c r="H16" s="5"/>
      <c r="I16" s="556">
        <v>188500.5</v>
      </c>
      <c r="J16" s="72"/>
      <c r="K16" s="218"/>
    </row>
    <row r="17" spans="2:12" ht="21.9" customHeight="1" thickBot="1">
      <c r="B17" s="5"/>
      <c r="C17" s="5"/>
      <c r="D17" s="5" t="s">
        <v>732</v>
      </c>
      <c r="E17" s="5"/>
      <c r="F17" s="5"/>
      <c r="G17" s="5"/>
      <c r="H17" s="5"/>
      <c r="I17" s="73"/>
      <c r="J17" s="227">
        <f>SUM(I14:I16)</f>
        <v>2419281.59</v>
      </c>
      <c r="K17" s="218"/>
    </row>
    <row r="18" spans="2:12" ht="21.9" customHeight="1" thickBot="1">
      <c r="B18" s="27" t="s">
        <v>780</v>
      </c>
      <c r="C18" s="27"/>
      <c r="D18" s="27"/>
      <c r="E18" s="27"/>
      <c r="F18" s="27"/>
      <c r="G18" s="27"/>
      <c r="H18" s="27"/>
      <c r="I18" s="75"/>
      <c r="J18" s="224">
        <f>+J12-J17</f>
        <v>493.39999999990687</v>
      </c>
      <c r="K18" s="218"/>
      <c r="L18" s="218"/>
    </row>
    <row r="19" spans="2:12" ht="13.8" thickTop="1">
      <c r="K19" s="218"/>
    </row>
    <row r="20" spans="2:12">
      <c r="B20" s="200" t="s">
        <v>777</v>
      </c>
      <c r="K20" s="218"/>
    </row>
    <row r="21" spans="2:12">
      <c r="C21" s="34" t="s">
        <v>46</v>
      </c>
    </row>
    <row r="22" spans="2:12">
      <c r="C22" s="34" t="s">
        <v>778</v>
      </c>
    </row>
    <row r="23" spans="2:12">
      <c r="C23" s="34" t="s">
        <v>47</v>
      </c>
    </row>
    <row r="24" spans="2:12">
      <c r="C24" s="34"/>
      <c r="D24" s="34" t="s">
        <v>48</v>
      </c>
    </row>
    <row r="32" spans="2:12" ht="20.399999999999999">
      <c r="B32" s="1619" t="s">
        <v>783</v>
      </c>
      <c r="C32" s="1619"/>
      <c r="D32" s="1619"/>
      <c r="E32" s="1619"/>
      <c r="F32" s="1619"/>
      <c r="G32" s="1619"/>
      <c r="H32" s="1619"/>
      <c r="I32" s="1619"/>
      <c r="J32" s="1619"/>
    </row>
    <row r="33" spans="2:11" ht="20.399999999999999">
      <c r="B33" s="1619" t="s">
        <v>590</v>
      </c>
      <c r="C33" s="1619"/>
      <c r="D33" s="1619"/>
      <c r="E33" s="1619"/>
      <c r="F33" s="1619"/>
      <c r="G33" s="1619"/>
      <c r="H33" s="1619"/>
      <c r="I33" s="1619"/>
      <c r="J33" s="1619"/>
    </row>
    <row r="35" spans="2:11" ht="13.8">
      <c r="B35" s="1618" t="s">
        <v>591</v>
      </c>
      <c r="C35" s="1618"/>
      <c r="D35" s="1618"/>
      <c r="E35" s="1618"/>
      <c r="F35" s="1618"/>
      <c r="G35" s="1618"/>
      <c r="H35" s="1618"/>
      <c r="I35" s="1618"/>
      <c r="J35" s="1618"/>
    </row>
    <row r="36" spans="2:11" ht="13.8" thickBot="1">
      <c r="B36" s="10"/>
      <c r="C36" s="10"/>
      <c r="D36" s="10"/>
      <c r="E36" s="10"/>
      <c r="F36" s="10"/>
      <c r="G36" s="10"/>
      <c r="H36" s="10"/>
      <c r="I36" s="10"/>
      <c r="J36" s="10"/>
    </row>
    <row r="37" spans="2:11" ht="21" customHeight="1" thickTop="1">
      <c r="B37" s="271" t="str">
        <f>IF('KEY INPUTS'!C42="State Fiscal Year","Fiscal Year "&amp;'KEY INPUTS'!D33&amp;"",'KEY INPUTS'!D34)&amp;" Authorizations"</f>
        <v>2021 Authorizations</v>
      </c>
      <c r="C37" s="22"/>
      <c r="D37" s="22"/>
      <c r="E37" s="22"/>
      <c r="F37" s="22"/>
      <c r="G37" s="22"/>
      <c r="H37" s="23"/>
      <c r="I37" s="965"/>
      <c r="J37" s="811"/>
    </row>
    <row r="38" spans="2:11" ht="21" customHeight="1">
      <c r="B38" s="5"/>
      <c r="C38" s="313" t="s">
        <v>3627</v>
      </c>
      <c r="D38" s="5"/>
      <c r="E38" s="5"/>
      <c r="F38" s="5"/>
      <c r="G38" s="5"/>
      <c r="H38" s="24"/>
      <c r="I38" s="353">
        <v>0</v>
      </c>
      <c r="J38" s="811"/>
    </row>
    <row r="39" spans="2:11" ht="21" customHeight="1" thickBot="1">
      <c r="B39" s="5"/>
      <c r="C39" s="313" t="s">
        <v>3628</v>
      </c>
      <c r="D39" s="5"/>
      <c r="E39" s="5"/>
      <c r="F39" s="5"/>
      <c r="G39" s="5"/>
      <c r="H39" s="24"/>
      <c r="I39" s="969">
        <v>0</v>
      </c>
      <c r="J39" s="811"/>
    </row>
    <row r="40" spans="2:11" ht="21" customHeight="1">
      <c r="B40" s="5"/>
      <c r="C40" s="5"/>
      <c r="D40" s="5" t="s">
        <v>593</v>
      </c>
      <c r="E40" s="5"/>
      <c r="F40" s="5"/>
      <c r="G40" s="5"/>
      <c r="H40" s="24"/>
      <c r="I40" s="967"/>
      <c r="J40" s="936">
        <f>SUM(I38:I39)</f>
        <v>0</v>
      </c>
      <c r="K40" s="679"/>
    </row>
    <row r="41" spans="2:11" ht="21" customHeight="1">
      <c r="B41" s="5" t="s">
        <v>728</v>
      </c>
      <c r="C41" s="5"/>
      <c r="D41" s="5"/>
      <c r="E41" s="5"/>
      <c r="F41" s="5"/>
      <c r="G41" s="5"/>
      <c r="H41" s="24"/>
      <c r="I41" s="966"/>
      <c r="J41" s="811"/>
    </row>
    <row r="42" spans="2:11" ht="21" customHeight="1">
      <c r="B42" s="5"/>
      <c r="C42" s="5" t="s">
        <v>594</v>
      </c>
      <c r="D42" s="5"/>
      <c r="E42" s="5"/>
      <c r="F42" s="5"/>
      <c r="G42" s="5"/>
      <c r="H42" s="24"/>
      <c r="I42" s="353">
        <v>0</v>
      </c>
      <c r="J42" s="811"/>
    </row>
    <row r="43" spans="2:11" ht="21" customHeight="1" thickBot="1">
      <c r="B43" s="5"/>
      <c r="C43" s="5" t="s">
        <v>731</v>
      </c>
      <c r="D43" s="5"/>
      <c r="E43" s="5"/>
      <c r="F43" s="5"/>
      <c r="G43" s="5"/>
      <c r="H43" s="24"/>
      <c r="I43" s="969">
        <v>0</v>
      </c>
      <c r="J43" s="811"/>
    </row>
    <row r="44" spans="2:11" ht="21" customHeight="1" thickBot="1">
      <c r="B44" s="10"/>
      <c r="C44" s="10"/>
      <c r="D44" s="10" t="s">
        <v>732</v>
      </c>
      <c r="E44" s="10"/>
      <c r="F44" s="10"/>
      <c r="G44" s="10"/>
      <c r="H44" s="10"/>
      <c r="I44" s="968"/>
      <c r="J44" s="938">
        <f>SUM(I42:I43)</f>
        <v>0</v>
      </c>
    </row>
    <row r="45" spans="2:11" ht="13.8" thickTop="1"/>
    <row r="54" spans="2:10" ht="13.8">
      <c r="B54" s="1618" t="s">
        <v>592</v>
      </c>
      <c r="C54" s="1618"/>
      <c r="D54" s="1618"/>
      <c r="E54" s="1618"/>
      <c r="F54" s="1618"/>
      <c r="G54" s="1618"/>
      <c r="H54" s="1618"/>
      <c r="I54" s="1618"/>
      <c r="J54" s="1618"/>
    </row>
  </sheetData>
  <sheetProtection algorithmName="SHA-512" hashValue="5TK3hjKQiT/7FgWFI8INl5zBqVSiBVCWCaMOGd7RRgsf/Gj4LG26DP040Um9H2tQImzmrfYXlYWY/5aqBdNhKw==" saltValue="j/zs9t0BfWiXK/NWgUXUQw==" spinCount="100000" sheet="1" objects="1" scenarios="1"/>
  <mergeCells count="5">
    <mergeCell ref="B54:J54"/>
    <mergeCell ref="B4:J4"/>
    <mergeCell ref="B32:J32"/>
    <mergeCell ref="B33:J33"/>
    <mergeCell ref="B35:J35"/>
  </mergeCells>
  <phoneticPr fontId="0" type="noConversion"/>
  <pageMargins left="0.25" right="0.25" top="0.5" bottom="0.5" header="0.25" footer="0.25"/>
  <pageSetup paperSize="5" orientation="portrait" r:id="rId1"/>
  <headerFooter alignWithMargins="0"/>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6"/>
  <dimension ref="B3:L48"/>
  <sheetViews>
    <sheetView topLeftCell="A19" zoomScaleNormal="100" workbookViewId="0">
      <selection activeCell="H36" sqref="H36"/>
    </sheetView>
  </sheetViews>
  <sheetFormatPr defaultRowHeight="13.2"/>
  <cols>
    <col min="1" max="3" width="4.6640625" customWidth="1"/>
    <col min="5" max="5" width="24.44140625" customWidth="1"/>
    <col min="8" max="9" width="16.6640625" style="266" customWidth="1"/>
    <col min="10" max="10" width="13.6640625" style="236" bestFit="1" customWidth="1"/>
    <col min="11" max="11" width="11.109375" bestFit="1" customWidth="1"/>
  </cols>
  <sheetData>
    <row r="3" spans="2:10" ht="22.8">
      <c r="B3" s="1665" t="str">
        <f>" RESULTS OF "&amp;IF('KEY INPUTS'!C42 = "State Fiscal Year", "FISCAL YEAR "&amp;'KEY INPUTS'!D33&amp;"",'KEY INPUTS'!D34)&amp;" OPERATIONS"</f>
        <v xml:space="preserve"> RESULTS OF 2021 OPERATIONS</v>
      </c>
      <c r="C3" s="1665"/>
      <c r="D3" s="1665"/>
      <c r="E3" s="1665"/>
      <c r="F3" s="1665"/>
      <c r="G3" s="1665"/>
      <c r="H3" s="1665"/>
      <c r="I3" s="1665"/>
    </row>
    <row r="4" spans="2:10" ht="13.8">
      <c r="B4" s="1618"/>
      <c r="C4" s="1618"/>
      <c r="D4" s="1618"/>
      <c r="E4" s="1618"/>
      <c r="F4" s="1618"/>
      <c r="G4" s="1618"/>
      <c r="H4" s="1618"/>
      <c r="I4" s="1618"/>
    </row>
    <row r="5" spans="2:10">
      <c r="B5" s="309"/>
      <c r="C5" s="309"/>
      <c r="D5" s="309"/>
      <c r="E5" s="309"/>
      <c r="F5" s="309"/>
      <c r="G5" s="309"/>
    </row>
    <row r="6" spans="2:10" ht="15.6">
      <c r="B6" s="1656" t="s">
        <v>595</v>
      </c>
      <c r="C6" s="1656"/>
      <c r="D6" s="1656"/>
      <c r="E6" s="1656"/>
      <c r="F6" s="1656"/>
      <c r="G6" s="1656"/>
      <c r="H6" s="1656"/>
      <c r="I6" s="1656"/>
    </row>
    <row r="7" spans="2:10" ht="15.6">
      <c r="B7" s="917"/>
      <c r="C7" s="917"/>
      <c r="D7" s="917"/>
      <c r="E7" s="917"/>
      <c r="F7" s="917"/>
      <c r="G7" s="917"/>
      <c r="H7" s="326"/>
      <c r="I7" s="326"/>
    </row>
    <row r="8" spans="2:10" ht="8.25" customHeight="1" thickBot="1">
      <c r="B8" s="10"/>
      <c r="C8" s="10"/>
      <c r="D8" s="10"/>
      <c r="E8" s="10"/>
      <c r="F8" s="10"/>
      <c r="G8" s="10"/>
      <c r="H8" s="327"/>
      <c r="I8" s="327"/>
    </row>
    <row r="9" spans="2:10" ht="32.1" customHeight="1" thickTop="1" thickBot="1">
      <c r="B9" s="1668"/>
      <c r="C9" s="1668"/>
      <c r="D9" s="1668"/>
      <c r="E9" s="1668"/>
      <c r="F9" s="1668"/>
      <c r="G9" s="1668"/>
      <c r="H9" s="249" t="s">
        <v>96</v>
      </c>
      <c r="I9" s="250" t="s">
        <v>97</v>
      </c>
    </row>
    <row r="10" spans="2:10" ht="21.9" customHeight="1" thickTop="1">
      <c r="B10" s="271" t="s">
        <v>708</v>
      </c>
      <c r="C10" s="271"/>
      <c r="D10" s="271"/>
      <c r="E10" s="271"/>
      <c r="F10" s="271"/>
      <c r="G10" s="271"/>
      <c r="H10" s="297" t="s">
        <v>628</v>
      </c>
      <c r="I10" s="328" t="s">
        <v>628</v>
      </c>
    </row>
    <row r="11" spans="2:10" ht="21.9" customHeight="1">
      <c r="B11" s="310"/>
      <c r="C11" s="310" t="s">
        <v>146</v>
      </c>
      <c r="D11" s="310"/>
      <c r="E11" s="310"/>
      <c r="F11" s="310"/>
      <c r="G11" s="310"/>
      <c r="H11" s="297" t="s">
        <v>628</v>
      </c>
      <c r="I11" s="298">
        <f>IF(+'17-Budget Revenues'!J14&gt;0, +'17-Budget Revenues'!J14,0)</f>
        <v>25198.020000000019</v>
      </c>
      <c r="J11" s="246"/>
    </row>
    <row r="12" spans="2:10" ht="21.9" customHeight="1">
      <c r="B12" s="310"/>
      <c r="C12" s="310" t="s">
        <v>147</v>
      </c>
      <c r="D12" s="310"/>
      <c r="E12" s="310"/>
      <c r="F12" s="310"/>
      <c r="G12" s="310"/>
      <c r="H12" s="297" t="s">
        <v>628</v>
      </c>
      <c r="I12" s="298">
        <f>IF(+'17-Budget Revenues'!J15&gt;0, +'17-Budget Revenues'!J15,0)</f>
        <v>21420.22</v>
      </c>
      <c r="J12" s="246"/>
    </row>
    <row r="13" spans="2:10" ht="21.9" customHeight="1">
      <c r="B13" s="538"/>
      <c r="C13" s="538"/>
      <c r="D13" s="538"/>
      <c r="E13" s="538"/>
      <c r="F13" s="538"/>
      <c r="G13" s="538"/>
      <c r="H13" s="297" t="s">
        <v>628</v>
      </c>
      <c r="I13" s="559"/>
    </row>
    <row r="14" spans="2:10" ht="21.9" customHeight="1">
      <c r="B14" s="310"/>
      <c r="C14" s="310" t="s">
        <v>148</v>
      </c>
      <c r="D14" s="310"/>
      <c r="E14" s="310"/>
      <c r="F14" s="310"/>
      <c r="G14" s="310"/>
      <c r="H14" s="297" t="s">
        <v>628</v>
      </c>
      <c r="I14" s="298">
        <f>IF(+'17-Budget Revenues'!J21&gt;0, +'17-Budget Revenues'!J21,0)</f>
        <v>210427.07000000146</v>
      </c>
      <c r="J14" s="246"/>
    </row>
    <row r="15" spans="2:10" ht="21.9" customHeight="1">
      <c r="B15" s="310" t="str">
        <f>"Unexpended Balances of "&amp;IF('KEY INPUTS'!C42 = "State Fiscal Year", "Fiscal Year "&amp;'KEY INPUTS'!D33&amp;"",'KEY INPUTS'!D34)&amp;" Budget Appropriations"</f>
        <v>Unexpended Balances of 2021 Budget Appropriations</v>
      </c>
      <c r="C15" s="310"/>
      <c r="D15" s="310"/>
      <c r="E15" s="310"/>
      <c r="F15" s="310"/>
      <c r="G15" s="310"/>
      <c r="H15" s="297" t="s">
        <v>628</v>
      </c>
      <c r="I15" s="298">
        <f>+'18-Budget Appropriations'!J18</f>
        <v>493.39999999990687</v>
      </c>
      <c r="J15" s="246"/>
    </row>
    <row r="16" spans="2:10" ht="21.9" customHeight="1">
      <c r="B16" s="310" t="s">
        <v>334</v>
      </c>
      <c r="C16" s="310"/>
      <c r="D16" s="310"/>
      <c r="E16" s="310"/>
      <c r="F16" s="310"/>
      <c r="G16" s="310"/>
      <c r="H16" s="297" t="s">
        <v>628</v>
      </c>
      <c r="I16" s="298">
        <f>'20 Total-Misc Rev Not Ant'!H41</f>
        <v>45005.150000000009</v>
      </c>
      <c r="J16" s="246"/>
    </row>
    <row r="17" spans="2:11">
      <c r="B17" s="7" t="s">
        <v>266</v>
      </c>
      <c r="C17" s="7"/>
      <c r="D17" s="7"/>
      <c r="E17" s="7"/>
      <c r="F17" s="7"/>
      <c r="G17" s="7"/>
      <c r="H17" s="1744" t="s">
        <v>628</v>
      </c>
      <c r="I17" s="1742">
        <f>'27-Foreclosed Property'!I47</f>
        <v>0</v>
      </c>
    </row>
    <row r="18" spans="2:11" ht="12.75" customHeight="1">
      <c r="B18" s="272"/>
      <c r="C18" s="272" t="s">
        <v>267</v>
      </c>
      <c r="D18" s="272"/>
      <c r="E18" s="272"/>
      <c r="F18" s="272"/>
      <c r="G18" s="272"/>
      <c r="H18" s="1745"/>
      <c r="I18" s="1743"/>
    </row>
    <row r="19" spans="2:11" ht="21.9" customHeight="1">
      <c r="B19" s="310"/>
      <c r="C19" s="310" t="s">
        <v>277</v>
      </c>
      <c r="D19" s="310"/>
      <c r="E19" s="310"/>
      <c r="F19" s="310"/>
      <c r="G19" s="310"/>
      <c r="H19" s="297" t="s">
        <v>628</v>
      </c>
      <c r="I19" s="559"/>
    </row>
    <row r="20" spans="2:11" ht="21.9" customHeight="1">
      <c r="B20" s="310" t="s">
        <v>161</v>
      </c>
      <c r="C20" s="310"/>
      <c r="D20" s="310"/>
      <c r="E20" s="310"/>
      <c r="F20" s="310"/>
      <c r="G20" s="310"/>
      <c r="H20" s="297" t="s">
        <v>628</v>
      </c>
      <c r="I20" s="559"/>
    </row>
    <row r="21" spans="2:11" ht="21.9" customHeight="1">
      <c r="B21" s="310" t="str">
        <f>"Unexpended Balances of "&amp;IF('KEY INPUTS'!C42 = "State Fiscal Year", "Fiscal Year "&amp;'KEY INPUTS'!D33-1&amp;"",'KEY INPUTS'!D34-1)&amp;" Appropriation Reserves"</f>
        <v>Unexpended Balances of 2020 Appropriation Reserves</v>
      </c>
      <c r="C21" s="310"/>
      <c r="D21" s="310"/>
      <c r="E21" s="310"/>
      <c r="F21" s="310"/>
      <c r="G21" s="310"/>
      <c r="H21" s="297" t="s">
        <v>628</v>
      </c>
      <c r="I21" s="559">
        <v>101639.11</v>
      </c>
      <c r="J21" s="246"/>
    </row>
    <row r="22" spans="2:11" ht="21.9" customHeight="1">
      <c r="B22" s="310" t="str">
        <f>"Prior Years Interfunds Returned in "&amp;IF('KEY INPUTS'!C42 = "State Fiscal Year", "Fiscal Year "&amp;'KEY INPUTS'!D33&amp;"",'KEY INPUTS'!D34)</f>
        <v>Prior Years Interfunds Returned in 2021</v>
      </c>
      <c r="C22" s="310"/>
      <c r="D22" s="310"/>
      <c r="E22" s="310"/>
      <c r="F22" s="310"/>
      <c r="G22" s="310"/>
      <c r="H22" s="297" t="s">
        <v>628</v>
      </c>
      <c r="I22" s="559"/>
      <c r="J22" s="246"/>
    </row>
    <row r="23" spans="2:11" ht="21.9" customHeight="1">
      <c r="B23" s="538"/>
      <c r="C23" s="538"/>
      <c r="D23" s="538"/>
      <c r="E23" s="538"/>
      <c r="F23" s="538"/>
      <c r="G23" s="538"/>
      <c r="H23" s="652"/>
      <c r="I23" s="559"/>
    </row>
    <row r="24" spans="2:11" s="309" customFormat="1" ht="21.9" customHeight="1">
      <c r="B24" s="538"/>
      <c r="C24" s="538"/>
      <c r="D24" s="538"/>
      <c r="E24" s="538"/>
      <c r="F24" s="538"/>
      <c r="G24" s="538"/>
      <c r="H24" s="652"/>
      <c r="I24" s="559"/>
      <c r="J24" s="266"/>
    </row>
    <row r="25" spans="2:11" ht="21.9" customHeight="1">
      <c r="B25" s="539"/>
      <c r="C25" s="538"/>
      <c r="D25" s="538"/>
      <c r="E25" s="538"/>
      <c r="F25" s="538"/>
      <c r="G25" s="538"/>
      <c r="H25" s="652"/>
      <c r="I25" s="559"/>
      <c r="J25" s="314"/>
    </row>
    <row r="26" spans="2:11" ht="21.9" customHeight="1">
      <c r="B26" s="538"/>
      <c r="C26" s="538"/>
      <c r="D26" s="538"/>
      <c r="E26" s="538"/>
      <c r="F26" s="538"/>
      <c r="G26" s="538"/>
      <c r="H26" s="652"/>
      <c r="I26" s="559"/>
    </row>
    <row r="27" spans="2:11" ht="21.9" customHeight="1">
      <c r="B27" s="5" t="s">
        <v>290</v>
      </c>
      <c r="C27" s="5"/>
      <c r="D27" s="5"/>
      <c r="E27" s="5"/>
      <c r="F27" s="5"/>
      <c r="G27" s="5"/>
      <c r="H27" s="297" t="s">
        <v>628</v>
      </c>
      <c r="I27" s="254" t="s">
        <v>628</v>
      </c>
      <c r="J27" s="246"/>
    </row>
    <row r="28" spans="2:11" ht="21.9" customHeight="1">
      <c r="B28" s="5"/>
      <c r="C28" s="5" t="str">
        <f>IF('KEY INPUTS'!C42 = "State Fiscal Year", 'KEY INPUTS'!F25,'KEY INPUTS'!D25)</f>
        <v>Balance - January 1, 2021</v>
      </c>
      <c r="D28" s="5"/>
      <c r="E28" s="5"/>
      <c r="F28" s="5"/>
      <c r="G28" s="5"/>
      <c r="H28" s="324">
        <f>+'13-Other Taxes'!H11+'14-Other Taxes'!H12+'14-Other Taxes'!H33</f>
        <v>238358.08</v>
      </c>
      <c r="I28" s="254" t="s">
        <v>628</v>
      </c>
      <c r="J28" s="246"/>
      <c r="K28" s="312"/>
    </row>
    <row r="29" spans="2:11" ht="21.9" customHeight="1">
      <c r="B29" s="5"/>
      <c r="C29" s="5" t="str">
        <f>IF('KEY INPUTS'!C42 = "State Fiscal Year", 'KEY INPUTS'!F26,'KEY INPUTS'!D26)</f>
        <v>Balance - December 31, 2021</v>
      </c>
      <c r="D29" s="5"/>
      <c r="E29" s="5"/>
      <c r="F29" s="5"/>
      <c r="G29" s="5"/>
      <c r="H29" s="297" t="s">
        <v>628</v>
      </c>
      <c r="I29" s="298">
        <f>'13-Other Taxes'!G18+'14-Other Taxes'!G40+'14-Other Taxes'!G19</f>
        <v>238358.08</v>
      </c>
      <c r="J29" s="314"/>
      <c r="K29" s="312"/>
    </row>
    <row r="30" spans="2:11" ht="21.9" customHeight="1">
      <c r="B30" s="5" t="s">
        <v>206</v>
      </c>
      <c r="C30" s="5"/>
      <c r="D30" s="5"/>
      <c r="E30" s="5"/>
      <c r="F30" s="5"/>
      <c r="G30" s="5"/>
      <c r="H30" s="297" t="s">
        <v>628</v>
      </c>
      <c r="I30" s="254" t="s">
        <v>628</v>
      </c>
      <c r="J30" s="246"/>
      <c r="K30" s="312"/>
    </row>
    <row r="31" spans="2:11" ht="21.9" customHeight="1">
      <c r="B31" s="5"/>
      <c r="C31" s="5" t="s">
        <v>268</v>
      </c>
      <c r="D31" s="5"/>
      <c r="E31" s="5"/>
      <c r="F31" s="5"/>
      <c r="G31" s="5"/>
      <c r="H31" s="324">
        <f>IF(+'17-Budget Revenues'!J14&lt;0, -'17-Budget Revenues'!J14,0)</f>
        <v>0</v>
      </c>
      <c r="I31" s="254" t="s">
        <v>628</v>
      </c>
      <c r="J31" s="246"/>
    </row>
    <row r="32" spans="2:11" ht="21.9" customHeight="1">
      <c r="B32" s="5"/>
      <c r="C32" s="5" t="s">
        <v>147</v>
      </c>
      <c r="D32" s="5"/>
      <c r="E32" s="5"/>
      <c r="F32" s="5"/>
      <c r="G32" s="5"/>
      <c r="H32" s="324">
        <f>IF(+'17-Budget Revenues'!J15&lt;0, -'17-Budget Revenues'!J15,0)</f>
        <v>0</v>
      </c>
      <c r="I32" s="254" t="s">
        <v>628</v>
      </c>
      <c r="J32" s="246"/>
    </row>
    <row r="33" spans="2:12" ht="21.9" customHeight="1">
      <c r="B33" s="1389"/>
      <c r="C33" s="1389"/>
      <c r="D33" s="1389"/>
      <c r="E33" s="1389"/>
      <c r="F33" s="1389"/>
      <c r="G33" s="1390"/>
      <c r="H33" s="351"/>
      <c r="I33" s="254" t="s">
        <v>628</v>
      </c>
    </row>
    <row r="34" spans="2:12" ht="21.9" customHeight="1">
      <c r="B34" s="5"/>
      <c r="C34" s="5" t="s">
        <v>269</v>
      </c>
      <c r="D34" s="5"/>
      <c r="E34" s="5"/>
      <c r="F34" s="5"/>
      <c r="G34" s="5"/>
      <c r="H34" s="324">
        <f>IF(+'17-Budget Revenues'!J21&lt;0, -'17-Budget Revenues'!J21,0)</f>
        <v>0</v>
      </c>
      <c r="I34" s="254" t="s">
        <v>628</v>
      </c>
    </row>
    <row r="35" spans="2:12" ht="21.9" customHeight="1">
      <c r="B35" s="269" t="str">
        <f>"Interfund Advances Originating in "&amp;IF('KEY INPUTS'!C42 = "State Fiscal Year", "Fiscal Year "&amp;'KEY INPUTS'!D33&amp;"",'KEY INPUTS'!D34)</f>
        <v>Interfund Advances Originating in 2021</v>
      </c>
      <c r="C35" s="5"/>
      <c r="D35" s="5"/>
      <c r="E35" s="5"/>
      <c r="F35" s="5"/>
      <c r="G35" s="5"/>
      <c r="H35" s="351">
        <v>119.38</v>
      </c>
      <c r="I35" s="254" t="s">
        <v>628</v>
      </c>
      <c r="J35" s="314"/>
    </row>
    <row r="36" spans="2:12" ht="21.9" customHeight="1">
      <c r="B36" s="538"/>
      <c r="C36" s="538"/>
      <c r="D36" s="538"/>
      <c r="E36" s="538"/>
      <c r="F36" s="538"/>
      <c r="G36" s="538"/>
      <c r="H36" s="351"/>
      <c r="I36" s="1393"/>
    </row>
    <row r="37" spans="2:12" ht="21.9" customHeight="1">
      <c r="B37" s="538"/>
      <c r="C37" s="538"/>
      <c r="D37" s="538"/>
      <c r="E37" s="538"/>
      <c r="F37" s="538"/>
      <c r="G37" s="538"/>
      <c r="H37" s="351"/>
      <c r="I37" s="1393"/>
    </row>
    <row r="38" spans="2:12" s="309" customFormat="1" ht="21.9" customHeight="1">
      <c r="B38" s="538"/>
      <c r="C38" s="538"/>
      <c r="D38" s="538"/>
      <c r="E38" s="538"/>
      <c r="F38" s="538"/>
      <c r="G38" s="538"/>
      <c r="H38" s="351"/>
      <c r="I38" s="1393"/>
      <c r="J38" s="266"/>
    </row>
    <row r="39" spans="2:12" s="309" customFormat="1" ht="21.9" customHeight="1">
      <c r="B39" s="538"/>
      <c r="C39" s="538"/>
      <c r="D39" s="538"/>
      <c r="E39" s="538"/>
      <c r="F39" s="538"/>
      <c r="G39" s="538"/>
      <c r="H39" s="351"/>
      <c r="I39" s="1393"/>
      <c r="J39" s="266"/>
    </row>
    <row r="40" spans="2:12" s="309" customFormat="1" ht="21.9" customHeight="1">
      <c r="B40" s="538"/>
      <c r="C40" s="538"/>
      <c r="D40" s="538"/>
      <c r="E40" s="538"/>
      <c r="F40" s="538"/>
      <c r="G40" s="538"/>
      <c r="H40" s="351"/>
      <c r="I40" s="1393"/>
      <c r="J40" s="266"/>
    </row>
    <row r="41" spans="2:12" ht="21.9" customHeight="1">
      <c r="B41" s="538"/>
      <c r="C41" s="538"/>
      <c r="D41" s="538"/>
      <c r="E41" s="538"/>
      <c r="F41" s="538"/>
      <c r="G41" s="538"/>
      <c r="H41" s="351"/>
      <c r="I41" s="1393"/>
      <c r="J41" s="314"/>
    </row>
    <row r="42" spans="2:12" ht="21.9" customHeight="1">
      <c r="B42" s="538"/>
      <c r="C42" s="538"/>
      <c r="D42" s="538"/>
      <c r="E42" s="538"/>
      <c r="F42" s="538"/>
      <c r="G42" s="538"/>
      <c r="H42" s="351"/>
      <c r="I42" s="1393"/>
    </row>
    <row r="43" spans="2:12" ht="21.9" customHeight="1">
      <c r="B43" s="5" t="s">
        <v>270</v>
      </c>
      <c r="C43" s="5"/>
      <c r="D43" s="5"/>
      <c r="E43" s="5"/>
      <c r="F43" s="5"/>
      <c r="G43" s="5"/>
      <c r="H43" s="297" t="s">
        <v>628</v>
      </c>
      <c r="I43" s="792">
        <f>IF(+J44&gt;0,0,J44*-1)</f>
        <v>0</v>
      </c>
      <c r="J43" s="246"/>
    </row>
    <row r="44" spans="2:12" ht="21.9" customHeight="1" thickBot="1">
      <c r="B44" s="5" t="s">
        <v>145</v>
      </c>
      <c r="C44" s="5"/>
      <c r="D44" s="5"/>
      <c r="E44" s="5"/>
      <c r="F44" s="5"/>
      <c r="G44" s="5"/>
      <c r="H44" s="301">
        <f>+IF(+J44&gt;0,J44,0)</f>
        <v>404063.59000000136</v>
      </c>
      <c r="I44" s="329" t="s">
        <v>628</v>
      </c>
      <c r="J44" s="314">
        <f>SUM(I10:I42)-SUM(H10:H42)</f>
        <v>404063.59000000136</v>
      </c>
      <c r="K44" s="679" t="s">
        <v>3355</v>
      </c>
      <c r="L44" s="218"/>
    </row>
    <row r="45" spans="2:12" ht="21.9" customHeight="1" thickBot="1">
      <c r="B45" s="7"/>
      <c r="C45" s="7"/>
      <c r="D45" s="7"/>
      <c r="E45" s="7"/>
      <c r="F45" s="7"/>
      <c r="G45" s="81"/>
      <c r="H45" s="330">
        <f>SUM(H10:H44)</f>
        <v>642541.05000000133</v>
      </c>
      <c r="I45" s="331">
        <f>SUM(I10:I44)</f>
        <v>642541.05000000133</v>
      </c>
      <c r="J45" s="246"/>
    </row>
    <row r="46" spans="2:12" ht="13.8" thickTop="1"/>
    <row r="47" spans="2:12" s="309" customFormat="1">
      <c r="H47" s="266"/>
      <c r="I47" s="266"/>
      <c r="J47" s="266"/>
    </row>
    <row r="48" spans="2:12" ht="13.8">
      <c r="B48" s="1618" t="s">
        <v>596</v>
      </c>
      <c r="C48" s="1618"/>
      <c r="D48" s="1618"/>
      <c r="E48" s="1618"/>
      <c r="F48" s="1618"/>
      <c r="G48" s="1618"/>
      <c r="H48" s="1618"/>
      <c r="I48" s="1618"/>
    </row>
  </sheetData>
  <sheetProtection algorithmName="SHA-512" hashValue="9r0QPRXdm/Ezm0NU8ghdUgtcz0jYixLpWWnnXVxvG9kdhJ5jF/M/FNf2Vd63TGLngZzcdPGvcWxeVAzsgK4zTA==" saltValue="rOX6Do76m9qj96+C113MVQ==" spinCount="100000" sheet="1" objects="1" scenarios="1"/>
  <mergeCells count="7">
    <mergeCell ref="B48:I48"/>
    <mergeCell ref="B3:I3"/>
    <mergeCell ref="B4:I4"/>
    <mergeCell ref="B6:I6"/>
    <mergeCell ref="B9:G9"/>
    <mergeCell ref="I17:I18"/>
    <mergeCell ref="H17:H18"/>
  </mergeCells>
  <phoneticPr fontId="0" type="noConversion"/>
  <pageMargins left="0.25" right="0.25" top="0.5" bottom="0.5" header="0.25" footer="0.25"/>
  <pageSetup paperSize="5" orientation="portrait" r:id="rId1"/>
  <headerFooter alignWithMargins="0"/>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7"/>
  <dimension ref="B1:N55"/>
  <sheetViews>
    <sheetView topLeftCell="A19" zoomScaleNormal="100" workbookViewId="0">
      <selection activeCell="B42" sqref="B42"/>
    </sheetView>
  </sheetViews>
  <sheetFormatPr defaultRowHeight="13.2"/>
  <cols>
    <col min="1" max="3" width="4.6640625" customWidth="1"/>
    <col min="4" max="4" width="12.33203125" customWidth="1"/>
    <col min="5" max="5" width="22.6640625" customWidth="1"/>
    <col min="6" max="6" width="25.88671875" customWidth="1"/>
    <col min="8" max="8" width="16.6640625" customWidth="1"/>
    <col min="9" max="9" width="11.44140625" bestFit="1" customWidth="1"/>
    <col min="10" max="10" width="10.33203125" bestFit="1" customWidth="1"/>
    <col min="11" max="11" width="10.88671875" bestFit="1" customWidth="1"/>
    <col min="13" max="13" width="12.44140625" style="275" bestFit="1" customWidth="1"/>
    <col min="14" max="14" width="10.44140625" style="275" bestFit="1" customWidth="1"/>
  </cols>
  <sheetData>
    <row r="1" spans="2:11">
      <c r="B1" s="309"/>
      <c r="C1" s="309"/>
      <c r="D1" s="309"/>
      <c r="E1" s="309"/>
      <c r="F1" s="309"/>
      <c r="G1" s="309"/>
      <c r="H1" s="309"/>
    </row>
    <row r="2" spans="2:11">
      <c r="B2" s="309"/>
      <c r="C2" s="309"/>
      <c r="D2" s="309"/>
      <c r="E2" s="309"/>
      <c r="F2" s="309"/>
      <c r="G2" s="309"/>
      <c r="H2" s="309"/>
    </row>
    <row r="3" spans="2:11" ht="22.8">
      <c r="B3" s="1665" t="s">
        <v>598</v>
      </c>
      <c r="C3" s="1665"/>
      <c r="D3" s="1665"/>
      <c r="E3" s="1665"/>
      <c r="F3" s="1665"/>
      <c r="G3" s="1665"/>
      <c r="H3" s="1665"/>
    </row>
    <row r="4" spans="2:11" ht="22.8">
      <c r="B4" s="1665" t="s">
        <v>599</v>
      </c>
      <c r="C4" s="1665"/>
      <c r="D4" s="1665"/>
      <c r="E4" s="1665"/>
      <c r="F4" s="1665"/>
      <c r="G4" s="1665"/>
      <c r="H4" s="1665"/>
    </row>
    <row r="5" spans="2:11" ht="15.6">
      <c r="B5" s="942"/>
      <c r="C5" s="942"/>
      <c r="D5" s="942"/>
      <c r="E5" s="942"/>
      <c r="F5" s="942"/>
      <c r="G5" s="942"/>
      <c r="H5" s="942"/>
    </row>
    <row r="6" spans="2:11" ht="8.25" customHeight="1" thickBot="1">
      <c r="B6" s="10"/>
      <c r="C6" s="10"/>
      <c r="D6" s="10"/>
      <c r="E6" s="10"/>
      <c r="F6" s="10"/>
      <c r="G6" s="10"/>
      <c r="H6" s="10"/>
    </row>
    <row r="7" spans="2:11" ht="32.1" customHeight="1" thickTop="1" thickBot="1">
      <c r="B7" s="1746" t="s">
        <v>165</v>
      </c>
      <c r="C7" s="1746"/>
      <c r="D7" s="1746"/>
      <c r="E7" s="1746"/>
      <c r="F7" s="1746"/>
      <c r="G7" s="1746"/>
      <c r="H7" s="79" t="s">
        <v>597</v>
      </c>
    </row>
    <row r="8" spans="2:11" ht="21.9" customHeight="1" thickTop="1">
      <c r="B8" s="541"/>
      <c r="C8" s="610"/>
      <c r="D8" s="541"/>
      <c r="E8" s="541"/>
      <c r="F8" s="541"/>
      <c r="G8" s="541"/>
      <c r="H8" s="557"/>
    </row>
    <row r="9" spans="2:11" ht="21.9" customHeight="1">
      <c r="B9" s="538"/>
      <c r="C9" s="539"/>
      <c r="D9" s="538"/>
      <c r="E9" s="538"/>
      <c r="F9" s="538"/>
      <c r="G9" s="538"/>
      <c r="H9" s="540"/>
      <c r="I9" s="218"/>
      <c r="J9" s="347"/>
      <c r="K9" s="312"/>
    </row>
    <row r="10" spans="2:11" ht="21.9" customHeight="1">
      <c r="B10" s="538"/>
      <c r="C10" s="539"/>
      <c r="D10" s="538"/>
      <c r="E10" s="538"/>
      <c r="F10" s="538"/>
      <c r="G10" s="538"/>
      <c r="H10" s="540"/>
      <c r="I10" s="218"/>
      <c r="J10" s="347"/>
      <c r="K10" s="312"/>
    </row>
    <row r="11" spans="2:11" ht="21.9" customHeight="1">
      <c r="B11" s="538"/>
      <c r="C11" s="539"/>
      <c r="D11" s="538"/>
      <c r="E11" s="538"/>
      <c r="F11" s="538"/>
      <c r="G11" s="538"/>
      <c r="H11" s="540"/>
      <c r="I11" s="218"/>
      <c r="J11" s="347"/>
      <c r="K11" s="312"/>
    </row>
    <row r="12" spans="2:11" ht="21.9" customHeight="1">
      <c r="B12" s="538"/>
      <c r="C12" s="539"/>
      <c r="D12" s="538"/>
      <c r="E12" s="538"/>
      <c r="F12" s="538"/>
      <c r="G12" s="538"/>
      <c r="H12" s="540"/>
      <c r="I12" s="218"/>
      <c r="J12" s="266"/>
      <c r="K12" s="312"/>
    </row>
    <row r="13" spans="2:11" ht="21.9" customHeight="1">
      <c r="B13" s="538"/>
      <c r="C13" s="539"/>
      <c r="D13" s="538"/>
      <c r="E13" s="538"/>
      <c r="F13" s="538"/>
      <c r="G13" s="538"/>
      <c r="H13" s="540"/>
      <c r="I13" s="218"/>
      <c r="J13" s="347"/>
      <c r="K13" s="312"/>
    </row>
    <row r="14" spans="2:11" ht="21.9" customHeight="1">
      <c r="B14" s="538"/>
      <c r="C14" s="539"/>
      <c r="D14" s="538"/>
      <c r="E14" s="538"/>
      <c r="F14" s="538"/>
      <c r="G14" s="538"/>
      <c r="H14" s="540"/>
      <c r="I14" s="218"/>
      <c r="J14" s="347"/>
      <c r="K14" s="312"/>
    </row>
    <row r="15" spans="2:11" ht="21.9" customHeight="1">
      <c r="B15" s="538"/>
      <c r="C15" s="539"/>
      <c r="D15" s="538"/>
      <c r="E15" s="538"/>
      <c r="F15" s="538"/>
      <c r="G15" s="538"/>
      <c r="H15" s="540"/>
      <c r="I15" s="218"/>
      <c r="J15" s="347"/>
      <c r="K15" s="312"/>
    </row>
    <row r="16" spans="2:11" ht="21.9" customHeight="1">
      <c r="B16" s="538"/>
      <c r="C16" s="538"/>
      <c r="D16" s="538"/>
      <c r="E16" s="538"/>
      <c r="F16" s="538"/>
      <c r="G16" s="538"/>
      <c r="H16" s="540"/>
      <c r="I16" s="218"/>
      <c r="J16" s="347"/>
      <c r="K16" s="312"/>
    </row>
    <row r="17" spans="2:14" ht="21.9" customHeight="1">
      <c r="B17" s="538"/>
      <c r="C17" s="538"/>
      <c r="D17" s="538"/>
      <c r="E17" s="538"/>
      <c r="F17" s="538"/>
      <c r="G17" s="538"/>
      <c r="H17" s="540"/>
      <c r="I17" s="218"/>
      <c r="J17" s="347"/>
      <c r="K17" s="312"/>
    </row>
    <row r="18" spans="2:14" ht="21.9" customHeight="1">
      <c r="B18" s="538"/>
      <c r="C18" s="538"/>
      <c r="D18" s="538"/>
      <c r="E18" s="538"/>
      <c r="F18" s="538"/>
      <c r="G18" s="538"/>
      <c r="H18" s="540"/>
      <c r="J18" s="347"/>
      <c r="K18" s="312"/>
    </row>
    <row r="19" spans="2:14" ht="21.9" customHeight="1">
      <c r="B19" s="538"/>
      <c r="C19" s="538"/>
      <c r="D19" s="538"/>
      <c r="E19" s="538"/>
      <c r="F19" s="538"/>
      <c r="G19" s="538"/>
      <c r="H19" s="540"/>
      <c r="J19" s="347"/>
      <c r="K19" s="312"/>
      <c r="L19" s="309"/>
    </row>
    <row r="20" spans="2:14" ht="21.9" customHeight="1">
      <c r="B20" s="538"/>
      <c r="C20" s="538"/>
      <c r="D20" s="538"/>
      <c r="E20" s="538"/>
      <c r="F20" s="538"/>
      <c r="G20" s="538"/>
      <c r="H20" s="540"/>
      <c r="J20" s="266"/>
      <c r="K20" s="312"/>
    </row>
    <row r="21" spans="2:14" ht="21.9" customHeight="1">
      <c r="B21" s="538"/>
      <c r="C21" s="538"/>
      <c r="D21" s="538"/>
      <c r="E21" s="538"/>
      <c r="F21" s="538"/>
      <c r="G21" s="538"/>
      <c r="H21" s="540"/>
      <c r="J21" s="266"/>
      <c r="K21" s="312"/>
    </row>
    <row r="22" spans="2:14" ht="21.9" customHeight="1">
      <c r="B22" s="538"/>
      <c r="C22" s="538"/>
      <c r="D22" s="538"/>
      <c r="E22" s="538"/>
      <c r="F22" s="538"/>
      <c r="G22" s="538"/>
      <c r="H22" s="540"/>
      <c r="J22" s="347"/>
      <c r="K22" s="312"/>
    </row>
    <row r="23" spans="2:14" ht="21.9" customHeight="1">
      <c r="B23" s="538"/>
      <c r="C23" s="538"/>
      <c r="D23" s="538"/>
      <c r="E23" s="538"/>
      <c r="F23" s="538"/>
      <c r="G23" s="538"/>
      <c r="H23" s="540"/>
      <c r="J23" s="347"/>
      <c r="K23" s="312"/>
    </row>
    <row r="24" spans="2:14" ht="21.9" customHeight="1">
      <c r="B24" s="538"/>
      <c r="C24" s="538"/>
      <c r="D24" s="538"/>
      <c r="E24" s="538"/>
      <c r="F24" s="538"/>
      <c r="G24" s="538"/>
      <c r="H24" s="540"/>
      <c r="J24" s="347"/>
      <c r="K24" s="312"/>
    </row>
    <row r="25" spans="2:14" ht="21.9" customHeight="1">
      <c r="B25" s="538"/>
      <c r="C25" s="538"/>
      <c r="D25" s="538"/>
      <c r="E25" s="538"/>
      <c r="F25" s="538"/>
      <c r="G25" s="538"/>
      <c r="H25" s="540"/>
      <c r="J25" s="347"/>
      <c r="K25" s="312"/>
    </row>
    <row r="26" spans="2:14" ht="21.9" customHeight="1">
      <c r="B26" s="538"/>
      <c r="C26" s="538"/>
      <c r="D26" s="538"/>
      <c r="E26" s="538"/>
      <c r="F26" s="538"/>
      <c r="G26" s="538"/>
      <c r="H26" s="540"/>
      <c r="J26" s="347"/>
      <c r="K26" s="312"/>
      <c r="L26" s="309"/>
    </row>
    <row r="27" spans="2:14" s="309" customFormat="1" ht="21.9" customHeight="1">
      <c r="B27" s="538"/>
      <c r="C27" s="538"/>
      <c r="D27" s="538"/>
      <c r="E27" s="538"/>
      <c r="F27" s="538"/>
      <c r="G27" s="538"/>
      <c r="H27" s="540"/>
      <c r="J27" s="266"/>
      <c r="K27" s="312"/>
      <c r="M27" s="275"/>
      <c r="N27" s="275"/>
    </row>
    <row r="28" spans="2:14" s="309" customFormat="1" ht="21.9" customHeight="1">
      <c r="B28" s="538"/>
      <c r="C28" s="538"/>
      <c r="D28" s="538"/>
      <c r="E28" s="538"/>
      <c r="F28" s="538"/>
      <c r="G28" s="538"/>
      <c r="H28" s="540"/>
      <c r="J28" s="266"/>
      <c r="K28" s="312"/>
      <c r="M28" s="275"/>
      <c r="N28" s="275"/>
    </row>
    <row r="29" spans="2:14" s="309" customFormat="1" ht="21.9" customHeight="1">
      <c r="B29" s="538"/>
      <c r="C29" s="538"/>
      <c r="D29" s="538"/>
      <c r="E29" s="538"/>
      <c r="F29" s="538"/>
      <c r="G29" s="538"/>
      <c r="H29" s="540"/>
      <c r="J29" s="347"/>
      <c r="K29" s="312"/>
      <c r="M29" s="275"/>
      <c r="N29" s="275"/>
    </row>
    <row r="30" spans="2:14" s="309" customFormat="1" ht="21.9" customHeight="1">
      <c r="B30" s="538"/>
      <c r="C30" s="538"/>
      <c r="D30" s="538"/>
      <c r="E30" s="538"/>
      <c r="F30" s="538"/>
      <c r="G30" s="538"/>
      <c r="H30" s="540"/>
      <c r="J30" s="266"/>
      <c r="K30" s="312"/>
      <c r="M30" s="275"/>
      <c r="N30" s="275"/>
    </row>
    <row r="31" spans="2:14" s="309" customFormat="1" ht="21.9" customHeight="1">
      <c r="B31" s="538"/>
      <c r="C31" s="538"/>
      <c r="D31" s="538"/>
      <c r="E31" s="538"/>
      <c r="F31" s="538"/>
      <c r="G31" s="538"/>
      <c r="H31" s="540"/>
      <c r="J31" s="347"/>
      <c r="K31" s="312"/>
      <c r="M31" s="275"/>
      <c r="N31" s="275"/>
    </row>
    <row r="32" spans="2:14" s="309" customFormat="1" ht="21.9" customHeight="1">
      <c r="B32" s="538"/>
      <c r="C32" s="538"/>
      <c r="D32" s="538"/>
      <c r="E32" s="538"/>
      <c r="F32" s="538"/>
      <c r="G32" s="538"/>
      <c r="H32" s="540"/>
      <c r="K32" s="312"/>
      <c r="N32" s="312"/>
    </row>
    <row r="33" spans="2:14" s="309" customFormat="1" ht="21.9" customHeight="1">
      <c r="B33" s="538"/>
      <c r="C33" s="538"/>
      <c r="D33" s="538"/>
      <c r="E33" s="538"/>
      <c r="F33" s="538"/>
      <c r="G33" s="538"/>
      <c r="H33" s="540"/>
      <c r="J33" s="325"/>
      <c r="K33" s="312"/>
      <c r="M33" s="275"/>
      <c r="N33" s="275"/>
    </row>
    <row r="34" spans="2:14" s="309" customFormat="1" ht="21.9" customHeight="1">
      <c r="B34" s="538"/>
      <c r="C34" s="538"/>
      <c r="D34" s="538"/>
      <c r="E34" s="538"/>
      <c r="F34" s="538"/>
      <c r="G34" s="538"/>
      <c r="H34" s="540"/>
      <c r="J34" s="325"/>
      <c r="K34" s="312"/>
      <c r="M34" s="275"/>
      <c r="N34" s="275"/>
    </row>
    <row r="35" spans="2:14" s="309" customFormat="1" ht="21.9" customHeight="1">
      <c r="B35" s="538"/>
      <c r="C35" s="538"/>
      <c r="D35" s="538"/>
      <c r="E35" s="538"/>
      <c r="F35" s="538"/>
      <c r="G35" s="538"/>
      <c r="H35" s="540"/>
      <c r="J35" s="325"/>
      <c r="K35" s="312"/>
      <c r="M35" s="275"/>
      <c r="N35" s="275"/>
    </row>
    <row r="36" spans="2:14" s="309" customFormat="1" ht="21.9" customHeight="1">
      <c r="B36" s="538"/>
      <c r="C36" s="538"/>
      <c r="D36" s="538"/>
      <c r="E36" s="538"/>
      <c r="F36" s="538"/>
      <c r="G36" s="538"/>
      <c r="H36" s="540"/>
      <c r="J36" s="325"/>
      <c r="K36" s="312"/>
      <c r="M36" s="275"/>
      <c r="N36" s="275"/>
    </row>
    <row r="37" spans="2:14" ht="21.9" customHeight="1">
      <c r="B37" s="538"/>
      <c r="C37" s="538"/>
      <c r="D37" s="538"/>
      <c r="E37" s="538"/>
      <c r="F37" s="538"/>
      <c r="G37" s="538"/>
      <c r="H37" s="540"/>
      <c r="K37" s="312"/>
    </row>
    <row r="38" spans="2:14" ht="21.9" customHeight="1">
      <c r="B38" s="538"/>
      <c r="C38" s="538"/>
      <c r="D38" s="538"/>
      <c r="E38" s="538"/>
      <c r="F38" s="538"/>
      <c r="G38" s="538"/>
      <c r="H38" s="540"/>
      <c r="K38" s="312"/>
    </row>
    <row r="39" spans="2:14" ht="21.9" customHeight="1">
      <c r="B39" s="538"/>
      <c r="C39" s="538"/>
      <c r="D39" s="538"/>
      <c r="E39" s="538"/>
      <c r="F39" s="538"/>
      <c r="G39" s="538"/>
      <c r="H39" s="540"/>
      <c r="K39" s="312"/>
    </row>
    <row r="40" spans="2:14" ht="21.9" customHeight="1" thickBot="1">
      <c r="B40" s="538"/>
      <c r="C40" s="538"/>
      <c r="D40" s="538"/>
      <c r="E40" s="538"/>
      <c r="F40" s="538"/>
      <c r="G40" s="538"/>
      <c r="H40" s="558"/>
    </row>
    <row r="41" spans="2:14" ht="21.9" customHeight="1" thickBot="1">
      <c r="B41" s="80" t="s">
        <v>3339</v>
      </c>
      <c r="C41" s="310"/>
      <c r="D41" s="310"/>
      <c r="E41" s="310"/>
      <c r="F41" s="310"/>
      <c r="G41" s="310"/>
      <c r="H41" s="228">
        <f>SUM(H8:H40)</f>
        <v>0</v>
      </c>
      <c r="J41" s="218"/>
    </row>
    <row r="42" spans="2:14" ht="13.8" thickTop="1"/>
    <row r="43" spans="2:14">
      <c r="I43" s="218"/>
    </row>
    <row r="44" spans="2:14">
      <c r="I44" s="218"/>
    </row>
    <row r="45" spans="2:14">
      <c r="I45" s="218"/>
    </row>
    <row r="46" spans="2:14">
      <c r="I46" s="218"/>
    </row>
    <row r="47" spans="2:14" ht="13.8">
      <c r="B47" s="1618" t="s">
        <v>600</v>
      </c>
      <c r="C47" s="1618"/>
      <c r="D47" s="1618"/>
      <c r="E47" s="1618"/>
      <c r="F47" s="1618"/>
      <c r="G47" s="1618"/>
      <c r="H47" s="1618"/>
    </row>
    <row r="48" spans="2:14">
      <c r="I48" s="218"/>
    </row>
    <row r="54" spans="8:8">
      <c r="H54" s="218"/>
    </row>
    <row r="55" spans="8:8">
      <c r="H55" s="218"/>
    </row>
  </sheetData>
  <sheetProtection algorithmName="SHA-512" hashValue="VsOfxcF7xcmZUETcT9eG8yVmW+gJHQdR5KC/X/LCDOp9K7mPvORXzU/V7jBtGF6EoXdnwgIF/FMR4QVjGXNKIw==" saltValue="jxWvmnLPz7LUZFc5ytU9dA==" spinCount="100000" sheet="1" objects="1" scenarios="1"/>
  <sortState ref="C9:H23">
    <sortCondition ref="C9:C23"/>
  </sortState>
  <mergeCells count="4">
    <mergeCell ref="B47:H47"/>
    <mergeCell ref="B3:H3"/>
    <mergeCell ref="B4:H4"/>
    <mergeCell ref="B7:G7"/>
  </mergeCells>
  <phoneticPr fontId="0" type="noConversion"/>
  <conditionalFormatting sqref="J9:J18 J20:J31">
    <cfRule type="cellIs" dxfId="5" priority="4" stopIfTrue="1" operator="equal">
      <formula>0</formula>
    </cfRule>
  </conditionalFormatting>
  <conditionalFormatting sqref="J19">
    <cfRule type="cellIs" dxfId="4" priority="3" stopIfTrue="1" operator="equal">
      <formula>0</formula>
    </cfRule>
  </conditionalFormatting>
  <pageMargins left="0.25" right="0.25" top="0.5" bottom="0.5" header="0.25" footer="0.25"/>
  <pageSetup paperSize="5" orientation="portrait" r:id="rId1"/>
  <headerFooter alignWithMargins="0"/>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8"/>
  <dimension ref="B3:N55"/>
  <sheetViews>
    <sheetView workbookViewId="0">
      <selection activeCell="M27" sqref="M27"/>
    </sheetView>
  </sheetViews>
  <sheetFormatPr defaultColWidth="9.109375" defaultRowHeight="13.2"/>
  <cols>
    <col min="1" max="3" width="4.6640625" style="309" customWidth="1"/>
    <col min="4" max="4" width="12.33203125" style="309" customWidth="1"/>
    <col min="5" max="5" width="22.6640625" style="309" customWidth="1"/>
    <col min="6" max="6" width="25.88671875" style="309" customWidth="1"/>
    <col min="7" max="7" width="9.109375" style="309"/>
    <col min="8" max="8" width="16.6640625" style="309" customWidth="1"/>
    <col min="9" max="9" width="11.44140625" style="309" bestFit="1" customWidth="1"/>
    <col min="10" max="10" width="10.33203125" style="309" bestFit="1" customWidth="1"/>
    <col min="11" max="11" width="10.88671875" style="309" bestFit="1" customWidth="1"/>
    <col min="12" max="12" width="9.109375" style="309"/>
    <col min="13" max="13" width="12.44140625" style="275" bestFit="1" customWidth="1"/>
    <col min="14" max="14" width="10.44140625" style="275" bestFit="1" customWidth="1"/>
    <col min="15" max="16384" width="9.109375" style="309"/>
  </cols>
  <sheetData>
    <row r="3" spans="2:11" ht="22.8">
      <c r="B3" s="1665" t="s">
        <v>598</v>
      </c>
      <c r="C3" s="1665"/>
      <c r="D3" s="1665"/>
      <c r="E3" s="1665"/>
      <c r="F3" s="1665"/>
      <c r="G3" s="1665"/>
      <c r="H3" s="1665"/>
    </row>
    <row r="4" spans="2:11" ht="22.8">
      <c r="B4" s="1665" t="s">
        <v>599</v>
      </c>
      <c r="C4" s="1665"/>
      <c r="D4" s="1665"/>
      <c r="E4" s="1665"/>
      <c r="F4" s="1665"/>
      <c r="G4" s="1665"/>
      <c r="H4" s="1665"/>
    </row>
    <row r="5" spans="2:11" ht="15.6">
      <c r="B5" s="942"/>
      <c r="C5" s="942"/>
      <c r="D5" s="942"/>
      <c r="E5" s="942"/>
      <c r="F5" s="942"/>
      <c r="G5" s="942"/>
      <c r="H5" s="942"/>
    </row>
    <row r="6" spans="2:11" ht="8.25" customHeight="1" thickBot="1">
      <c r="B6" s="10"/>
      <c r="C6" s="10"/>
      <c r="D6" s="10"/>
      <c r="E6" s="10"/>
      <c r="F6" s="10"/>
      <c r="G6" s="10"/>
      <c r="H6" s="10"/>
    </row>
    <row r="7" spans="2:11" ht="32.1" customHeight="1" thickTop="1" thickBot="1">
      <c r="B7" s="1747" t="s">
        <v>165</v>
      </c>
      <c r="C7" s="1747"/>
      <c r="D7" s="1747"/>
      <c r="E7" s="1747"/>
      <c r="F7" s="1747"/>
      <c r="G7" s="1747"/>
      <c r="H7" s="982" t="s">
        <v>597</v>
      </c>
    </row>
    <row r="8" spans="2:11" ht="21.9" customHeight="1" thickTop="1">
      <c r="B8" s="841"/>
      <c r="C8" s="840" t="s">
        <v>3266</v>
      </c>
      <c r="D8" s="841"/>
      <c r="E8" s="841"/>
      <c r="F8" s="841"/>
      <c r="G8" s="841"/>
      <c r="H8" s="842">
        <f>+'20-Misc Rev Not Ant'!H41</f>
        <v>0</v>
      </c>
    </row>
    <row r="9" spans="2:11" ht="21.9" customHeight="1">
      <c r="B9" s="538"/>
      <c r="C9" s="539"/>
      <c r="D9" s="538"/>
      <c r="E9" s="538"/>
      <c r="F9" s="538"/>
      <c r="G9" s="538"/>
      <c r="H9" s="540"/>
      <c r="I9" s="312"/>
      <c r="J9" s="347"/>
      <c r="K9" s="312"/>
    </row>
    <row r="10" spans="2:11" ht="21.9" customHeight="1">
      <c r="B10" s="538"/>
      <c r="C10" s="539"/>
      <c r="D10" s="538"/>
      <c r="E10" s="538"/>
      <c r="F10" s="538"/>
      <c r="G10" s="538"/>
      <c r="H10" s="540"/>
      <c r="I10" s="312"/>
      <c r="J10" s="347"/>
      <c r="K10" s="312"/>
    </row>
    <row r="11" spans="2:11" ht="21.9" customHeight="1">
      <c r="B11" s="538"/>
      <c r="C11" s="539"/>
      <c r="D11" s="538"/>
      <c r="E11" s="538"/>
      <c r="F11" s="538"/>
      <c r="G11" s="538"/>
      <c r="H11" s="540"/>
      <c r="I11" s="312"/>
      <c r="J11" s="347"/>
      <c r="K11" s="312"/>
    </row>
    <row r="12" spans="2:11" ht="21.9" customHeight="1">
      <c r="B12" s="538"/>
      <c r="C12" s="539"/>
      <c r="D12" s="538"/>
      <c r="E12" s="538"/>
      <c r="F12" s="538"/>
      <c r="G12" s="538"/>
      <c r="H12" s="540"/>
      <c r="I12" s="312"/>
      <c r="J12" s="266"/>
      <c r="K12" s="312"/>
    </row>
    <row r="13" spans="2:11" ht="21.9" customHeight="1">
      <c r="B13" s="538"/>
      <c r="C13" s="539"/>
      <c r="D13" s="538"/>
      <c r="E13" s="538"/>
      <c r="F13" s="538"/>
      <c r="G13" s="538"/>
      <c r="H13" s="540"/>
      <c r="I13" s="312"/>
      <c r="J13" s="347"/>
      <c r="K13" s="312"/>
    </row>
    <row r="14" spans="2:11" ht="21.9" customHeight="1">
      <c r="B14" s="538"/>
      <c r="C14" s="539"/>
      <c r="D14" s="538"/>
      <c r="E14" s="538"/>
      <c r="F14" s="538"/>
      <c r="G14" s="538"/>
      <c r="H14" s="540"/>
      <c r="I14" s="312"/>
      <c r="J14" s="347"/>
      <c r="K14" s="312"/>
    </row>
    <row r="15" spans="2:11" ht="21.9" customHeight="1">
      <c r="B15" s="538"/>
      <c r="C15" s="539"/>
      <c r="D15" s="538"/>
      <c r="E15" s="538"/>
      <c r="F15" s="538"/>
      <c r="G15" s="538"/>
      <c r="H15" s="540"/>
      <c r="I15" s="312"/>
      <c r="J15" s="347"/>
      <c r="K15" s="312"/>
    </row>
    <row r="16" spans="2:11" ht="21.9" customHeight="1">
      <c r="B16" s="538"/>
      <c r="C16" s="539"/>
      <c r="D16" s="538"/>
      <c r="E16" s="538"/>
      <c r="F16" s="538"/>
      <c r="G16" s="538"/>
      <c r="H16" s="540"/>
      <c r="I16" s="312"/>
      <c r="J16" s="347"/>
      <c r="K16" s="312"/>
    </row>
    <row r="17" spans="2:14" ht="21.9" customHeight="1">
      <c r="B17" s="538"/>
      <c r="C17" s="538"/>
      <c r="D17" s="538"/>
      <c r="E17" s="538"/>
      <c r="F17" s="538"/>
      <c r="G17" s="538"/>
      <c r="H17" s="540"/>
      <c r="I17" s="312"/>
      <c r="J17" s="347"/>
      <c r="K17" s="312"/>
    </row>
    <row r="18" spans="2:14" ht="21.9" customHeight="1">
      <c r="B18" s="538"/>
      <c r="C18" s="538"/>
      <c r="D18" s="538"/>
      <c r="E18" s="538"/>
      <c r="F18" s="538"/>
      <c r="G18" s="538"/>
      <c r="H18" s="540"/>
      <c r="J18" s="347"/>
      <c r="K18" s="312"/>
    </row>
    <row r="19" spans="2:14" ht="21.9" customHeight="1">
      <c r="B19" s="538"/>
      <c r="C19" s="538"/>
      <c r="D19" s="538"/>
      <c r="E19" s="538"/>
      <c r="F19" s="538"/>
      <c r="G19" s="538"/>
      <c r="H19" s="540"/>
      <c r="J19" s="347"/>
      <c r="K19" s="312"/>
    </row>
    <row r="20" spans="2:14" ht="21.9" customHeight="1">
      <c r="B20" s="538"/>
      <c r="C20" s="538"/>
      <c r="D20" s="538"/>
      <c r="E20" s="538"/>
      <c r="F20" s="538"/>
      <c r="G20" s="538"/>
      <c r="H20" s="540"/>
      <c r="J20" s="266"/>
      <c r="K20" s="312"/>
    </row>
    <row r="21" spans="2:14" ht="21.9" customHeight="1">
      <c r="B21" s="538"/>
      <c r="C21" s="538"/>
      <c r="D21" s="538"/>
      <c r="E21" s="538"/>
      <c r="F21" s="538"/>
      <c r="G21" s="538"/>
      <c r="H21" s="540"/>
      <c r="J21" s="266"/>
      <c r="K21" s="312"/>
    </row>
    <row r="22" spans="2:14" ht="21.9" customHeight="1">
      <c r="B22" s="538"/>
      <c r="C22" s="538"/>
      <c r="D22" s="538"/>
      <c r="E22" s="538"/>
      <c r="F22" s="538"/>
      <c r="G22" s="538"/>
      <c r="H22" s="540"/>
      <c r="J22" s="347"/>
      <c r="K22" s="312"/>
    </row>
    <row r="23" spans="2:14" ht="21.9" customHeight="1">
      <c r="B23" s="538"/>
      <c r="C23" s="538"/>
      <c r="D23" s="538"/>
      <c r="E23" s="538"/>
      <c r="F23" s="538"/>
      <c r="G23" s="538"/>
      <c r="H23" s="540"/>
      <c r="J23" s="347"/>
      <c r="K23" s="312"/>
    </row>
    <row r="24" spans="2:14" ht="21.9" customHeight="1">
      <c r="B24" s="538"/>
      <c r="C24" s="538"/>
      <c r="D24" s="538"/>
      <c r="E24" s="538"/>
      <c r="F24" s="538"/>
      <c r="G24" s="538"/>
      <c r="H24" s="540"/>
      <c r="J24" s="347"/>
      <c r="K24" s="312"/>
    </row>
    <row r="25" spans="2:14" ht="21.9" customHeight="1">
      <c r="B25" s="538"/>
      <c r="C25" s="538"/>
      <c r="D25" s="538"/>
      <c r="E25" s="538"/>
      <c r="F25" s="538"/>
      <c r="G25" s="538"/>
      <c r="H25" s="540"/>
      <c r="J25" s="347"/>
      <c r="K25" s="312"/>
    </row>
    <row r="26" spans="2:14" ht="21.9" customHeight="1">
      <c r="B26" s="538"/>
      <c r="C26" s="538"/>
      <c r="D26" s="538"/>
      <c r="E26" s="538"/>
      <c r="F26" s="538"/>
      <c r="G26" s="538"/>
      <c r="H26" s="540"/>
      <c r="J26" s="347"/>
      <c r="K26" s="312"/>
    </row>
    <row r="27" spans="2:14" ht="21.9" customHeight="1">
      <c r="B27" s="538"/>
      <c r="C27" s="538"/>
      <c r="D27" s="538"/>
      <c r="E27" s="538"/>
      <c r="F27" s="538"/>
      <c r="G27" s="538"/>
      <c r="H27" s="540"/>
      <c r="J27" s="266"/>
      <c r="K27" s="312"/>
    </row>
    <row r="28" spans="2:14" ht="21.9" customHeight="1">
      <c r="B28" s="538"/>
      <c r="C28" s="538"/>
      <c r="D28" s="538"/>
      <c r="E28" s="538"/>
      <c r="F28" s="538"/>
      <c r="G28" s="538"/>
      <c r="H28" s="540"/>
      <c r="J28" s="266"/>
      <c r="K28" s="312"/>
    </row>
    <row r="29" spans="2:14" ht="21.9" customHeight="1">
      <c r="B29" s="538"/>
      <c r="C29" s="538"/>
      <c r="D29" s="538"/>
      <c r="E29" s="538"/>
      <c r="F29" s="538"/>
      <c r="G29" s="538"/>
      <c r="H29" s="540"/>
      <c r="J29" s="347"/>
      <c r="K29" s="312"/>
    </row>
    <row r="30" spans="2:14" ht="21.9" customHeight="1">
      <c r="B30" s="538"/>
      <c r="C30" s="538"/>
      <c r="D30" s="538"/>
      <c r="E30" s="538"/>
      <c r="F30" s="538"/>
      <c r="G30" s="538"/>
      <c r="H30" s="540"/>
      <c r="J30" s="266"/>
      <c r="K30" s="312"/>
    </row>
    <row r="31" spans="2:14" ht="21.9" customHeight="1">
      <c r="B31" s="538"/>
      <c r="C31" s="538"/>
      <c r="D31" s="538"/>
      <c r="E31" s="538"/>
      <c r="F31" s="538"/>
      <c r="G31" s="538"/>
      <c r="H31" s="540"/>
      <c r="J31" s="347"/>
      <c r="K31" s="312"/>
    </row>
    <row r="32" spans="2:14" ht="21.9" customHeight="1">
      <c r="B32" s="538"/>
      <c r="C32" s="538"/>
      <c r="D32" s="538"/>
      <c r="E32" s="538"/>
      <c r="F32" s="538"/>
      <c r="G32" s="538"/>
      <c r="H32" s="540"/>
      <c r="K32" s="312"/>
      <c r="M32" s="309"/>
      <c r="N32" s="312"/>
    </row>
    <row r="33" spans="2:11" ht="21.9" customHeight="1">
      <c r="B33" s="538"/>
      <c r="C33" s="538"/>
      <c r="D33" s="538"/>
      <c r="E33" s="538"/>
      <c r="F33" s="538"/>
      <c r="G33" s="538"/>
      <c r="H33" s="540"/>
      <c r="J33" s="325"/>
      <c r="K33" s="312"/>
    </row>
    <row r="34" spans="2:11" ht="21.9" customHeight="1">
      <c r="B34" s="538"/>
      <c r="C34" s="538"/>
      <c r="D34" s="538"/>
      <c r="E34" s="538"/>
      <c r="F34" s="538"/>
      <c r="G34" s="538"/>
      <c r="H34" s="540"/>
      <c r="J34" s="325"/>
      <c r="K34" s="312"/>
    </row>
    <row r="35" spans="2:11" ht="21.9" customHeight="1">
      <c r="B35" s="538"/>
      <c r="C35" s="538"/>
      <c r="D35" s="538"/>
      <c r="E35" s="538"/>
      <c r="F35" s="538"/>
      <c r="G35" s="538"/>
      <c r="H35" s="540"/>
      <c r="J35" s="325"/>
      <c r="K35" s="312"/>
    </row>
    <row r="36" spans="2:11" ht="21.9" customHeight="1">
      <c r="B36" s="538"/>
      <c r="C36" s="538"/>
      <c r="D36" s="538"/>
      <c r="E36" s="538"/>
      <c r="F36" s="538"/>
      <c r="G36" s="538"/>
      <c r="H36" s="540"/>
      <c r="J36" s="325"/>
      <c r="K36" s="312"/>
    </row>
    <row r="37" spans="2:11" ht="21.9" customHeight="1">
      <c r="B37" s="538"/>
      <c r="C37" s="538"/>
      <c r="D37" s="538"/>
      <c r="E37" s="538"/>
      <c r="F37" s="538"/>
      <c r="G37" s="538"/>
      <c r="H37" s="540"/>
      <c r="K37" s="312"/>
    </row>
    <row r="38" spans="2:11" ht="21.9" customHeight="1">
      <c r="B38" s="538"/>
      <c r="C38" s="538"/>
      <c r="D38" s="538"/>
      <c r="E38" s="538"/>
      <c r="F38" s="538"/>
      <c r="G38" s="538"/>
      <c r="H38" s="540"/>
      <c r="K38" s="312"/>
    </row>
    <row r="39" spans="2:11" ht="21.9" customHeight="1">
      <c r="B39" s="538"/>
      <c r="C39" s="538"/>
      <c r="D39" s="538"/>
      <c r="E39" s="538"/>
      <c r="F39" s="538"/>
      <c r="G39" s="538"/>
      <c r="H39" s="540"/>
      <c r="K39" s="312"/>
    </row>
    <row r="40" spans="2:11" ht="21.9" customHeight="1" thickBot="1">
      <c r="B40" s="538"/>
      <c r="C40" s="538"/>
      <c r="D40" s="538"/>
      <c r="E40" s="538"/>
      <c r="F40" s="538"/>
      <c r="G40" s="538"/>
      <c r="H40" s="558"/>
    </row>
    <row r="41" spans="2:11" ht="21.9" customHeight="1" thickBot="1">
      <c r="B41" s="80" t="s">
        <v>3339</v>
      </c>
      <c r="C41" s="310"/>
      <c r="D41" s="310"/>
      <c r="E41" s="310"/>
      <c r="F41" s="310"/>
      <c r="G41" s="310"/>
      <c r="H41" s="228">
        <f>SUM(H8:H40)</f>
        <v>0</v>
      </c>
      <c r="J41" s="312"/>
    </row>
    <row r="42" spans="2:11" ht="13.8" thickTop="1"/>
    <row r="43" spans="2:11">
      <c r="I43" s="312"/>
    </row>
    <row r="44" spans="2:11">
      <c r="I44" s="312"/>
    </row>
    <row r="45" spans="2:11">
      <c r="I45" s="312"/>
    </row>
    <row r="46" spans="2:11">
      <c r="I46" s="312"/>
    </row>
    <row r="47" spans="2:11" ht="13.8">
      <c r="B47" s="1618" t="s">
        <v>3338</v>
      </c>
      <c r="C47" s="1618"/>
      <c r="D47" s="1618"/>
      <c r="E47" s="1618"/>
      <c r="F47" s="1618"/>
      <c r="G47" s="1618"/>
      <c r="H47" s="1618"/>
    </row>
    <row r="48" spans="2:11">
      <c r="I48" s="312"/>
    </row>
    <row r="54" spans="8:8">
      <c r="H54" s="312"/>
    </row>
    <row r="55" spans="8:8">
      <c r="H55" s="312"/>
    </row>
  </sheetData>
  <sheetProtection password="CAF9" sheet="1" objects="1" scenarios="1"/>
  <mergeCells count="4">
    <mergeCell ref="B3:H3"/>
    <mergeCell ref="B4:H4"/>
    <mergeCell ref="B7:G7"/>
    <mergeCell ref="B47:H47"/>
  </mergeCells>
  <conditionalFormatting sqref="J9:J18 J20:J31">
    <cfRule type="cellIs" dxfId="3" priority="2" stopIfTrue="1" operator="equal">
      <formula>0</formula>
    </cfRule>
  </conditionalFormatting>
  <conditionalFormatting sqref="J19">
    <cfRule type="cellIs" dxfId="2" priority="1" stopIfTrue="1" operator="equal">
      <formula>0</formula>
    </cfRule>
  </conditionalFormatting>
  <pageMargins left="0.25" right="0.25" top="0.5" bottom="0.5" header="0.25" footer="0.25"/>
  <pageSetup paperSize="5" orientation="portrait" r:id="rId1"/>
  <headerFooter alignWithMargins="0"/>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9"/>
  <dimension ref="B1:N55"/>
  <sheetViews>
    <sheetView topLeftCell="A16" workbookViewId="0">
      <selection activeCell="B27" sqref="B27"/>
    </sheetView>
  </sheetViews>
  <sheetFormatPr defaultColWidth="9.109375" defaultRowHeight="13.2"/>
  <cols>
    <col min="1" max="3" width="4.6640625" style="309" customWidth="1"/>
    <col min="4" max="4" width="12.33203125" style="309" customWidth="1"/>
    <col min="5" max="5" width="22.6640625" style="309" customWidth="1"/>
    <col min="6" max="6" width="25.88671875" style="309" customWidth="1"/>
    <col min="7" max="7" width="9.109375" style="309"/>
    <col min="8" max="8" width="16.6640625" style="309" customWidth="1"/>
    <col min="9" max="9" width="11.44140625" style="309" bestFit="1" customWidth="1"/>
    <col min="10" max="10" width="10.33203125" style="309" bestFit="1" customWidth="1"/>
    <col min="11" max="11" width="10.88671875" style="309" bestFit="1" customWidth="1"/>
    <col min="12" max="12" width="9.109375" style="309"/>
    <col min="13" max="13" width="12.44140625" style="275" bestFit="1" customWidth="1"/>
    <col min="14" max="14" width="10.44140625" style="275" bestFit="1" customWidth="1"/>
    <col min="15" max="16384" width="9.109375" style="309"/>
  </cols>
  <sheetData>
    <row r="1" spans="2:11">
      <c r="B1" s="811"/>
      <c r="C1" s="811"/>
      <c r="D1" s="811"/>
      <c r="E1" s="811"/>
      <c r="F1" s="811"/>
      <c r="G1" s="811"/>
      <c r="H1" s="811"/>
    </row>
    <row r="2" spans="2:11">
      <c r="B2" s="811"/>
      <c r="C2" s="811"/>
      <c r="D2" s="811"/>
      <c r="E2" s="811"/>
      <c r="F2" s="811"/>
      <c r="G2" s="811"/>
      <c r="H2" s="811"/>
    </row>
    <row r="3" spans="2:11" ht="22.8">
      <c r="B3" s="1680" t="s">
        <v>598</v>
      </c>
      <c r="C3" s="1680"/>
      <c r="D3" s="1680"/>
      <c r="E3" s="1680"/>
      <c r="F3" s="1680"/>
      <c r="G3" s="1680"/>
      <c r="H3" s="1680"/>
    </row>
    <row r="4" spans="2:11" ht="22.8">
      <c r="B4" s="1680" t="s">
        <v>599</v>
      </c>
      <c r="C4" s="1680"/>
      <c r="D4" s="1680"/>
      <c r="E4" s="1680"/>
      <c r="F4" s="1680"/>
      <c r="G4" s="1680"/>
      <c r="H4" s="1680"/>
    </row>
    <row r="5" spans="2:11" ht="15.6">
      <c r="B5" s="983"/>
      <c r="C5" s="983"/>
      <c r="D5" s="983"/>
      <c r="E5" s="983"/>
      <c r="F5" s="983"/>
      <c r="G5" s="983"/>
      <c r="H5" s="983"/>
    </row>
    <row r="6" spans="2:11" ht="8.25" customHeight="1" thickBot="1">
      <c r="B6" s="853"/>
      <c r="C6" s="853"/>
      <c r="D6" s="853"/>
      <c r="E6" s="853"/>
      <c r="F6" s="853"/>
      <c r="G6" s="853"/>
      <c r="H6" s="853"/>
    </row>
    <row r="7" spans="2:11" ht="32.1" customHeight="1" thickTop="1" thickBot="1">
      <c r="B7" s="1747" t="s">
        <v>165</v>
      </c>
      <c r="C7" s="1747"/>
      <c r="D7" s="1747"/>
      <c r="E7" s="1747"/>
      <c r="F7" s="1747"/>
      <c r="G7" s="1747"/>
      <c r="H7" s="982" t="s">
        <v>597</v>
      </c>
    </row>
    <row r="8" spans="2:11" ht="21.9" customHeight="1" thickTop="1" thickBot="1">
      <c r="B8" s="841"/>
      <c r="C8" s="840" t="s">
        <v>3266</v>
      </c>
      <c r="D8" s="841"/>
      <c r="E8" s="841"/>
      <c r="F8" s="841"/>
      <c r="G8" s="841"/>
      <c r="H8" s="842">
        <f>+'20.1-Misc Rev Not Ant'!H41</f>
        <v>0</v>
      </c>
    </row>
    <row r="9" spans="2:11" ht="21.9" customHeight="1" thickTop="1">
      <c r="B9" s="541" t="s">
        <v>3688</v>
      </c>
      <c r="C9" s="539"/>
      <c r="D9" s="538"/>
      <c r="E9" s="538"/>
      <c r="F9" s="538"/>
      <c r="G9" s="538"/>
      <c r="H9" s="540">
        <v>922.5</v>
      </c>
      <c r="I9" s="312"/>
      <c r="J9" s="347"/>
      <c r="K9" s="312"/>
    </row>
    <row r="10" spans="2:11" ht="21.9" customHeight="1">
      <c r="B10" s="538" t="s">
        <v>3689</v>
      </c>
      <c r="C10" s="539"/>
      <c r="D10" s="538"/>
      <c r="E10" s="538"/>
      <c r="F10" s="538"/>
      <c r="G10" s="538"/>
      <c r="H10" s="540">
        <v>20</v>
      </c>
      <c r="I10" s="312"/>
      <c r="J10" s="347"/>
      <c r="K10" s="312"/>
    </row>
    <row r="11" spans="2:11" ht="21.9" customHeight="1">
      <c r="B11" s="538" t="s">
        <v>3690</v>
      </c>
      <c r="C11" s="539"/>
      <c r="D11" s="538"/>
      <c r="E11" s="538"/>
      <c r="F11" s="538"/>
      <c r="G11" s="538"/>
      <c r="H11" s="540">
        <v>1125</v>
      </c>
      <c r="I11" s="312"/>
      <c r="J11" s="347"/>
      <c r="K11" s="312"/>
    </row>
    <row r="12" spans="2:11" ht="21.9" customHeight="1">
      <c r="B12" s="538" t="s">
        <v>3691</v>
      </c>
      <c r="C12" s="539"/>
      <c r="D12" s="538"/>
      <c r="E12" s="538"/>
      <c r="F12" s="538"/>
      <c r="G12" s="538"/>
      <c r="H12" s="540">
        <v>2700</v>
      </c>
      <c r="I12" s="312"/>
      <c r="J12" s="266"/>
      <c r="K12" s="312"/>
    </row>
    <row r="13" spans="2:11" ht="21.9" customHeight="1">
      <c r="B13" s="538" t="s">
        <v>3692</v>
      </c>
      <c r="C13" s="539"/>
      <c r="D13" s="538"/>
      <c r="E13" s="538"/>
      <c r="F13" s="538"/>
      <c r="G13" s="538"/>
      <c r="H13" s="540">
        <v>0</v>
      </c>
      <c r="I13" s="312"/>
      <c r="J13" s="347"/>
      <c r="K13" s="312"/>
    </row>
    <row r="14" spans="2:11" ht="21.9" customHeight="1">
      <c r="B14" s="538" t="s">
        <v>3693</v>
      </c>
      <c r="C14" s="539"/>
      <c r="D14" s="538"/>
      <c r="E14" s="538"/>
      <c r="F14" s="538"/>
      <c r="G14" s="538"/>
      <c r="H14" s="540">
        <v>845</v>
      </c>
      <c r="I14" s="312"/>
      <c r="J14" s="347"/>
      <c r="K14" s="312"/>
    </row>
    <row r="15" spans="2:11" ht="21.9" customHeight="1">
      <c r="B15" s="538" t="s">
        <v>3694</v>
      </c>
      <c r="C15" s="539"/>
      <c r="D15" s="538"/>
      <c r="E15" s="538"/>
      <c r="F15" s="538"/>
      <c r="G15" s="538"/>
      <c r="H15" s="540">
        <v>600</v>
      </c>
      <c r="I15" s="312"/>
      <c r="J15" s="347"/>
      <c r="K15" s="312"/>
    </row>
    <row r="16" spans="2:11" ht="21.9" customHeight="1">
      <c r="B16" s="538" t="s">
        <v>3695</v>
      </c>
      <c r="C16" s="539"/>
      <c r="D16" s="538"/>
      <c r="E16" s="538"/>
      <c r="F16" s="538"/>
      <c r="G16" s="538"/>
      <c r="H16" s="540">
        <v>300</v>
      </c>
      <c r="I16" s="312"/>
      <c r="J16" s="347"/>
      <c r="K16" s="312"/>
    </row>
    <row r="17" spans="2:14" ht="21.9" customHeight="1">
      <c r="B17" s="538" t="s">
        <v>3696</v>
      </c>
      <c r="C17" s="538"/>
      <c r="D17" s="538"/>
      <c r="E17" s="538"/>
      <c r="F17" s="538"/>
      <c r="G17" s="538"/>
      <c r="H17" s="540">
        <v>8652.08</v>
      </c>
      <c r="I17" s="312"/>
      <c r="J17" s="347"/>
      <c r="K17" s="312"/>
    </row>
    <row r="18" spans="2:14" ht="21.9" customHeight="1">
      <c r="B18" s="538" t="s">
        <v>3697</v>
      </c>
      <c r="C18" s="538"/>
      <c r="D18" s="538"/>
      <c r="E18" s="538"/>
      <c r="F18" s="538"/>
      <c r="G18" s="538"/>
      <c r="H18" s="540">
        <v>619.42999999999995</v>
      </c>
      <c r="J18" s="347"/>
      <c r="K18" s="312"/>
    </row>
    <row r="19" spans="2:14" ht="21.9" customHeight="1">
      <c r="B19" s="538" t="s">
        <v>3698</v>
      </c>
      <c r="C19" s="538"/>
      <c r="D19" s="538"/>
      <c r="E19" s="538"/>
      <c r="F19" s="538"/>
      <c r="G19" s="538"/>
      <c r="H19" s="540">
        <v>2645</v>
      </c>
      <c r="J19" s="347"/>
      <c r="K19" s="312"/>
    </row>
    <row r="20" spans="2:14" ht="21.9" customHeight="1">
      <c r="B20" s="538" t="s">
        <v>3699</v>
      </c>
      <c r="C20" s="538"/>
      <c r="D20" s="538"/>
      <c r="E20" s="538"/>
      <c r="F20" s="538"/>
      <c r="G20" s="538"/>
      <c r="H20" s="540">
        <v>360</v>
      </c>
      <c r="J20" s="266"/>
      <c r="K20" s="312"/>
    </row>
    <row r="21" spans="2:14" ht="21.9" customHeight="1">
      <c r="B21" s="538" t="s">
        <v>3700</v>
      </c>
      <c r="C21" s="538"/>
      <c r="D21" s="538"/>
      <c r="E21" s="538"/>
      <c r="F21" s="538"/>
      <c r="G21" s="538"/>
      <c r="H21" s="540">
        <v>1950</v>
      </c>
      <c r="J21" s="266"/>
      <c r="K21" s="312"/>
    </row>
    <row r="22" spans="2:14" ht="21.9" customHeight="1">
      <c r="B22" s="539" t="s">
        <v>3701</v>
      </c>
      <c r="C22" s="538"/>
      <c r="D22" s="538"/>
      <c r="E22" s="538"/>
      <c r="F22" s="538"/>
      <c r="G22" s="538"/>
      <c r="H22" s="540">
        <v>500</v>
      </c>
      <c r="J22" s="347"/>
      <c r="K22" s="312"/>
    </row>
    <row r="23" spans="2:14" ht="21.9" customHeight="1">
      <c r="B23" s="538" t="s">
        <v>3702</v>
      </c>
      <c r="C23" s="538"/>
      <c r="D23" s="538"/>
      <c r="E23" s="538"/>
      <c r="F23" s="538"/>
      <c r="G23" s="538"/>
      <c r="H23" s="540">
        <v>116.55</v>
      </c>
      <c r="J23" s="347"/>
      <c r="K23" s="312"/>
    </row>
    <row r="24" spans="2:14" ht="21.9" customHeight="1">
      <c r="B24" s="538" t="s">
        <v>3703</v>
      </c>
      <c r="C24" s="538"/>
      <c r="D24" s="538"/>
      <c r="E24" s="538"/>
      <c r="F24" s="538"/>
      <c r="G24" s="538"/>
      <c r="H24" s="540">
        <v>17323.43</v>
      </c>
      <c r="J24" s="347"/>
      <c r="K24" s="312"/>
    </row>
    <row r="25" spans="2:14" ht="21.9" customHeight="1">
      <c r="B25" s="539" t="s">
        <v>3736</v>
      </c>
      <c r="C25" s="538"/>
      <c r="D25" s="538"/>
      <c r="E25" s="538"/>
      <c r="F25" s="538"/>
      <c r="G25" s="538"/>
      <c r="H25" s="540">
        <v>2120.4</v>
      </c>
      <c r="J25" s="347"/>
      <c r="K25" s="312"/>
    </row>
    <row r="26" spans="2:14" ht="21.9" customHeight="1">
      <c r="B26" s="539" t="s">
        <v>3737</v>
      </c>
      <c r="C26" s="538"/>
      <c r="D26" s="538"/>
      <c r="E26" s="538"/>
      <c r="F26" s="538"/>
      <c r="G26" s="538"/>
      <c r="H26" s="540">
        <v>4205.76</v>
      </c>
      <c r="J26" s="347"/>
      <c r="K26" s="312"/>
    </row>
    <row r="27" spans="2:14" ht="21.9" customHeight="1">
      <c r="B27" s="539"/>
      <c r="C27" s="538"/>
      <c r="D27" s="538"/>
      <c r="E27" s="538"/>
      <c r="F27" s="538"/>
      <c r="G27" s="538"/>
      <c r="H27" s="540"/>
      <c r="J27" s="266"/>
      <c r="K27" s="312"/>
    </row>
    <row r="28" spans="2:14" ht="21.9" customHeight="1">
      <c r="B28" s="538"/>
      <c r="C28" s="538"/>
      <c r="D28" s="538"/>
      <c r="E28" s="538"/>
      <c r="F28" s="538"/>
      <c r="G28" s="538"/>
      <c r="H28" s="540"/>
      <c r="J28" s="266"/>
      <c r="K28" s="312"/>
    </row>
    <row r="29" spans="2:14" ht="21.9" customHeight="1">
      <c r="B29" s="538"/>
      <c r="C29" s="538"/>
      <c r="D29" s="538"/>
      <c r="E29" s="538"/>
      <c r="F29" s="538"/>
      <c r="G29" s="538"/>
      <c r="H29" s="540"/>
      <c r="J29" s="347"/>
      <c r="K29" s="312"/>
    </row>
    <row r="30" spans="2:14" ht="21.9" customHeight="1">
      <c r="B30" s="538"/>
      <c r="C30" s="538"/>
      <c r="D30" s="538"/>
      <c r="E30" s="538"/>
      <c r="F30" s="538"/>
      <c r="G30" s="538"/>
      <c r="H30" s="540"/>
      <c r="J30" s="266"/>
      <c r="K30" s="312"/>
    </row>
    <row r="31" spans="2:14" ht="21.9" customHeight="1">
      <c r="B31" s="538"/>
      <c r="C31" s="538"/>
      <c r="D31" s="538"/>
      <c r="E31" s="538"/>
      <c r="F31" s="538"/>
      <c r="G31" s="538"/>
      <c r="H31" s="540"/>
      <c r="J31" s="347"/>
      <c r="K31" s="312"/>
    </row>
    <row r="32" spans="2:14" ht="21.9" customHeight="1">
      <c r="B32" s="538"/>
      <c r="C32" s="538"/>
      <c r="D32" s="538"/>
      <c r="E32" s="538"/>
      <c r="F32" s="538"/>
      <c r="G32" s="538"/>
      <c r="H32" s="540"/>
      <c r="K32" s="312"/>
      <c r="M32" s="309"/>
      <c r="N32" s="312"/>
    </row>
    <row r="33" spans="2:11" ht="21.9" customHeight="1">
      <c r="B33" s="538"/>
      <c r="C33" s="538"/>
      <c r="D33" s="538"/>
      <c r="E33" s="538"/>
      <c r="F33" s="538"/>
      <c r="G33" s="538"/>
      <c r="H33" s="540"/>
      <c r="J33" s="325"/>
      <c r="K33" s="312"/>
    </row>
    <row r="34" spans="2:11" ht="21.9" customHeight="1">
      <c r="B34" s="538"/>
      <c r="C34" s="538"/>
      <c r="D34" s="538"/>
      <c r="E34" s="538"/>
      <c r="F34" s="538"/>
      <c r="G34" s="538"/>
      <c r="H34" s="540"/>
      <c r="J34" s="325"/>
      <c r="K34" s="312"/>
    </row>
    <row r="35" spans="2:11" ht="21.9" customHeight="1">
      <c r="B35" s="538"/>
      <c r="C35" s="538"/>
      <c r="D35" s="538"/>
      <c r="E35" s="538"/>
      <c r="F35" s="538"/>
      <c r="G35" s="538"/>
      <c r="H35" s="540"/>
      <c r="J35" s="325"/>
      <c r="K35" s="312"/>
    </row>
    <row r="36" spans="2:11" ht="21.9" customHeight="1">
      <c r="B36" s="538"/>
      <c r="C36" s="538"/>
      <c r="D36" s="538"/>
      <c r="E36" s="538"/>
      <c r="F36" s="538"/>
      <c r="G36" s="538"/>
      <c r="H36" s="540"/>
      <c r="J36" s="325"/>
      <c r="K36" s="312"/>
    </row>
    <row r="37" spans="2:11" ht="21.9" customHeight="1">
      <c r="B37" s="538"/>
      <c r="C37" s="538"/>
      <c r="D37" s="538"/>
      <c r="E37" s="538"/>
      <c r="F37" s="538"/>
      <c r="G37" s="538"/>
      <c r="H37" s="540"/>
      <c r="K37" s="312"/>
    </row>
    <row r="38" spans="2:11" ht="21.9" customHeight="1">
      <c r="B38" s="538"/>
      <c r="C38" s="538"/>
      <c r="D38" s="538"/>
      <c r="E38" s="538"/>
      <c r="F38" s="538"/>
      <c r="G38" s="538"/>
      <c r="H38" s="540"/>
      <c r="K38" s="312"/>
    </row>
    <row r="39" spans="2:11" ht="21.9" customHeight="1">
      <c r="B39" s="538"/>
      <c r="C39" s="538"/>
      <c r="D39" s="538"/>
      <c r="E39" s="538"/>
      <c r="F39" s="538"/>
      <c r="G39" s="538"/>
      <c r="H39" s="540"/>
      <c r="K39" s="312"/>
    </row>
    <row r="40" spans="2:11" ht="21.9" customHeight="1" thickBot="1">
      <c r="B40" s="538"/>
      <c r="C40" s="538"/>
      <c r="D40" s="538"/>
      <c r="E40" s="538"/>
      <c r="F40" s="538"/>
      <c r="G40" s="538"/>
      <c r="H40" s="558"/>
    </row>
    <row r="41" spans="2:11" ht="21.9" customHeight="1" thickBot="1">
      <c r="B41" s="80" t="s">
        <v>256</v>
      </c>
      <c r="C41" s="310"/>
      <c r="D41" s="310"/>
      <c r="E41" s="310"/>
      <c r="F41" s="310"/>
      <c r="G41" s="310"/>
      <c r="H41" s="228">
        <f>SUM(H8:H40)</f>
        <v>45005.150000000009</v>
      </c>
      <c r="J41" s="312"/>
    </row>
    <row r="42" spans="2:11" ht="13.8" thickTop="1"/>
    <row r="43" spans="2:11">
      <c r="I43" s="312"/>
    </row>
    <row r="44" spans="2:11">
      <c r="I44" s="312"/>
    </row>
    <row r="45" spans="2:11">
      <c r="I45" s="312"/>
    </row>
    <row r="46" spans="2:11">
      <c r="I46" s="312"/>
    </row>
    <row r="47" spans="2:11" ht="13.8">
      <c r="B47" s="1618" t="s">
        <v>3340</v>
      </c>
      <c r="C47" s="1618"/>
      <c r="D47" s="1618"/>
      <c r="E47" s="1618"/>
      <c r="F47" s="1618"/>
      <c r="G47" s="1618"/>
      <c r="H47" s="1618"/>
    </row>
    <row r="48" spans="2:11">
      <c r="I48" s="312"/>
    </row>
    <row r="54" spans="8:8">
      <c r="H54" s="312"/>
    </row>
    <row r="55" spans="8:8">
      <c r="H55" s="312"/>
    </row>
  </sheetData>
  <sheetProtection password="CAF9" sheet="1" objects="1" scenarios="1"/>
  <mergeCells count="4">
    <mergeCell ref="B3:H3"/>
    <mergeCell ref="B4:H4"/>
    <mergeCell ref="B7:G7"/>
    <mergeCell ref="B47:H47"/>
  </mergeCells>
  <conditionalFormatting sqref="J9:J18 J20:J31">
    <cfRule type="cellIs" dxfId="1" priority="2" stopIfTrue="1" operator="equal">
      <formula>0</formula>
    </cfRule>
  </conditionalFormatting>
  <conditionalFormatting sqref="J19">
    <cfRule type="cellIs" dxfId="0" priority="1" stopIfTrue="1" operator="equal">
      <formula>0</formula>
    </cfRule>
  </conditionalFormatting>
  <pageMargins left="0.25" right="0.25" top="0.5" bottom="0.5" header="0.25" footer="0.25"/>
  <pageSetup paperSize="5" orientation="portrait" r:id="rId1"/>
  <headerFooter alignWithMargins="0"/>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0"/>
  <dimension ref="B3:N52"/>
  <sheetViews>
    <sheetView zoomScaleNormal="100" workbookViewId="0">
      <selection activeCell="L8" sqref="L8"/>
    </sheetView>
  </sheetViews>
  <sheetFormatPr defaultRowHeight="13.2"/>
  <cols>
    <col min="1" max="5" width="4.6640625" customWidth="1"/>
    <col min="9" max="9" width="6.33203125" customWidth="1"/>
    <col min="11" max="12" width="16.6640625" customWidth="1"/>
    <col min="13" max="13" width="13.5546875" bestFit="1" customWidth="1"/>
    <col min="14" max="14" width="10.88671875" bestFit="1" customWidth="1"/>
  </cols>
  <sheetData>
    <row r="3" spans="2:13" ht="22.8">
      <c r="B3" s="1665" t="s">
        <v>291</v>
      </c>
      <c r="C3" s="1665"/>
      <c r="D3" s="1665"/>
      <c r="E3" s="1665"/>
      <c r="F3" s="1665"/>
      <c r="G3" s="1665"/>
      <c r="H3" s="1665"/>
      <c r="I3" s="1665"/>
      <c r="J3" s="1665"/>
      <c r="K3" s="1665"/>
      <c r="L3" s="1665"/>
    </row>
    <row r="4" spans="2:13" ht="22.8">
      <c r="B4" s="1749" t="str">
        <f>IF('KEY INPUTS'!C42 = "State Fiscal Year", "FISCAL YEAR "&amp;'KEY INPUTS'!D33&amp;"", "YEAR "&amp;'KEY INPUTS'!D34&amp;"")</f>
        <v>YEAR 2021</v>
      </c>
      <c r="C4" s="1665"/>
      <c r="D4" s="1665"/>
      <c r="E4" s="1665"/>
      <c r="F4" s="1665"/>
      <c r="G4" s="1665"/>
      <c r="H4" s="1665"/>
      <c r="I4" s="1665"/>
      <c r="J4" s="1665"/>
      <c r="K4" s="1665"/>
      <c r="L4" s="1665"/>
    </row>
    <row r="5" spans="2:13" ht="13.8" thickBot="1"/>
    <row r="6" spans="2:13" ht="32.1" customHeight="1" thickTop="1" thickBot="1">
      <c r="B6" s="60"/>
      <c r="C6" s="60"/>
      <c r="D6" s="60"/>
      <c r="E6" s="60"/>
      <c r="F6" s="60"/>
      <c r="G6" s="60"/>
      <c r="H6" s="60"/>
      <c r="I6" s="60"/>
      <c r="J6" s="60"/>
      <c r="K6" s="4" t="s">
        <v>96</v>
      </c>
      <c r="L6" s="3" t="s">
        <v>97</v>
      </c>
    </row>
    <row r="7" spans="2:13" ht="21" customHeight="1" thickTop="1">
      <c r="B7" s="84" t="s">
        <v>292</v>
      </c>
      <c r="C7" s="22" t="str">
        <f>IF('KEY INPUTS'!C42 = "State Fiscal Year", 'KEY INPUTS'!F25,'KEY INPUTS'!D25)</f>
        <v>Balance - January 1, 2021</v>
      </c>
      <c r="D7" s="22"/>
      <c r="E7" s="22"/>
      <c r="F7" s="22"/>
      <c r="G7" s="22"/>
      <c r="H7" s="22"/>
      <c r="I7" s="22"/>
      <c r="J7" s="22"/>
      <c r="K7" s="50" t="s">
        <v>628</v>
      </c>
      <c r="L7" s="560">
        <v>969116.08</v>
      </c>
      <c r="M7" s="711"/>
    </row>
    <row r="8" spans="2:13" ht="21" customHeight="1">
      <c r="B8" s="85" t="s">
        <v>293</v>
      </c>
      <c r="C8" s="538"/>
      <c r="D8" s="538"/>
      <c r="E8" s="538"/>
      <c r="F8" s="538"/>
      <c r="G8" s="538"/>
      <c r="H8" s="5"/>
      <c r="I8" s="5"/>
      <c r="J8" s="5"/>
      <c r="K8" s="45" t="s">
        <v>628</v>
      </c>
      <c r="L8" s="559"/>
    </row>
    <row r="9" spans="2:13" ht="21" customHeight="1">
      <c r="B9" s="85" t="s">
        <v>294</v>
      </c>
      <c r="C9" s="269" t="str">
        <f>"Excess Resulting from "&amp;IF('KEY INPUTS'!C42="State Fiscal Year","Fiscal Year "&amp;'KEY INPUTS'!D33&amp;"",'KEY INPUTS'!D34)&amp;" Operations"</f>
        <v>Excess Resulting from 2021 Operations</v>
      </c>
      <c r="D9" s="5"/>
      <c r="E9" s="5"/>
      <c r="F9" s="5"/>
      <c r="G9" s="5"/>
      <c r="H9" s="5"/>
      <c r="I9" s="5"/>
      <c r="J9" s="5"/>
      <c r="K9" s="45" t="s">
        <v>628</v>
      </c>
      <c r="L9" s="209">
        <f>+'19-Results of Op-Cur Fnd'!H44</f>
        <v>404063.59000000136</v>
      </c>
      <c r="M9" s="312"/>
    </row>
    <row r="10" spans="2:13" ht="21" customHeight="1">
      <c r="B10" s="85" t="s">
        <v>295</v>
      </c>
      <c r="C10" s="269" t="str">
        <f>"Amount Appropriated in the "&amp;IF('KEY INPUTS'!C42="State Fiscal Year","Fiscal Year "&amp;'KEY INPUTS'!D33&amp;"",'KEY INPUTS'!D34)&amp;" Budget - Cash"</f>
        <v>Amount Appropriated in the 2021 Budget - Cash</v>
      </c>
      <c r="D10" s="5"/>
      <c r="E10" s="5"/>
      <c r="F10" s="5"/>
      <c r="G10" s="5"/>
      <c r="H10" s="5"/>
      <c r="I10" s="5"/>
      <c r="J10" s="5"/>
      <c r="K10" s="322">
        <f>+'17-Budget Revenues'!H6</f>
        <v>414000</v>
      </c>
      <c r="L10" s="46" t="s">
        <v>628</v>
      </c>
    </row>
    <row r="11" spans="2:13" ht="13.8">
      <c r="B11" s="83" t="s">
        <v>296</v>
      </c>
      <c r="C11" s="268" t="str">
        <f>"Amount Appropriated in "&amp;IF('KEY INPUTS'!C42="State Fiscal Year","Fiscal Year "&amp;'KEY INPUTS'!D33&amp;"",'KEY INPUTS'!D34)&amp;" Budget - with Prior"</f>
        <v>Amount Appropriated in 2021 Budget - with Prior</v>
      </c>
      <c r="K11" s="102"/>
      <c r="L11" s="939"/>
    </row>
    <row r="12" spans="2:13" ht="12.75" customHeight="1">
      <c r="B12" s="86"/>
      <c r="C12" s="30" t="s">
        <v>3564</v>
      </c>
      <c r="D12" s="30"/>
      <c r="E12" s="30"/>
      <c r="F12" s="30"/>
      <c r="G12" s="30"/>
      <c r="H12" s="30"/>
      <c r="I12" s="30"/>
      <c r="J12" s="30"/>
      <c r="K12" s="101">
        <f>+'17-Budget Revenues'!H8</f>
        <v>0</v>
      </c>
      <c r="L12" s="940" t="s">
        <v>628</v>
      </c>
    </row>
    <row r="13" spans="2:13" ht="21" customHeight="1">
      <c r="B13" s="85" t="s">
        <v>297</v>
      </c>
      <c r="C13" s="538"/>
      <c r="D13" s="538"/>
      <c r="E13" s="538"/>
      <c r="F13" s="538"/>
      <c r="G13" s="538"/>
      <c r="H13" s="5"/>
      <c r="I13" s="5"/>
      <c r="J13" s="5"/>
      <c r="K13" s="351"/>
      <c r="L13" s="46" t="s">
        <v>628</v>
      </c>
    </row>
    <row r="14" spans="2:13" ht="21" customHeight="1" thickBot="1">
      <c r="B14" s="85" t="s">
        <v>298</v>
      </c>
      <c r="C14" s="5" t="str">
        <f>IF('KEY INPUTS'!C42 = "State Fiscal Year", 'KEY INPUTS'!F26,'KEY INPUTS'!D26)</f>
        <v>Balance - December 31, 2021</v>
      </c>
      <c r="D14" s="5"/>
      <c r="E14" s="5"/>
      <c r="F14" s="5"/>
      <c r="G14" s="5"/>
      <c r="H14" s="5"/>
      <c r="I14" s="5"/>
      <c r="J14" s="5"/>
      <c r="K14" s="225">
        <f>+L7+L8+L9-K10-K12-K13</f>
        <v>959179.67000000132</v>
      </c>
      <c r="L14" s="47" t="s">
        <v>628</v>
      </c>
      <c r="M14" s="218"/>
    </row>
    <row r="15" spans="2:13" ht="21" customHeight="1" thickBot="1">
      <c r="K15" s="213">
        <f>SUM(K10:K14)</f>
        <v>1373179.6700000013</v>
      </c>
      <c r="L15" s="224">
        <f>SUM(L7:L14)</f>
        <v>1373179.6700000013</v>
      </c>
      <c r="M15" s="218"/>
    </row>
    <row r="16" spans="2:13" ht="13.8" thickTop="1"/>
    <row r="17" spans="2:13">
      <c r="L17" s="218"/>
    </row>
    <row r="19" spans="2:13" ht="17.399999999999999">
      <c r="B19" s="1675" t="str">
        <f>"ANALYSIS OF BALANCE "&amp;IF('KEY INPUTS'!C42 = "State Fiscal Year", 'KEY INPUTS'!F45,'KEY INPUTS'!D45)</f>
        <v>ANALYSIS OF BALANCE AS  AT  DECEMBER  31, 2021</v>
      </c>
      <c r="C19" s="1675"/>
      <c r="D19" s="1675"/>
      <c r="E19" s="1675"/>
      <c r="F19" s="1675"/>
      <c r="G19" s="1675"/>
      <c r="H19" s="1675"/>
      <c r="I19" s="1675"/>
      <c r="J19" s="1675"/>
      <c r="K19" s="1675"/>
      <c r="L19" s="1675"/>
    </row>
    <row r="20" spans="2:13" ht="17.399999999999999">
      <c r="B20" s="1675" t="s">
        <v>843</v>
      </c>
      <c r="C20" s="1675"/>
      <c r="D20" s="1675"/>
      <c r="E20" s="1675"/>
      <c r="F20" s="1675"/>
      <c r="G20" s="1675"/>
      <c r="H20" s="1675"/>
      <c r="I20" s="1675"/>
      <c r="J20" s="1675"/>
      <c r="K20" s="1675"/>
      <c r="L20" s="1675"/>
    </row>
    <row r="21" spans="2:13" ht="13.8" thickBot="1"/>
    <row r="22" spans="2:13" ht="32.1" customHeight="1" thickTop="1" thickBot="1">
      <c r="B22" s="60"/>
      <c r="C22" s="60"/>
      <c r="D22" s="60"/>
      <c r="E22" s="60"/>
      <c r="F22" s="60"/>
      <c r="G22" s="60"/>
      <c r="H22" s="60"/>
      <c r="I22" s="60"/>
      <c r="J22" s="60"/>
      <c r="K22" s="60"/>
      <c r="L22" s="87"/>
    </row>
    <row r="23" spans="2:13" ht="21" customHeight="1" thickTop="1" thickBot="1">
      <c r="B23" s="22" t="s">
        <v>194</v>
      </c>
      <c r="C23" s="22"/>
      <c r="D23" s="22"/>
      <c r="E23" s="22"/>
      <c r="F23" s="22"/>
      <c r="G23" s="22"/>
      <c r="H23" s="22"/>
      <c r="I23" s="22"/>
      <c r="J23" s="22"/>
      <c r="K23" s="49"/>
      <c r="L23" s="215">
        <f>+'3-Trial Bal-Current Fund'!G11</f>
        <v>2692629.56</v>
      </c>
      <c r="M23" s="711"/>
    </row>
    <row r="24" spans="2:13" ht="21" customHeight="1" thickTop="1">
      <c r="B24" s="5" t="s">
        <v>315</v>
      </c>
      <c r="C24" s="5"/>
      <c r="D24" s="5"/>
      <c r="E24" s="5"/>
      <c r="F24" s="5"/>
      <c r="G24" s="5"/>
      <c r="H24" s="5"/>
      <c r="I24" s="5"/>
      <c r="J24" s="5"/>
      <c r="K24" s="48"/>
      <c r="L24" s="557">
        <v>0</v>
      </c>
      <c r="M24" s="679"/>
    </row>
    <row r="25" spans="2:13" ht="21" customHeight="1" thickBot="1">
      <c r="B25" s="539"/>
      <c r="C25" s="538"/>
      <c r="D25" s="538"/>
      <c r="E25" s="538"/>
      <c r="F25" s="538"/>
      <c r="G25" s="538"/>
      <c r="H25" s="538"/>
      <c r="I25" s="538"/>
      <c r="J25" s="5"/>
      <c r="K25" s="48"/>
      <c r="L25" s="555">
        <v>0</v>
      </c>
    </row>
    <row r="26" spans="2:13" ht="21" customHeight="1">
      <c r="B26" s="5" t="s">
        <v>710</v>
      </c>
      <c r="C26" s="5"/>
      <c r="D26" s="5"/>
      <c r="E26" s="5"/>
      <c r="F26" s="5"/>
      <c r="G26" s="5"/>
      <c r="H26" s="5"/>
      <c r="I26" s="5"/>
      <c r="J26" s="5"/>
      <c r="K26" s="48"/>
      <c r="L26" s="217">
        <f>+L23+L24+L25</f>
        <v>2692629.56</v>
      </c>
    </row>
    <row r="27" spans="2:13" ht="21" customHeight="1" thickBot="1">
      <c r="B27" s="5" t="s">
        <v>362</v>
      </c>
      <c r="C27" s="5"/>
      <c r="D27" s="5"/>
      <c r="E27" s="5"/>
      <c r="F27" s="5"/>
      <c r="G27" s="5"/>
      <c r="H27" s="5"/>
      <c r="I27" s="5"/>
      <c r="J27" s="5"/>
      <c r="K27" s="48"/>
      <c r="L27" s="227">
        <f>+'3a.1-Trial Bal-Current Fund'!H25</f>
        <v>2333449.8900000006</v>
      </c>
      <c r="M27" s="679"/>
    </row>
    <row r="28" spans="2:13" ht="21" customHeight="1" thickBot="1">
      <c r="B28" s="5" t="s">
        <v>363</v>
      </c>
      <c r="C28" s="5"/>
      <c r="D28" s="5"/>
      <c r="E28" s="5"/>
      <c r="F28" s="5"/>
      <c r="G28" s="5"/>
      <c r="H28" s="5"/>
      <c r="I28" s="5"/>
      <c r="J28" s="5"/>
      <c r="K28" s="48"/>
      <c r="L28" s="217">
        <f>+L26-L27</f>
        <v>359179.66999999946</v>
      </c>
    </row>
    <row r="29" spans="2:13" ht="21" customHeight="1" thickTop="1">
      <c r="B29" s="5" t="s">
        <v>364</v>
      </c>
      <c r="C29" s="5"/>
      <c r="D29" s="5"/>
      <c r="E29" s="5"/>
      <c r="F29" s="5"/>
      <c r="G29" s="5"/>
      <c r="H29" s="5"/>
      <c r="I29" s="5"/>
      <c r="J29" s="5"/>
      <c r="K29" s="48"/>
      <c r="L29" s="557"/>
    </row>
    <row r="30" spans="2:13" ht="21" customHeight="1">
      <c r="B30" s="5" t="s">
        <v>369</v>
      </c>
      <c r="C30" s="5"/>
      <c r="D30" s="5"/>
      <c r="E30" s="5"/>
      <c r="F30" s="5"/>
      <c r="G30" s="5"/>
      <c r="H30" s="5"/>
      <c r="I30" s="5"/>
      <c r="J30" s="5"/>
      <c r="K30" s="24"/>
      <c r="L30" s="226"/>
    </row>
    <row r="31" spans="2:13" ht="22.5" customHeight="1">
      <c r="B31" s="5"/>
      <c r="C31" s="1748" t="s">
        <v>370</v>
      </c>
      <c r="D31" s="1748"/>
      <c r="E31" s="1748"/>
      <c r="F31" s="1748"/>
      <c r="G31" s="1748"/>
      <c r="H31" s="88"/>
      <c r="I31" s="5"/>
      <c r="J31" s="5"/>
      <c r="K31" s="322">
        <f>+'3-Trial Bal-Current Fund'!G13</f>
        <v>0</v>
      </c>
      <c r="L31" s="226"/>
    </row>
    <row r="32" spans="2:13" ht="21" customHeight="1">
      <c r="B32" s="5"/>
      <c r="C32" s="5" t="s">
        <v>365</v>
      </c>
      <c r="D32" s="5"/>
      <c r="E32" s="5"/>
      <c r="F32" s="5"/>
      <c r="G32" s="5"/>
      <c r="H32" s="5"/>
      <c r="I32" s="5"/>
      <c r="J32" s="5"/>
      <c r="K32" s="351">
        <v>600000</v>
      </c>
      <c r="L32" s="226"/>
      <c r="M32" s="710"/>
    </row>
    <row r="33" spans="2:14" ht="21" customHeight="1">
      <c r="B33" s="5"/>
      <c r="C33" s="5" t="s">
        <v>366</v>
      </c>
      <c r="D33" s="5"/>
      <c r="E33" s="5"/>
      <c r="F33" s="5"/>
      <c r="G33" s="5"/>
      <c r="H33" s="5"/>
      <c r="I33" s="5"/>
      <c r="J33" s="5"/>
      <c r="K33" s="351"/>
      <c r="L33" s="226"/>
      <c r="M33" s="710"/>
    </row>
    <row r="34" spans="2:14" ht="21" customHeight="1">
      <c r="B34" s="5"/>
      <c r="C34" s="538"/>
      <c r="D34" s="538"/>
      <c r="E34" s="538"/>
      <c r="F34" s="538"/>
      <c r="G34" s="538"/>
      <c r="H34" s="538"/>
      <c r="I34" s="538"/>
      <c r="J34" s="538"/>
      <c r="K34" s="351"/>
      <c r="L34" s="226"/>
    </row>
    <row r="35" spans="2:14" ht="21" customHeight="1">
      <c r="B35" s="5"/>
      <c r="C35" s="538"/>
      <c r="D35" s="538"/>
      <c r="E35" s="538"/>
      <c r="F35" s="538"/>
      <c r="G35" s="538"/>
      <c r="H35" s="538"/>
      <c r="I35" s="538"/>
      <c r="J35" s="538"/>
      <c r="K35" s="351"/>
      <c r="L35" s="226"/>
    </row>
    <row r="36" spans="2:14" ht="21" customHeight="1">
      <c r="B36" s="5"/>
      <c r="C36" s="538"/>
      <c r="D36" s="538"/>
      <c r="E36" s="538"/>
      <c r="F36" s="538"/>
      <c r="G36" s="538"/>
      <c r="H36" s="538"/>
      <c r="I36" s="538"/>
      <c r="J36" s="538"/>
      <c r="K36" s="351"/>
      <c r="L36" s="226"/>
    </row>
    <row r="37" spans="2:14" ht="21" customHeight="1">
      <c r="B37" s="5"/>
      <c r="C37" s="538"/>
      <c r="D37" s="538"/>
      <c r="E37" s="538"/>
      <c r="F37" s="538"/>
      <c r="G37" s="538"/>
      <c r="H37" s="538"/>
      <c r="I37" s="538"/>
      <c r="J37" s="538"/>
      <c r="K37" s="351"/>
      <c r="L37" s="226"/>
    </row>
    <row r="38" spans="2:14" ht="21" customHeight="1" thickBot="1">
      <c r="B38" s="5"/>
      <c r="C38" s="5"/>
      <c r="D38" s="5" t="s">
        <v>367</v>
      </c>
      <c r="E38" s="5"/>
      <c r="F38" s="5"/>
      <c r="G38" s="5"/>
      <c r="H38" s="5"/>
      <c r="I38" s="5"/>
      <c r="J38" s="5"/>
      <c r="K38" s="73"/>
      <c r="L38" s="227">
        <f>SUM(K31:K37)</f>
        <v>600000</v>
      </c>
    </row>
    <row r="39" spans="2:14" ht="21" customHeight="1" thickBot="1">
      <c r="B39" t="s">
        <v>874</v>
      </c>
      <c r="K39" s="38"/>
      <c r="L39" s="228">
        <f>+L28+L38</f>
        <v>959179.66999999946</v>
      </c>
      <c r="M39" s="218"/>
      <c r="N39" s="312"/>
    </row>
    <row r="40" spans="2:14" ht="14.4" thickTop="1">
      <c r="C40" t="s">
        <v>875</v>
      </c>
      <c r="L40" s="91"/>
    </row>
    <row r="41" spans="2:14">
      <c r="B41" s="268" t="str">
        <f>"# MAY NOT BE ANTICIPATED AS NON-CASH SURPLUS IN "&amp;TEXT('KEY INPUTS'!D33,"0")&amp;" BUDGET."</f>
        <v># MAY NOT BE ANTICIPATED AS NON-CASH SURPLUS IN 2022 BUDGET.</v>
      </c>
      <c r="L41" s="218"/>
    </row>
    <row r="42" spans="2:14">
      <c r="B42" t="s">
        <v>779</v>
      </c>
    </row>
    <row r="44" spans="2:14">
      <c r="B44" s="98" t="s">
        <v>3565</v>
      </c>
    </row>
    <row r="45" spans="2:14">
      <c r="B45" s="98" t="s">
        <v>3566</v>
      </c>
    </row>
    <row r="46" spans="2:14">
      <c r="B46" s="98" t="s">
        <v>0</v>
      </c>
    </row>
    <row r="50" spans="2:12" ht="13.8">
      <c r="B50" s="1618" t="s">
        <v>368</v>
      </c>
      <c r="C50" s="1618"/>
      <c r="D50" s="1618"/>
      <c r="E50" s="1618"/>
      <c r="F50" s="1618"/>
      <c r="G50" s="1618"/>
      <c r="H50" s="1618"/>
      <c r="I50" s="1618"/>
      <c r="J50" s="1618"/>
      <c r="K50" s="1618"/>
      <c r="L50" s="1618"/>
    </row>
    <row r="52" spans="2:12">
      <c r="L52" s="218"/>
    </row>
  </sheetData>
  <sheetProtection algorithmName="SHA-512" hashValue="6fQHgzGySOf2VLa2kVlOwLkGv/nB4XmuqdBvtvBc3yewQ377lc9+m9S9y1Vt2zNqbqT9YM2tpx0SzNLXmlxWsA==" saltValue="K35MQIcKBi1ZcQepGpPvZg==" spinCount="100000" sheet="1" objects="1" scenarios="1"/>
  <mergeCells count="6">
    <mergeCell ref="C31:G31"/>
    <mergeCell ref="B50:L50"/>
    <mergeCell ref="B3:L3"/>
    <mergeCell ref="B4:L4"/>
    <mergeCell ref="B19:L19"/>
    <mergeCell ref="B20:L20"/>
  </mergeCells>
  <phoneticPr fontId="0" type="noConversion"/>
  <pageMargins left="0.25" right="0.25" top="0.5" bottom="0.5" header="0.25" footer="0.25"/>
  <pageSetup paperSize="5" orientation="portrait" r:id="rId1"/>
  <headerFooter alignWithMargins="0"/>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2:Q63"/>
  <sheetViews>
    <sheetView topLeftCell="A22" zoomScaleNormal="100" workbookViewId="0">
      <selection activeCell="L48" sqref="L48"/>
    </sheetView>
  </sheetViews>
  <sheetFormatPr defaultRowHeight="13.2"/>
  <cols>
    <col min="1" max="1" width="4.6640625" customWidth="1"/>
    <col min="2" max="2" width="4.33203125" customWidth="1"/>
    <col min="3" max="3" width="5.33203125" customWidth="1"/>
    <col min="4" max="4" width="4.6640625" customWidth="1"/>
    <col min="5" max="5" width="6.44140625" customWidth="1"/>
    <col min="6" max="6" width="7.6640625" customWidth="1"/>
    <col min="7" max="7" width="2.6640625" customWidth="1"/>
    <col min="8" max="8" width="9.6640625" customWidth="1"/>
    <col min="9" max="9" width="1.6640625" customWidth="1"/>
    <col min="10" max="10" width="16.6640625" customWidth="1"/>
    <col min="11" max="11" width="1.6640625" customWidth="1"/>
    <col min="12" max="12" width="16.6640625" customWidth="1"/>
    <col min="13" max="13" width="1.6640625" customWidth="1"/>
    <col min="14" max="14" width="16.6640625" customWidth="1"/>
    <col min="15" max="15" width="13.5546875" bestFit="1" customWidth="1"/>
    <col min="17" max="17" width="10.88671875" bestFit="1" customWidth="1"/>
  </cols>
  <sheetData>
    <row r="2" spans="2:17" ht="15.6">
      <c r="B2" s="1656" t="s">
        <v>371</v>
      </c>
      <c r="C2" s="1656"/>
      <c r="D2" s="1656"/>
      <c r="E2" s="1656"/>
      <c r="F2" s="1656"/>
      <c r="G2" s="1656"/>
      <c r="H2" s="1656"/>
      <c r="I2" s="1656"/>
      <c r="J2" s="1656"/>
      <c r="K2" s="1656"/>
      <c r="L2" s="1656"/>
      <c r="M2" s="1656"/>
      <c r="N2" s="1656"/>
    </row>
    <row r="3" spans="2:17" ht="22.8">
      <c r="B3" s="1665" t="str">
        <f>"CURRENT TAXES - "&amp;TEXT('KEY INPUTS'!D34,"0")&amp; " LEVY"</f>
        <v>CURRENT TAXES - 2021 LEVY</v>
      </c>
      <c r="C3" s="1665"/>
      <c r="D3" s="1665"/>
      <c r="E3" s="1665"/>
      <c r="F3" s="1665"/>
      <c r="G3" s="1665"/>
      <c r="H3" s="1665"/>
      <c r="I3" s="1665"/>
      <c r="J3" s="1665"/>
      <c r="K3" s="1665"/>
      <c r="L3" s="1665"/>
      <c r="M3" s="1665"/>
      <c r="N3" s="1665"/>
    </row>
    <row r="5" spans="2:17">
      <c r="B5" s="83" t="s">
        <v>292</v>
      </c>
      <c r="C5" t="s">
        <v>372</v>
      </c>
      <c r="L5" s="38"/>
      <c r="M5" t="s">
        <v>373</v>
      </c>
      <c r="N5" s="634">
        <v>9224950.7300000004</v>
      </c>
      <c r="O5" s="218"/>
      <c r="Q5" s="279"/>
    </row>
    <row r="6" spans="2:17">
      <c r="B6" s="83"/>
      <c r="G6" s="1" t="s">
        <v>374</v>
      </c>
      <c r="Q6" s="279"/>
    </row>
    <row r="7" spans="2:17">
      <c r="B7" s="83"/>
      <c r="F7" t="s">
        <v>375</v>
      </c>
      <c r="L7" s="38"/>
      <c r="M7" t="s">
        <v>373</v>
      </c>
      <c r="N7" s="552">
        <v>0</v>
      </c>
    </row>
    <row r="8" spans="2:17">
      <c r="B8" s="83"/>
    </row>
    <row r="9" spans="2:17">
      <c r="B9" s="83" t="s">
        <v>293</v>
      </c>
      <c r="C9" s="311" t="s">
        <v>3629</v>
      </c>
      <c r="L9" s="38"/>
      <c r="M9" t="s">
        <v>373</v>
      </c>
      <c r="N9" s="552">
        <v>0</v>
      </c>
    </row>
    <row r="10" spans="2:17">
      <c r="B10" s="83"/>
    </row>
    <row r="11" spans="2:17">
      <c r="B11" s="83" t="s">
        <v>294</v>
      </c>
      <c r="C11" t="s">
        <v>379</v>
      </c>
    </row>
    <row r="12" spans="2:17">
      <c r="B12" s="83"/>
      <c r="C12" t="s">
        <v>377</v>
      </c>
      <c r="L12" s="38"/>
      <c r="M12" t="s">
        <v>373</v>
      </c>
      <c r="N12" s="552">
        <v>0</v>
      </c>
      <c r="O12" s="218"/>
    </row>
    <row r="13" spans="2:17">
      <c r="B13" s="83"/>
    </row>
    <row r="14" spans="2:17">
      <c r="B14" s="83" t="s">
        <v>295</v>
      </c>
      <c r="C14" t="s">
        <v>376</v>
      </c>
    </row>
    <row r="15" spans="2:17">
      <c r="B15" s="83"/>
      <c r="C15" t="s">
        <v>378</v>
      </c>
      <c r="L15" s="38"/>
      <c r="M15" t="s">
        <v>373</v>
      </c>
      <c r="N15" s="552">
        <v>7237.21</v>
      </c>
    </row>
    <row r="16" spans="2:17">
      <c r="B16" s="83"/>
    </row>
    <row r="17" spans="2:15">
      <c r="B17" s="83" t="s">
        <v>380</v>
      </c>
      <c r="C17" s="268" t="str">
        <f>"Subtotal "&amp;TEXT('KEY INPUTS'!D34,"0")&amp;" Levy"</f>
        <v>Subtotal 2021 Levy</v>
      </c>
      <c r="I17" t="s">
        <v>373</v>
      </c>
      <c r="J17" s="262">
        <f>SUM(N5:N15)</f>
        <v>9232187.9400000013</v>
      </c>
      <c r="K17" s="266"/>
      <c r="L17" s="266"/>
      <c r="M17" s="266"/>
      <c r="N17" s="266"/>
    </row>
    <row r="18" spans="2:15">
      <c r="B18" s="83" t="s">
        <v>381</v>
      </c>
      <c r="C18" s="311" t="s">
        <v>3630</v>
      </c>
      <c r="I18" t="s">
        <v>373</v>
      </c>
      <c r="J18" s="552"/>
      <c r="K18" s="266"/>
      <c r="L18" s="266"/>
      <c r="M18" s="266"/>
      <c r="N18" s="266"/>
    </row>
    <row r="19" spans="2:15" ht="13.8" thickBot="1">
      <c r="B19" s="83" t="s">
        <v>382</v>
      </c>
      <c r="C19" s="268" t="str">
        <f>"Total "&amp;TEXT('KEY INPUTS'!D34,"0") &amp; " Tax Levy"</f>
        <v>Total 2021 Tax Levy</v>
      </c>
      <c r="J19" s="266"/>
      <c r="K19" s="266"/>
      <c r="L19" s="345"/>
      <c r="M19" s="266" t="s">
        <v>373</v>
      </c>
      <c r="N19" s="346">
        <f>+J17-J18</f>
        <v>9232187.9400000013</v>
      </c>
    </row>
    <row r="20" spans="2:15" ht="13.8" thickTop="1">
      <c r="B20" s="83"/>
      <c r="J20" s="266"/>
      <c r="K20" s="266"/>
      <c r="L20" s="266"/>
      <c r="M20" s="266"/>
      <c r="N20" s="266"/>
    </row>
    <row r="21" spans="2:15" ht="21" customHeight="1">
      <c r="B21" s="83" t="s">
        <v>297</v>
      </c>
      <c r="C21" t="s">
        <v>162</v>
      </c>
      <c r="J21" s="266"/>
      <c r="K21" s="266"/>
      <c r="L21" s="345"/>
      <c r="M21" s="266" t="s">
        <v>373</v>
      </c>
      <c r="N21" s="552">
        <v>0</v>
      </c>
      <c r="O21" s="218"/>
    </row>
    <row r="22" spans="2:15" ht="21" customHeight="1">
      <c r="B22" s="83" t="s">
        <v>298</v>
      </c>
      <c r="C22" t="s">
        <v>383</v>
      </c>
      <c r="J22" s="266"/>
      <c r="K22" s="266"/>
      <c r="L22" s="345"/>
      <c r="M22" s="266" t="s">
        <v>373</v>
      </c>
      <c r="N22" s="552">
        <v>0</v>
      </c>
    </row>
    <row r="23" spans="2:15" ht="21" customHeight="1">
      <c r="B23" s="83" t="s">
        <v>384</v>
      </c>
      <c r="C23" t="s">
        <v>827</v>
      </c>
      <c r="J23" s="266"/>
      <c r="K23" s="266"/>
      <c r="L23" s="345"/>
      <c r="M23" s="266" t="s">
        <v>373</v>
      </c>
      <c r="N23" s="552">
        <v>6.79</v>
      </c>
      <c r="O23" s="218"/>
    </row>
    <row r="24" spans="2:15" ht="21" customHeight="1">
      <c r="B24" s="83" t="s">
        <v>385</v>
      </c>
      <c r="C24" t="s">
        <v>828</v>
      </c>
      <c r="J24" s="266"/>
      <c r="K24" s="266"/>
      <c r="L24" s="345"/>
      <c r="M24" s="266" t="s">
        <v>373</v>
      </c>
      <c r="N24" s="552">
        <v>0</v>
      </c>
    </row>
    <row r="25" spans="2:15" ht="21" customHeight="1">
      <c r="B25" s="83" t="s">
        <v>386</v>
      </c>
      <c r="C25" s="268" t="str">
        <f>"Collected in Cash:  In "&amp;TEXT('KEY INPUTS'!D35,"0")</f>
        <v>Collected in Cash:  In 2020</v>
      </c>
      <c r="J25" s="345"/>
      <c r="K25" s="266" t="s">
        <v>373</v>
      </c>
      <c r="L25" s="552">
        <v>66799.81</v>
      </c>
      <c r="M25" s="266"/>
      <c r="N25" s="266"/>
      <c r="O25" s="218"/>
    </row>
    <row r="26" spans="2:15" ht="21" customHeight="1">
      <c r="B26" s="83"/>
      <c r="F26" s="289" t="str">
        <f>"In "&amp;TEXT('KEY INPUTS'!D34,"0")&amp;"*"</f>
        <v>In 2021*</v>
      </c>
      <c r="J26" s="345"/>
      <c r="K26" s="266" t="s">
        <v>373</v>
      </c>
      <c r="L26" s="552">
        <v>9071928.1300000008</v>
      </c>
      <c r="M26" s="266"/>
      <c r="N26" s="266"/>
      <c r="O26" s="218"/>
    </row>
    <row r="27" spans="2:15" ht="21" customHeight="1">
      <c r="B27" s="83"/>
      <c r="C27" t="s">
        <v>891</v>
      </c>
      <c r="J27" s="345"/>
      <c r="K27" s="266" t="s">
        <v>373</v>
      </c>
      <c r="L27" s="552">
        <v>0</v>
      </c>
      <c r="M27" s="266"/>
      <c r="N27" s="266"/>
    </row>
    <row r="28" spans="2:15">
      <c r="B28" s="83"/>
      <c r="J28" s="266"/>
      <c r="K28" s="266"/>
      <c r="L28" s="266"/>
      <c r="M28" s="266"/>
      <c r="N28" s="266"/>
    </row>
    <row r="29" spans="2:15">
      <c r="B29" s="83"/>
      <c r="C29" s="268" t="str">
        <f>"State's Share of "&amp;TEXT('KEY INPUTS'!D34,"0")&amp;" Senior Citizens"</f>
        <v>State's Share of 2021 Senior Citizens</v>
      </c>
      <c r="J29" s="266"/>
      <c r="K29" s="266"/>
      <c r="L29" s="266"/>
      <c r="M29" s="266"/>
      <c r="N29" s="266"/>
    </row>
    <row r="30" spans="2:15">
      <c r="B30" s="83"/>
      <c r="C30" t="s">
        <v>221</v>
      </c>
      <c r="J30" s="345"/>
      <c r="K30" s="266" t="s">
        <v>373</v>
      </c>
      <c r="L30" s="262">
        <f>+'23-SCVet Deductions'!G37</f>
        <v>18250</v>
      </c>
      <c r="M30" s="266"/>
      <c r="N30" s="266"/>
    </row>
    <row r="31" spans="2:15">
      <c r="B31" s="83"/>
      <c r="J31" s="266"/>
      <c r="K31" s="266"/>
      <c r="L31" s="266"/>
      <c r="M31" s="266"/>
      <c r="N31" s="266"/>
    </row>
    <row r="32" spans="2:15" ht="13.8" thickBot="1">
      <c r="B32" s="83"/>
      <c r="C32" t="s">
        <v>222</v>
      </c>
      <c r="J32" s="38"/>
      <c r="K32" t="s">
        <v>373</v>
      </c>
      <c r="L32" s="82">
        <f>SUM(L25:L30)</f>
        <v>9156977.9400000013</v>
      </c>
    </row>
    <row r="33" spans="2:15" ht="13.8" thickTop="1">
      <c r="B33" s="83"/>
    </row>
    <row r="34" spans="2:15" ht="21" customHeight="1" thickBot="1">
      <c r="B34" s="83" t="s">
        <v>223</v>
      </c>
      <c r="C34" t="s">
        <v>224</v>
      </c>
      <c r="M34" t="s">
        <v>373</v>
      </c>
      <c r="N34" s="82">
        <f>+SUM(N21:N24)+L32</f>
        <v>9156984.7300000004</v>
      </c>
    </row>
    <row r="35" spans="2:15" ht="21" customHeight="1" thickTop="1">
      <c r="B35" s="83" t="s">
        <v>225</v>
      </c>
      <c r="C35" s="268" t="str">
        <f>"Amount Outstanding December 31, "&amp;TEXT('KEY INPUTS'!D34,"0")</f>
        <v>Amount Outstanding December 31, 2021</v>
      </c>
      <c r="L35" s="38"/>
      <c r="M35" t="s">
        <v>373</v>
      </c>
      <c r="N35" s="65">
        <f>+N19-N34</f>
        <v>75203.210000000894</v>
      </c>
      <c r="O35" s="218"/>
    </row>
    <row r="36" spans="2:15">
      <c r="B36" s="83"/>
      <c r="N36" s="218"/>
    </row>
    <row r="37" spans="2:15">
      <c r="B37" s="83" t="s">
        <v>226</v>
      </c>
      <c r="C37" s="268" t="str">
        <f>"Percentage of Cash Collections to Total "&amp;TEXT('KEY INPUTS'!D34,"0")&amp;" Levy,"</f>
        <v>Percentage of Cash Collections to Total 2021 Levy,</v>
      </c>
      <c r="N37" s="218"/>
    </row>
    <row r="38" spans="2:15" ht="15.6">
      <c r="B38" s="83"/>
      <c r="C38" t="s">
        <v>228</v>
      </c>
      <c r="H38" s="731">
        <f>TRUNC(+L32/N19, 4)</f>
        <v>0.99180000000000001</v>
      </c>
      <c r="O38" s="218"/>
    </row>
    <row r="39" spans="2:15">
      <c r="B39" s="83"/>
      <c r="H39" s="56"/>
    </row>
    <row r="40" spans="2:15">
      <c r="B40" s="83"/>
    </row>
    <row r="41" spans="2:15">
      <c r="B41" s="89" t="s">
        <v>3631</v>
      </c>
    </row>
    <row r="42" spans="2:15">
      <c r="B42" s="83"/>
    </row>
    <row r="43" spans="2:15">
      <c r="B43" s="83" t="s">
        <v>565</v>
      </c>
      <c r="C43" s="37" t="s">
        <v>566</v>
      </c>
    </row>
    <row r="44" spans="2:15">
      <c r="B44" s="83"/>
    </row>
    <row r="45" spans="2:15">
      <c r="B45" s="83"/>
      <c r="C45" t="s">
        <v>567</v>
      </c>
      <c r="K45" t="s">
        <v>373</v>
      </c>
      <c r="L45" s="65">
        <f>+L32</f>
        <v>9156977.9400000013</v>
      </c>
    </row>
    <row r="46" spans="2:15">
      <c r="B46" s="83"/>
      <c r="C46" t="s">
        <v>568</v>
      </c>
      <c r="D46" t="s">
        <v>569</v>
      </c>
    </row>
    <row r="47" spans="2:15">
      <c r="B47" s="83"/>
      <c r="D47" t="s">
        <v>570</v>
      </c>
      <c r="K47" t="s">
        <v>373</v>
      </c>
      <c r="L47" s="552">
        <v>0</v>
      </c>
    </row>
    <row r="48" spans="2:15" ht="21" customHeight="1">
      <c r="B48" s="83"/>
      <c r="C48" t="s">
        <v>571</v>
      </c>
      <c r="K48" t="s">
        <v>373</v>
      </c>
      <c r="L48" s="65">
        <f>+L45-L47</f>
        <v>9156977.9400000013</v>
      </c>
    </row>
    <row r="49" spans="1:14">
      <c r="B49" s="83"/>
    </row>
    <row r="50" spans="1:14">
      <c r="A50" s="98"/>
      <c r="B50" s="198" t="s">
        <v>1</v>
      </c>
      <c r="C50" s="98" t="s">
        <v>2</v>
      </c>
    </row>
    <row r="51" spans="1:14">
      <c r="A51" s="98"/>
      <c r="B51" s="98"/>
      <c r="C51" s="98" t="s">
        <v>3</v>
      </c>
    </row>
    <row r="52" spans="1:14">
      <c r="A52" s="98"/>
      <c r="B52" s="98"/>
      <c r="C52" s="98" t="s">
        <v>723</v>
      </c>
    </row>
    <row r="53" spans="1:14">
      <c r="A53" s="98"/>
      <c r="B53" s="98"/>
      <c r="C53" s="199" t="s">
        <v>289</v>
      </c>
    </row>
    <row r="54" spans="1:14">
      <c r="A54" s="98"/>
      <c r="B54" s="98"/>
      <c r="C54" s="98" t="s">
        <v>734</v>
      </c>
    </row>
    <row r="56" spans="1:14">
      <c r="A56" s="98"/>
      <c r="B56" s="198" t="s">
        <v>735</v>
      </c>
      <c r="C56" s="98" t="s">
        <v>358</v>
      </c>
    </row>
    <row r="57" spans="1:14">
      <c r="A57" s="98"/>
      <c r="B57" s="98"/>
      <c r="C57" s="98" t="s">
        <v>359</v>
      </c>
    </row>
    <row r="60" spans="1:14">
      <c r="A60" s="98"/>
      <c r="B60" s="277" t="str">
        <f>"* Include overpayments applied as part of "&amp;TEXT('KEY INPUTS'!D34,"0")&amp;" collections."</f>
        <v>* Include overpayments applied as part of 2021 collections.</v>
      </c>
      <c r="C60" s="98"/>
    </row>
    <row r="61" spans="1:14">
      <c r="A61" s="98"/>
      <c r="B61" s="98" t="s">
        <v>360</v>
      </c>
      <c r="C61" s="98"/>
      <c r="D61" s="98"/>
      <c r="E61" s="98"/>
    </row>
    <row r="62" spans="1:14">
      <c r="B62" s="98"/>
      <c r="C62" s="98"/>
      <c r="D62" s="98" t="s">
        <v>64</v>
      </c>
      <c r="E62" s="98"/>
    </row>
    <row r="63" spans="1:14" ht="13.8">
      <c r="B63" s="1618" t="s">
        <v>227</v>
      </c>
      <c r="C63" s="1618"/>
      <c r="D63" s="1618"/>
      <c r="E63" s="1618"/>
      <c r="F63" s="1618"/>
      <c r="G63" s="1618"/>
      <c r="H63" s="1618"/>
      <c r="I63" s="1618"/>
      <c r="J63" s="1618"/>
      <c r="K63" s="1618"/>
      <c r="L63" s="1618"/>
      <c r="M63" s="1618"/>
      <c r="N63" s="1618"/>
    </row>
  </sheetData>
  <sheetProtection algorithmName="SHA-512" hashValue="diLfny66rr7qY4wKpK+9jb9Esjy9fGXMjMJ8u9FljhMxpRpK9iqNepsknoRa0asaDvK1dRGBv1d0tlbnFJRkvA==" saltValue="VMsBz5lagfVaf4VsE3JI3Q==" spinCount="100000" sheet="1" objects="1" scenarios="1"/>
  <mergeCells count="3">
    <mergeCell ref="B2:N2"/>
    <mergeCell ref="B3:N3"/>
    <mergeCell ref="B63:N63"/>
  </mergeCells>
  <phoneticPr fontId="0" type="noConversion"/>
  <pageMargins left="0.25" right="0.25" top="0.5" bottom="0.5" header="0.25" footer="0.25"/>
  <pageSetup paperSize="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1794" r:id="rId4" name="Check Box 2">
              <controlPr locked="0" defaultSize="0" autoFill="0" autoLine="0" autoPict="0" altText="">
                <anchor moveWithCells="1">
                  <from>
                    <xdr:col>11</xdr:col>
                    <xdr:colOff>845820</xdr:colOff>
                    <xdr:row>39</xdr:row>
                    <xdr:rowOff>121920</xdr:rowOff>
                  </from>
                  <to>
                    <xdr:col>12</xdr:col>
                    <xdr:colOff>38100</xdr:colOff>
                    <xdr:row>41</xdr:row>
                    <xdr:rowOff>22860</xdr:rowOff>
                  </to>
                </anchor>
              </controlPr>
            </control>
          </mc:Choice>
        </mc:AlternateContent>
      </controls>
    </mc:Choice>
  </mc:AlternateConten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1"/>
  <dimension ref="B4:U61"/>
  <sheetViews>
    <sheetView topLeftCell="A13" zoomScaleNormal="100" workbookViewId="0">
      <selection activeCell="K39" sqref="K39"/>
    </sheetView>
  </sheetViews>
  <sheetFormatPr defaultRowHeight="13.2"/>
  <cols>
    <col min="1" max="1" width="4.6640625" customWidth="1"/>
    <col min="10" max="10" width="1.6640625" customWidth="1"/>
    <col min="11" max="11" width="16.6640625" customWidth="1"/>
  </cols>
  <sheetData>
    <row r="4" spans="2:21" ht="17.399999999999999">
      <c r="B4" s="1675" t="s">
        <v>572</v>
      </c>
      <c r="C4" s="1675"/>
      <c r="D4" s="1675"/>
      <c r="E4" s="1675"/>
      <c r="F4" s="1675"/>
      <c r="G4" s="1675"/>
      <c r="H4" s="1675"/>
      <c r="I4" s="1675"/>
      <c r="J4" s="1675"/>
      <c r="K4" s="1675"/>
    </row>
    <row r="6" spans="2:21" ht="15.6">
      <c r="B6" s="1620" t="str">
        <f xml:space="preserve"> "To Calculate Underlying Tax Collection Rate for "&amp;TEXT('KEY INPUTS'!D34,"0")</f>
        <v>To Calculate Underlying Tax Collection Rate for 2021</v>
      </c>
      <c r="C6" s="1620"/>
      <c r="D6" s="1620"/>
      <c r="E6" s="1620"/>
      <c r="F6" s="1620"/>
      <c r="G6" s="1620"/>
      <c r="H6" s="1620"/>
      <c r="I6" s="1620"/>
      <c r="J6" s="1620"/>
      <c r="K6" s="1620"/>
    </row>
    <row r="8" spans="2:21">
      <c r="B8" s="1663" t="s">
        <v>676</v>
      </c>
      <c r="C8" s="1663"/>
      <c r="D8" s="1663"/>
      <c r="E8" s="1663"/>
      <c r="F8" s="1663"/>
      <c r="G8" s="1663"/>
      <c r="H8" s="1663"/>
      <c r="I8" s="1663"/>
      <c r="J8" s="1663"/>
      <c r="K8" s="1663"/>
    </row>
    <row r="9" spans="2:21">
      <c r="B9" s="1750" t="s">
        <v>3633</v>
      </c>
      <c r="C9" s="1663"/>
      <c r="D9" s="1663"/>
      <c r="E9" s="1663"/>
      <c r="F9" s="1663"/>
      <c r="G9" s="1663"/>
      <c r="H9" s="1663"/>
      <c r="I9" s="1663"/>
      <c r="J9" s="1663"/>
      <c r="K9" s="1663"/>
      <c r="N9" s="356"/>
      <c r="O9" s="309"/>
      <c r="P9" s="309"/>
      <c r="Q9" s="309"/>
      <c r="R9" s="309"/>
      <c r="S9" s="309"/>
      <c r="T9" s="309"/>
      <c r="U9" s="309"/>
    </row>
    <row r="10" spans="2:21">
      <c r="N10" s="309"/>
      <c r="O10" s="309"/>
      <c r="P10" s="309"/>
      <c r="Q10" s="309"/>
      <c r="R10" s="309"/>
      <c r="S10" s="309"/>
      <c r="T10" s="309"/>
      <c r="U10" s="309"/>
    </row>
    <row r="11" spans="2:21">
      <c r="N11" s="309"/>
      <c r="O11" s="309"/>
      <c r="P11" s="309"/>
      <c r="Q11" s="309"/>
      <c r="R11" s="309"/>
      <c r="S11" s="309"/>
      <c r="T11" s="309"/>
      <c r="U11" s="309"/>
    </row>
    <row r="12" spans="2:21">
      <c r="N12" s="309"/>
      <c r="O12" s="309"/>
      <c r="P12" s="309"/>
      <c r="Q12" s="309"/>
      <c r="R12" s="309"/>
      <c r="S12" s="309"/>
      <c r="T12" s="309"/>
      <c r="U12" s="309"/>
    </row>
    <row r="13" spans="2:21" ht="13.8">
      <c r="B13" s="90" t="s">
        <v>677</v>
      </c>
      <c r="N13" s="309"/>
      <c r="O13" s="309"/>
      <c r="P13" s="309"/>
      <c r="Q13" s="309"/>
      <c r="R13" s="309"/>
      <c r="S13" s="309"/>
      <c r="T13" s="309"/>
      <c r="U13" s="309"/>
    </row>
    <row r="14" spans="2:21">
      <c r="N14" s="309"/>
      <c r="O14" s="309"/>
      <c r="P14" s="309"/>
      <c r="Q14" s="309"/>
      <c r="R14" s="309"/>
      <c r="S14" s="309"/>
      <c r="T14" s="309"/>
      <c r="U14" s="309"/>
    </row>
    <row r="15" spans="2:21">
      <c r="K15" s="274"/>
      <c r="N15" s="309"/>
      <c r="O15" s="309"/>
      <c r="P15" s="309"/>
      <c r="Q15" s="309"/>
      <c r="R15" s="309"/>
      <c r="S15" s="309"/>
      <c r="T15" s="309"/>
      <c r="U15" s="309"/>
    </row>
    <row r="16" spans="2:21" ht="27.9" customHeight="1">
      <c r="B16" s="91" t="s">
        <v>678</v>
      </c>
      <c r="J16" t="s">
        <v>373</v>
      </c>
      <c r="K16" s="807">
        <f>+'22-CY Levy'!L32</f>
        <v>9156977.9400000013</v>
      </c>
      <c r="N16" s="309"/>
      <c r="O16" s="309"/>
      <c r="P16" s="309"/>
      <c r="Q16" s="309"/>
      <c r="R16" s="309"/>
      <c r="S16" s="309"/>
      <c r="T16" s="309"/>
      <c r="U16" s="309"/>
    </row>
    <row r="17" spans="2:21" ht="27.9" customHeight="1">
      <c r="B17" s="92" t="s">
        <v>679</v>
      </c>
      <c r="K17" s="550">
        <v>0</v>
      </c>
      <c r="N17" s="309"/>
      <c r="O17" s="309"/>
      <c r="P17" s="309"/>
      <c r="Q17" s="309"/>
      <c r="R17" s="309"/>
      <c r="S17" s="309"/>
      <c r="T17" s="309"/>
      <c r="U17" s="309"/>
    </row>
    <row r="18" spans="2:21" ht="27.9" customHeight="1">
      <c r="D18" s="90" t="s">
        <v>163</v>
      </c>
      <c r="J18" t="s">
        <v>373</v>
      </c>
      <c r="K18" s="933">
        <f>K16-K17</f>
        <v>9156977.9400000013</v>
      </c>
      <c r="N18" s="309"/>
      <c r="O18" s="309"/>
      <c r="P18" s="309"/>
      <c r="Q18" s="309"/>
      <c r="R18" s="309"/>
      <c r="S18" s="309"/>
      <c r="T18" s="309"/>
      <c r="U18" s="309"/>
    </row>
    <row r="19" spans="2:21" ht="27.75" customHeight="1">
      <c r="B19" s="276" t="str">
        <f>"Line 5c (sheet 22) Total "&amp;TEXT('KEY INPUTS'!D34,"0")&amp;" Tax Levy"</f>
        <v>Line 5c (sheet 22) Total 2021 Tax Levy</v>
      </c>
      <c r="J19" t="s">
        <v>373</v>
      </c>
      <c r="K19" s="632">
        <f>+'22-CY Levy'!N19</f>
        <v>9232187.9400000013</v>
      </c>
      <c r="N19" s="309"/>
      <c r="O19" s="309"/>
      <c r="P19" s="309"/>
      <c r="Q19" s="309"/>
      <c r="R19" s="309"/>
      <c r="S19" s="309"/>
      <c r="T19" s="309"/>
      <c r="U19" s="309"/>
    </row>
    <row r="20" spans="2:21">
      <c r="N20" s="309"/>
      <c r="O20" s="309"/>
      <c r="P20" s="309"/>
      <c r="Q20" s="309"/>
      <c r="R20" s="309"/>
      <c r="S20" s="309"/>
      <c r="T20" s="309"/>
      <c r="U20" s="309"/>
    </row>
    <row r="21" spans="2:21" ht="13.8">
      <c r="B21" s="91" t="s">
        <v>680</v>
      </c>
      <c r="N21" s="309"/>
      <c r="O21" s="309"/>
      <c r="P21" s="309"/>
      <c r="Q21" s="309"/>
      <c r="R21" s="309"/>
      <c r="S21" s="309"/>
      <c r="T21" s="309"/>
      <c r="U21" s="309"/>
    </row>
    <row r="22" spans="2:21" ht="13.8">
      <c r="B22" s="91" t="s">
        <v>681</v>
      </c>
      <c r="K22" s="732">
        <f>+K18/K19</f>
        <v>0.99185350206378053</v>
      </c>
    </row>
    <row r="28" spans="2:21">
      <c r="B28" s="30"/>
      <c r="C28" s="30"/>
      <c r="D28" s="30"/>
      <c r="E28" s="30"/>
      <c r="F28" s="30"/>
      <c r="G28" s="30"/>
      <c r="H28" s="30"/>
      <c r="I28" s="30"/>
      <c r="J28" s="30"/>
      <c r="K28" s="30"/>
    </row>
    <row r="29" spans="2:21" ht="3.75" customHeight="1" thickBot="1">
      <c r="B29" s="93"/>
      <c r="C29" s="93"/>
      <c r="D29" s="93"/>
      <c r="E29" s="93"/>
      <c r="F29" s="93"/>
      <c r="G29" s="93"/>
      <c r="H29" s="93"/>
      <c r="I29" s="93"/>
      <c r="J29" s="93"/>
      <c r="K29" s="93"/>
    </row>
    <row r="30" spans="2:21" ht="4.5" customHeight="1" thickTop="1">
      <c r="B30" s="94"/>
      <c r="C30" s="94"/>
      <c r="D30" s="94"/>
      <c r="E30" s="94"/>
      <c r="F30" s="94"/>
      <c r="G30" s="94"/>
      <c r="H30" s="94"/>
      <c r="I30" s="94"/>
      <c r="J30" s="94"/>
      <c r="K30" s="94"/>
    </row>
    <row r="34" spans="2:11" ht="13.8">
      <c r="B34" s="90" t="s">
        <v>683</v>
      </c>
    </row>
    <row r="36" spans="2:11">
      <c r="K36" s="274"/>
    </row>
    <row r="37" spans="2:11" ht="27.9" customHeight="1">
      <c r="B37" s="91" t="s">
        <v>678</v>
      </c>
      <c r="J37" t="s">
        <v>373</v>
      </c>
      <c r="K37" s="733">
        <f>+'22-CY Levy'!L32</f>
        <v>9156977.9400000013</v>
      </c>
    </row>
    <row r="38" spans="2:11" ht="27.9" customHeight="1">
      <c r="B38" s="92" t="s">
        <v>3632</v>
      </c>
      <c r="K38" s="550">
        <v>0</v>
      </c>
    </row>
    <row r="39" spans="2:11" ht="27.9" customHeight="1">
      <c r="D39" s="90" t="s">
        <v>163</v>
      </c>
      <c r="J39" t="s">
        <v>373</v>
      </c>
      <c r="K39" s="933">
        <f>K37-K38</f>
        <v>9156977.9400000013</v>
      </c>
    </row>
    <row r="40" spans="2:11" ht="27.9" customHeight="1">
      <c r="B40" s="91" t="str">
        <f>B19</f>
        <v>Line 5c (sheet 22) Total 2021 Tax Levy</v>
      </c>
      <c r="J40" t="s">
        <v>373</v>
      </c>
      <c r="K40" s="632">
        <f>+'22-CY Levy'!N19</f>
        <v>9232187.9400000013</v>
      </c>
    </row>
    <row r="41" spans="2:11" ht="13.8">
      <c r="B41" s="91"/>
    </row>
    <row r="42" spans="2:11" ht="13.8">
      <c r="B42" s="91" t="s">
        <v>5</v>
      </c>
    </row>
    <row r="43" spans="2:11" ht="13.8">
      <c r="B43" s="91" t="s">
        <v>681</v>
      </c>
      <c r="K43" s="1470">
        <f>IFERROR(K39/K40,"NO ENTRY")</f>
        <v>0.99185350206378053</v>
      </c>
    </row>
    <row r="61" spans="2:11" ht="13.8">
      <c r="B61" s="1618" t="s">
        <v>682</v>
      </c>
      <c r="C61" s="1618"/>
      <c r="D61" s="1618"/>
      <c r="E61" s="1618"/>
      <c r="F61" s="1618"/>
      <c r="G61" s="1618"/>
      <c r="H61" s="1618"/>
      <c r="I61" s="1618"/>
      <c r="J61" s="1618"/>
      <c r="K61" s="1618"/>
    </row>
  </sheetData>
  <sheetProtection algorithmName="SHA-512" hashValue="xp4Ddggi3dTk3hOzjRk8PIS12FB9osCO7Fuyw9i5CFivo+QdYH5TKme38JvEfGqo2zB+/Za+rPBykCc69QKjhQ==" saltValue="j9swabrDOO5Z25dA6VBPtg==" spinCount="100000" sheet="1" objects="1" scenarios="1"/>
  <mergeCells count="5">
    <mergeCell ref="B61:K61"/>
    <mergeCell ref="B4:K4"/>
    <mergeCell ref="B6:K6"/>
    <mergeCell ref="B8:K8"/>
    <mergeCell ref="B9:K9"/>
  </mergeCells>
  <phoneticPr fontId="0" type="noConversion"/>
  <pageMargins left="0.25" right="0.25" top="0.5" bottom="0.5" header="0.25" footer="0.25"/>
  <pageSetup paperSize="5" orientation="portrait" r:id="rId1"/>
  <headerFooter alignWithMargins="0"/>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2"/>
  <dimension ref="B3:R54"/>
  <sheetViews>
    <sheetView topLeftCell="A10" zoomScaleNormal="100" workbookViewId="0">
      <selection activeCell="J18" sqref="J18"/>
    </sheetView>
  </sheetViews>
  <sheetFormatPr defaultRowHeight="13.2"/>
  <cols>
    <col min="1" max="1" width="3.6640625" customWidth="1"/>
    <col min="2" max="4" width="4.6640625" customWidth="1"/>
    <col min="7" max="7" width="21.6640625" customWidth="1"/>
    <col min="9" max="10" width="16.6640625" customWidth="1"/>
    <col min="11" max="11" width="10.88671875" bestFit="1" customWidth="1"/>
  </cols>
  <sheetData>
    <row r="3" spans="2:18" ht="21">
      <c r="B3" s="1619" t="s">
        <v>6</v>
      </c>
      <c r="C3" s="1619"/>
      <c r="D3" s="1619"/>
      <c r="E3" s="1619"/>
      <c r="F3" s="1619"/>
      <c r="G3" s="1619"/>
      <c r="H3" s="1619"/>
      <c r="I3" s="1619"/>
      <c r="J3" s="1619"/>
      <c r="K3" s="678"/>
    </row>
    <row r="4" spans="2:18" ht="21">
      <c r="B4" s="1619" t="s">
        <v>7</v>
      </c>
      <c r="C4" s="1619"/>
      <c r="D4" s="1619"/>
      <c r="E4" s="1619"/>
      <c r="F4" s="1619"/>
      <c r="G4" s="1619"/>
      <c r="H4" s="1619"/>
      <c r="I4" s="1619"/>
      <c r="J4" s="1619"/>
      <c r="K4" s="678"/>
    </row>
    <row r="5" spans="2:18" ht="13.8" thickBot="1"/>
    <row r="6" spans="2:18" ht="26.1" customHeight="1" thickTop="1" thickBot="1">
      <c r="B6" s="60"/>
      <c r="C6" s="60"/>
      <c r="D6" s="60"/>
      <c r="E6" s="60"/>
      <c r="F6" s="60"/>
      <c r="G6" s="60"/>
      <c r="H6" s="60"/>
      <c r="I6" s="4" t="s">
        <v>96</v>
      </c>
      <c r="J6" s="3" t="s">
        <v>97</v>
      </c>
    </row>
    <row r="7" spans="2:18" ht="21" customHeight="1" thickTop="1">
      <c r="B7" s="84" t="s">
        <v>292</v>
      </c>
      <c r="C7" s="271" t="str">
        <f>'21-Current Fund Surplus'!C7</f>
        <v>Balance - January 1, 2021</v>
      </c>
      <c r="D7" s="271"/>
      <c r="E7" s="271"/>
      <c r="F7" s="271"/>
      <c r="G7" s="271"/>
      <c r="H7" s="23"/>
      <c r="I7" s="141" t="s">
        <v>628</v>
      </c>
      <c r="J7" s="193" t="s">
        <v>628</v>
      </c>
    </row>
    <row r="8" spans="2:18" ht="21" customHeight="1">
      <c r="B8" s="85"/>
      <c r="C8" s="310"/>
      <c r="D8" s="310" t="s">
        <v>271</v>
      </c>
      <c r="E8" s="310"/>
      <c r="F8" s="310"/>
      <c r="G8" s="310"/>
      <c r="H8" s="24"/>
      <c r="I8" s="353">
        <v>0</v>
      </c>
      <c r="J8" s="951" t="s">
        <v>628</v>
      </c>
      <c r="K8" s="299"/>
    </row>
    <row r="9" spans="2:18" ht="21" customHeight="1">
      <c r="B9" s="85"/>
      <c r="C9" s="310"/>
      <c r="D9" s="310" t="s">
        <v>272</v>
      </c>
      <c r="E9" s="310"/>
      <c r="F9" s="310"/>
      <c r="G9" s="310"/>
      <c r="H9" s="24"/>
      <c r="I9" s="142" t="s">
        <v>628</v>
      </c>
      <c r="J9" s="554">
        <v>786.25</v>
      </c>
    </row>
    <row r="10" spans="2:18" ht="21" customHeight="1">
      <c r="B10" s="85" t="s">
        <v>293</v>
      </c>
      <c r="C10" s="310" t="s">
        <v>3595</v>
      </c>
      <c r="D10" s="310"/>
      <c r="E10" s="310"/>
      <c r="F10" s="310"/>
      <c r="G10" s="310"/>
      <c r="H10" s="24"/>
      <c r="I10" s="353">
        <v>2500</v>
      </c>
      <c r="J10" s="951" t="s">
        <v>628</v>
      </c>
      <c r="L10" s="309"/>
      <c r="M10" s="309"/>
      <c r="N10" s="309"/>
      <c r="O10" s="309"/>
      <c r="P10" s="309"/>
      <c r="Q10" s="309"/>
      <c r="R10" s="309"/>
    </row>
    <row r="11" spans="2:18" ht="21" customHeight="1">
      <c r="B11" s="85" t="s">
        <v>294</v>
      </c>
      <c r="C11" s="310" t="s">
        <v>722</v>
      </c>
      <c r="D11" s="310"/>
      <c r="E11" s="310"/>
      <c r="F11" s="310"/>
      <c r="G11" s="310"/>
      <c r="H11" s="24"/>
      <c r="I11" s="353">
        <v>16000</v>
      </c>
      <c r="J11" s="951" t="s">
        <v>628</v>
      </c>
      <c r="K11" s="299"/>
      <c r="L11" s="356"/>
      <c r="M11" s="309"/>
      <c r="N11" s="309"/>
      <c r="O11" s="309"/>
      <c r="P11" s="309"/>
      <c r="Q11" s="309"/>
      <c r="R11" s="309"/>
    </row>
    <row r="12" spans="2:18" ht="21" customHeight="1">
      <c r="B12" s="85" t="s">
        <v>295</v>
      </c>
      <c r="C12" s="313" t="s">
        <v>3387</v>
      </c>
      <c r="D12" s="310"/>
      <c r="E12" s="310"/>
      <c r="F12" s="310"/>
      <c r="G12" s="310"/>
      <c r="H12" s="24"/>
      <c r="I12" s="353"/>
      <c r="J12" s="951" t="s">
        <v>628</v>
      </c>
      <c r="L12" s="309"/>
      <c r="M12" s="309"/>
      <c r="N12" s="309"/>
      <c r="O12" s="309"/>
      <c r="P12" s="309"/>
      <c r="Q12" s="309"/>
      <c r="R12" s="309"/>
    </row>
    <row r="13" spans="2:18" ht="21" customHeight="1">
      <c r="B13" s="85" t="s">
        <v>296</v>
      </c>
      <c r="C13" s="310" t="str">
        <f>"Deductions Allowed By Tax Collector - Prior Year Taxes ("&amp;TEXT('KEY INPUTS'!D35,"0")&amp;")"</f>
        <v>Deductions Allowed By Tax Collector - Prior Year Taxes (2020)</v>
      </c>
      <c r="D13" s="310"/>
      <c r="E13" s="310"/>
      <c r="F13" s="310"/>
      <c r="G13" s="310"/>
      <c r="H13" s="24"/>
      <c r="I13" s="353"/>
      <c r="J13" s="554"/>
      <c r="K13" s="299"/>
      <c r="L13" s="309"/>
      <c r="M13" s="309"/>
      <c r="N13" s="309"/>
      <c r="O13" s="309"/>
      <c r="P13" s="309"/>
      <c r="Q13" s="309"/>
      <c r="R13" s="309"/>
    </row>
    <row r="14" spans="2:18" ht="21" customHeight="1">
      <c r="B14" s="85" t="s">
        <v>297</v>
      </c>
      <c r="C14" s="538"/>
      <c r="D14" s="538"/>
      <c r="E14" s="538"/>
      <c r="F14" s="538"/>
      <c r="G14" s="538"/>
      <c r="H14" s="544"/>
      <c r="I14" s="353"/>
      <c r="J14" s="554"/>
      <c r="L14" s="309"/>
      <c r="M14" s="309"/>
      <c r="N14" s="309"/>
      <c r="O14" s="309"/>
      <c r="P14" s="309"/>
      <c r="Q14" s="309"/>
      <c r="R14" s="309"/>
    </row>
    <row r="15" spans="2:18" ht="21" customHeight="1">
      <c r="B15" s="85" t="s">
        <v>298</v>
      </c>
      <c r="C15" s="313" t="s">
        <v>3388</v>
      </c>
      <c r="D15" s="5"/>
      <c r="E15" s="5"/>
      <c r="F15" s="5"/>
      <c r="G15" s="5"/>
      <c r="H15" s="24"/>
      <c r="I15" s="297" t="s">
        <v>628</v>
      </c>
      <c r="J15" s="554">
        <v>250</v>
      </c>
      <c r="L15" s="309"/>
      <c r="M15" s="309"/>
      <c r="N15" s="309"/>
      <c r="O15" s="309"/>
      <c r="P15" s="309"/>
      <c r="Q15" s="309"/>
      <c r="R15" s="309"/>
    </row>
    <row r="16" spans="2:18" ht="21" customHeight="1">
      <c r="B16" s="85" t="s">
        <v>384</v>
      </c>
      <c r="C16" s="290" t="str">
        <f>"Deductions Disallowed By Tax Collector - Prior Year Taxes ("&amp;TEXT('KEY INPUTS'!D35,"0")&amp;")"</f>
        <v>Deductions Disallowed By Tax Collector - Prior Year Taxes (2020)</v>
      </c>
      <c r="D16" s="5"/>
      <c r="E16" s="5"/>
      <c r="F16" s="5"/>
      <c r="G16" s="5"/>
      <c r="H16" s="24"/>
      <c r="I16" s="142" t="s">
        <v>628</v>
      </c>
      <c r="J16" s="554"/>
      <c r="L16" s="309"/>
      <c r="M16" s="309"/>
      <c r="N16" s="309"/>
      <c r="O16" s="309"/>
      <c r="P16" s="309"/>
      <c r="Q16" s="309"/>
      <c r="R16" s="309"/>
    </row>
    <row r="17" spans="2:18" ht="21" customHeight="1">
      <c r="B17" s="85" t="s">
        <v>385</v>
      </c>
      <c r="C17" s="5" t="s">
        <v>453</v>
      </c>
      <c r="D17" s="5"/>
      <c r="E17" s="5"/>
      <c r="F17" s="5"/>
      <c r="G17" s="5"/>
      <c r="H17" s="24"/>
      <c r="I17" s="142" t="s">
        <v>628</v>
      </c>
      <c r="J17" s="554">
        <v>18000</v>
      </c>
      <c r="L17" s="309"/>
      <c r="M17" s="309"/>
      <c r="N17" s="309"/>
      <c r="O17" s="309"/>
      <c r="P17" s="309"/>
      <c r="Q17" s="309"/>
      <c r="R17" s="309"/>
    </row>
    <row r="18" spans="2:18" ht="21" customHeight="1">
      <c r="B18" s="85" t="s">
        <v>386</v>
      </c>
      <c r="C18" s="538"/>
      <c r="D18" s="538"/>
      <c r="E18" s="538"/>
      <c r="F18" s="538"/>
      <c r="G18" s="538"/>
      <c r="H18" s="544"/>
      <c r="I18" s="353"/>
      <c r="J18" s="554"/>
      <c r="L18" s="309"/>
      <c r="M18" s="309"/>
      <c r="N18" s="309"/>
      <c r="O18" s="309"/>
      <c r="P18" s="309"/>
      <c r="Q18" s="309"/>
      <c r="R18" s="309"/>
    </row>
    <row r="19" spans="2:18" ht="21" customHeight="1">
      <c r="B19" s="85" t="s">
        <v>223</v>
      </c>
      <c r="C19" s="538"/>
      <c r="D19" s="538"/>
      <c r="E19" s="538"/>
      <c r="F19" s="538"/>
      <c r="G19" s="538"/>
      <c r="H19" s="544"/>
      <c r="I19" s="353"/>
      <c r="J19" s="554"/>
      <c r="L19" s="309"/>
      <c r="M19" s="309"/>
      <c r="N19" s="309"/>
      <c r="O19" s="309"/>
      <c r="P19" s="309"/>
      <c r="Q19" s="309"/>
      <c r="R19" s="309"/>
    </row>
    <row r="20" spans="2:18" ht="21" customHeight="1">
      <c r="B20" s="934" t="s">
        <v>225</v>
      </c>
      <c r="C20" s="360" t="str">
        <f>'21-Current Fund Surplus'!C14</f>
        <v>Balance - December 31, 2021</v>
      </c>
      <c r="D20" s="360"/>
      <c r="E20" s="360"/>
      <c r="F20" s="360"/>
      <c r="G20" s="360"/>
      <c r="H20" s="361"/>
      <c r="I20" s="926" t="s">
        <v>628</v>
      </c>
      <c r="J20" s="935" t="s">
        <v>628</v>
      </c>
      <c r="K20" s="681">
        <f>SUM(I7:I20)-SUM(J7:J20)</f>
        <v>-536.25</v>
      </c>
      <c r="L20" s="679" t="s">
        <v>3356</v>
      </c>
      <c r="M20" s="309"/>
      <c r="N20" s="309"/>
      <c r="O20" s="309"/>
      <c r="P20" s="309"/>
      <c r="Q20" s="309"/>
      <c r="R20" s="309"/>
    </row>
    <row r="21" spans="2:18" ht="21" customHeight="1">
      <c r="B21" s="934"/>
      <c r="C21" s="360"/>
      <c r="D21" s="360" t="s">
        <v>271</v>
      </c>
      <c r="E21" s="360"/>
      <c r="F21" s="360"/>
      <c r="G21" s="360"/>
      <c r="H21" s="361"/>
      <c r="I21" s="926" t="s">
        <v>628</v>
      </c>
      <c r="J21" s="936">
        <f>IF(K20&gt;0,K20,0)</f>
        <v>0</v>
      </c>
      <c r="K21" s="684"/>
      <c r="L21" s="309"/>
      <c r="M21" s="309"/>
      <c r="N21" s="309"/>
      <c r="O21" s="309"/>
      <c r="P21" s="309"/>
      <c r="Q21" s="309"/>
      <c r="R21" s="309"/>
    </row>
    <row r="22" spans="2:18" ht="21" customHeight="1">
      <c r="B22" s="934"/>
      <c r="C22" s="360"/>
      <c r="D22" s="360" t="s">
        <v>272</v>
      </c>
      <c r="E22" s="360"/>
      <c r="F22" s="360"/>
      <c r="G22" s="360"/>
      <c r="H22" s="361"/>
      <c r="I22" s="928">
        <f>IF(K20&gt;0,0,K20)*-1</f>
        <v>536.25</v>
      </c>
      <c r="J22" s="935" t="s">
        <v>628</v>
      </c>
      <c r="K22" s="362"/>
      <c r="L22" s="309"/>
      <c r="M22" s="309"/>
      <c r="N22" s="309"/>
      <c r="O22" s="309"/>
      <c r="P22" s="309"/>
      <c r="Q22" s="309"/>
      <c r="R22" s="309"/>
    </row>
    <row r="23" spans="2:18" ht="21" customHeight="1" thickBot="1">
      <c r="B23" s="937"/>
      <c r="C23" s="811"/>
      <c r="D23" s="811"/>
      <c r="E23" s="811"/>
      <c r="F23" s="811"/>
      <c r="G23" s="811"/>
      <c r="H23" s="811"/>
      <c r="I23" s="819">
        <f>SUM(I7:I22)</f>
        <v>19036.25</v>
      </c>
      <c r="J23" s="938">
        <f>SUM(J7:J22)</f>
        <v>19036.25</v>
      </c>
      <c r="L23" s="309"/>
      <c r="M23" s="309"/>
      <c r="N23" s="309"/>
      <c r="O23" s="309"/>
      <c r="P23" s="309"/>
      <c r="Q23" s="309"/>
      <c r="R23" s="309"/>
    </row>
    <row r="24" spans="2:18" ht="13.8" thickTop="1">
      <c r="B24" s="83"/>
      <c r="L24" s="309"/>
      <c r="M24" s="309"/>
      <c r="N24" s="309"/>
      <c r="O24" s="309"/>
      <c r="P24" s="309"/>
      <c r="Q24" s="309"/>
      <c r="R24" s="309"/>
    </row>
    <row r="25" spans="2:18">
      <c r="B25" s="83"/>
      <c r="J25" s="218"/>
    </row>
    <row r="26" spans="2:18">
      <c r="B26" s="83"/>
    </row>
    <row r="27" spans="2:18">
      <c r="B27" s="83"/>
    </row>
    <row r="28" spans="2:18">
      <c r="B28" s="83"/>
    </row>
    <row r="29" spans="2:18">
      <c r="B29" s="95" t="s">
        <v>8</v>
      </c>
    </row>
    <row r="30" spans="2:18">
      <c r="B30" s="282" t="str">
        <f>IF('KEY INPUTS'!C42="State Fiscal Year","Fiscal Year "&amp;'KEY INPUTS'!D33&amp;"",'KEY INPUTS'!D34)&amp;" Senior Citizens and Veterans Deductions Allowed"</f>
        <v>2021 Senior Citizens and Veterans Deductions Allowed</v>
      </c>
    </row>
    <row r="31" spans="2:18">
      <c r="B31" s="83"/>
      <c r="G31" s="42"/>
    </row>
    <row r="32" spans="2:18" ht="21" customHeight="1">
      <c r="B32" s="95" t="s">
        <v>10</v>
      </c>
      <c r="G32" s="65">
        <f>+I10</f>
        <v>2500</v>
      </c>
    </row>
    <row r="33" spans="2:7" ht="21" customHeight="1">
      <c r="B33" s="95" t="s">
        <v>11</v>
      </c>
      <c r="G33" s="67">
        <f>+I11</f>
        <v>16000</v>
      </c>
    </row>
    <row r="34" spans="2:7" ht="21" customHeight="1" thickBot="1">
      <c r="B34" s="96" t="s">
        <v>12</v>
      </c>
      <c r="G34" s="208">
        <f>+I12</f>
        <v>0</v>
      </c>
    </row>
    <row r="35" spans="2:7" ht="21" customHeight="1">
      <c r="B35" s="96" t="s">
        <v>13</v>
      </c>
      <c r="G35" s="65">
        <f>SUM(G32:G34)</f>
        <v>18500</v>
      </c>
    </row>
    <row r="36" spans="2:7" ht="21" customHeight="1" thickBot="1">
      <c r="B36" s="96" t="s">
        <v>14</v>
      </c>
      <c r="G36" s="208">
        <f>+J15</f>
        <v>250</v>
      </c>
    </row>
    <row r="37" spans="2:7" ht="21" customHeight="1" thickBot="1">
      <c r="B37" s="96" t="s">
        <v>15</v>
      </c>
      <c r="G37" s="82">
        <f>+G35-G36</f>
        <v>18250</v>
      </c>
    </row>
    <row r="38" spans="2:7" ht="13.8" thickTop="1"/>
    <row r="54" spans="2:10" ht="13.8">
      <c r="B54" s="1618" t="s">
        <v>9</v>
      </c>
      <c r="C54" s="1618"/>
      <c r="D54" s="1618"/>
      <c r="E54" s="1618"/>
      <c r="F54" s="1618"/>
      <c r="G54" s="1618"/>
      <c r="H54" s="1618"/>
      <c r="I54" s="1618"/>
      <c r="J54" s="1618"/>
    </row>
  </sheetData>
  <sheetProtection algorithmName="SHA-512" hashValue="mIMJhZea/HkEXg7+6boQhCmqFGXg9e8SnOitsv8tuEhVI9EAtAoPSQITaHuM5VdZ05+O5ft+L1qI1iWO3llBFA==" saltValue="Cdn1JTOVgY1hh99pXy7cBg==" spinCount="100000" sheet="1" objects="1" scenarios="1"/>
  <mergeCells count="3">
    <mergeCell ref="B3:J3"/>
    <mergeCell ref="B4:J4"/>
    <mergeCell ref="B54:J54"/>
  </mergeCells>
  <phoneticPr fontId="0" type="noConversion"/>
  <pageMargins left="0.25" right="0.25" top="0.5" bottom="0.5" header="0.25" footer="0.25"/>
  <pageSetup paperSize="5" orientation="portrait" r:id="rId1"/>
  <headerFooter alignWithMargins="0"/>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3"/>
  <dimension ref="B3:S60"/>
  <sheetViews>
    <sheetView tabSelected="1" zoomScaleNormal="100" workbookViewId="0">
      <selection activeCell="G30" sqref="G30"/>
    </sheetView>
  </sheetViews>
  <sheetFormatPr defaultRowHeight="13.2"/>
  <cols>
    <col min="1" max="1" width="3.6640625" customWidth="1"/>
    <col min="2" max="4" width="4.6640625" customWidth="1"/>
    <col min="5" max="5" width="5.6640625" customWidth="1"/>
    <col min="7" max="7" width="15.88671875" customWidth="1"/>
    <col min="8" max="8" width="14.6640625" customWidth="1"/>
    <col min="9" max="10" width="16.6640625" customWidth="1"/>
  </cols>
  <sheetData>
    <row r="3" spans="2:19" ht="20.399999999999999">
      <c r="B3" s="1619" t="s">
        <v>20</v>
      </c>
      <c r="C3" s="1619"/>
      <c r="D3" s="1619"/>
      <c r="E3" s="1619"/>
      <c r="F3" s="1619"/>
      <c r="G3" s="1619"/>
      <c r="H3" s="1619"/>
      <c r="I3" s="1619"/>
      <c r="J3" s="1619"/>
    </row>
    <row r="4" spans="2:19" ht="20.399999999999999">
      <c r="B4" s="1619" t="s">
        <v>19</v>
      </c>
      <c r="C4" s="1619"/>
      <c r="D4" s="1619"/>
      <c r="E4" s="1619"/>
      <c r="F4" s="1619"/>
      <c r="G4" s="1619"/>
      <c r="H4" s="1619"/>
      <c r="I4" s="1619"/>
      <c r="J4" s="1619"/>
    </row>
    <row r="5" spans="2:19" ht="13.8" thickBot="1"/>
    <row r="6" spans="2:19" ht="27.9" customHeight="1" thickTop="1" thickBot="1">
      <c r="B6" s="991"/>
      <c r="C6" s="991"/>
      <c r="D6" s="991"/>
      <c r="E6" s="991"/>
      <c r="F6" s="991"/>
      <c r="G6" s="991"/>
      <c r="H6" s="991"/>
      <c r="I6" s="921" t="s">
        <v>96</v>
      </c>
      <c r="J6" s="989" t="s">
        <v>97</v>
      </c>
    </row>
    <row r="7" spans="2:19" ht="21" customHeight="1" thickTop="1">
      <c r="B7" s="358" t="str">
        <f>'23-SCVet Deductions'!C7</f>
        <v>Balance - January 1, 2021</v>
      </c>
      <c r="C7" s="358"/>
      <c r="D7" s="358"/>
      <c r="E7" s="358"/>
      <c r="F7" s="358"/>
      <c r="G7" s="358"/>
      <c r="H7" s="359"/>
      <c r="I7" s="990" t="s">
        <v>690</v>
      </c>
      <c r="J7" s="992">
        <f>H8+H9</f>
        <v>0</v>
      </c>
    </row>
    <row r="8" spans="2:19" ht="21" customHeight="1">
      <c r="B8" s="360"/>
      <c r="C8" s="360" t="s">
        <v>456</v>
      </c>
      <c r="D8" s="360"/>
      <c r="E8" s="360"/>
      <c r="F8" s="360"/>
      <c r="G8" s="360"/>
      <c r="H8" s="353">
        <v>0</v>
      </c>
      <c r="I8" s="985" t="s">
        <v>690</v>
      </c>
      <c r="J8" s="984" t="s">
        <v>628</v>
      </c>
    </row>
    <row r="9" spans="2:19" ht="21" customHeight="1">
      <c r="B9" s="360"/>
      <c r="C9" s="360" t="s">
        <v>457</v>
      </c>
      <c r="D9" s="360"/>
      <c r="E9" s="360"/>
      <c r="F9" s="360"/>
      <c r="G9" s="360"/>
      <c r="H9" s="353">
        <v>0</v>
      </c>
      <c r="I9" s="985" t="s">
        <v>690</v>
      </c>
      <c r="J9" s="984" t="s">
        <v>628</v>
      </c>
      <c r="M9" s="309"/>
      <c r="N9" s="309"/>
      <c r="O9" s="309"/>
      <c r="P9" s="309"/>
      <c r="Q9" s="309"/>
      <c r="R9" s="309"/>
      <c r="S9" s="309"/>
    </row>
    <row r="10" spans="2:19" ht="24.75" customHeight="1">
      <c r="B10" s="1752" t="str">
        <f>"Contested Amount of "&amp;TEXT('KEY INPUTS'!D34,"0")&amp;" Taxes Collected which are Pending State Appeal (Item 14, Sheet 22)"</f>
        <v>Contested Amount of 2021 Taxes Collected which are Pending State Appeal (Item 14, Sheet 22)</v>
      </c>
      <c r="C10" s="1752"/>
      <c r="D10" s="1752"/>
      <c r="E10" s="1752"/>
      <c r="F10" s="1752"/>
      <c r="G10" s="1752"/>
      <c r="H10" s="361"/>
      <c r="I10" s="985" t="s">
        <v>690</v>
      </c>
      <c r="J10" s="554">
        <v>0</v>
      </c>
      <c r="M10" s="309"/>
      <c r="N10" s="309"/>
      <c r="O10" s="309"/>
      <c r="P10" s="309"/>
      <c r="Q10" s="309"/>
      <c r="R10" s="309"/>
      <c r="S10" s="309"/>
    </row>
    <row r="11" spans="2:19" ht="21" customHeight="1">
      <c r="B11" s="360" t="s">
        <v>458</v>
      </c>
      <c r="C11" s="360"/>
      <c r="D11" s="360"/>
      <c r="E11" s="360"/>
      <c r="F11" s="360"/>
      <c r="G11" s="360"/>
      <c r="H11" s="361"/>
      <c r="I11" s="985" t="s">
        <v>690</v>
      </c>
      <c r="J11" s="554">
        <v>0</v>
      </c>
      <c r="M11" s="356"/>
      <c r="N11" s="309"/>
      <c r="O11" s="309"/>
      <c r="P11" s="309"/>
      <c r="Q11" s="309"/>
      <c r="R11" s="309"/>
      <c r="S11" s="309"/>
    </row>
    <row r="12" spans="2:19" ht="21" customHeight="1">
      <c r="B12" s="538"/>
      <c r="C12" s="538"/>
      <c r="D12" s="538"/>
      <c r="E12" s="538"/>
      <c r="F12" s="538"/>
      <c r="G12" s="538"/>
      <c r="H12" s="544"/>
      <c r="I12" s="353"/>
      <c r="J12" s="554">
        <v>0</v>
      </c>
      <c r="M12" s="309"/>
      <c r="N12" s="309"/>
      <c r="O12" s="309"/>
      <c r="P12" s="309"/>
      <c r="Q12" s="309"/>
      <c r="R12" s="309"/>
      <c r="S12" s="309"/>
    </row>
    <row r="13" spans="2:19" ht="21" customHeight="1">
      <c r="B13" s="5" t="s">
        <v>85</v>
      </c>
      <c r="C13" s="5"/>
      <c r="D13" s="5"/>
      <c r="E13" s="5"/>
      <c r="F13" s="5"/>
      <c r="G13" s="5"/>
      <c r="H13" s="24"/>
      <c r="I13" s="353">
        <v>0</v>
      </c>
      <c r="J13" s="984" t="s">
        <v>628</v>
      </c>
      <c r="M13" s="309"/>
      <c r="N13" s="309"/>
      <c r="O13" s="309"/>
      <c r="P13" s="309"/>
      <c r="Q13" s="309"/>
      <c r="R13" s="309"/>
      <c r="S13" s="309"/>
    </row>
    <row r="14" spans="2:19">
      <c r="B14" s="7" t="s">
        <v>459</v>
      </c>
      <c r="C14" s="7"/>
      <c r="D14" s="7"/>
      <c r="E14" s="7"/>
      <c r="F14" s="7"/>
      <c r="G14" s="7"/>
      <c r="H14" s="81"/>
      <c r="I14" s="988"/>
      <c r="J14" s="986"/>
      <c r="M14" s="309"/>
      <c r="N14" s="309"/>
      <c r="O14" s="309"/>
      <c r="P14" s="309"/>
      <c r="Q14" s="309"/>
      <c r="R14" s="309"/>
      <c r="S14" s="309"/>
    </row>
    <row r="15" spans="2:19" ht="12.75" customHeight="1">
      <c r="B15" s="30" t="s">
        <v>460</v>
      </c>
      <c r="C15" s="30"/>
      <c r="D15" s="30"/>
      <c r="E15" s="30"/>
      <c r="F15" s="30"/>
      <c r="G15" s="30"/>
      <c r="H15" s="100"/>
      <c r="I15" s="353">
        <v>0</v>
      </c>
      <c r="J15" s="987" t="s">
        <v>628</v>
      </c>
      <c r="M15" s="309"/>
      <c r="N15" s="309"/>
      <c r="O15" s="309"/>
      <c r="P15" s="309"/>
      <c r="Q15" s="309"/>
      <c r="R15" s="309"/>
      <c r="S15" s="309"/>
    </row>
    <row r="16" spans="2:19" ht="21" customHeight="1">
      <c r="B16" s="538"/>
      <c r="C16" s="538"/>
      <c r="D16" s="538"/>
      <c r="E16" s="538"/>
      <c r="F16" s="538"/>
      <c r="G16" s="538"/>
      <c r="H16" s="544"/>
      <c r="I16" s="353"/>
      <c r="J16" s="554"/>
      <c r="M16" s="309"/>
      <c r="N16" s="309"/>
      <c r="O16" s="309"/>
      <c r="P16" s="309"/>
      <c r="Q16" s="309"/>
      <c r="R16" s="309"/>
      <c r="S16" s="309"/>
    </row>
    <row r="17" spans="2:19" ht="21" customHeight="1">
      <c r="B17" s="360" t="str">
        <f>'23-SCVet Deductions'!C20</f>
        <v>Balance - December 31, 2021</v>
      </c>
      <c r="C17" s="360"/>
      <c r="D17" s="360"/>
      <c r="E17" s="360"/>
      <c r="F17" s="360"/>
      <c r="G17" s="360"/>
      <c r="H17" s="361"/>
      <c r="I17" s="928">
        <f>H18+H19</f>
        <v>0</v>
      </c>
      <c r="J17" s="984" t="s">
        <v>628</v>
      </c>
      <c r="M17" s="309"/>
      <c r="N17" s="309"/>
      <c r="O17" s="309"/>
      <c r="P17" s="309"/>
      <c r="Q17" s="309"/>
      <c r="R17" s="309"/>
      <c r="S17" s="309"/>
    </row>
    <row r="18" spans="2:19" ht="21" customHeight="1">
      <c r="B18" s="360"/>
      <c r="C18" s="360" t="s">
        <v>461</v>
      </c>
      <c r="D18" s="360"/>
      <c r="E18" s="360"/>
      <c r="F18" s="360"/>
      <c r="G18" s="360"/>
      <c r="H18" s="353">
        <v>0</v>
      </c>
      <c r="I18" s="985" t="s">
        <v>628</v>
      </c>
      <c r="J18" s="984" t="s">
        <v>628</v>
      </c>
      <c r="M18" s="309"/>
      <c r="N18" s="309"/>
      <c r="O18" s="309"/>
      <c r="P18" s="309"/>
      <c r="Q18" s="309"/>
      <c r="R18" s="309"/>
      <c r="S18" s="309"/>
    </row>
    <row r="19" spans="2:19" ht="21" customHeight="1">
      <c r="B19" s="360"/>
      <c r="C19" s="360" t="s">
        <v>457</v>
      </c>
      <c r="D19" s="360"/>
      <c r="E19" s="360"/>
      <c r="F19" s="360"/>
      <c r="G19" s="360"/>
      <c r="H19" s="353">
        <v>0</v>
      </c>
      <c r="I19" s="985" t="s">
        <v>628</v>
      </c>
      <c r="J19" s="984" t="s">
        <v>628</v>
      </c>
      <c r="M19" s="309"/>
      <c r="N19" s="309"/>
      <c r="O19" s="309"/>
      <c r="P19" s="309"/>
      <c r="Q19" s="309"/>
      <c r="R19" s="309"/>
      <c r="S19" s="309"/>
    </row>
    <row r="20" spans="2:19" ht="21" customHeight="1" thickBot="1">
      <c r="B20" s="311" t="s">
        <v>3634</v>
      </c>
      <c r="I20" s="819">
        <f>SUM(I7:I19)</f>
        <v>0</v>
      </c>
      <c r="J20" s="938">
        <f>SUM(J7:J19)</f>
        <v>0</v>
      </c>
      <c r="M20" s="309"/>
      <c r="N20" s="309"/>
      <c r="O20" s="309"/>
      <c r="P20" s="309"/>
      <c r="Q20" s="309"/>
      <c r="R20" s="309"/>
      <c r="S20" s="309"/>
    </row>
    <row r="21" spans="2:19" ht="13.8" thickTop="1">
      <c r="B21" s="268" t="str">
        <f>"   Appeals Not Adjusted by December 31, "&amp;TEXT('KEY INPUTS'!D34,"0")</f>
        <v xml:space="preserve">   Appeals Not Adjusted by December 31, 2021</v>
      </c>
      <c r="M21" s="309"/>
      <c r="N21" s="309"/>
      <c r="O21" s="309"/>
      <c r="P21" s="309"/>
      <c r="Q21" s="309"/>
      <c r="R21" s="309"/>
      <c r="S21" s="309"/>
    </row>
    <row r="22" spans="2:19">
      <c r="M22" s="309"/>
      <c r="N22" s="309"/>
      <c r="O22" s="309"/>
      <c r="P22" s="309"/>
      <c r="Q22" s="309"/>
      <c r="R22" s="309"/>
      <c r="S22" s="309"/>
    </row>
    <row r="23" spans="2:19">
      <c r="M23" s="309"/>
      <c r="N23" s="309"/>
      <c r="O23" s="309"/>
      <c r="P23" s="309"/>
      <c r="Q23" s="309"/>
      <c r="R23" s="309"/>
      <c r="S23" s="309"/>
    </row>
    <row r="24" spans="2:19">
      <c r="M24" s="309"/>
      <c r="N24" s="309"/>
      <c r="O24" s="309"/>
      <c r="P24" s="309"/>
      <c r="Q24" s="309"/>
      <c r="R24" s="309"/>
      <c r="S24" s="309"/>
    </row>
    <row r="25" spans="2:19">
      <c r="C25" s="1654" t="s">
        <v>3704</v>
      </c>
      <c r="D25" s="1651"/>
      <c r="E25" s="1651"/>
      <c r="F25" s="1651"/>
      <c r="G25" s="1651"/>
    </row>
    <row r="26" spans="2:19">
      <c r="C26" s="1751" t="s">
        <v>3635</v>
      </c>
      <c r="D26" s="1660"/>
      <c r="E26" s="1660"/>
      <c r="F26" s="1660"/>
      <c r="G26" s="1660"/>
    </row>
    <row r="29" spans="2:19">
      <c r="C29" s="1654" t="s">
        <v>3705</v>
      </c>
      <c r="D29" s="1651"/>
      <c r="E29" s="1651"/>
      <c r="G29" s="1616">
        <v>44576</v>
      </c>
    </row>
    <row r="30" spans="2:19">
      <c r="C30" s="1660" t="s">
        <v>16</v>
      </c>
      <c r="D30" s="1660"/>
      <c r="E30" s="1660"/>
      <c r="G30" s="1" t="s">
        <v>17</v>
      </c>
    </row>
    <row r="60" spans="2:10" ht="13.8">
      <c r="B60" s="1618" t="s">
        <v>18</v>
      </c>
      <c r="C60" s="1618"/>
      <c r="D60" s="1618"/>
      <c r="E60" s="1618"/>
      <c r="F60" s="1618"/>
      <c r="G60" s="1618"/>
      <c r="H60" s="1618"/>
      <c r="I60" s="1618"/>
      <c r="J60" s="1618"/>
    </row>
  </sheetData>
  <sheetProtection algorithmName="SHA-512" hashValue="8+x5QnoHe298Wt6d0F7ZS+bzPEgSNcnU8XhH8frRm6t+T+M2p95vt0vkBDO7f6nH/HdCO+bb3TE/PfCJ1xSASg==" saltValue="n0vY6sPq8Bbhv5uoqH0pyg==" spinCount="100000" sheet="1" objects="1" scenarios="1"/>
  <mergeCells count="8">
    <mergeCell ref="B60:J60"/>
    <mergeCell ref="B3:J3"/>
    <mergeCell ref="B4:J4"/>
    <mergeCell ref="C26:G26"/>
    <mergeCell ref="C30:E30"/>
    <mergeCell ref="B10:G10"/>
    <mergeCell ref="C25:G25"/>
    <mergeCell ref="C29:E29"/>
  </mergeCells>
  <phoneticPr fontId="0" type="noConversion"/>
  <pageMargins left="0.25" right="0.25" top="0.5" bottom="0.5" header="0.25" footer="0.25"/>
  <pageSetup paperSize="5" orientation="portrait" r:id="rId1"/>
  <headerFooter alignWithMargins="0"/>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4"/>
  <dimension ref="B2:S80"/>
  <sheetViews>
    <sheetView topLeftCell="A16" zoomScaleNormal="100" workbookViewId="0">
      <selection activeCell="K27" sqref="K27"/>
    </sheetView>
  </sheetViews>
  <sheetFormatPr defaultRowHeight="13.2"/>
  <cols>
    <col min="1" max="1" width="4.6640625" customWidth="1"/>
    <col min="2" max="2" width="3.5546875" customWidth="1"/>
    <col min="3" max="3" width="4.6640625" customWidth="1"/>
    <col min="4" max="4" width="2.6640625" customWidth="1"/>
    <col min="5" max="5" width="4.6640625" customWidth="1"/>
    <col min="6" max="6" width="7.44140625" customWidth="1"/>
    <col min="7" max="7" width="11.6640625" customWidth="1"/>
    <col min="8" max="8" width="12.109375" customWidth="1"/>
    <col min="9" max="9" width="15" customWidth="1"/>
    <col min="10" max="10" width="3.5546875" customWidth="1"/>
    <col min="11" max="11" width="14.6640625" customWidth="1"/>
    <col min="12" max="12" width="2.6640625" customWidth="1"/>
    <col min="13" max="13" width="14.6640625" customWidth="1"/>
    <col min="14" max="14" width="13.5546875" bestFit="1" customWidth="1"/>
    <col min="15" max="15" width="11.44140625" bestFit="1" customWidth="1"/>
    <col min="19" max="19" width="9.33203125" bestFit="1" customWidth="1"/>
  </cols>
  <sheetData>
    <row r="2" spans="2:15" ht="20.399999999999999">
      <c r="B2" s="1619" t="s">
        <v>58</v>
      </c>
      <c r="C2" s="1619"/>
      <c r="D2" s="1619"/>
      <c r="E2" s="1619"/>
      <c r="F2" s="1619"/>
      <c r="G2" s="1619"/>
      <c r="H2" s="1619"/>
      <c r="I2" s="1619"/>
      <c r="J2" s="1619"/>
      <c r="K2" s="1619"/>
      <c r="L2" s="1619"/>
      <c r="M2" s="1619"/>
      <c r="N2" s="679"/>
    </row>
    <row r="3" spans="2:15" ht="13.8" thickBot="1"/>
    <row r="4" spans="2:15" ht="33.9" customHeight="1" thickTop="1" thickBot="1">
      <c r="B4" s="60"/>
      <c r="C4" s="60"/>
      <c r="D4" s="60"/>
      <c r="E4" s="60"/>
      <c r="F4" s="60"/>
      <c r="G4" s="60"/>
      <c r="H4" s="60"/>
      <c r="I4" s="60"/>
      <c r="J4" s="1753" t="s">
        <v>96</v>
      </c>
      <c r="K4" s="1669"/>
      <c r="L4" s="1753" t="s">
        <v>97</v>
      </c>
      <c r="M4" s="1668"/>
    </row>
    <row r="5" spans="2:15" ht="21.9" customHeight="1" thickTop="1">
      <c r="B5" s="84" t="s">
        <v>292</v>
      </c>
      <c r="C5" s="271" t="str">
        <f>'24-Reserves for Tax Appeals'!B7</f>
        <v>Balance - January 1, 2021</v>
      </c>
      <c r="D5" s="271"/>
      <c r="E5" s="271"/>
      <c r="F5" s="271"/>
      <c r="G5" s="271"/>
      <c r="H5" s="271"/>
      <c r="I5" s="23"/>
      <c r="J5" s="62"/>
      <c r="K5" s="688">
        <f>I6+I7</f>
        <v>109620.22</v>
      </c>
      <c r="L5" s="62"/>
      <c r="M5" s="122" t="s">
        <v>628</v>
      </c>
      <c r="O5" s="279"/>
    </row>
    <row r="6" spans="2:15" ht="21.9" customHeight="1">
      <c r="B6" s="85"/>
      <c r="C6" s="310"/>
      <c r="D6" s="310" t="s">
        <v>59</v>
      </c>
      <c r="E6" s="310" t="s">
        <v>60</v>
      </c>
      <c r="F6" s="310"/>
      <c r="G6" s="310"/>
      <c r="H6" s="48"/>
      <c r="I6" s="353">
        <v>109620.22</v>
      </c>
      <c r="J6" s="67"/>
      <c r="K6" s="952" t="s">
        <v>628</v>
      </c>
      <c r="L6" s="67"/>
      <c r="M6" s="123" t="s">
        <v>628</v>
      </c>
      <c r="N6" s="218"/>
    </row>
    <row r="7" spans="2:15" ht="21.9" customHeight="1">
      <c r="B7" s="85"/>
      <c r="C7" s="310"/>
      <c r="D7" s="310" t="s">
        <v>61</v>
      </c>
      <c r="E7" s="310" t="s">
        <v>785</v>
      </c>
      <c r="F7" s="310"/>
      <c r="G7" s="310"/>
      <c r="H7" s="48"/>
      <c r="I7" s="353">
        <v>0</v>
      </c>
      <c r="J7" s="67"/>
      <c r="K7" s="952" t="s">
        <v>628</v>
      </c>
      <c r="L7" s="67"/>
      <c r="M7" s="123" t="s">
        <v>628</v>
      </c>
      <c r="N7" s="218"/>
    </row>
    <row r="8" spans="2:15" ht="21.9" customHeight="1">
      <c r="B8" s="85" t="s">
        <v>293</v>
      </c>
      <c r="C8" s="310" t="s">
        <v>62</v>
      </c>
      <c r="D8" s="310"/>
      <c r="E8" s="310"/>
      <c r="F8" s="310"/>
      <c r="G8" s="310"/>
      <c r="H8" s="310"/>
      <c r="I8" s="24"/>
      <c r="J8" s="67"/>
      <c r="K8" s="952" t="s">
        <v>628</v>
      </c>
      <c r="L8" s="67"/>
      <c r="M8" s="123" t="s">
        <v>628</v>
      </c>
    </row>
    <row r="9" spans="2:15" ht="21.9" customHeight="1">
      <c r="B9" s="85"/>
      <c r="C9" s="310"/>
      <c r="D9" s="310" t="s">
        <v>59</v>
      </c>
      <c r="E9" s="310" t="s">
        <v>60</v>
      </c>
      <c r="F9" s="310"/>
      <c r="G9" s="310"/>
      <c r="H9" s="310"/>
      <c r="I9" s="73"/>
      <c r="J9" s="67"/>
      <c r="K9" s="952" t="s">
        <v>628</v>
      </c>
      <c r="L9" s="67"/>
      <c r="M9" s="552">
        <v>0</v>
      </c>
    </row>
    <row r="10" spans="2:15" ht="21.9" customHeight="1">
      <c r="B10" s="85"/>
      <c r="C10" s="310"/>
      <c r="D10" s="310" t="s">
        <v>61</v>
      </c>
      <c r="E10" s="310" t="s">
        <v>785</v>
      </c>
      <c r="F10" s="310"/>
      <c r="G10" s="310"/>
      <c r="H10" s="310"/>
      <c r="I10" s="73"/>
      <c r="J10" s="67"/>
      <c r="K10" s="952" t="s">
        <v>628</v>
      </c>
      <c r="L10" s="67"/>
      <c r="M10" s="552">
        <v>0</v>
      </c>
    </row>
    <row r="11" spans="2:15" ht="21.9" customHeight="1">
      <c r="B11" s="85" t="s">
        <v>294</v>
      </c>
      <c r="C11" s="310" t="s">
        <v>486</v>
      </c>
      <c r="D11" s="310"/>
      <c r="E11" s="310"/>
      <c r="F11" s="310"/>
      <c r="G11" s="310"/>
      <c r="H11" s="310"/>
      <c r="I11" s="24"/>
      <c r="J11" s="67"/>
      <c r="K11" s="952" t="s">
        <v>628</v>
      </c>
      <c r="L11" s="67"/>
      <c r="M11" s="123" t="s">
        <v>628</v>
      </c>
    </row>
    <row r="12" spans="2:15" ht="21.9" customHeight="1">
      <c r="B12" s="85"/>
      <c r="C12" s="310"/>
      <c r="D12" s="310" t="s">
        <v>59</v>
      </c>
      <c r="E12" s="310" t="s">
        <v>60</v>
      </c>
      <c r="F12" s="310"/>
      <c r="G12" s="310"/>
      <c r="H12" s="310"/>
      <c r="I12" s="73"/>
      <c r="J12" s="67"/>
      <c r="K12" s="952" t="s">
        <v>628</v>
      </c>
      <c r="L12" s="67"/>
      <c r="M12" s="552">
        <v>0</v>
      </c>
    </row>
    <row r="13" spans="2:15" ht="21.9" customHeight="1">
      <c r="B13" s="85"/>
      <c r="C13" s="310"/>
      <c r="D13" s="310" t="s">
        <v>61</v>
      </c>
      <c r="E13" s="310" t="s">
        <v>785</v>
      </c>
      <c r="F13" s="310"/>
      <c r="G13" s="310"/>
      <c r="H13" s="310"/>
      <c r="I13" s="73"/>
      <c r="J13" s="67"/>
      <c r="K13" s="952" t="s">
        <v>628</v>
      </c>
      <c r="L13" s="67"/>
      <c r="M13" s="552">
        <v>0</v>
      </c>
    </row>
    <row r="14" spans="2:15" ht="21.9" customHeight="1">
      <c r="B14" s="85" t="s">
        <v>295</v>
      </c>
      <c r="C14" s="310" t="s">
        <v>487</v>
      </c>
      <c r="D14" s="310"/>
      <c r="E14" s="310"/>
      <c r="F14" s="310"/>
      <c r="G14" s="310"/>
      <c r="H14" s="310"/>
      <c r="I14" s="73"/>
      <c r="J14" s="67"/>
      <c r="K14" s="553">
        <v>0</v>
      </c>
      <c r="L14" s="67"/>
      <c r="M14" s="123" t="s">
        <v>628</v>
      </c>
    </row>
    <row r="15" spans="2:15" ht="21.9" customHeight="1">
      <c r="B15" s="85" t="s">
        <v>296</v>
      </c>
      <c r="C15" s="310" t="s">
        <v>488</v>
      </c>
      <c r="D15" s="310"/>
      <c r="E15" s="310"/>
      <c r="F15" s="310"/>
      <c r="G15" s="310"/>
      <c r="H15" s="310"/>
      <c r="I15" s="73"/>
      <c r="J15" s="67"/>
      <c r="K15" s="553">
        <v>0</v>
      </c>
      <c r="L15" s="67"/>
      <c r="M15" s="123" t="s">
        <v>628</v>
      </c>
    </row>
    <row r="16" spans="2:15" ht="21.9" customHeight="1">
      <c r="B16" s="85" t="s">
        <v>297</v>
      </c>
      <c r="C16" s="1748" t="s">
        <v>3619</v>
      </c>
      <c r="D16" s="1748"/>
      <c r="E16" s="1748"/>
      <c r="F16" s="1748"/>
      <c r="G16" s="1748"/>
      <c r="H16" s="1748"/>
      <c r="I16" s="1754"/>
      <c r="J16" s="67"/>
      <c r="K16" s="952" t="s">
        <v>628</v>
      </c>
      <c r="L16" s="67"/>
      <c r="M16" s="552">
        <v>0</v>
      </c>
    </row>
    <row r="17" spans="2:19" ht="21.9" customHeight="1">
      <c r="B17" s="85"/>
      <c r="C17" s="310"/>
      <c r="D17" s="310" t="s">
        <v>59</v>
      </c>
      <c r="E17" s="310" t="s">
        <v>489</v>
      </c>
      <c r="F17" s="310"/>
      <c r="G17" s="310"/>
      <c r="H17" s="310"/>
      <c r="I17" s="73"/>
      <c r="J17" s="67"/>
      <c r="K17" s="952" t="s">
        <v>628</v>
      </c>
      <c r="L17" s="207" t="s">
        <v>491</v>
      </c>
      <c r="M17" s="552">
        <v>0</v>
      </c>
    </row>
    <row r="18" spans="2:19" ht="21.9" customHeight="1">
      <c r="B18" s="85"/>
      <c r="C18" s="310"/>
      <c r="D18" s="310" t="s">
        <v>61</v>
      </c>
      <c r="E18" s="310" t="s">
        <v>490</v>
      </c>
      <c r="F18" s="310"/>
      <c r="G18" s="310"/>
      <c r="H18" s="310"/>
      <c r="I18" s="73"/>
      <c r="J18" s="207" t="s">
        <v>491</v>
      </c>
      <c r="K18" s="108">
        <f>+M17</f>
        <v>0</v>
      </c>
      <c r="L18" s="67"/>
      <c r="M18" s="123" t="s">
        <v>628</v>
      </c>
    </row>
    <row r="19" spans="2:19" ht="21.9" customHeight="1" thickBot="1">
      <c r="B19" s="85" t="s">
        <v>298</v>
      </c>
      <c r="C19" s="310" t="s">
        <v>492</v>
      </c>
      <c r="D19" s="310"/>
      <c r="E19" s="310"/>
      <c r="F19" s="310"/>
      <c r="G19" s="310"/>
      <c r="H19" s="310"/>
      <c r="I19" s="24"/>
      <c r="J19" s="71"/>
      <c r="K19" s="953" t="s">
        <v>628</v>
      </c>
      <c r="L19" s="71"/>
      <c r="M19" s="71">
        <f>+K5+K14+K15+K18-M17-M16-M13-M12-M10-M9</f>
        <v>109620.22</v>
      </c>
    </row>
    <row r="20" spans="2:19" ht="21.9" customHeight="1" thickTop="1" thickBot="1">
      <c r="B20" s="85" t="s">
        <v>384</v>
      </c>
      <c r="C20" s="310"/>
      <c r="D20" s="310" t="s">
        <v>640</v>
      </c>
      <c r="E20" s="310"/>
      <c r="F20" s="310"/>
      <c r="G20" s="310"/>
      <c r="H20" s="310"/>
      <c r="I20" s="24"/>
      <c r="J20" s="109"/>
      <c r="K20" s="110">
        <f>SUM(K5:K19)</f>
        <v>109620.22</v>
      </c>
      <c r="L20" s="111"/>
      <c r="M20" s="111">
        <f>SUM(M5:M19)</f>
        <v>109620.22</v>
      </c>
    </row>
    <row r="21" spans="2:19" ht="21.9" customHeight="1" thickTop="1">
      <c r="B21" s="85" t="s">
        <v>385</v>
      </c>
      <c r="C21" s="310" t="s">
        <v>493</v>
      </c>
      <c r="D21" s="310"/>
      <c r="E21" s="310"/>
      <c r="F21" s="310"/>
      <c r="G21" s="310"/>
      <c r="H21" s="310"/>
      <c r="I21" s="24"/>
      <c r="J21" s="65"/>
      <c r="K21" s="107">
        <f>+M19</f>
        <v>109620.22</v>
      </c>
      <c r="L21" s="65"/>
      <c r="M21" s="124" t="s">
        <v>628</v>
      </c>
    </row>
    <row r="22" spans="2:19" ht="21.9" customHeight="1">
      <c r="B22" s="85" t="s">
        <v>386</v>
      </c>
      <c r="C22" s="310" t="s">
        <v>244</v>
      </c>
      <c r="D22" s="310"/>
      <c r="E22" s="310"/>
      <c r="F22" s="310"/>
      <c r="G22" s="310"/>
      <c r="H22" s="310"/>
      <c r="I22" s="24"/>
      <c r="J22" s="67"/>
      <c r="K22" s="952" t="s">
        <v>628</v>
      </c>
      <c r="L22" s="67"/>
      <c r="M22" s="67">
        <f>+I23+I24</f>
        <v>109620.22</v>
      </c>
      <c r="N22" s="312"/>
    </row>
    <row r="23" spans="2:19" ht="21.9" customHeight="1">
      <c r="B23" s="85"/>
      <c r="C23" s="310"/>
      <c r="D23" s="310" t="s">
        <v>59</v>
      </c>
      <c r="E23" s="310" t="s">
        <v>60</v>
      </c>
      <c r="F23" s="310"/>
      <c r="G23" s="310"/>
      <c r="H23" s="48"/>
      <c r="I23" s="547">
        <v>109620.22</v>
      </c>
      <c r="J23" s="67"/>
      <c r="K23" s="952" t="s">
        <v>628</v>
      </c>
      <c r="L23" s="67"/>
      <c r="M23" s="123" t="s">
        <v>628</v>
      </c>
      <c r="N23" s="218"/>
      <c r="O23" s="218"/>
      <c r="S23" s="218"/>
    </row>
    <row r="24" spans="2:19" ht="21.9" customHeight="1">
      <c r="B24" s="85"/>
      <c r="C24" s="310"/>
      <c r="D24" s="310" t="s">
        <v>61</v>
      </c>
      <c r="E24" s="310" t="s">
        <v>785</v>
      </c>
      <c r="F24" s="310"/>
      <c r="G24" s="310"/>
      <c r="H24" s="48"/>
      <c r="I24" s="353">
        <v>0</v>
      </c>
      <c r="J24" s="67"/>
      <c r="K24" s="952" t="s">
        <v>628</v>
      </c>
      <c r="L24" s="67"/>
      <c r="M24" s="123" t="s">
        <v>628</v>
      </c>
    </row>
    <row r="25" spans="2:19" ht="21.9" customHeight="1">
      <c r="B25" s="85" t="s">
        <v>223</v>
      </c>
      <c r="C25" s="310" t="str">
        <f>"Interest and Costs - "&amp;IF('KEY INPUTS'!C42="State Fiscal Year","Fiscal Year "&amp;'KEY INPUTS'!D33&amp;"",'KEY INPUTS'!D34)&amp;" Tax Sale"</f>
        <v>Interest and Costs - 2021 Tax Sale</v>
      </c>
      <c r="D25" s="310"/>
      <c r="E25" s="310"/>
      <c r="F25" s="310"/>
      <c r="G25" s="310"/>
      <c r="H25" s="310"/>
      <c r="I25" s="73"/>
      <c r="J25" s="67"/>
      <c r="K25" s="553">
        <v>0</v>
      </c>
      <c r="L25" s="67"/>
      <c r="M25" s="123" t="s">
        <v>628</v>
      </c>
    </row>
    <row r="26" spans="2:19" ht="21.9" customHeight="1">
      <c r="B26" s="85" t="s">
        <v>225</v>
      </c>
      <c r="C26" s="310" t="str">
        <f>IF('KEY INPUTS'!C42="State Fiscal Year","Fiscal Year "&amp;'KEY INPUTS'!D33&amp;"",'KEY INPUTS'!D34)&amp;" Taxes Transferred to Liens"</f>
        <v>2021 Taxes Transferred to Liens</v>
      </c>
      <c r="D26" s="310"/>
      <c r="E26" s="310"/>
      <c r="F26" s="310"/>
      <c r="G26" s="310"/>
      <c r="H26" s="310"/>
      <c r="I26" s="73"/>
      <c r="J26" s="67"/>
      <c r="K26" s="553">
        <v>0</v>
      </c>
      <c r="L26" s="67"/>
      <c r="M26" s="123" t="s">
        <v>628</v>
      </c>
    </row>
    <row r="27" spans="2:19" ht="21.9" customHeight="1">
      <c r="B27" s="85" t="s">
        <v>226</v>
      </c>
      <c r="C27" s="310" t="str">
        <f>IF('KEY INPUTS'!C42="State Fiscal Year","Fiscal Year "&amp;'KEY INPUTS'!D33&amp;"",'KEY INPUTS'!D34)&amp;" Taxes"</f>
        <v>2021 Taxes</v>
      </c>
      <c r="D27" s="310"/>
      <c r="E27" s="310"/>
      <c r="F27" s="310"/>
      <c r="G27" s="310"/>
      <c r="H27" s="310"/>
      <c r="I27" s="73"/>
      <c r="J27" s="67"/>
      <c r="K27" s="689">
        <f>+'22-CY Levy'!N35+'22-CY Levy'!N22</f>
        <v>75203.210000000894</v>
      </c>
      <c r="L27" s="67"/>
      <c r="M27" s="123" t="s">
        <v>628</v>
      </c>
    </row>
    <row r="28" spans="2:19" ht="21.9" customHeight="1">
      <c r="B28" s="85" t="s">
        <v>565</v>
      </c>
      <c r="C28" s="310" t="str">
        <f>'24-Reserves for Tax Appeals'!B17</f>
        <v>Balance - December 31, 2021</v>
      </c>
      <c r="D28" s="310"/>
      <c r="E28" s="310"/>
      <c r="F28" s="310"/>
      <c r="G28" s="310"/>
      <c r="H28" s="310"/>
      <c r="I28" s="24"/>
      <c r="J28" s="67"/>
      <c r="K28" s="952" t="s">
        <v>628</v>
      </c>
      <c r="L28" s="67"/>
      <c r="M28" s="67">
        <f>+I29+I30</f>
        <v>75203.210000000894</v>
      </c>
    </row>
    <row r="29" spans="2:19" ht="21.9" customHeight="1">
      <c r="B29" s="85"/>
      <c r="C29" s="310"/>
      <c r="D29" s="310" t="s">
        <v>59</v>
      </c>
      <c r="E29" s="310" t="s">
        <v>60</v>
      </c>
      <c r="F29" s="310"/>
      <c r="G29" s="310"/>
      <c r="H29" s="48"/>
      <c r="I29" s="66">
        <f>+I6-M9-M12+K14-M17-I23+K27</f>
        <v>75203.210000000894</v>
      </c>
      <c r="J29" s="67"/>
      <c r="K29" s="952" t="s">
        <v>628</v>
      </c>
      <c r="L29" s="67"/>
      <c r="M29" s="123" t="s">
        <v>628</v>
      </c>
      <c r="N29" s="218"/>
    </row>
    <row r="30" spans="2:19" ht="21.9" customHeight="1">
      <c r="B30" s="85"/>
      <c r="C30" s="310"/>
      <c r="D30" s="310" t="s">
        <v>61</v>
      </c>
      <c r="E30" s="310" t="s">
        <v>785</v>
      </c>
      <c r="F30" s="310"/>
      <c r="G30" s="310"/>
      <c r="H30" s="48"/>
      <c r="I30" s="66">
        <f>+I7-M10-M13+K15+K18-I24+K25+K26</f>
        <v>0</v>
      </c>
      <c r="J30" s="67"/>
      <c r="K30" s="952" t="s">
        <v>628</v>
      </c>
      <c r="L30" s="67"/>
      <c r="M30" s="123" t="s">
        <v>628</v>
      </c>
      <c r="N30" s="218"/>
    </row>
    <row r="31" spans="2:19" ht="21.9" customHeight="1" thickBot="1">
      <c r="B31" s="83" t="s">
        <v>494</v>
      </c>
      <c r="C31" s="309"/>
      <c r="E31" t="s">
        <v>640</v>
      </c>
      <c r="I31" s="105"/>
      <c r="J31" s="78"/>
      <c r="K31" s="112">
        <f>SUM(K21:K30)</f>
        <v>184823.4300000009</v>
      </c>
      <c r="L31" s="113"/>
      <c r="M31" s="113">
        <f>SUM(M21:M30)</f>
        <v>184823.4300000009</v>
      </c>
      <c r="N31" s="218"/>
    </row>
    <row r="32" spans="2:19" ht="13.8" thickTop="1">
      <c r="B32" s="83"/>
      <c r="H32" s="218"/>
      <c r="I32" s="218"/>
      <c r="O32" s="218"/>
    </row>
    <row r="33" spans="2:13">
      <c r="B33" s="83"/>
      <c r="I33" s="218"/>
    </row>
    <row r="34" spans="2:13" ht="13.8" thickBot="1">
      <c r="B34" s="83" t="s">
        <v>495</v>
      </c>
      <c r="C34" t="s">
        <v>496</v>
      </c>
    </row>
    <row r="35" spans="2:13" ht="14.4" thickTop="1" thickBot="1">
      <c r="B35" s="83"/>
      <c r="C35" t="s">
        <v>497</v>
      </c>
      <c r="H35" s="1472">
        <f>IFERROR(TRUNC(M22/K21,4),"NO ENTRY")</f>
        <v>1</v>
      </c>
    </row>
    <row r="36" spans="2:13" ht="14.4" thickTop="1" thickBot="1">
      <c r="B36" s="83"/>
    </row>
    <row r="37" spans="2:13" ht="14.4" thickTop="1" thickBot="1">
      <c r="B37" s="83" t="s">
        <v>498</v>
      </c>
      <c r="C37" s="311" t="s">
        <v>3529</v>
      </c>
      <c r="I37" s="1473">
        <f>IFERROR(H35*M28,"NO ENTRY")</f>
        <v>75203.210000000894</v>
      </c>
      <c r="J37" t="s">
        <v>499</v>
      </c>
      <c r="M37" s="243"/>
    </row>
    <row r="38" spans="2:13" ht="13.8" thickTop="1">
      <c r="B38" s="83"/>
      <c r="C38" t="str">
        <f>"maximum amount that may be anticipated in "&amp;IF('KEY INPUTS'!C42="State Fiscal Year","Fiscal Year "&amp;'KEY INPUTS'!D33+1&amp;"",'KEY INPUTS'!D34+1)&amp;"."</f>
        <v>maximum amount that may be anticipated in 2022.</v>
      </c>
      <c r="I38" s="56"/>
    </row>
    <row r="39" spans="2:13">
      <c r="B39" s="83"/>
    </row>
    <row r="40" spans="2:13">
      <c r="B40" s="95" t="s">
        <v>245</v>
      </c>
    </row>
    <row r="41" spans="2:13">
      <c r="B41" s="83"/>
    </row>
    <row r="42" spans="2:13">
      <c r="B42" s="95" t="s">
        <v>768</v>
      </c>
    </row>
    <row r="43" spans="2:13">
      <c r="B43" s="95"/>
    </row>
    <row r="44" spans="2:13">
      <c r="B44" s="95"/>
    </row>
    <row r="45" spans="2:13">
      <c r="B45" s="95"/>
    </row>
    <row r="46" spans="2:13">
      <c r="B46" s="95"/>
    </row>
    <row r="47" spans="2:13">
      <c r="B47" s="95"/>
    </row>
    <row r="48" spans="2:13">
      <c r="B48" s="83"/>
    </row>
    <row r="49" spans="2:13" ht="13.8">
      <c r="B49" s="1688" t="s">
        <v>769</v>
      </c>
      <c r="C49" s="1688"/>
      <c r="D49" s="1688"/>
      <c r="E49" s="1688"/>
      <c r="F49" s="1688"/>
      <c r="G49" s="1688"/>
      <c r="H49" s="1688"/>
      <c r="I49" s="1688"/>
      <c r="J49" s="1688"/>
      <c r="K49" s="1688"/>
      <c r="L49" s="1688"/>
      <c r="M49" s="1688"/>
    </row>
    <row r="50" spans="2:13">
      <c r="B50" s="83"/>
    </row>
    <row r="51" spans="2:13">
      <c r="B51" s="83"/>
    </row>
    <row r="52" spans="2:13">
      <c r="B52" s="83"/>
    </row>
    <row r="53" spans="2:13">
      <c r="B53" s="83"/>
    </row>
    <row r="54" spans="2:13">
      <c r="B54" s="83"/>
    </row>
    <row r="55" spans="2:13">
      <c r="B55" s="83"/>
    </row>
    <row r="56" spans="2:13">
      <c r="B56" s="83"/>
    </row>
    <row r="57" spans="2:13">
      <c r="B57" s="83"/>
    </row>
    <row r="58" spans="2:13">
      <c r="B58" s="83"/>
    </row>
    <row r="59" spans="2:13">
      <c r="B59" s="83"/>
    </row>
    <row r="60" spans="2:13">
      <c r="B60" s="83"/>
    </row>
    <row r="61" spans="2:13">
      <c r="B61" s="83"/>
    </row>
    <row r="62" spans="2:13">
      <c r="B62" s="83"/>
    </row>
    <row r="63" spans="2:13">
      <c r="B63" s="83"/>
    </row>
    <row r="64" spans="2:13">
      <c r="B64" s="83"/>
    </row>
    <row r="65" spans="2:2">
      <c r="B65" s="83"/>
    </row>
    <row r="66" spans="2:2">
      <c r="B66" s="83"/>
    </row>
    <row r="67" spans="2:2">
      <c r="B67" s="83"/>
    </row>
    <row r="68" spans="2:2">
      <c r="B68" s="83"/>
    </row>
    <row r="69" spans="2:2">
      <c r="B69" s="83"/>
    </row>
    <row r="70" spans="2:2">
      <c r="B70" s="83"/>
    </row>
    <row r="71" spans="2:2">
      <c r="B71" s="83"/>
    </row>
    <row r="72" spans="2:2">
      <c r="B72" s="83"/>
    </row>
    <row r="73" spans="2:2">
      <c r="B73" s="83"/>
    </row>
    <row r="74" spans="2:2">
      <c r="B74" s="83"/>
    </row>
    <row r="75" spans="2:2">
      <c r="B75" s="83"/>
    </row>
    <row r="76" spans="2:2">
      <c r="B76" s="83"/>
    </row>
    <row r="77" spans="2:2">
      <c r="B77" s="83"/>
    </row>
    <row r="78" spans="2:2">
      <c r="B78" s="83"/>
    </row>
    <row r="79" spans="2:2">
      <c r="B79" s="83"/>
    </row>
    <row r="80" spans="2:2">
      <c r="B80" s="83"/>
    </row>
  </sheetData>
  <sheetProtection algorithmName="SHA-512" hashValue="Vb5fmeJRCx4FV8tGHqqNU9m5n7YHf/mcqUTGVJoEzSRGMsRYMhxRmZD/s4meq8qLt6GNdqJ9WGga96hI372llw==" saltValue="fNcaQog9wa9afCiU46S1xQ==" spinCount="100000" sheet="1" objects="1" scenarios="1"/>
  <mergeCells count="5">
    <mergeCell ref="B49:M49"/>
    <mergeCell ref="B2:M2"/>
    <mergeCell ref="J4:K4"/>
    <mergeCell ref="L4:M4"/>
    <mergeCell ref="C16:I16"/>
  </mergeCells>
  <phoneticPr fontId="0" type="noConversion"/>
  <pageMargins left="0.25" right="0.25" top="0.5" bottom="0.5" header="0.25" footer="0.25"/>
  <pageSetup paperSize="5" orientation="portrait" r:id="rId1"/>
  <headerFooter alignWithMargins="0"/>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5"/>
  <dimension ref="A2:V81"/>
  <sheetViews>
    <sheetView topLeftCell="A22" zoomScaleNormal="100" workbookViewId="0">
      <selection activeCell="I46" sqref="I46"/>
    </sheetView>
  </sheetViews>
  <sheetFormatPr defaultRowHeight="13.2"/>
  <cols>
    <col min="1" max="1" width="4.6640625" customWidth="1"/>
    <col min="2" max="2" width="3.5546875" customWidth="1"/>
    <col min="3" max="3" width="4.6640625" customWidth="1"/>
    <col min="4" max="4" width="2.6640625" customWidth="1"/>
    <col min="5" max="5" width="4.6640625" customWidth="1"/>
    <col min="6" max="6" width="7.44140625" customWidth="1"/>
    <col min="7" max="7" width="4.5546875" customWidth="1"/>
    <col min="8" max="8" width="3" customWidth="1"/>
    <col min="9" max="9" width="16.6640625" customWidth="1"/>
    <col min="10" max="10" width="14.6640625" customWidth="1"/>
    <col min="11" max="12" width="16.6640625" customWidth="1"/>
    <col min="14" max="14" width="12.88671875" bestFit="1" customWidth="1"/>
  </cols>
  <sheetData>
    <row r="2" spans="2:22" ht="20.399999999999999">
      <c r="B2" s="1619" t="s">
        <v>855</v>
      </c>
      <c r="C2" s="1619"/>
      <c r="D2" s="1619"/>
      <c r="E2" s="1619"/>
      <c r="F2" s="1619"/>
      <c r="G2" s="1619"/>
      <c r="H2" s="1619"/>
      <c r="I2" s="1619"/>
      <c r="J2" s="1619"/>
      <c r="K2" s="1619"/>
      <c r="L2" s="1619"/>
    </row>
    <row r="3" spans="2:22" ht="15.6">
      <c r="B3" s="1620" t="s">
        <v>856</v>
      </c>
      <c r="C3" s="1620"/>
      <c r="D3" s="1620"/>
      <c r="E3" s="1620"/>
      <c r="F3" s="1620"/>
      <c r="G3" s="1620"/>
      <c r="H3" s="1620"/>
      <c r="I3" s="1620"/>
      <c r="J3" s="1620"/>
      <c r="K3" s="1620"/>
      <c r="L3" s="1620"/>
    </row>
    <row r="4" spans="2:22" ht="11.25" customHeight="1" thickBot="1"/>
    <row r="5" spans="2:22" ht="21" customHeight="1" thickTop="1" thickBot="1">
      <c r="B5" s="991"/>
      <c r="C5" s="991"/>
      <c r="D5" s="991"/>
      <c r="E5" s="991"/>
      <c r="F5" s="991"/>
      <c r="G5" s="991"/>
      <c r="H5" s="991"/>
      <c r="I5" s="991"/>
      <c r="J5" s="991"/>
      <c r="K5" s="921" t="s">
        <v>96</v>
      </c>
      <c r="L5" s="946" t="s">
        <v>97</v>
      </c>
    </row>
    <row r="6" spans="2:22" ht="21.9" customHeight="1" thickTop="1">
      <c r="B6" s="995" t="s">
        <v>292</v>
      </c>
      <c r="C6" s="358" t="str">
        <f>'26-Delinquent Taxes and Liens'!C5</f>
        <v>Balance - January 1, 2021</v>
      </c>
      <c r="D6" s="358"/>
      <c r="E6" s="358"/>
      <c r="F6" s="358"/>
      <c r="G6" s="358"/>
      <c r="H6" s="358"/>
      <c r="I6" s="358"/>
      <c r="J6" s="996"/>
      <c r="K6" s="553">
        <v>162500</v>
      </c>
      <c r="L6" s="993" t="s">
        <v>628</v>
      </c>
    </row>
    <row r="7" spans="2:22" ht="21.9" customHeight="1">
      <c r="B7" s="934" t="s">
        <v>293</v>
      </c>
      <c r="C7" s="360" t="str">
        <f>"Foreclosed or Deeded in "&amp;IF('KEY INPUTS'!C42="State Fiscal Year","Fiscal Year "&amp;'KEY INPUTS'!D33&amp;"",'KEY INPUTS'!D34)</f>
        <v>Foreclosed or Deeded in 2021</v>
      </c>
      <c r="D7" s="360"/>
      <c r="E7" s="360"/>
      <c r="F7" s="360"/>
      <c r="G7" s="360"/>
      <c r="H7" s="360"/>
      <c r="I7" s="360"/>
      <c r="J7" s="361"/>
      <c r="K7" s="994" t="s">
        <v>628</v>
      </c>
      <c r="L7" s="930" t="s">
        <v>628</v>
      </c>
    </row>
    <row r="8" spans="2:22" ht="21.9" customHeight="1">
      <c r="B8" s="934" t="s">
        <v>294</v>
      </c>
      <c r="C8" s="360"/>
      <c r="D8" s="360" t="s">
        <v>785</v>
      </c>
      <c r="E8" s="360"/>
      <c r="F8" s="360"/>
      <c r="G8" s="360"/>
      <c r="H8" s="360"/>
      <c r="I8" s="360"/>
      <c r="J8" s="997"/>
      <c r="K8" s="1410">
        <f>+'26-Delinquent Taxes and Liens'!M13</f>
        <v>0</v>
      </c>
      <c r="L8" s="930" t="s">
        <v>628</v>
      </c>
      <c r="N8" s="309"/>
      <c r="O8" s="309"/>
      <c r="P8" s="309"/>
      <c r="Q8" s="309"/>
      <c r="R8" s="309"/>
      <c r="S8" s="309"/>
      <c r="T8" s="309"/>
      <c r="U8" s="309"/>
      <c r="V8" s="309"/>
    </row>
    <row r="9" spans="2:22" ht="21.9" customHeight="1">
      <c r="B9" s="934" t="s">
        <v>295</v>
      </c>
      <c r="C9" s="360"/>
      <c r="D9" s="360" t="s">
        <v>784</v>
      </c>
      <c r="E9" s="360"/>
      <c r="F9" s="360"/>
      <c r="G9" s="360"/>
      <c r="H9" s="360"/>
      <c r="I9" s="360"/>
      <c r="J9" s="997"/>
      <c r="K9" s="1175">
        <f>+'26-Delinquent Taxes and Liens'!M12</f>
        <v>0</v>
      </c>
      <c r="L9" s="930" t="s">
        <v>628</v>
      </c>
      <c r="N9" s="309"/>
      <c r="O9" s="309"/>
      <c r="P9" s="309"/>
      <c r="Q9" s="309"/>
      <c r="R9" s="309"/>
      <c r="S9" s="309"/>
      <c r="T9" s="309"/>
      <c r="U9" s="309"/>
      <c r="V9" s="309"/>
    </row>
    <row r="10" spans="2:22" ht="21.9" customHeight="1">
      <c r="B10" s="934" t="s">
        <v>848</v>
      </c>
      <c r="C10" s="1678"/>
      <c r="D10" s="1678"/>
      <c r="E10" s="1678"/>
      <c r="F10" s="1678"/>
      <c r="G10" s="1678"/>
      <c r="H10" s="1678"/>
      <c r="I10" s="1678"/>
      <c r="J10" s="997"/>
      <c r="K10" s="553"/>
      <c r="L10" s="930" t="s">
        <v>628</v>
      </c>
      <c r="N10" s="309"/>
      <c r="O10" s="309"/>
      <c r="P10" s="309"/>
      <c r="Q10" s="309"/>
      <c r="R10" s="309"/>
      <c r="S10" s="309"/>
      <c r="T10" s="309"/>
      <c r="U10" s="309"/>
      <c r="V10" s="309"/>
    </row>
    <row r="11" spans="2:22" ht="21.9" customHeight="1">
      <c r="B11" s="934" t="s">
        <v>849</v>
      </c>
      <c r="C11" s="1678"/>
      <c r="D11" s="1678"/>
      <c r="E11" s="1678"/>
      <c r="F11" s="1678"/>
      <c r="G11" s="1678"/>
      <c r="H11" s="1678"/>
      <c r="I11" s="1678"/>
      <c r="J11" s="997"/>
      <c r="K11" s="994" t="s">
        <v>628</v>
      </c>
      <c r="L11" s="552"/>
      <c r="N11" s="309"/>
      <c r="O11" s="309"/>
      <c r="P11" s="309"/>
      <c r="Q11" s="309"/>
      <c r="R11" s="309"/>
      <c r="S11" s="309"/>
      <c r="T11" s="309"/>
      <c r="U11" s="309"/>
      <c r="V11" s="309"/>
    </row>
    <row r="12" spans="2:22" ht="21.9" customHeight="1">
      <c r="B12" s="934" t="s">
        <v>297</v>
      </c>
      <c r="C12" s="360"/>
      <c r="D12" s="360" t="s">
        <v>850</v>
      </c>
      <c r="E12" s="360"/>
      <c r="F12" s="360"/>
      <c r="G12" s="360"/>
      <c r="H12" s="360"/>
      <c r="I12" s="360"/>
      <c r="J12" s="997"/>
      <c r="K12" s="553"/>
      <c r="L12" s="930" t="s">
        <v>628</v>
      </c>
      <c r="N12" s="309"/>
      <c r="O12" s="309"/>
      <c r="P12" s="309"/>
      <c r="Q12" s="309"/>
      <c r="R12" s="309"/>
      <c r="S12" s="309"/>
      <c r="T12" s="309"/>
      <c r="U12" s="309"/>
      <c r="V12" s="309"/>
    </row>
    <row r="13" spans="2:22" ht="21.9" customHeight="1">
      <c r="B13" s="934" t="s">
        <v>298</v>
      </c>
      <c r="C13" s="360"/>
      <c r="D13" s="360" t="s">
        <v>850</v>
      </c>
      <c r="E13" s="360"/>
      <c r="F13" s="360"/>
      <c r="G13" s="360"/>
      <c r="H13" s="360"/>
      <c r="I13" s="360"/>
      <c r="J13" s="997"/>
      <c r="K13" s="994" t="s">
        <v>628</v>
      </c>
      <c r="L13" s="552"/>
      <c r="N13" s="309"/>
      <c r="O13" s="309"/>
      <c r="P13" s="309"/>
      <c r="Q13" s="309"/>
      <c r="R13" s="309"/>
      <c r="S13" s="309"/>
      <c r="T13" s="309"/>
      <c r="U13" s="309"/>
      <c r="V13" s="309"/>
    </row>
    <row r="14" spans="2:22" ht="21.9" customHeight="1">
      <c r="B14" s="934" t="s">
        <v>384</v>
      </c>
      <c r="C14" s="998" t="s">
        <v>851</v>
      </c>
      <c r="D14" s="998"/>
      <c r="E14" s="998"/>
      <c r="F14" s="998"/>
      <c r="G14" s="998"/>
      <c r="H14" s="998"/>
      <c r="I14" s="998"/>
      <c r="J14" s="999"/>
      <c r="K14" s="994" t="s">
        <v>628</v>
      </c>
      <c r="L14" s="930" t="s">
        <v>628</v>
      </c>
      <c r="N14" s="309"/>
      <c r="O14" s="309"/>
      <c r="P14" s="309"/>
      <c r="Q14" s="309"/>
      <c r="R14" s="309"/>
      <c r="S14" s="309"/>
      <c r="T14" s="309"/>
      <c r="U14" s="309"/>
      <c r="V14" s="309"/>
    </row>
    <row r="15" spans="2:22" ht="21.9" customHeight="1">
      <c r="B15" s="934" t="s">
        <v>385</v>
      </c>
      <c r="C15" s="1000"/>
      <c r="D15" s="1001" t="s">
        <v>852</v>
      </c>
      <c r="E15" s="1000"/>
      <c r="F15" s="1000"/>
      <c r="G15" s="1000"/>
      <c r="H15" s="1000"/>
      <c r="I15" s="1000"/>
      <c r="J15" s="997"/>
      <c r="K15" s="994" t="s">
        <v>628</v>
      </c>
      <c r="L15" s="552"/>
      <c r="N15" s="309"/>
      <c r="O15" s="356"/>
      <c r="P15" s="309"/>
      <c r="Q15" s="309"/>
      <c r="R15" s="309"/>
      <c r="S15" s="309"/>
      <c r="T15" s="309"/>
      <c r="U15" s="309"/>
      <c r="V15" s="309"/>
    </row>
    <row r="16" spans="2:22" ht="21.9" customHeight="1">
      <c r="B16" s="934" t="s">
        <v>386</v>
      </c>
      <c r="C16" s="1002"/>
      <c r="D16" s="1003" t="s">
        <v>853</v>
      </c>
      <c r="E16" s="1002"/>
      <c r="F16" s="1002"/>
      <c r="G16" s="1002"/>
      <c r="H16" s="1002"/>
      <c r="I16" s="1002"/>
      <c r="J16" s="997"/>
      <c r="K16" s="994" t="s">
        <v>628</v>
      </c>
      <c r="L16" s="552"/>
      <c r="N16" s="309"/>
      <c r="O16" s="309"/>
      <c r="P16" s="309"/>
      <c r="Q16" s="309"/>
      <c r="R16" s="309"/>
      <c r="S16" s="309"/>
      <c r="T16" s="309"/>
      <c r="U16" s="309"/>
      <c r="V16" s="309"/>
    </row>
    <row r="17" spans="2:22" ht="21.9" customHeight="1">
      <c r="B17" s="934" t="s">
        <v>223</v>
      </c>
      <c r="C17" s="1004"/>
      <c r="D17" s="1000" t="s">
        <v>854</v>
      </c>
      <c r="E17" s="1004"/>
      <c r="F17" s="1004"/>
      <c r="G17" s="1004"/>
      <c r="H17" s="1004"/>
      <c r="I17" s="1004"/>
      <c r="J17" s="997"/>
      <c r="K17" s="994" t="s">
        <v>628</v>
      </c>
      <c r="L17" s="552"/>
      <c r="N17" s="309"/>
      <c r="O17" s="309"/>
      <c r="P17" s="309"/>
      <c r="Q17" s="309"/>
      <c r="R17" s="309"/>
      <c r="S17" s="309"/>
      <c r="T17" s="309"/>
      <c r="U17" s="309"/>
      <c r="V17" s="309"/>
    </row>
    <row r="18" spans="2:22" ht="21.9" customHeight="1">
      <c r="B18" s="934" t="s">
        <v>225</v>
      </c>
      <c r="C18" s="1004"/>
      <c r="D18" s="1000" t="s">
        <v>246</v>
      </c>
      <c r="E18" s="1004"/>
      <c r="F18" s="1004"/>
      <c r="G18" s="1004"/>
      <c r="H18" s="1004"/>
      <c r="I18" s="1004"/>
      <c r="J18" s="997"/>
      <c r="K18" s="994" t="s">
        <v>628</v>
      </c>
      <c r="L18" s="552"/>
      <c r="N18" s="309"/>
      <c r="O18" s="309"/>
      <c r="P18" s="309"/>
      <c r="Q18" s="309"/>
      <c r="R18" s="309"/>
      <c r="S18" s="309"/>
      <c r="T18" s="309"/>
      <c r="U18" s="309"/>
      <c r="V18" s="309"/>
    </row>
    <row r="19" spans="2:22" ht="21.9" customHeight="1">
      <c r="B19" s="934" t="s">
        <v>226</v>
      </c>
      <c r="C19" s="360"/>
      <c r="D19" s="360" t="s">
        <v>247</v>
      </c>
      <c r="E19" s="360"/>
      <c r="F19" s="360"/>
      <c r="G19" s="360"/>
      <c r="H19" s="360"/>
      <c r="I19" s="360"/>
      <c r="J19" s="997"/>
      <c r="K19" s="553"/>
      <c r="L19" s="930" t="s">
        <v>628</v>
      </c>
      <c r="N19" s="309"/>
      <c r="O19" s="309"/>
      <c r="P19" s="309"/>
      <c r="Q19" s="309"/>
      <c r="R19" s="309"/>
      <c r="S19" s="309"/>
      <c r="T19" s="309"/>
      <c r="U19" s="309"/>
      <c r="V19" s="309"/>
    </row>
    <row r="20" spans="2:22" ht="21.9" customHeight="1" thickBot="1">
      <c r="B20" s="934" t="s">
        <v>565</v>
      </c>
      <c r="C20" s="360" t="str">
        <f>'26-Delinquent Taxes and Liens'!C28</f>
        <v>Balance - December 31, 2021</v>
      </c>
      <c r="D20" s="360"/>
      <c r="E20" s="360"/>
      <c r="F20" s="360"/>
      <c r="G20" s="360"/>
      <c r="H20" s="360"/>
      <c r="I20" s="360"/>
      <c r="J20" s="997"/>
      <c r="K20" s="1007" t="s">
        <v>628</v>
      </c>
      <c r="L20" s="1005">
        <f>K6+SUM(K8:K10)-L11+K12-L13-SUM(L15:L18)+K19</f>
        <v>162500</v>
      </c>
      <c r="N20" s="309"/>
      <c r="O20" s="309"/>
      <c r="P20" s="309"/>
      <c r="Q20" s="309"/>
      <c r="R20" s="309"/>
      <c r="S20" s="309"/>
      <c r="T20" s="309"/>
      <c r="U20" s="309"/>
      <c r="V20" s="309"/>
    </row>
    <row r="21" spans="2:22" ht="21.9" customHeight="1" thickTop="1" thickBot="1">
      <c r="B21" s="83"/>
      <c r="J21" s="42"/>
      <c r="K21" s="1008">
        <f>SUM(K6:K20)</f>
        <v>162500</v>
      </c>
      <c r="L21" s="1006">
        <f>SUM(L6:L20)</f>
        <v>162500</v>
      </c>
      <c r="N21" s="309"/>
      <c r="O21" s="309"/>
      <c r="P21" s="309"/>
      <c r="Q21" s="309"/>
      <c r="R21" s="309"/>
      <c r="S21" s="309"/>
      <c r="T21" s="309"/>
      <c r="U21" s="309"/>
      <c r="V21" s="309"/>
    </row>
    <row r="22" spans="2:22" ht="15" customHeight="1" thickTop="1">
      <c r="B22" s="83"/>
      <c r="J22" s="42"/>
      <c r="K22" s="118"/>
      <c r="L22" s="118"/>
      <c r="N22" s="309"/>
      <c r="O22" s="309"/>
      <c r="P22" s="309"/>
      <c r="Q22" s="309"/>
      <c r="R22" s="309"/>
      <c r="S22" s="309"/>
      <c r="T22" s="309"/>
      <c r="U22" s="309"/>
      <c r="V22" s="309"/>
    </row>
    <row r="23" spans="2:22" ht="16.5" customHeight="1">
      <c r="B23" s="1683" t="s">
        <v>857</v>
      </c>
      <c r="C23" s="1683"/>
      <c r="D23" s="1683"/>
      <c r="E23" s="1683"/>
      <c r="F23" s="1683"/>
      <c r="G23" s="1683"/>
      <c r="H23" s="1683"/>
      <c r="I23" s="1683"/>
      <c r="J23" s="1683"/>
      <c r="K23" s="1683"/>
      <c r="L23" s="1683"/>
      <c r="N23" s="309"/>
      <c r="O23" s="309"/>
      <c r="P23" s="309"/>
      <c r="Q23" s="309"/>
      <c r="R23" s="309"/>
      <c r="S23" s="309"/>
      <c r="T23" s="309"/>
      <c r="U23" s="309"/>
      <c r="V23" s="309"/>
    </row>
    <row r="24" spans="2:22" ht="9.75" customHeight="1" thickBot="1">
      <c r="B24" s="811"/>
      <c r="C24" s="811"/>
      <c r="D24" s="811"/>
      <c r="E24" s="811"/>
      <c r="F24" s="811"/>
      <c r="G24" s="811"/>
      <c r="H24" s="811"/>
      <c r="I24" s="811"/>
      <c r="J24" s="811"/>
      <c r="K24" s="811"/>
      <c r="L24" s="811"/>
      <c r="N24" s="309"/>
      <c r="O24" s="309"/>
      <c r="P24" s="309"/>
      <c r="Q24" s="309"/>
      <c r="R24" s="309"/>
      <c r="S24" s="309"/>
      <c r="T24" s="309"/>
      <c r="U24" s="309"/>
      <c r="V24" s="309"/>
    </row>
    <row r="25" spans="2:22" ht="21.9" customHeight="1" thickTop="1" thickBot="1">
      <c r="B25" s="991"/>
      <c r="C25" s="991"/>
      <c r="D25" s="991"/>
      <c r="E25" s="991"/>
      <c r="F25" s="991"/>
      <c r="G25" s="991"/>
      <c r="H25" s="991"/>
      <c r="I25" s="991"/>
      <c r="J25" s="991"/>
      <c r="K25" s="921" t="s">
        <v>96</v>
      </c>
      <c r="L25" s="946" t="s">
        <v>97</v>
      </c>
      <c r="N25" s="309"/>
      <c r="O25" s="309"/>
      <c r="P25" s="309"/>
      <c r="Q25" s="309"/>
      <c r="R25" s="309"/>
      <c r="S25" s="309"/>
      <c r="T25" s="309"/>
      <c r="U25" s="309"/>
      <c r="V25" s="309"/>
    </row>
    <row r="26" spans="2:22" ht="20.100000000000001" customHeight="1" thickTop="1">
      <c r="B26" s="995" t="s">
        <v>494</v>
      </c>
      <c r="C26" s="358" t="str">
        <f>C6</f>
        <v>Balance - January 1, 2021</v>
      </c>
      <c r="D26" s="358"/>
      <c r="E26" s="358"/>
      <c r="F26" s="358"/>
      <c r="G26" s="358"/>
      <c r="H26" s="358"/>
      <c r="I26" s="358"/>
      <c r="J26" s="997"/>
      <c r="K26" s="553">
        <v>0</v>
      </c>
      <c r="L26" s="993" t="s">
        <v>628</v>
      </c>
      <c r="N26" s="309"/>
      <c r="O26" s="309"/>
      <c r="P26" s="309"/>
      <c r="Q26" s="309"/>
      <c r="R26" s="309"/>
      <c r="S26" s="309"/>
      <c r="T26" s="309"/>
      <c r="U26" s="309"/>
      <c r="V26" s="309"/>
    </row>
    <row r="27" spans="2:22" ht="20.100000000000001" customHeight="1">
      <c r="B27" s="934" t="s">
        <v>495</v>
      </c>
      <c r="C27" s="360" t="str">
        <f>IF('KEY INPUTS'!C42="State Fiscal Year","Fiscal Year "&amp;'KEY INPUTS'!D33&amp;"",'KEY INPUTS'!D34)&amp;" Sales from Foreclosed Property"</f>
        <v>2021 Sales from Foreclosed Property</v>
      </c>
      <c r="D27" s="360"/>
      <c r="E27" s="360"/>
      <c r="F27" s="360"/>
      <c r="G27" s="360"/>
      <c r="H27" s="360"/>
      <c r="I27" s="360"/>
      <c r="J27" s="997"/>
      <c r="K27" s="553"/>
      <c r="L27" s="930" t="s">
        <v>628</v>
      </c>
    </row>
    <row r="28" spans="2:22" ht="20.100000000000001" customHeight="1">
      <c r="B28" s="934" t="s">
        <v>498</v>
      </c>
      <c r="C28" s="360" t="s">
        <v>860</v>
      </c>
      <c r="D28" s="360"/>
      <c r="E28" s="360"/>
      <c r="F28" s="360"/>
      <c r="G28" s="360"/>
      <c r="H28" s="360"/>
      <c r="I28" s="360"/>
      <c r="J28" s="997"/>
      <c r="K28" s="994" t="s">
        <v>628</v>
      </c>
      <c r="L28" s="552"/>
    </row>
    <row r="29" spans="2:22" ht="20.100000000000001" customHeight="1">
      <c r="B29" s="934" t="s">
        <v>858</v>
      </c>
      <c r="C29" s="1678"/>
      <c r="D29" s="1678"/>
      <c r="E29" s="1678"/>
      <c r="F29" s="1678"/>
      <c r="G29" s="1678"/>
      <c r="H29" s="1678"/>
      <c r="I29" s="1678"/>
      <c r="J29" s="997"/>
      <c r="K29" s="994" t="s">
        <v>628</v>
      </c>
      <c r="L29" s="552"/>
    </row>
    <row r="30" spans="2:22" ht="20.100000000000001" customHeight="1" thickBot="1">
      <c r="B30" s="934" t="s">
        <v>859</v>
      </c>
      <c r="C30" s="360" t="str">
        <f>C20</f>
        <v>Balance - December 31, 2021</v>
      </c>
      <c r="D30" s="360"/>
      <c r="E30" s="360"/>
      <c r="F30" s="360"/>
      <c r="G30" s="360"/>
      <c r="H30" s="360"/>
      <c r="I30" s="360"/>
      <c r="J30" s="997"/>
      <c r="K30" s="1007" t="s">
        <v>628</v>
      </c>
      <c r="L30" s="1009">
        <f>SUM(K26:K27)-SUM(L28:L29)</f>
        <v>0</v>
      </c>
    </row>
    <row r="31" spans="2:22" ht="20.100000000000001" customHeight="1" thickTop="1" thickBot="1">
      <c r="B31" s="83"/>
      <c r="J31" s="42"/>
      <c r="K31" s="1008">
        <f>SUM(K26:K30)</f>
        <v>0</v>
      </c>
      <c r="L31" s="1006">
        <f>SUM(L26:L30)</f>
        <v>0</v>
      </c>
    </row>
    <row r="32" spans="2:22" ht="15" customHeight="1" thickTop="1">
      <c r="B32" s="83"/>
      <c r="J32" s="42"/>
      <c r="K32" s="118"/>
      <c r="L32" s="118"/>
    </row>
    <row r="33" spans="1:12" ht="16.5" customHeight="1">
      <c r="B33" s="1683" t="s">
        <v>861</v>
      </c>
      <c r="C33" s="1683"/>
      <c r="D33" s="1683"/>
      <c r="E33" s="1683"/>
      <c r="F33" s="1683"/>
      <c r="G33" s="1683"/>
      <c r="H33" s="1683"/>
      <c r="I33" s="1683"/>
      <c r="J33" s="1683"/>
      <c r="K33" s="1683"/>
      <c r="L33" s="1683"/>
    </row>
    <row r="34" spans="1:12" ht="9.75" customHeight="1" thickBot="1">
      <c r="B34" s="811"/>
      <c r="C34" s="811"/>
      <c r="D34" s="811"/>
      <c r="E34" s="811"/>
      <c r="F34" s="811"/>
      <c r="G34" s="811"/>
      <c r="H34" s="811"/>
      <c r="I34" s="811"/>
      <c r="J34" s="811"/>
      <c r="K34" s="811"/>
      <c r="L34" s="811"/>
    </row>
    <row r="35" spans="1:12" ht="21.9" customHeight="1" thickTop="1" thickBot="1">
      <c r="B35" s="991"/>
      <c r="C35" s="991"/>
      <c r="D35" s="991"/>
      <c r="E35" s="991"/>
      <c r="F35" s="991"/>
      <c r="G35" s="991"/>
      <c r="H35" s="991"/>
      <c r="I35" s="991"/>
      <c r="J35" s="991"/>
      <c r="K35" s="921" t="s">
        <v>96</v>
      </c>
      <c r="L35" s="946" t="s">
        <v>97</v>
      </c>
    </row>
    <row r="36" spans="1:12" ht="20.100000000000001" customHeight="1" thickTop="1">
      <c r="B36" s="995" t="s">
        <v>862</v>
      </c>
      <c r="C36" s="358" t="str">
        <f>C26</f>
        <v>Balance - January 1, 2021</v>
      </c>
      <c r="D36" s="358"/>
      <c r="E36" s="358"/>
      <c r="F36" s="358"/>
      <c r="G36" s="358"/>
      <c r="H36" s="358"/>
      <c r="I36" s="358"/>
      <c r="J36" s="997"/>
      <c r="K36" s="553">
        <v>0</v>
      </c>
      <c r="L36" s="993" t="s">
        <v>628</v>
      </c>
    </row>
    <row r="37" spans="1:12" ht="20.100000000000001" customHeight="1">
      <c r="B37" s="934" t="s">
        <v>863</v>
      </c>
      <c r="C37" s="360" t="str">
        <f>C27</f>
        <v>2021 Sales from Foreclosed Property</v>
      </c>
      <c r="D37" s="360"/>
      <c r="E37" s="360"/>
      <c r="F37" s="360"/>
      <c r="G37" s="360"/>
      <c r="H37" s="360"/>
      <c r="I37" s="360"/>
      <c r="J37" s="997"/>
      <c r="K37" s="553"/>
      <c r="L37" s="930" t="s">
        <v>628</v>
      </c>
    </row>
    <row r="38" spans="1:12" ht="20.100000000000001" customHeight="1">
      <c r="B38" s="934" t="s">
        <v>864</v>
      </c>
      <c r="C38" s="360" t="s">
        <v>860</v>
      </c>
      <c r="D38" s="360"/>
      <c r="E38" s="360"/>
      <c r="F38" s="360"/>
      <c r="G38" s="360"/>
      <c r="H38" s="360"/>
      <c r="I38" s="360"/>
      <c r="J38" s="997"/>
      <c r="K38" s="994" t="s">
        <v>628</v>
      </c>
      <c r="L38" s="552"/>
    </row>
    <row r="39" spans="1:12" ht="20.100000000000001" customHeight="1">
      <c r="B39" s="934" t="s">
        <v>865</v>
      </c>
      <c r="C39" s="1678"/>
      <c r="D39" s="1678"/>
      <c r="E39" s="1678"/>
      <c r="F39" s="1678"/>
      <c r="G39" s="1678"/>
      <c r="H39" s="1678"/>
      <c r="I39" s="1678"/>
      <c r="J39" s="997"/>
      <c r="K39" s="994" t="s">
        <v>628</v>
      </c>
      <c r="L39" s="552"/>
    </row>
    <row r="40" spans="1:12" ht="20.100000000000001" customHeight="1" thickBot="1">
      <c r="B40" s="934" t="s">
        <v>866</v>
      </c>
      <c r="C40" s="360" t="str">
        <f>C30</f>
        <v>Balance - December 31, 2021</v>
      </c>
      <c r="D40" s="360"/>
      <c r="E40" s="360"/>
      <c r="F40" s="360"/>
      <c r="G40" s="360"/>
      <c r="H40" s="360"/>
      <c r="I40" s="360"/>
      <c r="J40" s="997"/>
      <c r="K40" s="1007" t="s">
        <v>628</v>
      </c>
      <c r="L40" s="1009">
        <f>SUM(K36:K37)-SUM(L38:L39)</f>
        <v>0</v>
      </c>
    </row>
    <row r="41" spans="1:12" ht="20.100000000000001" customHeight="1" thickTop="1" thickBot="1">
      <c r="B41" s="937"/>
      <c r="C41" s="811"/>
      <c r="D41" s="811"/>
      <c r="E41" s="811"/>
      <c r="F41" s="811"/>
      <c r="G41" s="811"/>
      <c r="H41" s="811"/>
      <c r="I41" s="811"/>
      <c r="J41" s="1010"/>
      <c r="K41" s="1008">
        <f>SUM(K36:K40)</f>
        <v>0</v>
      </c>
      <c r="L41" s="1006">
        <f>SUM(L36:L40)</f>
        <v>0</v>
      </c>
    </row>
    <row r="42" spans="1:12" ht="13.8" thickTop="1">
      <c r="B42" s="1011" t="s">
        <v>867</v>
      </c>
      <c r="C42" s="811"/>
      <c r="D42" s="811"/>
      <c r="E42" s="811"/>
      <c r="F42" s="811"/>
      <c r="G42" s="811"/>
      <c r="H42" s="811" t="s">
        <v>373</v>
      </c>
      <c r="I42" s="807">
        <f>+L15+L28+L38</f>
        <v>0</v>
      </c>
      <c r="J42" s="811"/>
    </row>
    <row r="43" spans="1:12">
      <c r="B43" s="1012" t="str">
        <f>"*Total Cash Collected in "&amp;IF('KEY INPUTS'!C42="State Fiscal Year","Fiscal Year "&amp;'KEY INPUTS'!D33&amp;"",'KEY INPUTS'!D34)</f>
        <v>*Total Cash Collected in 2021</v>
      </c>
      <c r="C43" s="811"/>
      <c r="D43" s="811"/>
      <c r="E43" s="811"/>
      <c r="F43" s="811"/>
      <c r="G43" s="811"/>
      <c r="H43" s="811"/>
      <c r="I43" s="1013"/>
      <c r="J43" s="811"/>
    </row>
    <row r="44" spans="1:12" ht="7.5" customHeight="1">
      <c r="B44" s="83"/>
    </row>
    <row r="45" spans="1:12">
      <c r="B45" s="283" t="str">
        <f>"Realized in "&amp;IF('KEY INPUTS'!C42="State Fiscal Year","Fiscal Year "&amp;'KEY INPUTS'!D33&amp;"",'KEY INPUTS'!D34)&amp;" Budget"</f>
        <v>Realized in 2021 Budget</v>
      </c>
      <c r="I45" s="552">
        <v>0</v>
      </c>
    </row>
    <row r="46" spans="1:12" ht="7.5" customHeight="1">
      <c r="B46" s="83"/>
    </row>
    <row r="47" spans="1:12">
      <c r="A47" s="811"/>
      <c r="B47" s="1011" t="s">
        <v>868</v>
      </c>
      <c r="C47" s="811"/>
      <c r="D47" s="811"/>
      <c r="E47" s="811"/>
      <c r="F47" s="811"/>
      <c r="G47" s="811"/>
      <c r="H47" s="811"/>
      <c r="I47" s="807">
        <f>+I42-I45</f>
        <v>0</v>
      </c>
      <c r="J47" s="811"/>
      <c r="K47" s="811"/>
      <c r="L47" s="811"/>
    </row>
    <row r="48" spans="1:12">
      <c r="A48" s="811"/>
      <c r="B48" s="1011"/>
      <c r="C48" s="811"/>
      <c r="D48" s="811"/>
      <c r="E48" s="811"/>
      <c r="F48" s="811"/>
      <c r="G48" s="811"/>
      <c r="H48" s="811"/>
      <c r="I48" s="1014"/>
      <c r="J48" s="811"/>
      <c r="K48" s="811"/>
      <c r="L48" s="811"/>
    </row>
    <row r="49" spans="1:12">
      <c r="A49" s="811"/>
      <c r="B49" s="1011"/>
      <c r="C49" s="811"/>
      <c r="D49" s="811"/>
      <c r="E49" s="811"/>
      <c r="F49" s="811"/>
      <c r="G49" s="811"/>
      <c r="H49" s="811"/>
      <c r="I49" s="1014"/>
      <c r="J49" s="811"/>
      <c r="K49" s="811"/>
      <c r="L49" s="811"/>
    </row>
    <row r="50" spans="1:12" ht="13.8">
      <c r="A50" s="811"/>
      <c r="B50" s="1755" t="s">
        <v>425</v>
      </c>
      <c r="C50" s="1755"/>
      <c r="D50" s="1755"/>
      <c r="E50" s="1755"/>
      <c r="F50" s="1755"/>
      <c r="G50" s="1755"/>
      <c r="H50" s="1755"/>
      <c r="I50" s="1755"/>
      <c r="J50" s="1755"/>
      <c r="K50" s="1755"/>
      <c r="L50" s="1755"/>
    </row>
    <row r="51" spans="1:12">
      <c r="B51" s="83"/>
    </row>
    <row r="52" spans="1:12">
      <c r="B52" s="83"/>
    </row>
    <row r="53" spans="1:12">
      <c r="B53" s="83"/>
    </row>
    <row r="54" spans="1:12">
      <c r="B54" s="83"/>
    </row>
    <row r="55" spans="1:12">
      <c r="B55" s="83"/>
    </row>
    <row r="56" spans="1:12">
      <c r="B56" s="83"/>
    </row>
    <row r="57" spans="1:12">
      <c r="B57" s="83"/>
    </row>
    <row r="58" spans="1:12">
      <c r="B58" s="83"/>
    </row>
    <row r="59" spans="1:12">
      <c r="B59" s="83"/>
    </row>
    <row r="60" spans="1:12">
      <c r="B60" s="83"/>
    </row>
    <row r="61" spans="1:12">
      <c r="B61" s="83"/>
    </row>
    <row r="62" spans="1:12">
      <c r="B62" s="83"/>
    </row>
    <row r="63" spans="1:12">
      <c r="B63" s="83"/>
    </row>
    <row r="64" spans="1:12">
      <c r="B64" s="83"/>
    </row>
    <row r="65" spans="2:2">
      <c r="B65" s="83"/>
    </row>
    <row r="66" spans="2:2">
      <c r="B66" s="83"/>
    </row>
    <row r="67" spans="2:2">
      <c r="B67" s="83"/>
    </row>
    <row r="68" spans="2:2">
      <c r="B68" s="83"/>
    </row>
    <row r="69" spans="2:2">
      <c r="B69" s="83"/>
    </row>
    <row r="70" spans="2:2">
      <c r="B70" s="83"/>
    </row>
    <row r="71" spans="2:2">
      <c r="B71" s="83"/>
    </row>
    <row r="72" spans="2:2">
      <c r="B72" s="83"/>
    </row>
    <row r="73" spans="2:2">
      <c r="B73" s="83"/>
    </row>
    <row r="74" spans="2:2">
      <c r="B74" s="83"/>
    </row>
    <row r="75" spans="2:2">
      <c r="B75" s="83"/>
    </row>
    <row r="76" spans="2:2">
      <c r="B76" s="83"/>
    </row>
    <row r="77" spans="2:2">
      <c r="B77" s="83"/>
    </row>
    <row r="78" spans="2:2">
      <c r="B78" s="83"/>
    </row>
    <row r="79" spans="2:2">
      <c r="B79" s="83"/>
    </row>
    <row r="80" spans="2:2">
      <c r="B80" s="83"/>
    </row>
    <row r="81" spans="2:2">
      <c r="B81" s="83"/>
    </row>
  </sheetData>
  <sheetProtection algorithmName="SHA-512" hashValue="wpIUfGAtvVfEBrFmA29ARJy1Nityv3iXFq/pDaCuXjwlIret6VCHDmEXRhQ8do72UTWkekjR3xtEiaIgYgJAqA==" saltValue="gT1xAdi4KiMetMkpCyhn1g==" spinCount="100000" sheet="1" objects="1" scenarios="1"/>
  <mergeCells count="9">
    <mergeCell ref="B50:L50"/>
    <mergeCell ref="B2:L2"/>
    <mergeCell ref="B3:L3"/>
    <mergeCell ref="B23:L23"/>
    <mergeCell ref="B33:L33"/>
    <mergeCell ref="C10:I10"/>
    <mergeCell ref="C11:I11"/>
    <mergeCell ref="C29:I29"/>
    <mergeCell ref="C39:I39"/>
  </mergeCells>
  <phoneticPr fontId="0" type="noConversion"/>
  <pageMargins left="0.25" right="0.25" top="0.5" bottom="0.5" header="0.25" footer="0.25"/>
  <pageSetup paperSize="5" orientation="portrait" r:id="rId1"/>
  <headerFooter alignWithMargins="0"/>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6"/>
  <dimension ref="B3:X66"/>
  <sheetViews>
    <sheetView topLeftCell="A16" zoomScaleNormal="100" workbookViewId="0">
      <selection activeCell="D49" sqref="D49:F49"/>
    </sheetView>
  </sheetViews>
  <sheetFormatPr defaultRowHeight="13.2"/>
  <cols>
    <col min="1" max="1" width="4.33203125" customWidth="1"/>
    <col min="2" max="2" width="3.5546875" bestFit="1" customWidth="1"/>
    <col min="3" max="3" width="4.6640625" customWidth="1"/>
    <col min="4" max="4" width="12.88671875" bestFit="1" customWidth="1"/>
    <col min="5" max="5" width="7.6640625" customWidth="1"/>
    <col min="6" max="6" width="6.88671875" customWidth="1"/>
    <col min="7" max="7" width="1.6640625" customWidth="1"/>
    <col min="8" max="8" width="12.5546875" bestFit="1" customWidth="1"/>
    <col min="9" max="9" width="1.6640625" customWidth="1"/>
    <col min="10" max="10" width="15.109375" bestFit="1" customWidth="1"/>
    <col min="11" max="11" width="1.6640625" customWidth="1"/>
    <col min="12" max="12" width="17.5546875" customWidth="1"/>
    <col min="13" max="13" width="1.6640625" customWidth="1"/>
    <col min="14" max="14" width="15.109375" bestFit="1" customWidth="1"/>
    <col min="16" max="16" width="10.33203125" bestFit="1" customWidth="1"/>
  </cols>
  <sheetData>
    <row r="3" spans="2:24" ht="20.399999999999999">
      <c r="B3" s="1619" t="s">
        <v>869</v>
      </c>
      <c r="C3" s="1619"/>
      <c r="D3" s="1619"/>
      <c r="E3" s="1619"/>
      <c r="F3" s="1619"/>
      <c r="G3" s="1619"/>
      <c r="H3" s="1619"/>
      <c r="I3" s="1619"/>
      <c r="J3" s="1619"/>
      <c r="K3" s="1619"/>
      <c r="L3" s="1619"/>
      <c r="M3" s="1619"/>
      <c r="N3" s="1619"/>
    </row>
    <row r="4" spans="2:24" ht="15.6">
      <c r="B4" s="1762" t="s">
        <v>421</v>
      </c>
      <c r="C4" s="1762"/>
      <c r="D4" s="1762"/>
      <c r="E4" s="1762"/>
      <c r="F4" s="1762"/>
      <c r="G4" s="1762"/>
      <c r="H4" s="1762"/>
      <c r="I4" s="1762"/>
      <c r="J4" s="1762"/>
      <c r="K4" s="1762"/>
      <c r="L4" s="1762"/>
      <c r="M4" s="1762"/>
      <c r="N4" s="1762"/>
    </row>
    <row r="5" spans="2:24" ht="20.399999999999999">
      <c r="B5" s="1619" t="s">
        <v>422</v>
      </c>
      <c r="C5" s="1619"/>
      <c r="D5" s="1619"/>
      <c r="E5" s="1619"/>
      <c r="F5" s="1619"/>
      <c r="G5" s="1619"/>
      <c r="H5" s="1619"/>
      <c r="I5" s="1619"/>
      <c r="J5" s="1619"/>
      <c r="K5" s="1619"/>
      <c r="L5" s="1619"/>
      <c r="M5" s="1619"/>
      <c r="N5" s="1619"/>
    </row>
    <row r="6" spans="2:24">
      <c r="B6" s="1644" t="s">
        <v>3636</v>
      </c>
      <c r="C6" s="1644"/>
      <c r="D6" s="1644"/>
      <c r="E6" s="1644"/>
      <c r="F6" s="1644"/>
      <c r="G6" s="1644"/>
      <c r="H6" s="1644"/>
      <c r="I6" s="1644"/>
      <c r="J6" s="1644"/>
      <c r="K6" s="1644"/>
      <c r="L6" s="1644"/>
      <c r="M6" s="1644"/>
      <c r="N6" s="1644"/>
    </row>
    <row r="7" spans="2:24">
      <c r="B7" s="1644" t="s">
        <v>3637</v>
      </c>
      <c r="C7" s="1644"/>
      <c r="D7" s="1644"/>
      <c r="E7" s="1644"/>
      <c r="F7" s="1644"/>
      <c r="G7" s="1644"/>
      <c r="H7" s="1644"/>
      <c r="I7" s="1644"/>
      <c r="J7" s="1644"/>
      <c r="K7" s="1644"/>
      <c r="L7" s="1644"/>
      <c r="M7" s="1644"/>
      <c r="N7" s="1644"/>
    </row>
    <row r="8" spans="2:24">
      <c r="P8" s="309"/>
      <c r="Q8" s="309"/>
      <c r="R8" s="309"/>
      <c r="S8" s="309"/>
      <c r="T8" s="309"/>
      <c r="U8" s="309"/>
      <c r="V8" s="309"/>
      <c r="W8" s="309"/>
      <c r="X8" s="309"/>
    </row>
    <row r="9" spans="2:24">
      <c r="H9" s="1" t="s">
        <v>414</v>
      </c>
      <c r="P9" s="309"/>
      <c r="Q9" s="309"/>
      <c r="R9" s="309"/>
      <c r="S9" s="309"/>
      <c r="T9" s="309"/>
      <c r="U9" s="309"/>
      <c r="V9" s="309"/>
      <c r="W9" s="309"/>
      <c r="X9" s="309"/>
    </row>
    <row r="10" spans="2:24">
      <c r="C10" s="1687" t="s">
        <v>434</v>
      </c>
      <c r="D10" s="1687"/>
      <c r="E10" s="1687"/>
      <c r="H10" s="284" t="str">
        <f>IF('KEY INPUTS'!C42 = "State Fiscal Year", 'KEY INPUTS'!F46,'KEY INPUTS'!D46)</f>
        <v>Dec. 31, 2020</v>
      </c>
      <c r="J10" s="1" t="s">
        <v>435</v>
      </c>
      <c r="L10" s="1" t="s">
        <v>414</v>
      </c>
      <c r="N10" s="948" t="s">
        <v>530</v>
      </c>
      <c r="P10" s="309"/>
      <c r="Q10" s="309"/>
      <c r="R10" s="309"/>
      <c r="S10" s="309"/>
      <c r="T10" s="309"/>
      <c r="U10" s="309"/>
      <c r="V10" s="309"/>
      <c r="W10" s="309"/>
      <c r="X10" s="309"/>
    </row>
    <row r="11" spans="2:24">
      <c r="H11" s="1" t="s">
        <v>433</v>
      </c>
      <c r="J11" s="1" t="str">
        <f>IF('KEY INPUTS'!C42="State Fiscal Year","Fiscal Year "&amp;'KEY INPUTS'!D33&amp;"",'KEY INPUTS'!D34)&amp;""</f>
        <v>2021</v>
      </c>
      <c r="L11" s="1" t="s">
        <v>3567</v>
      </c>
      <c r="N11" s="948" t="s">
        <v>437</v>
      </c>
      <c r="P11" s="309"/>
      <c r="Q11" s="309"/>
      <c r="R11" s="309"/>
      <c r="S11" s="309"/>
      <c r="T11" s="309"/>
      <c r="U11" s="309"/>
      <c r="V11" s="309"/>
      <c r="W11" s="309"/>
      <c r="X11" s="309"/>
    </row>
    <row r="12" spans="2:24">
      <c r="H12" s="126" t="s">
        <v>432</v>
      </c>
      <c r="J12" s="126" t="s">
        <v>535</v>
      </c>
      <c r="L12" s="278" t="str">
        <f>IF('KEY INPUTS'!C42="State Fiscal Year","Fiscal Year "&amp;'KEY INPUTS'!D33&amp;"",'KEY INPUTS'!D34)&amp;""</f>
        <v>2021</v>
      </c>
      <c r="N12" s="1015" t="str">
        <f>IF('KEY INPUTS'!C42 = "State Fiscal Year", 'KEY INPUTS'!F47,'KEY INPUTS'!D47)</f>
        <v>Dec. 31, 2021</v>
      </c>
      <c r="P12" s="309"/>
      <c r="Q12" s="309"/>
      <c r="R12" s="309"/>
      <c r="S12" s="309"/>
      <c r="T12" s="309"/>
      <c r="U12" s="309"/>
      <c r="V12" s="309"/>
      <c r="W12" s="309"/>
      <c r="X12" s="309"/>
    </row>
    <row r="13" spans="2:24">
      <c r="B13" s="83"/>
      <c r="C13" t="s">
        <v>870</v>
      </c>
      <c r="H13" s="63"/>
      <c r="J13" s="63"/>
      <c r="L13" s="63"/>
      <c r="N13" s="1016"/>
      <c r="P13" s="309"/>
      <c r="Q13" s="309"/>
      <c r="R13" s="309"/>
      <c r="S13" s="309"/>
      <c r="T13" s="309"/>
      <c r="U13" s="309"/>
      <c r="V13" s="309"/>
      <c r="W13" s="309"/>
      <c r="X13" s="309"/>
    </row>
    <row r="14" spans="2:24">
      <c r="B14" s="83"/>
      <c r="D14" t="s">
        <v>871</v>
      </c>
      <c r="G14" t="s">
        <v>373</v>
      </c>
      <c r="H14" s="552">
        <v>0</v>
      </c>
      <c r="I14" t="s">
        <v>373</v>
      </c>
      <c r="J14" s="552">
        <v>0</v>
      </c>
      <c r="K14" t="s">
        <v>373</v>
      </c>
      <c r="L14" s="552"/>
      <c r="M14" t="s">
        <v>373</v>
      </c>
      <c r="N14" s="807">
        <f>+H14-J14+L14</f>
        <v>0</v>
      </c>
      <c r="P14" s="309"/>
      <c r="Q14" s="309"/>
      <c r="R14" s="309"/>
      <c r="S14" s="309"/>
      <c r="T14" s="309"/>
      <c r="U14" s="309"/>
      <c r="V14" s="309"/>
      <c r="W14" s="309"/>
      <c r="X14" s="309"/>
    </row>
    <row r="15" spans="2:24">
      <c r="B15" s="83"/>
      <c r="H15" s="63"/>
      <c r="J15" s="63"/>
      <c r="L15" s="63"/>
      <c r="N15" s="799"/>
      <c r="P15" s="309"/>
      <c r="Q15" s="356"/>
      <c r="R15" s="309"/>
      <c r="S15" s="309"/>
      <c r="T15" s="309"/>
      <c r="U15" s="309"/>
      <c r="V15" s="309"/>
      <c r="W15" s="309"/>
      <c r="X15" s="309"/>
    </row>
    <row r="16" spans="2:24">
      <c r="B16" s="83"/>
      <c r="C16" t="s">
        <v>870</v>
      </c>
      <c r="H16" s="63"/>
      <c r="J16" s="63"/>
      <c r="L16" s="63"/>
      <c r="N16" s="799"/>
      <c r="P16" s="309"/>
      <c r="Q16" s="309"/>
      <c r="R16" s="309"/>
      <c r="S16" s="309"/>
      <c r="T16" s="309"/>
      <c r="U16" s="309"/>
      <c r="V16" s="309"/>
      <c r="W16" s="309"/>
      <c r="X16" s="309"/>
    </row>
    <row r="17" spans="2:24">
      <c r="B17" s="83"/>
      <c r="D17" t="s">
        <v>872</v>
      </c>
      <c r="G17" t="s">
        <v>373</v>
      </c>
      <c r="H17" s="552">
        <v>0</v>
      </c>
      <c r="I17" t="s">
        <v>373</v>
      </c>
      <c r="J17" s="552">
        <v>0</v>
      </c>
      <c r="K17" t="s">
        <v>373</v>
      </c>
      <c r="L17" s="552"/>
      <c r="M17" t="s">
        <v>373</v>
      </c>
      <c r="N17" s="807">
        <f>+H17-J17+L17</f>
        <v>0</v>
      </c>
      <c r="P17" s="309"/>
      <c r="Q17" s="309"/>
      <c r="R17" s="309"/>
      <c r="S17" s="309"/>
      <c r="T17" s="309"/>
      <c r="U17" s="309"/>
      <c r="V17" s="309"/>
      <c r="W17" s="309"/>
      <c r="X17" s="309"/>
    </row>
    <row r="18" spans="2:24" ht="21" customHeight="1">
      <c r="B18" s="83"/>
      <c r="C18" s="734" t="s">
        <v>3477</v>
      </c>
      <c r="D18" s="30"/>
      <c r="E18" s="30"/>
      <c r="F18" s="30"/>
      <c r="G18" s="309" t="s">
        <v>373</v>
      </c>
      <c r="H18" s="552">
        <v>0</v>
      </c>
      <c r="I18" s="309" t="s">
        <v>373</v>
      </c>
      <c r="J18" s="552">
        <v>0</v>
      </c>
      <c r="K18" s="309" t="s">
        <v>373</v>
      </c>
      <c r="L18" s="552"/>
      <c r="M18" s="309" t="s">
        <v>373</v>
      </c>
      <c r="N18" s="807">
        <f>+H18-J18+L18</f>
        <v>0</v>
      </c>
      <c r="P18" s="309"/>
      <c r="Q18" s="309"/>
      <c r="R18" s="309"/>
      <c r="S18" s="309"/>
      <c r="T18" s="309"/>
      <c r="U18" s="309"/>
      <c r="V18" s="309"/>
      <c r="W18" s="309"/>
      <c r="X18" s="309"/>
    </row>
    <row r="19" spans="2:24" ht="21" customHeight="1">
      <c r="B19" s="83"/>
      <c r="C19" s="1678"/>
      <c r="D19" s="1678"/>
      <c r="E19" s="1678"/>
      <c r="F19" s="1678"/>
      <c r="G19" s="309" t="s">
        <v>373</v>
      </c>
      <c r="H19" s="552"/>
      <c r="I19" s="309" t="s">
        <v>373</v>
      </c>
      <c r="J19" s="552"/>
      <c r="K19" s="309" t="s">
        <v>373</v>
      </c>
      <c r="L19" s="552"/>
      <c r="M19" s="309" t="s">
        <v>373</v>
      </c>
      <c r="N19" s="807">
        <f t="shared" ref="N19:N24" si="0">+H19-J19+L19</f>
        <v>0</v>
      </c>
      <c r="P19" s="309"/>
      <c r="Q19" s="309"/>
      <c r="R19" s="309"/>
      <c r="S19" s="309"/>
      <c r="T19" s="309"/>
      <c r="U19" s="309"/>
      <c r="V19" s="309"/>
      <c r="W19" s="309"/>
      <c r="X19" s="309"/>
    </row>
    <row r="20" spans="2:24" ht="21" customHeight="1">
      <c r="B20" s="83"/>
      <c r="C20" s="1678"/>
      <c r="D20" s="1678"/>
      <c r="E20" s="1678"/>
      <c r="F20" s="1678"/>
      <c r="G20" s="309" t="s">
        <v>373</v>
      </c>
      <c r="H20" s="552"/>
      <c r="I20" s="309" t="s">
        <v>373</v>
      </c>
      <c r="J20" s="552"/>
      <c r="K20" s="309" t="s">
        <v>373</v>
      </c>
      <c r="L20" s="552"/>
      <c r="M20" s="309" t="s">
        <v>373</v>
      </c>
      <c r="N20" s="807">
        <f t="shared" si="0"/>
        <v>0</v>
      </c>
      <c r="P20" s="309"/>
      <c r="Q20" s="309"/>
      <c r="R20" s="309"/>
      <c r="S20" s="309"/>
      <c r="T20" s="309"/>
      <c r="U20" s="309"/>
      <c r="V20" s="309"/>
      <c r="W20" s="309"/>
      <c r="X20" s="309"/>
    </row>
    <row r="21" spans="2:24" ht="21" customHeight="1">
      <c r="B21" s="83"/>
      <c r="C21" s="1678"/>
      <c r="D21" s="1678"/>
      <c r="E21" s="1678"/>
      <c r="F21" s="1678"/>
      <c r="G21" s="309" t="s">
        <v>373</v>
      </c>
      <c r="H21" s="552"/>
      <c r="I21" s="309" t="s">
        <v>373</v>
      </c>
      <c r="J21" s="552"/>
      <c r="K21" s="309" t="s">
        <v>373</v>
      </c>
      <c r="L21" s="552"/>
      <c r="M21" s="309" t="s">
        <v>373</v>
      </c>
      <c r="N21" s="807">
        <f t="shared" si="0"/>
        <v>0</v>
      </c>
      <c r="P21" s="309"/>
      <c r="Q21" s="309"/>
      <c r="R21" s="309"/>
      <c r="S21" s="309"/>
      <c r="T21" s="309"/>
      <c r="U21" s="309"/>
      <c r="V21" s="309"/>
      <c r="W21" s="309"/>
      <c r="X21" s="309"/>
    </row>
    <row r="22" spans="2:24" ht="21" customHeight="1">
      <c r="B22" s="83"/>
      <c r="C22" s="1678"/>
      <c r="D22" s="1678"/>
      <c r="E22" s="1678"/>
      <c r="F22" s="1678"/>
      <c r="G22" s="309" t="s">
        <v>373</v>
      </c>
      <c r="H22" s="552"/>
      <c r="I22" s="309" t="s">
        <v>373</v>
      </c>
      <c r="J22" s="552"/>
      <c r="K22" s="309" t="s">
        <v>373</v>
      </c>
      <c r="L22" s="552"/>
      <c r="M22" s="309" t="s">
        <v>373</v>
      </c>
      <c r="N22" s="807">
        <f t="shared" si="0"/>
        <v>0</v>
      </c>
      <c r="P22" s="309"/>
      <c r="Q22" s="309"/>
      <c r="R22" s="309"/>
      <c r="S22" s="309"/>
      <c r="T22" s="309"/>
      <c r="U22" s="309"/>
      <c r="V22" s="309"/>
      <c r="W22" s="309"/>
      <c r="X22" s="309"/>
    </row>
    <row r="23" spans="2:24" ht="21" customHeight="1">
      <c r="B23" s="83"/>
      <c r="C23" s="1678"/>
      <c r="D23" s="1678"/>
      <c r="E23" s="1678"/>
      <c r="F23" s="1678"/>
      <c r="G23" s="309" t="s">
        <v>373</v>
      </c>
      <c r="H23" s="552"/>
      <c r="I23" s="309" t="s">
        <v>373</v>
      </c>
      <c r="J23" s="552"/>
      <c r="K23" s="309" t="s">
        <v>373</v>
      </c>
      <c r="L23" s="552"/>
      <c r="M23" s="309" t="s">
        <v>373</v>
      </c>
      <c r="N23" s="807">
        <f t="shared" si="0"/>
        <v>0</v>
      </c>
      <c r="P23" s="309"/>
      <c r="Q23" s="309"/>
      <c r="R23" s="309"/>
      <c r="S23" s="309"/>
      <c r="T23" s="309"/>
      <c r="U23" s="309"/>
      <c r="V23" s="309"/>
      <c r="W23" s="309"/>
      <c r="X23" s="309"/>
    </row>
    <row r="24" spans="2:24" ht="21" customHeight="1">
      <c r="B24" s="83"/>
      <c r="C24" s="1678"/>
      <c r="D24" s="1678"/>
      <c r="E24" s="1678"/>
      <c r="F24" s="1678"/>
      <c r="G24" s="309" t="s">
        <v>373</v>
      </c>
      <c r="H24" s="552"/>
      <c r="I24" s="309" t="s">
        <v>373</v>
      </c>
      <c r="J24" s="552"/>
      <c r="K24" s="309" t="s">
        <v>373</v>
      </c>
      <c r="L24" s="552"/>
      <c r="M24" s="309" t="s">
        <v>373</v>
      </c>
      <c r="N24" s="807">
        <f t="shared" si="0"/>
        <v>0</v>
      </c>
      <c r="P24" s="309"/>
      <c r="Q24" s="309"/>
      <c r="R24" s="309"/>
      <c r="S24" s="309"/>
      <c r="T24" s="309"/>
      <c r="U24" s="309"/>
      <c r="V24" s="309"/>
      <c r="W24" s="309"/>
      <c r="X24" s="309"/>
    </row>
    <row r="25" spans="2:24" ht="21" customHeight="1">
      <c r="B25" s="937"/>
      <c r="C25" s="1017" t="s">
        <v>3248</v>
      </c>
      <c r="D25" s="1018"/>
      <c r="E25" s="1018"/>
      <c r="F25" s="1018"/>
      <c r="G25" s="811" t="s">
        <v>373</v>
      </c>
      <c r="H25" s="807">
        <f>SUM(H14:H24)</f>
        <v>0</v>
      </c>
      <c r="I25" s="797" t="s">
        <v>373</v>
      </c>
      <c r="J25" s="807">
        <f>SUM(J14:J24)</f>
        <v>0</v>
      </c>
      <c r="K25" s="797" t="s">
        <v>373</v>
      </c>
      <c r="L25" s="807">
        <f>SUM(L14:L24)</f>
        <v>0</v>
      </c>
      <c r="M25" s="797" t="s">
        <v>373</v>
      </c>
      <c r="N25" s="807">
        <f>SUM(N14:N24)</f>
        <v>0</v>
      </c>
      <c r="P25" s="309"/>
      <c r="Q25" s="309"/>
      <c r="R25" s="309"/>
      <c r="S25" s="309"/>
      <c r="T25" s="309"/>
      <c r="U25" s="309"/>
      <c r="V25" s="309"/>
      <c r="W25" s="309"/>
      <c r="X25" s="309"/>
    </row>
    <row r="26" spans="2:24">
      <c r="B26" s="83"/>
      <c r="P26" s="309"/>
      <c r="Q26" s="309"/>
      <c r="R26" s="309"/>
      <c r="S26" s="309"/>
      <c r="T26" s="309"/>
      <c r="U26" s="309"/>
      <c r="V26" s="309"/>
      <c r="W26" s="309"/>
      <c r="X26" s="309"/>
    </row>
    <row r="27" spans="2:24">
      <c r="B27" s="83"/>
      <c r="C27" s="114" t="s">
        <v>873</v>
      </c>
    </row>
    <row r="28" spans="2:24">
      <c r="B28" s="83"/>
    </row>
    <row r="29" spans="2:24">
      <c r="B29" s="83"/>
    </row>
    <row r="30" spans="2:24" ht="15.6">
      <c r="B30" s="1757" t="s">
        <v>3357</v>
      </c>
      <c r="C30" s="1757"/>
      <c r="D30" s="1757"/>
      <c r="E30" s="1757"/>
      <c r="F30" s="1757"/>
      <c r="G30" s="1757"/>
      <c r="H30" s="1757"/>
      <c r="I30" s="1757"/>
      <c r="J30" s="1757"/>
      <c r="K30" s="1757"/>
      <c r="L30" s="1757"/>
      <c r="M30" s="1757"/>
      <c r="N30" s="1757"/>
    </row>
    <row r="31" spans="2:24" ht="15.6">
      <c r="B31" s="1757" t="s">
        <v>3638</v>
      </c>
      <c r="C31" s="1757"/>
      <c r="D31" s="1757"/>
      <c r="E31" s="1757"/>
      <c r="F31" s="1757"/>
      <c r="G31" s="1757"/>
      <c r="H31" s="1757"/>
      <c r="I31" s="1757"/>
      <c r="J31" s="1757"/>
      <c r="K31" s="1757"/>
      <c r="L31" s="1757"/>
      <c r="M31" s="1757"/>
      <c r="N31" s="1757"/>
    </row>
    <row r="32" spans="2:24" ht="6.75" customHeight="1">
      <c r="B32" s="125"/>
      <c r="C32" s="125"/>
      <c r="D32" s="125"/>
      <c r="E32" s="125"/>
      <c r="F32" s="125"/>
      <c r="G32" s="125"/>
      <c r="H32" s="125"/>
      <c r="I32" s="125"/>
      <c r="J32" s="125"/>
      <c r="K32" s="125"/>
      <c r="L32" s="125"/>
      <c r="M32" s="125"/>
      <c r="N32" s="125"/>
    </row>
    <row r="33" spans="2:14" ht="18" customHeight="1">
      <c r="B33" s="83"/>
      <c r="D33" s="1761" t="s">
        <v>17</v>
      </c>
      <c r="E33" s="1761"/>
      <c r="F33" s="104"/>
      <c r="G33" s="1761" t="s">
        <v>413</v>
      </c>
      <c r="H33" s="1761"/>
      <c r="I33" s="1761"/>
      <c r="J33" s="1761"/>
      <c r="K33" s="1761"/>
      <c r="L33" s="1761"/>
      <c r="M33" s="104"/>
      <c r="N33" s="127" t="s">
        <v>414</v>
      </c>
    </row>
    <row r="34" spans="2:14" ht="21" customHeight="1">
      <c r="B34" s="83"/>
      <c r="C34" s="83" t="s">
        <v>292</v>
      </c>
      <c r="D34" s="1756"/>
      <c r="E34" s="1756"/>
      <c r="G34" s="1759" t="s">
        <v>3730</v>
      </c>
      <c r="H34" s="1759"/>
      <c r="I34" s="1759"/>
      <c r="J34" s="1759"/>
      <c r="K34" s="1759"/>
      <c r="L34" s="1759"/>
      <c r="M34" t="s">
        <v>373</v>
      </c>
      <c r="N34" s="552"/>
    </row>
    <row r="35" spans="2:14" ht="21" customHeight="1">
      <c r="B35" s="83"/>
      <c r="C35" s="83" t="s">
        <v>293</v>
      </c>
      <c r="D35" s="1756"/>
      <c r="E35" s="1756"/>
      <c r="F35" s="309"/>
      <c r="G35" s="1759"/>
      <c r="H35" s="1759"/>
      <c r="I35" s="1759"/>
      <c r="J35" s="1759"/>
      <c r="K35" s="1759"/>
      <c r="L35" s="1759"/>
      <c r="M35" s="309" t="s">
        <v>373</v>
      </c>
      <c r="N35" s="552"/>
    </row>
    <row r="36" spans="2:14" ht="21" customHeight="1">
      <c r="B36" s="83"/>
      <c r="C36" s="83" t="s">
        <v>294</v>
      </c>
      <c r="D36" s="1756"/>
      <c r="E36" s="1756"/>
      <c r="F36" s="309"/>
      <c r="G36" s="1759"/>
      <c r="H36" s="1759"/>
      <c r="I36" s="1759"/>
      <c r="J36" s="1759"/>
      <c r="K36" s="1759"/>
      <c r="L36" s="1759"/>
      <c r="M36" s="309" t="s">
        <v>373</v>
      </c>
      <c r="N36" s="552"/>
    </row>
    <row r="37" spans="2:14" ht="21" customHeight="1">
      <c r="B37" s="83"/>
      <c r="C37" s="83" t="s">
        <v>295</v>
      </c>
      <c r="D37" s="1756"/>
      <c r="E37" s="1756"/>
      <c r="F37" s="309"/>
      <c r="G37" s="1759"/>
      <c r="H37" s="1759"/>
      <c r="I37" s="1759"/>
      <c r="J37" s="1759"/>
      <c r="K37" s="1759"/>
      <c r="L37" s="1759"/>
      <c r="M37" s="309" t="s">
        <v>373</v>
      </c>
      <c r="N37" s="552"/>
    </row>
    <row r="38" spans="2:14" ht="21" customHeight="1">
      <c r="B38" s="83"/>
      <c r="C38" s="83" t="s">
        <v>296</v>
      </c>
      <c r="D38" s="1756"/>
      <c r="E38" s="1756"/>
      <c r="F38" s="309"/>
      <c r="G38" s="1759"/>
      <c r="H38" s="1759"/>
      <c r="I38" s="1759"/>
      <c r="J38" s="1759"/>
      <c r="K38" s="1759"/>
      <c r="L38" s="1759"/>
      <c r="M38" s="309" t="s">
        <v>373</v>
      </c>
      <c r="N38" s="552"/>
    </row>
    <row r="39" spans="2:14">
      <c r="B39" s="83"/>
    </row>
    <row r="40" spans="2:14">
      <c r="B40" s="83"/>
    </row>
    <row r="41" spans="2:14">
      <c r="B41" s="83"/>
    </row>
    <row r="42" spans="2:14" ht="15.6">
      <c r="B42" s="1757" t="s">
        <v>250</v>
      </c>
      <c r="C42" s="1757"/>
      <c r="D42" s="1757"/>
      <c r="E42" s="1757"/>
      <c r="F42" s="1757"/>
      <c r="G42" s="1757"/>
      <c r="H42" s="1757"/>
      <c r="I42" s="1757"/>
      <c r="J42" s="1757"/>
      <c r="K42" s="1757"/>
      <c r="L42" s="1757"/>
      <c r="M42" s="1757"/>
      <c r="N42" s="1757"/>
    </row>
    <row r="43" spans="2:14">
      <c r="B43" s="83"/>
    </row>
    <row r="44" spans="2:14">
      <c r="B44" s="83"/>
      <c r="N44" s="1" t="s">
        <v>419</v>
      </c>
    </row>
    <row r="45" spans="2:14">
      <c r="B45" s="83"/>
      <c r="N45" s="1" t="s">
        <v>420</v>
      </c>
    </row>
    <row r="46" spans="2:14">
      <c r="B46" s="83"/>
      <c r="D46" s="1687" t="s">
        <v>416</v>
      </c>
      <c r="E46" s="1687"/>
      <c r="F46" s="1687"/>
      <c r="H46" s="1758" t="s">
        <v>417</v>
      </c>
      <c r="I46" s="1758"/>
      <c r="J46" s="126" t="s">
        <v>418</v>
      </c>
      <c r="L46" s="126" t="s">
        <v>414</v>
      </c>
      <c r="N46" s="278" t="str">
        <f>IF('KEY INPUTS'!C42="State Fiscal Year","Fiscal Year "&amp;'KEY INPUTS'!D33&amp;"","Year "&amp;'KEY INPUTS'!D34&amp;"")</f>
        <v>Year 2021</v>
      </c>
    </row>
    <row r="47" spans="2:14">
      <c r="B47" s="83"/>
    </row>
    <row r="48" spans="2:14" ht="21" customHeight="1">
      <c r="B48" s="83"/>
      <c r="C48" s="83" t="s">
        <v>292</v>
      </c>
      <c r="D48" s="1760" t="s">
        <v>3730</v>
      </c>
      <c r="E48" s="1760"/>
      <c r="F48" s="1760"/>
      <c r="G48" s="30"/>
      <c r="H48" s="552"/>
      <c r="I48" s="30"/>
      <c r="J48" s="552"/>
      <c r="K48" t="s">
        <v>373</v>
      </c>
      <c r="L48" s="552"/>
      <c r="M48" s="63"/>
      <c r="N48" s="552"/>
    </row>
    <row r="49" spans="2:14" ht="21" customHeight="1">
      <c r="B49" s="83"/>
      <c r="C49" s="83" t="s">
        <v>293</v>
      </c>
      <c r="D49" s="1760"/>
      <c r="E49" s="1760"/>
      <c r="F49" s="1760"/>
      <c r="G49" s="272"/>
      <c r="H49" s="552"/>
      <c r="I49" s="272"/>
      <c r="J49" s="552"/>
      <c r="K49" s="309" t="s">
        <v>373</v>
      </c>
      <c r="L49" s="552"/>
      <c r="M49" s="275"/>
      <c r="N49" s="552"/>
    </row>
    <row r="50" spans="2:14" ht="21" customHeight="1">
      <c r="B50" s="83"/>
      <c r="C50" s="83" t="s">
        <v>294</v>
      </c>
      <c r="D50" s="1760"/>
      <c r="E50" s="1760"/>
      <c r="F50" s="1760"/>
      <c r="G50" s="272"/>
      <c r="H50" s="552"/>
      <c r="I50" s="272"/>
      <c r="J50" s="552"/>
      <c r="K50" s="309" t="s">
        <v>373</v>
      </c>
      <c r="L50" s="552"/>
      <c r="M50" s="275"/>
      <c r="N50" s="552"/>
    </row>
    <row r="51" spans="2:14" ht="21" customHeight="1">
      <c r="B51" s="83"/>
      <c r="C51" s="83" t="s">
        <v>295</v>
      </c>
      <c r="D51" s="1760"/>
      <c r="E51" s="1760"/>
      <c r="F51" s="1760"/>
      <c r="G51" s="272"/>
      <c r="H51" s="552"/>
      <c r="I51" s="272"/>
      <c r="J51" s="552"/>
      <c r="K51" s="309" t="s">
        <v>373</v>
      </c>
      <c r="L51" s="552"/>
      <c r="M51" s="275"/>
      <c r="N51" s="552"/>
    </row>
    <row r="52" spans="2:14">
      <c r="B52" s="83"/>
      <c r="L52" s="63"/>
      <c r="M52" s="63"/>
      <c r="N52" s="63"/>
    </row>
    <row r="53" spans="2:14">
      <c r="B53" s="83"/>
    </row>
    <row r="54" spans="2:14">
      <c r="B54" s="83"/>
    </row>
    <row r="55" spans="2:14">
      <c r="B55" s="83"/>
    </row>
    <row r="56" spans="2:14">
      <c r="B56" s="83"/>
    </row>
    <row r="57" spans="2:14">
      <c r="B57" s="83"/>
    </row>
    <row r="58" spans="2:14" ht="13.8">
      <c r="B58" s="1688" t="s">
        <v>415</v>
      </c>
      <c r="C58" s="1688"/>
      <c r="D58" s="1688"/>
      <c r="E58" s="1688"/>
      <c r="F58" s="1688"/>
      <c r="G58" s="1688"/>
      <c r="H58" s="1688"/>
      <c r="I58" s="1688"/>
      <c r="J58" s="1688"/>
      <c r="K58" s="1688"/>
      <c r="L58" s="1688"/>
      <c r="M58" s="1688"/>
      <c r="N58" s="1688"/>
    </row>
    <row r="59" spans="2:14">
      <c r="B59" s="83"/>
    </row>
    <row r="60" spans="2:14">
      <c r="B60" s="83"/>
    </row>
    <row r="61" spans="2:14">
      <c r="B61" s="83"/>
    </row>
    <row r="62" spans="2:14">
      <c r="B62" s="83"/>
    </row>
    <row r="63" spans="2:14">
      <c r="B63" s="83"/>
    </row>
    <row r="64" spans="2:14">
      <c r="B64" s="83"/>
    </row>
    <row r="65" spans="2:2">
      <c r="B65" s="83"/>
    </row>
    <row r="66" spans="2:2">
      <c r="B66" s="83"/>
    </row>
  </sheetData>
  <sheetProtection algorithmName="SHA-512" hashValue="iXn1viSldKojzoDhCjWqOL2iGuwLf5YyI8vj7Mdtnq37wu4a9qGrXZiJ9+iKFVc0J51IXWG72GNXJakD67UZkQ==" saltValue="s7SIwP3ZSfwDnpORpBLu3Q==" spinCount="100000" sheet="1" objects="1" scenarios="1"/>
  <mergeCells count="34">
    <mergeCell ref="B3:N3"/>
    <mergeCell ref="B30:N30"/>
    <mergeCell ref="B31:N31"/>
    <mergeCell ref="D33:E33"/>
    <mergeCell ref="G33:L33"/>
    <mergeCell ref="B4:N4"/>
    <mergeCell ref="B5:N5"/>
    <mergeCell ref="B6:N6"/>
    <mergeCell ref="B7:N7"/>
    <mergeCell ref="C10:E10"/>
    <mergeCell ref="C22:F22"/>
    <mergeCell ref="C23:F23"/>
    <mergeCell ref="C24:F24"/>
    <mergeCell ref="G34:L34"/>
    <mergeCell ref="G35:L35"/>
    <mergeCell ref="C20:F20"/>
    <mergeCell ref="C19:F19"/>
    <mergeCell ref="C21:F21"/>
    <mergeCell ref="D34:E34"/>
    <mergeCell ref="D35:E35"/>
    <mergeCell ref="D36:E36"/>
    <mergeCell ref="D37:E37"/>
    <mergeCell ref="D38:E38"/>
    <mergeCell ref="B58:N58"/>
    <mergeCell ref="B42:N42"/>
    <mergeCell ref="H46:I46"/>
    <mergeCell ref="G36:L36"/>
    <mergeCell ref="G37:L37"/>
    <mergeCell ref="G38:L38"/>
    <mergeCell ref="D48:F48"/>
    <mergeCell ref="D49:F49"/>
    <mergeCell ref="D50:F50"/>
    <mergeCell ref="D51:F51"/>
    <mergeCell ref="D46:F46"/>
  </mergeCells>
  <phoneticPr fontId="0" type="noConversion"/>
  <pageMargins left="0.25" right="0.25" top="0.5" bottom="0.5" header="0.25" footer="0.25"/>
  <pageSetup paperSize="5" scale="96" orientation="portrait" r:id="rId1"/>
  <headerFooter alignWithMargins="0"/>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7"/>
  <dimension ref="A1:V36"/>
  <sheetViews>
    <sheetView zoomScaleNormal="100" workbookViewId="0">
      <selection activeCell="L11" sqref="L11"/>
    </sheetView>
  </sheetViews>
  <sheetFormatPr defaultRowHeight="13.2"/>
  <cols>
    <col min="1" max="1" width="5.6640625" customWidth="1"/>
    <col min="2" max="4" width="4.88671875" customWidth="1"/>
    <col min="5" max="5" width="46.6640625" customWidth="1"/>
    <col min="6" max="6" width="7.6640625" customWidth="1"/>
    <col min="7" max="8" width="16.6640625" customWidth="1"/>
    <col min="9" max="12" width="15.6640625" customWidth="1"/>
    <col min="13" max="13" width="10.44140625" bestFit="1" customWidth="1"/>
  </cols>
  <sheetData>
    <row r="1" spans="1:22">
      <c r="B1" s="811"/>
      <c r="C1" s="811"/>
      <c r="D1" s="811"/>
      <c r="E1" s="811"/>
      <c r="F1" s="811"/>
      <c r="G1" s="811"/>
      <c r="H1" s="811"/>
      <c r="I1" s="811"/>
      <c r="J1" s="811"/>
      <c r="K1" s="811"/>
      <c r="L1" s="811"/>
    </row>
    <row r="2" spans="1:22" ht="17.399999999999999">
      <c r="B2" s="1019"/>
      <c r="C2" s="1019" t="s">
        <v>3524</v>
      </c>
      <c r="D2" s="811"/>
      <c r="E2" s="811"/>
      <c r="F2" s="811" t="s">
        <v>446</v>
      </c>
      <c r="G2" s="811"/>
      <c r="H2" s="811"/>
      <c r="I2" s="811"/>
      <c r="J2" s="811"/>
      <c r="K2" s="811"/>
      <c r="L2" s="811"/>
    </row>
    <row r="3" spans="1:22">
      <c r="B3" s="811"/>
      <c r="C3" s="811"/>
      <c r="D3" s="811"/>
      <c r="E3" s="811"/>
      <c r="F3" s="811" t="s">
        <v>484</v>
      </c>
      <c r="G3" s="811"/>
      <c r="H3" s="811"/>
      <c r="I3" s="811"/>
      <c r="J3" s="811"/>
      <c r="K3" s="811"/>
      <c r="L3" s="811"/>
    </row>
    <row r="4" spans="1:22">
      <c r="B4" s="811"/>
      <c r="C4" s="811"/>
      <c r="D4" s="811"/>
      <c r="E4" s="811"/>
      <c r="F4" s="811" t="s">
        <v>122</v>
      </c>
      <c r="G4" s="811"/>
      <c r="H4" s="811"/>
      <c r="I4" s="811"/>
      <c r="J4" s="811"/>
      <c r="K4" s="811"/>
      <c r="L4" s="811"/>
    </row>
    <row r="5" spans="1:22" ht="13.8" thickBot="1">
      <c r="B5" s="811"/>
      <c r="C5" s="811"/>
      <c r="D5" s="811"/>
      <c r="E5" s="811"/>
      <c r="F5" s="811"/>
      <c r="G5" s="811"/>
      <c r="H5" s="811"/>
      <c r="I5" s="811"/>
      <c r="J5" s="811"/>
      <c r="K5" s="811"/>
      <c r="L5" s="811"/>
    </row>
    <row r="6" spans="1:22" ht="16.2" thickTop="1">
      <c r="B6" s="844"/>
      <c r="C6" s="844"/>
      <c r="D6" s="844"/>
      <c r="E6" s="1020"/>
      <c r="F6" s="844"/>
      <c r="G6" s="845"/>
      <c r="H6" s="1021"/>
      <c r="I6" s="845"/>
      <c r="J6" s="1763" t="s">
        <v>3568</v>
      </c>
      <c r="K6" s="1764"/>
      <c r="L6" s="821"/>
    </row>
    <row r="7" spans="1:22" ht="15.6">
      <c r="B7" s="1717" t="s">
        <v>17</v>
      </c>
      <c r="C7" s="1717"/>
      <c r="D7" s="1717"/>
      <c r="E7" s="1765" t="s">
        <v>413</v>
      </c>
      <c r="F7" s="1718"/>
      <c r="G7" s="847" t="s">
        <v>414</v>
      </c>
      <c r="H7" s="948" t="s">
        <v>442</v>
      </c>
      <c r="I7" s="847" t="s">
        <v>530</v>
      </c>
      <c r="J7" s="1772" t="str">
        <f>IF('KEY INPUTS'!C42="State Fiscal Year","Fiscal Year "&amp;'KEY INPUTS'!D33&amp;"",'KEY INPUTS'!D34)&amp;""</f>
        <v>2021</v>
      </c>
      <c r="K7" s="1773"/>
      <c r="L7" s="822" t="s">
        <v>530</v>
      </c>
      <c r="N7" s="309"/>
      <c r="O7" s="309"/>
      <c r="P7" s="309"/>
      <c r="Q7" s="309"/>
      <c r="R7" s="309"/>
      <c r="S7" s="309"/>
      <c r="T7" s="309"/>
      <c r="U7" s="309"/>
      <c r="V7" s="309"/>
    </row>
    <row r="8" spans="1:22">
      <c r="B8" s="811"/>
      <c r="C8" s="811"/>
      <c r="D8" s="811"/>
      <c r="E8" s="1022"/>
      <c r="F8" s="811"/>
      <c r="G8" s="847" t="s">
        <v>441</v>
      </c>
      <c r="H8" s="948"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c r="N8" s="309"/>
      <c r="O8" s="309"/>
      <c r="P8" s="309"/>
      <c r="Q8" s="309"/>
      <c r="R8" s="309"/>
      <c r="S8" s="309"/>
      <c r="T8" s="309"/>
      <c r="U8" s="309"/>
      <c r="V8" s="309"/>
    </row>
    <row r="9" spans="1:22" ht="13.8" thickBot="1">
      <c r="B9" s="853"/>
      <c r="C9" s="853"/>
      <c r="D9" s="853"/>
      <c r="E9" s="856"/>
      <c r="F9" s="853"/>
      <c r="G9" s="855"/>
      <c r="H9" s="1023" t="s">
        <v>444</v>
      </c>
      <c r="I9" s="854"/>
      <c r="J9" s="855" t="s">
        <v>535</v>
      </c>
      <c r="K9" s="855" t="s">
        <v>440</v>
      </c>
      <c r="L9" s="824"/>
      <c r="N9" s="309"/>
      <c r="O9" s="309"/>
      <c r="P9" s="309"/>
      <c r="Q9" s="309"/>
      <c r="R9" s="309"/>
      <c r="S9" s="309"/>
      <c r="T9" s="309"/>
      <c r="U9" s="309"/>
      <c r="V9" s="309"/>
    </row>
    <row r="10" spans="1:22" ht="21" customHeight="1" thickTop="1">
      <c r="B10" s="1766">
        <v>44497</v>
      </c>
      <c r="C10" s="1767"/>
      <c r="D10" s="1768"/>
      <c r="E10" s="562" t="s">
        <v>3735</v>
      </c>
      <c r="F10" s="542"/>
      <c r="G10" s="563">
        <v>600000</v>
      </c>
      <c r="H10" s="563">
        <v>120000</v>
      </c>
      <c r="I10" s="564"/>
      <c r="J10" s="564"/>
      <c r="K10" s="564"/>
      <c r="L10" s="1475">
        <v>600000</v>
      </c>
      <c r="N10" s="309"/>
      <c r="O10" s="309"/>
      <c r="P10" s="309"/>
      <c r="Q10" s="309"/>
      <c r="R10" s="309"/>
      <c r="S10" s="309"/>
      <c r="T10" s="309"/>
      <c r="U10" s="309"/>
      <c r="V10" s="309"/>
    </row>
    <row r="11" spans="1:22" ht="21" customHeight="1">
      <c r="B11" s="1769"/>
      <c r="C11" s="1642"/>
      <c r="D11" s="1770"/>
      <c r="E11" s="565"/>
      <c r="F11" s="544"/>
      <c r="G11" s="553"/>
      <c r="H11" s="553"/>
      <c r="I11" s="353"/>
      <c r="J11" s="353"/>
      <c r="K11" s="353"/>
      <c r="L11" s="1476">
        <f>+I11-J11-K11</f>
        <v>0</v>
      </c>
      <c r="M11" s="218"/>
      <c r="N11" s="309"/>
      <c r="O11" s="309"/>
      <c r="P11" s="309"/>
      <c r="Q11" s="309"/>
      <c r="R11" s="309"/>
      <c r="S11" s="309"/>
      <c r="T11" s="309"/>
      <c r="U11" s="309"/>
      <c r="V11" s="309"/>
    </row>
    <row r="12" spans="1:22" ht="21" customHeight="1">
      <c r="B12" s="1769"/>
      <c r="C12" s="1642"/>
      <c r="D12" s="1770"/>
      <c r="E12" s="565"/>
      <c r="F12" s="544"/>
      <c r="G12" s="566"/>
      <c r="H12" s="553"/>
      <c r="I12" s="567"/>
      <c r="J12" s="353"/>
      <c r="K12" s="353"/>
      <c r="L12" s="1476">
        <f t="shared" ref="L12:L23" si="0">+I12-J12-K12</f>
        <v>0</v>
      </c>
      <c r="M12" s="218"/>
      <c r="N12" s="309"/>
      <c r="O12" s="309"/>
      <c r="P12" s="309"/>
      <c r="Q12" s="309"/>
      <c r="R12" s="309"/>
      <c r="S12" s="309"/>
      <c r="T12" s="309"/>
      <c r="U12" s="309"/>
      <c r="V12" s="309"/>
    </row>
    <row r="13" spans="1:22" ht="21" customHeight="1">
      <c r="B13" s="1642"/>
      <c r="C13" s="1642"/>
      <c r="D13" s="1770"/>
      <c r="E13" s="565"/>
      <c r="F13" s="544"/>
      <c r="G13" s="553"/>
      <c r="H13" s="553"/>
      <c r="I13" s="353"/>
      <c r="J13" s="353"/>
      <c r="K13" s="353"/>
      <c r="L13" s="1476">
        <f t="shared" si="0"/>
        <v>0</v>
      </c>
      <c r="N13" s="309"/>
      <c r="O13" s="309"/>
      <c r="P13" s="309"/>
      <c r="Q13" s="309"/>
      <c r="R13" s="309"/>
      <c r="S13" s="309"/>
      <c r="T13" s="309"/>
      <c r="U13" s="309"/>
      <c r="V13" s="309"/>
    </row>
    <row r="14" spans="1:22" ht="21" customHeight="1">
      <c r="B14" s="1769"/>
      <c r="C14" s="1642"/>
      <c r="D14" s="1770"/>
      <c r="E14" s="565"/>
      <c r="F14" s="544"/>
      <c r="G14" s="553"/>
      <c r="H14" s="553"/>
      <c r="I14" s="353"/>
      <c r="J14" s="353"/>
      <c r="K14" s="353"/>
      <c r="L14" s="1476">
        <f t="shared" si="0"/>
        <v>0</v>
      </c>
      <c r="N14" s="309"/>
      <c r="O14" s="356"/>
      <c r="P14" s="309"/>
      <c r="Q14" s="309"/>
      <c r="R14" s="309"/>
      <c r="S14" s="309"/>
      <c r="T14" s="309"/>
      <c r="U14" s="309"/>
      <c r="V14" s="309"/>
    </row>
    <row r="15" spans="1:22" ht="21" customHeight="1">
      <c r="B15" s="1769"/>
      <c r="C15" s="1642"/>
      <c r="D15" s="1770"/>
      <c r="E15" s="565"/>
      <c r="F15" s="544"/>
      <c r="G15" s="566"/>
      <c r="H15" s="553"/>
      <c r="I15" s="567"/>
      <c r="J15" s="353"/>
      <c r="K15" s="353"/>
      <c r="L15" s="1476">
        <f t="shared" si="0"/>
        <v>0</v>
      </c>
      <c r="N15" s="309"/>
      <c r="O15" s="309"/>
      <c r="P15" s="309"/>
      <c r="Q15" s="309"/>
      <c r="R15" s="309"/>
      <c r="S15" s="309"/>
      <c r="T15" s="309"/>
      <c r="U15" s="309"/>
      <c r="V15" s="309"/>
    </row>
    <row r="16" spans="1:22" ht="21" customHeight="1">
      <c r="A16" s="1692" t="s">
        <v>438</v>
      </c>
      <c r="B16" s="1642"/>
      <c r="C16" s="1642"/>
      <c r="D16" s="1770"/>
      <c r="E16" s="565"/>
      <c r="F16" s="544"/>
      <c r="G16" s="553"/>
      <c r="H16" s="553"/>
      <c r="I16" s="353"/>
      <c r="J16" s="353"/>
      <c r="K16" s="353"/>
      <c r="L16" s="1476">
        <f t="shared" si="0"/>
        <v>0</v>
      </c>
      <c r="N16" s="309"/>
      <c r="O16" s="309"/>
      <c r="P16" s="309"/>
      <c r="Q16" s="309"/>
      <c r="R16" s="309"/>
      <c r="S16" s="309"/>
      <c r="T16" s="309"/>
      <c r="U16" s="309"/>
      <c r="V16" s="309"/>
    </row>
    <row r="17" spans="1:22" ht="21" customHeight="1">
      <c r="A17" s="1692"/>
      <c r="B17" s="1642"/>
      <c r="C17" s="1642"/>
      <c r="D17" s="1770"/>
      <c r="E17" s="565"/>
      <c r="F17" s="544"/>
      <c r="G17" s="553"/>
      <c r="H17" s="553"/>
      <c r="I17" s="353"/>
      <c r="J17" s="353"/>
      <c r="K17" s="353"/>
      <c r="L17" s="1476">
        <f t="shared" si="0"/>
        <v>0</v>
      </c>
      <c r="N17" s="309"/>
      <c r="O17" s="309"/>
      <c r="P17" s="309"/>
      <c r="Q17" s="309"/>
      <c r="R17" s="309"/>
      <c r="S17" s="309"/>
      <c r="T17" s="309"/>
      <c r="U17" s="309"/>
      <c r="V17" s="309"/>
    </row>
    <row r="18" spans="1:22" ht="21" customHeight="1">
      <c r="A18" s="1692"/>
      <c r="B18" s="1642"/>
      <c r="C18" s="1642"/>
      <c r="D18" s="1770"/>
      <c r="E18" s="565"/>
      <c r="F18" s="544"/>
      <c r="G18" s="553"/>
      <c r="H18" s="553"/>
      <c r="I18" s="353"/>
      <c r="J18" s="353"/>
      <c r="K18" s="353"/>
      <c r="L18" s="1476">
        <f t="shared" si="0"/>
        <v>0</v>
      </c>
      <c r="N18" s="309"/>
      <c r="O18" s="309"/>
      <c r="P18" s="309"/>
      <c r="Q18" s="309"/>
      <c r="R18" s="309"/>
      <c r="S18" s="309"/>
      <c r="T18" s="309"/>
      <c r="U18" s="309"/>
      <c r="V18" s="309"/>
    </row>
    <row r="19" spans="1:22" s="309" customFormat="1" ht="21" customHeight="1">
      <c r="A19" s="1456"/>
      <c r="B19" s="1455"/>
      <c r="C19" s="1455"/>
      <c r="D19" s="1458"/>
      <c r="E19" s="565"/>
      <c r="F19" s="544"/>
      <c r="G19" s="553"/>
      <c r="H19" s="553"/>
      <c r="I19" s="353"/>
      <c r="J19" s="353"/>
      <c r="K19" s="353"/>
      <c r="L19" s="1476">
        <f t="shared" si="0"/>
        <v>0</v>
      </c>
    </row>
    <row r="20" spans="1:22" s="309" customFormat="1" ht="21" customHeight="1">
      <c r="A20" s="1456"/>
      <c r="B20" s="1455"/>
      <c r="C20" s="1455"/>
      <c r="D20" s="1458"/>
      <c r="E20" s="565"/>
      <c r="F20" s="544"/>
      <c r="G20" s="553"/>
      <c r="H20" s="553"/>
      <c r="I20" s="353"/>
      <c r="J20" s="353"/>
      <c r="K20" s="353"/>
      <c r="L20" s="1476">
        <f t="shared" si="0"/>
        <v>0</v>
      </c>
    </row>
    <row r="21" spans="1:22" ht="21" customHeight="1">
      <c r="B21" s="1642"/>
      <c r="C21" s="1642"/>
      <c r="D21" s="1770"/>
      <c r="E21" s="565"/>
      <c r="F21" s="544"/>
      <c r="G21" s="553"/>
      <c r="H21" s="553"/>
      <c r="I21" s="353"/>
      <c r="J21" s="353"/>
      <c r="K21" s="353"/>
      <c r="L21" s="1476">
        <f t="shared" si="0"/>
        <v>0</v>
      </c>
      <c r="N21" s="309"/>
      <c r="O21" s="309"/>
      <c r="P21" s="309"/>
      <c r="Q21" s="309"/>
      <c r="R21" s="309"/>
      <c r="S21" s="309"/>
      <c r="T21" s="309"/>
      <c r="U21" s="309"/>
      <c r="V21" s="309"/>
    </row>
    <row r="22" spans="1:22" s="309" customFormat="1" ht="21" customHeight="1">
      <c r="B22" s="1455"/>
      <c r="C22" s="1455"/>
      <c r="D22" s="1458"/>
      <c r="E22" s="565"/>
      <c r="F22" s="544"/>
      <c r="G22" s="553"/>
      <c r="H22" s="553"/>
      <c r="I22" s="353"/>
      <c r="J22" s="353"/>
      <c r="K22" s="353"/>
      <c r="L22" s="1476">
        <f t="shared" si="0"/>
        <v>0</v>
      </c>
    </row>
    <row r="23" spans="1:22" ht="21" customHeight="1">
      <c r="B23" s="1642"/>
      <c r="C23" s="1642"/>
      <c r="D23" s="1770"/>
      <c r="E23" s="565"/>
      <c r="F23" s="544"/>
      <c r="G23" s="553"/>
      <c r="H23" s="553"/>
      <c r="I23" s="353"/>
      <c r="J23" s="353"/>
      <c r="K23" s="353"/>
      <c r="L23" s="1476">
        <f t="shared" si="0"/>
        <v>0</v>
      </c>
      <c r="N23" s="309"/>
      <c r="O23" s="309"/>
      <c r="P23" s="309"/>
      <c r="Q23" s="309"/>
      <c r="R23" s="309"/>
      <c r="S23" s="309"/>
      <c r="T23" s="309"/>
      <c r="U23" s="309"/>
      <c r="V23" s="309"/>
    </row>
    <row r="24" spans="1:22" ht="21" customHeight="1" thickBot="1">
      <c r="B24" s="42"/>
      <c r="C24" s="42"/>
      <c r="D24" s="42"/>
      <c r="E24" s="42"/>
      <c r="F24" s="855" t="s">
        <v>640</v>
      </c>
      <c r="G24" s="968">
        <f t="shared" ref="G24:L24" si="1">SUM(G10:G23)</f>
        <v>600000</v>
      </c>
      <c r="H24" s="968">
        <f t="shared" si="1"/>
        <v>120000</v>
      </c>
      <c r="I24" s="968">
        <f t="shared" si="1"/>
        <v>0</v>
      </c>
      <c r="J24" s="968">
        <f t="shared" si="1"/>
        <v>0</v>
      </c>
      <c r="K24" s="968">
        <f t="shared" si="1"/>
        <v>0</v>
      </c>
      <c r="L24" s="820">
        <f t="shared" si="1"/>
        <v>600000</v>
      </c>
      <c r="N24" s="309"/>
      <c r="O24" s="309"/>
      <c r="P24" s="309"/>
      <c r="Q24" s="309"/>
      <c r="R24" s="309"/>
      <c r="S24" s="309"/>
      <c r="T24" s="309"/>
      <c r="U24" s="309"/>
      <c r="V24" s="309"/>
    </row>
    <row r="25" spans="1:22" ht="12.75" customHeight="1" thickTop="1">
      <c r="B25" s="42"/>
      <c r="C25" s="42"/>
      <c r="D25" s="42"/>
      <c r="E25" s="42"/>
      <c r="F25" s="1010"/>
      <c r="G25" s="1010"/>
      <c r="H25" s="1010"/>
      <c r="I25" s="1024"/>
      <c r="J25" s="1024"/>
      <c r="K25" s="1010"/>
      <c r="L25" s="1010"/>
      <c r="N25" s="309"/>
      <c r="O25" s="309"/>
      <c r="P25" s="309"/>
      <c r="Q25" s="309"/>
      <c r="R25" s="309"/>
      <c r="S25" s="309"/>
      <c r="T25" s="309"/>
      <c r="U25" s="309"/>
      <c r="V25" s="309"/>
    </row>
    <row r="26" spans="1:22">
      <c r="B26" s="1471" t="s">
        <v>3527</v>
      </c>
      <c r="C26" s="1010"/>
      <c r="D26" s="1010"/>
      <c r="E26" s="1010"/>
      <c r="F26" s="1010"/>
      <c r="G26" s="1010"/>
      <c r="H26" s="1010"/>
      <c r="I26" s="1010"/>
      <c r="J26" s="1010"/>
      <c r="K26" s="1010"/>
      <c r="L26" s="1010"/>
      <c r="N26" s="309"/>
      <c r="O26" s="309"/>
      <c r="P26" s="309"/>
      <c r="Q26" s="309"/>
      <c r="R26" s="309"/>
      <c r="S26" s="309"/>
      <c r="T26" s="309"/>
      <c r="U26" s="309"/>
      <c r="V26" s="309"/>
    </row>
    <row r="27" spans="1:22" ht="13.5" customHeight="1">
      <c r="B27" s="1010" t="s">
        <v>123</v>
      </c>
      <c r="C27" s="1010"/>
      <c r="D27" s="1010"/>
      <c r="E27" s="1010"/>
      <c r="F27" s="42"/>
      <c r="G27" s="42"/>
      <c r="H27" s="42"/>
      <c r="I27" s="42"/>
      <c r="J27" s="42"/>
      <c r="K27" s="42"/>
      <c r="L27" s="42"/>
    </row>
    <row r="28" spans="1:22" ht="13.5" customHeight="1">
      <c r="B28" s="34"/>
      <c r="J28" s="1654" t="s">
        <v>3658</v>
      </c>
      <c r="K28" s="1651"/>
    </row>
    <row r="29" spans="1:22">
      <c r="B29" s="811"/>
      <c r="C29" s="811"/>
      <c r="D29" s="811"/>
      <c r="E29" s="811"/>
      <c r="F29" s="811"/>
      <c r="G29" s="811"/>
      <c r="H29" s="811"/>
      <c r="I29" s="811"/>
      <c r="J29" s="1771" t="s">
        <v>124</v>
      </c>
      <c r="K29" s="1771"/>
    </row>
    <row r="30" spans="1:22">
      <c r="B30" s="811" t="str">
        <f>"* Not less than one-fifth (1/5) of amount authorized but not more than the amount in the column 'Balance "&amp;IF('KEY INPUTS'!C42 = "State Fiscal Year", 'KEY INPUTS'!F47,'KEY INPUTS'!D47)&amp;"' must be entered here and then raised in the "&amp;IF('KEY INPUTS'!C42="State Fiscal Year","Fiscal Year "&amp;'KEY INPUTS'!D33+1&amp;"",'KEY INPUTS'!D34+1)&amp;" budget."</f>
        <v>* Not less than one-fifth (1/5) of amount authorized but not more than the amount in the column 'Balance Dec. 31, 2021' must be entered here and then raised in the 2022 budget.</v>
      </c>
      <c r="C30" s="811"/>
      <c r="D30" s="811"/>
      <c r="E30" s="811"/>
      <c r="F30" s="811"/>
      <c r="G30" s="811"/>
      <c r="H30" s="811"/>
      <c r="I30" s="811"/>
      <c r="J30" s="811"/>
      <c r="K30" s="811"/>
    </row>
    <row r="35" spans="9:12">
      <c r="L35" s="218">
        <f>+I24-J24-L24</f>
        <v>-600000</v>
      </c>
    </row>
    <row r="36" spans="9:12">
      <c r="I36" s="218"/>
      <c r="J36" s="218"/>
    </row>
  </sheetData>
  <sheetProtection algorithmName="SHA-512" hashValue="FQ994weDxRY5bKLumTzx7XxZ7HIVG8uy90yDh2+nsdbP+vnCRs04KIeINUnd6VrVtbztkUfq7QR5oLqT2x8Arw==" saltValue="2bamCRDBaMKG54j1qvziUw==" spinCount="100000" sheet="1" objects="1" scenarios="1"/>
  <mergeCells count="18">
    <mergeCell ref="J28:K28"/>
    <mergeCell ref="J29:K29"/>
    <mergeCell ref="J7:K7"/>
    <mergeCell ref="B21:D21"/>
    <mergeCell ref="B23:D23"/>
    <mergeCell ref="J6:K6"/>
    <mergeCell ref="A16:A18"/>
    <mergeCell ref="B7:D7"/>
    <mergeCell ref="E7:F7"/>
    <mergeCell ref="B10:D10"/>
    <mergeCell ref="B11:D11"/>
    <mergeCell ref="B12:D12"/>
    <mergeCell ref="B13:D13"/>
    <mergeCell ref="B14:D14"/>
    <mergeCell ref="B15:D15"/>
    <mergeCell ref="B16:D16"/>
    <mergeCell ref="B17:D17"/>
    <mergeCell ref="B18:D18"/>
  </mergeCells>
  <phoneticPr fontId="0" type="noConversion"/>
  <pageMargins left="0.25" right="0.25" top="0.5" bottom="0.5" header="0.25" footer="0.25"/>
  <pageSetup paperSize="5" orientation="landscape" r:id="rId1"/>
  <headerFooter alignWithMargins="0"/>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8"/>
  <dimension ref="A1:W30"/>
  <sheetViews>
    <sheetView zoomScaleNormal="100" workbookViewId="0">
      <selection activeCell="E11" sqref="E11"/>
    </sheetView>
  </sheetViews>
  <sheetFormatPr defaultRowHeight="13.2"/>
  <cols>
    <col min="1" max="1" width="5.6640625" customWidth="1"/>
    <col min="2" max="4" width="4.88671875" customWidth="1"/>
    <col min="5" max="5" width="46.6640625" customWidth="1"/>
    <col min="6" max="6" width="7.6640625" customWidth="1"/>
    <col min="7" max="8" width="16.6640625" customWidth="1"/>
    <col min="9" max="12" width="15.6640625" customWidth="1"/>
  </cols>
  <sheetData>
    <row r="1" spans="1:23" s="811" customFormat="1"/>
    <row r="2" spans="1:23" s="811" customFormat="1" ht="18">
      <c r="B2" s="1019"/>
      <c r="C2" s="1019" t="s">
        <v>3526</v>
      </c>
    </row>
    <row r="3" spans="1:23" s="811" customFormat="1" ht="18">
      <c r="B3" s="1019"/>
      <c r="C3" s="1019" t="s">
        <v>3525</v>
      </c>
    </row>
    <row r="4" spans="1:23" s="811" customFormat="1"/>
    <row r="5" spans="1:23" s="811" customFormat="1" ht="13.8" thickBot="1"/>
    <row r="6" spans="1:23" s="811" customFormat="1" ht="16.2" thickTop="1">
      <c r="B6" s="844"/>
      <c r="C6" s="844"/>
      <c r="D6" s="844"/>
      <c r="E6" s="1020"/>
      <c r="F6" s="844"/>
      <c r="G6" s="845"/>
      <c r="H6" s="1021"/>
      <c r="I6" s="845"/>
      <c r="J6" s="1763" t="s">
        <v>3568</v>
      </c>
      <c r="K6" s="1764"/>
      <c r="L6" s="821"/>
    </row>
    <row r="7" spans="1:23" s="811" customFormat="1" ht="15.6">
      <c r="B7" s="1717" t="s">
        <v>17</v>
      </c>
      <c r="C7" s="1717"/>
      <c r="D7" s="1717"/>
      <c r="E7" s="1765" t="s">
        <v>413</v>
      </c>
      <c r="F7" s="1718"/>
      <c r="G7" s="847" t="s">
        <v>414</v>
      </c>
      <c r="H7" s="948" t="s">
        <v>442</v>
      </c>
      <c r="I7" s="847" t="s">
        <v>530</v>
      </c>
      <c r="J7" s="1772" t="str">
        <f>'29-Special Emergency'!J7:K7</f>
        <v>2021</v>
      </c>
      <c r="K7" s="1773"/>
      <c r="L7" s="822" t="s">
        <v>530</v>
      </c>
    </row>
    <row r="8" spans="1:23" s="811" customFormat="1">
      <c r="E8" s="1022"/>
      <c r="G8" s="847" t="s">
        <v>441</v>
      </c>
      <c r="H8" s="948" t="s">
        <v>126</v>
      </c>
      <c r="I8" s="850" t="str">
        <f>'29-Special Emergency'!I8</f>
        <v>Dec. 31, 2020</v>
      </c>
      <c r="J8" s="847" t="str">
        <f>'29-Special Emergency'!J8</f>
        <v>By 2021</v>
      </c>
      <c r="K8" s="847" t="s">
        <v>439</v>
      </c>
      <c r="L8" s="823" t="str">
        <f>'29-Special Emergency'!L8</f>
        <v>Dec. 31, 2021</v>
      </c>
    </row>
    <row r="9" spans="1:23" s="811" customFormat="1" ht="13.8" thickBot="1">
      <c r="B9" s="853"/>
      <c r="C9" s="853"/>
      <c r="D9" s="853"/>
      <c r="E9" s="856"/>
      <c r="F9" s="853"/>
      <c r="G9" s="855"/>
      <c r="H9" s="1023" t="s">
        <v>444</v>
      </c>
      <c r="I9" s="854"/>
      <c r="J9" s="855" t="s">
        <v>535</v>
      </c>
      <c r="K9" s="855" t="s">
        <v>440</v>
      </c>
      <c r="L9" s="824"/>
    </row>
    <row r="10" spans="1:23" ht="21" customHeight="1" thickTop="1">
      <c r="B10" s="1767"/>
      <c r="C10" s="1767"/>
      <c r="D10" s="1768"/>
      <c r="E10" s="562" t="s">
        <v>3730</v>
      </c>
      <c r="F10" s="542"/>
      <c r="G10" s="568"/>
      <c r="H10" s="568"/>
      <c r="I10" s="569"/>
      <c r="J10" s="569"/>
      <c r="K10" s="569"/>
      <c r="L10" s="1477">
        <f>+I10-J10-K10</f>
        <v>0</v>
      </c>
      <c r="O10" s="309"/>
      <c r="P10" s="309"/>
      <c r="Q10" s="309"/>
      <c r="R10" s="309"/>
      <c r="S10" s="309"/>
      <c r="T10" s="309"/>
      <c r="U10" s="309"/>
      <c r="V10" s="309"/>
      <c r="W10" s="309"/>
    </row>
    <row r="11" spans="1:23" ht="21" customHeight="1">
      <c r="B11" s="1642"/>
      <c r="C11" s="1642"/>
      <c r="D11" s="1770"/>
      <c r="E11" s="565"/>
      <c r="F11" s="544"/>
      <c r="G11" s="570"/>
      <c r="H11" s="570"/>
      <c r="I11" s="571"/>
      <c r="J11" s="571"/>
      <c r="K11" s="571"/>
      <c r="L11" s="572">
        <f>+I11-J11-K11</f>
        <v>0</v>
      </c>
      <c r="O11" s="309"/>
      <c r="P11" s="309"/>
      <c r="Q11" s="309"/>
      <c r="R11" s="309"/>
      <c r="S11" s="309"/>
      <c r="T11" s="309"/>
      <c r="U11" s="309"/>
      <c r="V11" s="309"/>
      <c r="W11" s="309"/>
    </row>
    <row r="12" spans="1:23" ht="21" customHeight="1">
      <c r="B12" s="1642"/>
      <c r="C12" s="1642"/>
      <c r="D12" s="1770"/>
      <c r="E12" s="565"/>
      <c r="F12" s="544"/>
      <c r="G12" s="570"/>
      <c r="H12" s="570"/>
      <c r="I12" s="571"/>
      <c r="J12" s="571"/>
      <c r="K12" s="571"/>
      <c r="L12" s="572">
        <f t="shared" ref="L12:L23" si="0">+I12-J12-K12</f>
        <v>0</v>
      </c>
      <c r="O12" s="309"/>
      <c r="P12" s="309"/>
      <c r="Q12" s="309"/>
      <c r="R12" s="309"/>
      <c r="S12" s="309"/>
      <c r="T12" s="309"/>
      <c r="U12" s="309"/>
      <c r="V12" s="309"/>
      <c r="W12" s="309"/>
    </row>
    <row r="13" spans="1:23" ht="21" customHeight="1">
      <c r="B13" s="1642"/>
      <c r="C13" s="1642"/>
      <c r="D13" s="1770"/>
      <c r="E13" s="565"/>
      <c r="F13" s="544"/>
      <c r="G13" s="570"/>
      <c r="H13" s="570"/>
      <c r="I13" s="571"/>
      <c r="J13" s="571"/>
      <c r="K13" s="571"/>
      <c r="L13" s="572">
        <f t="shared" si="0"/>
        <v>0</v>
      </c>
      <c r="O13" s="309"/>
      <c r="P13" s="309"/>
      <c r="Q13" s="309"/>
      <c r="R13" s="309"/>
      <c r="S13" s="309"/>
      <c r="T13" s="309"/>
      <c r="U13" s="309"/>
      <c r="V13" s="309"/>
      <c r="W13" s="309"/>
    </row>
    <row r="14" spans="1:23" ht="21" customHeight="1">
      <c r="B14" s="1642"/>
      <c r="C14" s="1642"/>
      <c r="D14" s="1770"/>
      <c r="E14" s="565"/>
      <c r="F14" s="544"/>
      <c r="G14" s="570"/>
      <c r="H14" s="570"/>
      <c r="I14" s="571"/>
      <c r="J14" s="571"/>
      <c r="K14" s="571"/>
      <c r="L14" s="572">
        <f t="shared" si="0"/>
        <v>0</v>
      </c>
      <c r="O14" s="309"/>
      <c r="P14" s="309"/>
      <c r="Q14" s="309"/>
      <c r="R14" s="309"/>
      <c r="S14" s="309"/>
      <c r="T14" s="309"/>
      <c r="U14" s="309"/>
      <c r="V14" s="309"/>
      <c r="W14" s="309"/>
    </row>
    <row r="15" spans="1:23" ht="21" customHeight="1">
      <c r="B15" s="1642"/>
      <c r="C15" s="1642"/>
      <c r="D15" s="1770"/>
      <c r="E15" s="565"/>
      <c r="F15" s="544"/>
      <c r="G15" s="573"/>
      <c r="H15" s="573"/>
      <c r="I15" s="574"/>
      <c r="J15" s="571"/>
      <c r="K15" s="571"/>
      <c r="L15" s="572">
        <f t="shared" si="0"/>
        <v>0</v>
      </c>
      <c r="O15" s="309"/>
      <c r="P15" s="309"/>
      <c r="Q15" s="309"/>
      <c r="R15" s="309"/>
      <c r="S15" s="309"/>
      <c r="T15" s="309"/>
      <c r="U15" s="309"/>
      <c r="V15" s="309"/>
      <c r="W15" s="309"/>
    </row>
    <row r="16" spans="1:23" ht="21" customHeight="1">
      <c r="A16" s="1692" t="s">
        <v>125</v>
      </c>
      <c r="B16" s="1642"/>
      <c r="C16" s="1642"/>
      <c r="D16" s="1770"/>
      <c r="E16" s="565"/>
      <c r="F16" s="544"/>
      <c r="G16" s="570"/>
      <c r="H16" s="570"/>
      <c r="I16" s="571"/>
      <c r="J16" s="571"/>
      <c r="K16" s="571"/>
      <c r="L16" s="572">
        <f t="shared" si="0"/>
        <v>0</v>
      </c>
      <c r="O16" s="309"/>
      <c r="P16" s="356"/>
      <c r="Q16" s="309"/>
      <c r="R16" s="309"/>
      <c r="S16" s="309"/>
      <c r="T16" s="309"/>
      <c r="U16" s="309"/>
      <c r="V16" s="309"/>
      <c r="W16" s="309"/>
    </row>
    <row r="17" spans="1:23" ht="21" customHeight="1">
      <c r="A17" s="1692"/>
      <c r="B17" s="1642"/>
      <c r="C17" s="1642"/>
      <c r="D17" s="1770"/>
      <c r="E17" s="565"/>
      <c r="F17" s="544"/>
      <c r="G17" s="570"/>
      <c r="H17" s="570"/>
      <c r="I17" s="571"/>
      <c r="J17" s="571"/>
      <c r="K17" s="571"/>
      <c r="L17" s="572">
        <f t="shared" si="0"/>
        <v>0</v>
      </c>
      <c r="O17" s="309"/>
      <c r="P17" s="309"/>
      <c r="Q17" s="309"/>
      <c r="R17" s="309"/>
      <c r="S17" s="309"/>
      <c r="T17" s="309"/>
      <c r="U17" s="309"/>
      <c r="V17" s="309"/>
      <c r="W17" s="309"/>
    </row>
    <row r="18" spans="1:23" s="309" customFormat="1" ht="21" customHeight="1">
      <c r="A18" s="1692"/>
      <c r="B18" s="1455"/>
      <c r="C18" s="1455"/>
      <c r="D18" s="1458"/>
      <c r="E18" s="565"/>
      <c r="F18" s="544"/>
      <c r="G18" s="570"/>
      <c r="H18" s="570"/>
      <c r="I18" s="571"/>
      <c r="J18" s="571"/>
      <c r="K18" s="571"/>
      <c r="L18" s="572">
        <f t="shared" si="0"/>
        <v>0</v>
      </c>
    </row>
    <row r="19" spans="1:23" s="309" customFormat="1" ht="21" customHeight="1">
      <c r="A19" s="1692"/>
      <c r="B19" s="1455"/>
      <c r="C19" s="1455"/>
      <c r="D19" s="1458"/>
      <c r="E19" s="565"/>
      <c r="F19" s="544"/>
      <c r="G19" s="570"/>
      <c r="H19" s="570"/>
      <c r="I19" s="571"/>
      <c r="J19" s="571"/>
      <c r="K19" s="571"/>
      <c r="L19" s="572">
        <f t="shared" si="0"/>
        <v>0</v>
      </c>
    </row>
    <row r="20" spans="1:23" s="309" customFormat="1" ht="21" customHeight="1">
      <c r="A20" s="1692"/>
      <c r="B20" s="1455"/>
      <c r="C20" s="1455"/>
      <c r="D20" s="1458"/>
      <c r="E20" s="565"/>
      <c r="F20" s="544"/>
      <c r="G20" s="570"/>
      <c r="H20" s="570"/>
      <c r="I20" s="571"/>
      <c r="J20" s="571"/>
      <c r="K20" s="571"/>
      <c r="L20" s="572">
        <f t="shared" si="0"/>
        <v>0</v>
      </c>
    </row>
    <row r="21" spans="1:23" ht="21" customHeight="1">
      <c r="A21" s="1692"/>
      <c r="B21" s="1642"/>
      <c r="C21" s="1642"/>
      <c r="D21" s="1770"/>
      <c r="E21" s="565"/>
      <c r="F21" s="544"/>
      <c r="G21" s="570"/>
      <c r="H21" s="570"/>
      <c r="I21" s="571"/>
      <c r="J21" s="571"/>
      <c r="K21" s="571"/>
      <c r="L21" s="572">
        <f t="shared" si="0"/>
        <v>0</v>
      </c>
      <c r="O21" s="309"/>
      <c r="P21" s="309"/>
      <c r="Q21" s="309"/>
      <c r="R21" s="309"/>
      <c r="S21" s="309"/>
      <c r="T21" s="309"/>
      <c r="U21" s="309"/>
      <c r="V21" s="309"/>
      <c r="W21" s="309"/>
    </row>
    <row r="22" spans="1:23" ht="21" customHeight="1">
      <c r="B22" s="1642"/>
      <c r="C22" s="1642"/>
      <c r="D22" s="1770"/>
      <c r="E22" s="565"/>
      <c r="F22" s="544"/>
      <c r="G22" s="570"/>
      <c r="H22" s="570"/>
      <c r="I22" s="571"/>
      <c r="J22" s="571"/>
      <c r="K22" s="571"/>
      <c r="L22" s="572">
        <f t="shared" si="0"/>
        <v>0</v>
      </c>
      <c r="O22" s="309"/>
      <c r="P22" s="309"/>
      <c r="Q22" s="309"/>
      <c r="R22" s="309"/>
      <c r="S22" s="309"/>
      <c r="T22" s="309"/>
      <c r="U22" s="309"/>
      <c r="V22" s="309"/>
      <c r="W22" s="309"/>
    </row>
    <row r="23" spans="1:23" ht="21" customHeight="1">
      <c r="B23" s="1642"/>
      <c r="C23" s="1642"/>
      <c r="D23" s="1770"/>
      <c r="E23" s="565"/>
      <c r="F23" s="544"/>
      <c r="G23" s="570"/>
      <c r="H23" s="570"/>
      <c r="I23" s="571"/>
      <c r="J23" s="571"/>
      <c r="K23" s="571"/>
      <c r="L23" s="572">
        <f t="shared" si="0"/>
        <v>0</v>
      </c>
      <c r="O23" s="309"/>
      <c r="P23" s="309"/>
      <c r="Q23" s="309"/>
      <c r="R23" s="309"/>
      <c r="S23" s="309"/>
      <c r="T23" s="309"/>
      <c r="U23" s="309"/>
      <c r="V23" s="309"/>
      <c r="W23" s="309"/>
    </row>
    <row r="24" spans="1:23" s="811" customFormat="1" ht="21" customHeight="1" thickBot="1">
      <c r="B24" s="1010"/>
      <c r="C24" s="1010"/>
      <c r="D24" s="1010"/>
      <c r="E24" s="1010"/>
      <c r="F24" s="855" t="s">
        <v>640</v>
      </c>
      <c r="G24" s="1027">
        <f t="shared" ref="G24:L24" si="1">SUM(G10:G23)</f>
        <v>0</v>
      </c>
      <c r="H24" s="1027">
        <f t="shared" si="1"/>
        <v>0</v>
      </c>
      <c r="I24" s="1027">
        <f t="shared" si="1"/>
        <v>0</v>
      </c>
      <c r="J24" s="1027">
        <f t="shared" si="1"/>
        <v>0</v>
      </c>
      <c r="K24" s="1027">
        <f t="shared" si="1"/>
        <v>0</v>
      </c>
      <c r="L24" s="1026">
        <f t="shared" si="1"/>
        <v>0</v>
      </c>
    </row>
    <row r="25" spans="1:23" s="811" customFormat="1" ht="12.75" customHeight="1" thickTop="1">
      <c r="B25" s="1010"/>
      <c r="C25" s="1010"/>
      <c r="D25" s="1010"/>
      <c r="E25" s="1010"/>
      <c r="F25" s="1010"/>
      <c r="G25" s="1010"/>
      <c r="H25" s="1010"/>
      <c r="I25" s="1024"/>
      <c r="J25" s="1024"/>
      <c r="K25" s="1010"/>
      <c r="L25" s="1010"/>
    </row>
    <row r="26" spans="1:23" s="811" customFormat="1">
      <c r="B26" s="1471" t="s">
        <v>3528</v>
      </c>
      <c r="C26" s="1010"/>
      <c r="D26" s="1010"/>
      <c r="E26" s="1010"/>
      <c r="F26" s="1010"/>
      <c r="G26" s="1010"/>
      <c r="H26" s="1010"/>
      <c r="I26" s="1010"/>
      <c r="J26" s="1010"/>
      <c r="K26" s="1010"/>
      <c r="L26" s="1010"/>
    </row>
    <row r="27" spans="1:23" s="811" customFormat="1" ht="13.5" customHeight="1">
      <c r="B27" s="1471" t="s">
        <v>3569</v>
      </c>
      <c r="C27" s="1010"/>
      <c r="D27" s="1010"/>
      <c r="E27" s="1010"/>
      <c r="F27" s="1010"/>
      <c r="G27" s="1010"/>
      <c r="H27" s="1010"/>
      <c r="I27" s="1010"/>
      <c r="J27" s="1010"/>
      <c r="K27" s="1010"/>
      <c r="L27" s="1010"/>
    </row>
    <row r="28" spans="1:23" ht="13.5" customHeight="1">
      <c r="B28" s="34"/>
      <c r="J28" s="1654" t="s">
        <v>3658</v>
      </c>
      <c r="K28" s="1651"/>
      <c r="O28" s="309"/>
      <c r="P28" s="309"/>
      <c r="Q28" s="309"/>
      <c r="R28" s="309"/>
      <c r="S28" s="309"/>
      <c r="T28" s="309"/>
      <c r="U28" s="309"/>
      <c r="V28" s="309"/>
      <c r="W28" s="309"/>
    </row>
    <row r="29" spans="1:23" s="811" customFormat="1">
      <c r="J29" s="1771" t="s">
        <v>124</v>
      </c>
      <c r="K29" s="1771"/>
    </row>
    <row r="30" spans="1:23" s="811" customFormat="1">
      <c r="B30" s="811" t="str">
        <f>"* Not less than one-third (1/3) of amount authorized but not more than the amount in the column 'Balance "&amp;IF('KEY INPUTS'!C42 = "State Fiscal Year", 'KEY INPUTS'!F47,'KEY INPUTS'!D47)&amp;"' must be entered here and then raised in the "&amp;IF('KEY INPUTS'!C42="State Fiscal Year","Fiscal Year "&amp;'KEY INPUTS'!D33+1&amp;"",'KEY INPUTS'!D34+1)&amp;" budget."</f>
        <v>* Not less than one-third (1/3) of amount authorized but not more than the amount in the column 'Balance Dec. 31, 2021' must be entered here and then raised in the 2022 budget.</v>
      </c>
    </row>
  </sheetData>
  <sheetProtection algorithmName="SHA-512" hashValue="1Mr9U5fnil4z6HnMfdyB591hvzlvKwlQPG0ncAhTQ2MlOwLOZVKKoXcowRFC2pQZRSlv59tIK1+zk01L60oxug==" saltValue="nzfa7DM8r3nO7SH/zJVa1w==" spinCount="100000" sheet="1" objects="1" scenarios="1"/>
  <mergeCells count="18">
    <mergeCell ref="J28:K28"/>
    <mergeCell ref="J29:K29"/>
    <mergeCell ref="J7:K7"/>
    <mergeCell ref="B22:D22"/>
    <mergeCell ref="B23:D23"/>
    <mergeCell ref="J6:K6"/>
    <mergeCell ref="A16:A21"/>
    <mergeCell ref="B7:D7"/>
    <mergeCell ref="E7:F7"/>
    <mergeCell ref="B10:D10"/>
    <mergeCell ref="B11:D11"/>
    <mergeCell ref="B12:D12"/>
    <mergeCell ref="B13:D13"/>
    <mergeCell ref="B14:D14"/>
    <mergeCell ref="B15:D15"/>
    <mergeCell ref="B16:D16"/>
    <mergeCell ref="B17:D17"/>
    <mergeCell ref="B21:D21"/>
  </mergeCells>
  <phoneticPr fontId="0" type="noConversion"/>
  <pageMargins left="0.25" right="0.25" top="0.5" bottom="0.5" header="0.25" footer="0.25"/>
  <pageSetup paperSize="5" orientation="landscape" r:id="rId1"/>
  <headerFooter alignWithMargins="0"/>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9"/>
  <dimension ref="B2:AE47"/>
  <sheetViews>
    <sheetView topLeftCell="A13" zoomScaleNormal="100" workbookViewId="0">
      <selection activeCell="B32" sqref="B32"/>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s>
  <sheetData>
    <row r="2" spans="2:24" ht="20.399999999999999">
      <c r="B2" s="1619" t="s">
        <v>127</v>
      </c>
      <c r="C2" s="1619"/>
      <c r="D2" s="1619"/>
      <c r="E2" s="1619"/>
      <c r="F2" s="1619"/>
      <c r="G2" s="1619"/>
      <c r="H2" s="1619"/>
      <c r="I2" s="1619"/>
      <c r="J2" s="1619"/>
      <c r="K2" s="1619"/>
      <c r="L2" s="1619"/>
    </row>
    <row r="3" spans="2:24" ht="20.399999999999999">
      <c r="B3" s="1619" t="str">
        <f>" AND "&amp;IF('KEY INPUTS'!C42="State Fiscal Year","FISCAL YEAR "&amp;'KEY INPUTS'!D33+1&amp;"",'KEY INPUTS'!D34+1)&amp;" DEBT  SERVICE  FOR  BONDS"</f>
        <v xml:space="preserve"> AND 2022 DEBT  SERVICE  FOR  BONDS</v>
      </c>
      <c r="C3" s="1619"/>
      <c r="D3" s="1619"/>
      <c r="E3" s="1619"/>
      <c r="F3" s="1619"/>
      <c r="G3" s="1619"/>
      <c r="H3" s="1619"/>
      <c r="I3" s="1619"/>
      <c r="J3" s="1619"/>
      <c r="K3" s="1619"/>
      <c r="L3" s="1619"/>
    </row>
    <row r="4" spans="2:24" ht="15.6">
      <c r="B4" s="1620" t="s">
        <v>3476</v>
      </c>
      <c r="C4" s="1620"/>
      <c r="D4" s="1620"/>
      <c r="E4" s="1620"/>
      <c r="F4" s="1620"/>
      <c r="G4" s="1620"/>
      <c r="H4" s="1620"/>
      <c r="I4" s="1620"/>
      <c r="J4" s="1620"/>
      <c r="K4" s="1620"/>
      <c r="L4" s="1620"/>
      <c r="N4" s="311"/>
    </row>
    <row r="5" spans="2:24" ht="9.75" customHeight="1" thickBot="1">
      <c r="B5" s="106"/>
      <c r="C5" s="106"/>
      <c r="D5" s="106"/>
      <c r="E5" s="106"/>
      <c r="F5" s="106"/>
      <c r="G5" s="106"/>
      <c r="H5" s="106"/>
      <c r="I5" s="106"/>
      <c r="J5" s="106"/>
      <c r="K5" s="106"/>
      <c r="L5" s="106"/>
    </row>
    <row r="6" spans="2:24" ht="27.75" customHeight="1" thickTop="1" thickBot="1">
      <c r="B6" s="60"/>
      <c r="C6" s="60"/>
      <c r="D6" s="60"/>
      <c r="E6" s="60"/>
      <c r="F6" s="60"/>
      <c r="G6" s="4" t="s">
        <v>96</v>
      </c>
      <c r="H6" s="1753" t="s">
        <v>97</v>
      </c>
      <c r="I6" s="1669"/>
      <c r="J6" s="1776" t="str">
        <f>IF('KEY INPUTS'!C42="State Fiscal Year","Fiscal Year "&amp;'KEY INPUTS'!D33+1&amp;"",'KEY INPUTS'!D34+1)&amp;"  Debt Service"</f>
        <v>2022  Debt Service</v>
      </c>
      <c r="K6" s="1777"/>
      <c r="L6" s="1778"/>
    </row>
    <row r="7" spans="2:24" ht="21" customHeight="1" thickTop="1">
      <c r="B7" s="22" t="str">
        <f>IF('KEY INPUTS'!C42 = "State Fiscal Year", 'KEY INPUTS'!F27,'KEY INPUTS'!D27)</f>
        <v>Outstanding - January 1, 2021</v>
      </c>
      <c r="C7" s="22"/>
      <c r="D7" s="22"/>
      <c r="E7" s="22"/>
      <c r="F7" s="22"/>
      <c r="G7" s="141" t="s">
        <v>628</v>
      </c>
      <c r="H7" s="1774">
        <v>2310000</v>
      </c>
      <c r="I7" s="1775"/>
      <c r="J7" s="72"/>
      <c r="K7" s="274"/>
      <c r="L7" s="772"/>
    </row>
    <row r="8" spans="2:24" ht="21" customHeight="1">
      <c r="B8" s="5" t="s">
        <v>92</v>
      </c>
      <c r="C8" s="5"/>
      <c r="D8" s="5"/>
      <c r="E8" s="5"/>
      <c r="F8" s="5"/>
      <c r="G8" s="142" t="s">
        <v>628</v>
      </c>
      <c r="H8" s="1774"/>
      <c r="I8" s="1775"/>
      <c r="J8" s="72"/>
      <c r="K8" s="274"/>
      <c r="L8" s="772"/>
      <c r="P8" s="309"/>
      <c r="Q8" s="309"/>
      <c r="R8" s="309"/>
      <c r="S8" s="309"/>
      <c r="T8" s="309"/>
      <c r="U8" s="309"/>
      <c r="V8" s="309"/>
      <c r="W8" s="309"/>
      <c r="X8" s="309"/>
    </row>
    <row r="9" spans="2:24" ht="21" customHeight="1">
      <c r="B9" s="5" t="s">
        <v>254</v>
      </c>
      <c r="C9" s="5"/>
      <c r="D9" s="5"/>
      <c r="E9" s="5"/>
      <c r="F9" s="5"/>
      <c r="G9" s="353">
        <v>140000</v>
      </c>
      <c r="H9" s="1782" t="s">
        <v>628</v>
      </c>
      <c r="I9" s="1783"/>
      <c r="J9" s="72"/>
      <c r="K9" s="274"/>
      <c r="L9" s="772"/>
      <c r="P9" s="309"/>
      <c r="Q9" s="309"/>
      <c r="R9" s="309"/>
      <c r="S9" s="309"/>
      <c r="T9" s="309"/>
      <c r="U9" s="309"/>
      <c r="V9" s="309"/>
      <c r="W9" s="309"/>
      <c r="X9" s="309"/>
    </row>
    <row r="10" spans="2:24" ht="21" customHeight="1">
      <c r="B10" s="538"/>
      <c r="C10" s="538"/>
      <c r="D10" s="538"/>
      <c r="E10" s="538"/>
      <c r="F10" s="538"/>
      <c r="G10" s="353"/>
      <c r="H10" s="1774"/>
      <c r="I10" s="1775"/>
      <c r="J10" s="72"/>
      <c r="K10" s="274"/>
      <c r="L10" s="772"/>
      <c r="P10" s="309"/>
      <c r="Q10" s="309"/>
      <c r="R10" s="309"/>
      <c r="S10" s="309"/>
      <c r="T10" s="309"/>
      <c r="U10" s="309"/>
      <c r="V10" s="309"/>
      <c r="W10" s="309"/>
      <c r="X10" s="309"/>
    </row>
    <row r="11" spans="2:24" ht="21" customHeight="1">
      <c r="B11" s="538"/>
      <c r="C11" s="538"/>
      <c r="D11" s="538"/>
      <c r="E11" s="538"/>
      <c r="F11" s="538"/>
      <c r="G11" s="353"/>
      <c r="H11" s="1774"/>
      <c r="I11" s="1775"/>
      <c r="J11" s="72"/>
      <c r="K11" s="274"/>
      <c r="L11" s="772"/>
      <c r="P11" s="309"/>
      <c r="Q11" s="309"/>
      <c r="R11" s="309"/>
      <c r="S11" s="309"/>
      <c r="T11" s="309"/>
      <c r="U11" s="309"/>
      <c r="V11" s="309"/>
      <c r="W11" s="309"/>
      <c r="X11" s="309"/>
    </row>
    <row r="12" spans="2:24" ht="21" customHeight="1" thickBot="1">
      <c r="B12" s="5" t="str">
        <f>IF('KEY INPUTS'!C42 = "State Fiscal Year", 'KEY INPUTS'!F28,'KEY INPUTS'!D28)</f>
        <v>Outstanding - December 31, 2021</v>
      </c>
      <c r="C12" s="5"/>
      <c r="D12" s="5"/>
      <c r="E12" s="5"/>
      <c r="F12" s="5"/>
      <c r="G12" s="74">
        <f>+H7+H8-G9-G10-G11+H10+H11</f>
        <v>2170000</v>
      </c>
      <c r="H12" s="1786" t="s">
        <v>628</v>
      </c>
      <c r="I12" s="1787"/>
      <c r="J12" s="72"/>
      <c r="K12" s="274"/>
      <c r="L12" s="772"/>
      <c r="P12" s="309"/>
      <c r="Q12" s="309"/>
      <c r="R12" s="309"/>
      <c r="S12" s="309"/>
      <c r="T12" s="309"/>
      <c r="U12" s="309"/>
      <c r="V12" s="309"/>
      <c r="W12" s="309"/>
      <c r="X12" s="309"/>
    </row>
    <row r="13" spans="2:24" ht="21" customHeight="1" thickBot="1">
      <c r="G13" s="77">
        <f>SUM(G7:G12)</f>
        <v>2310000</v>
      </c>
      <c r="H13" s="1788">
        <f>SUM(H7:I12)</f>
        <v>2310000</v>
      </c>
      <c r="I13" s="1789"/>
      <c r="J13" s="72"/>
      <c r="K13" s="274"/>
      <c r="L13" s="772"/>
      <c r="P13" s="309"/>
      <c r="Q13" s="309"/>
      <c r="R13" s="309"/>
      <c r="S13" s="309"/>
      <c r="T13" s="309"/>
      <c r="U13" s="309"/>
      <c r="V13" s="309"/>
      <c r="W13" s="309"/>
      <c r="X13" s="309"/>
    </row>
    <row r="14" spans="2:24" ht="21" customHeight="1" thickTop="1">
      <c r="B14" s="272" t="str">
        <f>IF('KEY INPUTS'!C42="State Fiscal Year","Fiscal Year "&amp;'KEY INPUTS'!D33+1&amp;"",'KEY INPUTS'!D34+1)&amp;" Bond Maturities - General Capital Bonds"</f>
        <v>2022 Bond Maturities - General Capital Bonds</v>
      </c>
      <c r="C14" s="30"/>
      <c r="D14" s="30"/>
      <c r="E14" s="30"/>
      <c r="F14" s="30"/>
      <c r="G14" s="30"/>
      <c r="H14" s="30"/>
      <c r="I14" s="117"/>
      <c r="J14" s="713" t="s">
        <v>373</v>
      </c>
      <c r="K14" s="1779">
        <v>145000</v>
      </c>
      <c r="L14" s="1780"/>
      <c r="P14" s="309"/>
      <c r="Q14" s="309"/>
      <c r="R14" s="309"/>
      <c r="S14" s="309"/>
      <c r="T14" s="309"/>
      <c r="U14" s="309"/>
      <c r="V14" s="309"/>
      <c r="W14" s="309"/>
      <c r="X14" s="309"/>
    </row>
    <row r="15" spans="2:24" ht="21" customHeight="1" thickBot="1">
      <c r="B15" s="27" t="str">
        <f>IF('KEY INPUTS'!C42="State Fiscal Year","Fiscal Year "&amp;'KEY INPUTS'!D33+1&amp;"",'KEY INPUTS'!D34+1)&amp;" Interest on Bonds*"</f>
        <v>2022 Interest on Bonds*</v>
      </c>
      <c r="C15" s="27"/>
      <c r="D15" s="27"/>
      <c r="E15" s="27"/>
      <c r="F15" s="27"/>
      <c r="G15" s="75"/>
      <c r="H15" s="27" t="s">
        <v>373</v>
      </c>
      <c r="I15" s="1028">
        <v>64775</v>
      </c>
      <c r="J15" s="72"/>
      <c r="K15" s="274"/>
      <c r="L15" s="772"/>
      <c r="P15" s="309"/>
      <c r="Q15" s="356"/>
      <c r="R15" s="309"/>
      <c r="S15" s="309"/>
      <c r="T15" s="309"/>
      <c r="U15" s="309"/>
      <c r="V15" s="309"/>
      <c r="W15" s="309"/>
      <c r="X15" s="309"/>
    </row>
    <row r="16" spans="2:24" ht="16.5" customHeight="1" thickTop="1">
      <c r="B16" s="1790"/>
      <c r="C16" s="1790"/>
      <c r="D16" s="1790"/>
      <c r="E16" s="1790"/>
      <c r="F16" s="1790"/>
      <c r="G16" s="1790"/>
      <c r="H16" s="1790"/>
      <c r="I16" s="1791"/>
      <c r="J16" s="72"/>
      <c r="K16" s="274"/>
      <c r="L16" s="772"/>
      <c r="P16" s="309"/>
      <c r="Q16" s="309"/>
      <c r="R16" s="309"/>
      <c r="S16" s="309"/>
      <c r="T16" s="309"/>
      <c r="U16" s="309"/>
      <c r="V16" s="309"/>
      <c r="W16" s="309"/>
      <c r="X16" s="309"/>
    </row>
    <row r="17" spans="2:24" ht="26.25" customHeight="1" thickBot="1">
      <c r="B17" s="1792" t="s">
        <v>93</v>
      </c>
      <c r="C17" s="1792"/>
      <c r="D17" s="1792"/>
      <c r="E17" s="1792"/>
      <c r="F17" s="1792"/>
      <c r="G17" s="1792"/>
      <c r="H17" s="1792"/>
      <c r="I17" s="1793"/>
      <c r="J17" s="72"/>
      <c r="K17" s="274"/>
      <c r="L17" s="772"/>
      <c r="P17" s="309"/>
      <c r="Q17" s="309"/>
      <c r="R17" s="309"/>
      <c r="S17" s="309"/>
      <c r="T17" s="309"/>
      <c r="U17" s="309"/>
      <c r="V17" s="309"/>
      <c r="W17" s="309"/>
      <c r="X17" s="309"/>
    </row>
    <row r="18" spans="2:24" ht="21" customHeight="1" thickTop="1">
      <c r="B18" s="22" t="str">
        <f>B7</f>
        <v>Outstanding - January 1, 2021</v>
      </c>
      <c r="C18" s="22"/>
      <c r="D18" s="22"/>
      <c r="E18" s="22"/>
      <c r="F18" s="22"/>
      <c r="G18" s="141" t="s">
        <v>628</v>
      </c>
      <c r="H18" s="1774">
        <v>0</v>
      </c>
      <c r="I18" s="1775"/>
      <c r="J18" s="72"/>
      <c r="K18" s="274"/>
      <c r="L18" s="772"/>
      <c r="P18" s="309"/>
      <c r="Q18" s="309"/>
      <c r="R18" s="309"/>
      <c r="S18" s="309"/>
      <c r="T18" s="309"/>
      <c r="U18" s="309"/>
      <c r="V18" s="309"/>
      <c r="W18" s="309"/>
      <c r="X18" s="309"/>
    </row>
    <row r="19" spans="2:24" ht="21" customHeight="1">
      <c r="B19" s="5" t="s">
        <v>92</v>
      </c>
      <c r="C19" s="5"/>
      <c r="D19" s="5"/>
      <c r="E19" s="5"/>
      <c r="F19" s="5"/>
      <c r="G19" s="142" t="s">
        <v>628</v>
      </c>
      <c r="H19" s="1774"/>
      <c r="I19" s="1775"/>
      <c r="J19" s="72"/>
      <c r="K19" s="274"/>
      <c r="L19" s="772"/>
      <c r="P19" s="309"/>
      <c r="Q19" s="309"/>
      <c r="R19" s="309"/>
      <c r="S19" s="309"/>
      <c r="T19" s="309"/>
      <c r="U19" s="309"/>
      <c r="V19" s="309"/>
      <c r="W19" s="309"/>
      <c r="X19" s="309"/>
    </row>
    <row r="20" spans="2:24" ht="21" customHeight="1">
      <c r="B20" s="5" t="s">
        <v>254</v>
      </c>
      <c r="C20" s="5"/>
      <c r="D20" s="5"/>
      <c r="E20" s="5"/>
      <c r="F20" s="5"/>
      <c r="G20" s="353"/>
      <c r="H20" s="1782" t="s">
        <v>628</v>
      </c>
      <c r="I20" s="1783"/>
      <c r="J20" s="72"/>
      <c r="K20" s="274"/>
      <c r="L20" s="772"/>
      <c r="P20" s="309"/>
      <c r="Q20" s="309"/>
      <c r="R20" s="309"/>
      <c r="S20" s="309"/>
      <c r="T20" s="309"/>
      <c r="U20" s="309"/>
      <c r="V20" s="309"/>
      <c r="W20" s="309"/>
      <c r="X20" s="309"/>
    </row>
    <row r="21" spans="2:24" ht="21" customHeight="1">
      <c r="B21" s="538"/>
      <c r="C21" s="538"/>
      <c r="D21" s="538"/>
      <c r="E21" s="538"/>
      <c r="F21" s="538"/>
      <c r="G21" s="353"/>
      <c r="H21" s="1774"/>
      <c r="I21" s="1775"/>
      <c r="J21" s="72"/>
      <c r="K21" s="274"/>
      <c r="L21" s="772"/>
      <c r="P21" s="309"/>
      <c r="Q21" s="309"/>
      <c r="R21" s="309"/>
      <c r="S21" s="309"/>
      <c r="T21" s="309"/>
      <c r="U21" s="309"/>
      <c r="V21" s="309"/>
      <c r="W21" s="309"/>
      <c r="X21" s="309"/>
    </row>
    <row r="22" spans="2:24" ht="21" customHeight="1">
      <c r="B22" s="538"/>
      <c r="C22" s="538"/>
      <c r="D22" s="538"/>
      <c r="E22" s="538"/>
      <c r="F22" s="538"/>
      <c r="G22" s="353"/>
      <c r="H22" s="1774"/>
      <c r="I22" s="1775"/>
      <c r="J22" s="72"/>
      <c r="K22" s="274"/>
      <c r="L22" s="772"/>
      <c r="P22" s="309"/>
      <c r="Q22" s="309"/>
      <c r="R22" s="309"/>
      <c r="S22" s="309"/>
      <c r="T22" s="309"/>
      <c r="U22" s="309"/>
      <c r="V22" s="309"/>
      <c r="W22" s="309"/>
      <c r="X22" s="309"/>
    </row>
    <row r="23" spans="2:24" ht="21" customHeight="1" thickBot="1">
      <c r="B23" s="5" t="str">
        <f>B12</f>
        <v>Outstanding - December 31, 2021</v>
      </c>
      <c r="C23" s="5"/>
      <c r="D23" s="5"/>
      <c r="E23" s="5"/>
      <c r="F23" s="5"/>
      <c r="G23" s="74">
        <f>+H18+H19-G20-G21-G22+H21+H22</f>
        <v>0</v>
      </c>
      <c r="H23" s="1786" t="s">
        <v>628</v>
      </c>
      <c r="I23" s="1787"/>
      <c r="J23" s="72"/>
      <c r="K23" s="274"/>
      <c r="L23" s="772"/>
      <c r="P23" s="309"/>
      <c r="Q23" s="309"/>
      <c r="R23" s="309"/>
      <c r="S23" s="309"/>
      <c r="T23" s="309"/>
      <c r="U23" s="309"/>
      <c r="V23" s="309"/>
      <c r="W23" s="309"/>
      <c r="X23" s="309"/>
    </row>
    <row r="24" spans="2:24" ht="21" customHeight="1" thickBot="1">
      <c r="G24" s="77">
        <f>SUM(G18:G23)</f>
        <v>0</v>
      </c>
      <c r="H24" s="1788">
        <f>SUM(H18:I23)</f>
        <v>0</v>
      </c>
      <c r="I24" s="1789"/>
      <c r="J24" s="72"/>
      <c r="K24" s="274"/>
      <c r="L24" s="772"/>
      <c r="P24" s="309"/>
      <c r="Q24" s="309"/>
      <c r="R24" s="309"/>
      <c r="S24" s="309"/>
      <c r="T24" s="309"/>
      <c r="U24" s="309"/>
      <c r="V24" s="309"/>
      <c r="W24" s="309"/>
      <c r="X24" s="309"/>
    </row>
    <row r="25" spans="2:24" ht="21" customHeight="1" thickTop="1">
      <c r="B25" s="272" t="str">
        <f>IF('KEY INPUTS'!C42="State Fiscal Year","Fiscal Year "&amp;'KEY INPUTS'!D33+1&amp;"",'KEY INPUTS'!D34+1)&amp;" Bond Maturities - Assessment Bonds"</f>
        <v>2022 Bond Maturities - Assessment Bonds</v>
      </c>
      <c r="C25" s="30"/>
      <c r="D25" s="30"/>
      <c r="E25" s="30"/>
      <c r="F25" s="30"/>
      <c r="G25" s="30"/>
      <c r="H25" s="30"/>
      <c r="I25" s="117"/>
      <c r="J25" s="713" t="s">
        <v>373</v>
      </c>
      <c r="K25" s="1779">
        <v>0</v>
      </c>
      <c r="L25" s="1780"/>
      <c r="P25" s="309"/>
      <c r="Q25" s="309"/>
      <c r="R25" s="309"/>
      <c r="S25" s="309"/>
      <c r="T25" s="309"/>
      <c r="U25" s="309"/>
      <c r="V25" s="309"/>
      <c r="W25" s="309"/>
      <c r="X25" s="309"/>
    </row>
    <row r="26" spans="2:24" ht="21" customHeight="1" thickBot="1">
      <c r="B26" s="27" t="str">
        <f>B15</f>
        <v>2022 Interest on Bonds*</v>
      </c>
      <c r="C26" s="27"/>
      <c r="D26" s="27"/>
      <c r="E26" s="27"/>
      <c r="F26" s="27"/>
      <c r="G26" s="75"/>
      <c r="H26" s="27" t="s">
        <v>373</v>
      </c>
      <c r="I26" s="1028">
        <v>0</v>
      </c>
      <c r="J26" s="72"/>
      <c r="K26" s="274"/>
      <c r="L26" s="772"/>
      <c r="P26" s="309"/>
      <c r="Q26" s="309"/>
      <c r="R26" s="309"/>
      <c r="S26" s="309"/>
      <c r="T26" s="309"/>
      <c r="U26" s="309"/>
      <c r="V26" s="309"/>
      <c r="W26" s="309"/>
      <c r="X26" s="309"/>
    </row>
    <row r="27" spans="2:24" ht="21" customHeight="1" thickTop="1" thickBot="1">
      <c r="B27" s="10" t="s">
        <v>553</v>
      </c>
      <c r="C27" s="10"/>
      <c r="D27" s="10"/>
      <c r="E27" s="10"/>
      <c r="F27" s="10"/>
      <c r="G27" s="10"/>
      <c r="H27" s="10"/>
      <c r="I27" s="136"/>
      <c r="J27" s="17" t="s">
        <v>373</v>
      </c>
      <c r="K27" s="1784">
        <f>+I26+I15</f>
        <v>64775</v>
      </c>
      <c r="L27" s="1785"/>
    </row>
    <row r="28" spans="2:24" ht="21" customHeight="1" thickTop="1"/>
    <row r="29" spans="2:24" ht="21" customHeight="1" thickBot="1">
      <c r="B29" s="1794" t="str">
        <f>"LIST  OF  BONDS  ISSUED  DURING  "&amp;IF('KEY INPUTS'!C42="State Fiscal Year","FISCAL  YEAR  "&amp;'KEY INPUTS'!D33&amp;"",'KEY INPUTS'!D34)&amp;""</f>
        <v>LIST  OF  BONDS  ISSUED  DURING  2021</v>
      </c>
      <c r="C29" s="1794"/>
      <c r="D29" s="1794"/>
      <c r="E29" s="1794"/>
      <c r="F29" s="1794"/>
      <c r="G29" s="1794"/>
      <c r="H29" s="1794"/>
      <c r="I29" s="1794"/>
      <c r="J29" s="1794"/>
      <c r="K29" s="1794"/>
      <c r="L29" s="1794"/>
    </row>
    <row r="30" spans="2:24" ht="27" customHeight="1" thickTop="1" thickBot="1">
      <c r="B30" s="1668" t="s">
        <v>413</v>
      </c>
      <c r="C30" s="1668"/>
      <c r="D30" s="1668"/>
      <c r="E30" s="1668"/>
      <c r="F30" s="1668"/>
      <c r="G30" s="4" t="str">
        <f>IF('KEY INPUTS'!C42="State Fiscal Year","FY "&amp;'KEY INPUTS'!D33+1&amp;"",'KEY INPUTS'!D34+1)&amp;" Maturity"</f>
        <v>2022 Maturity</v>
      </c>
      <c r="H30" s="1753" t="s">
        <v>91</v>
      </c>
      <c r="I30" s="1669"/>
      <c r="J30" s="1776" t="s">
        <v>89</v>
      </c>
      <c r="K30" s="1800"/>
      <c r="L30" s="773" t="s">
        <v>90</v>
      </c>
    </row>
    <row r="31" spans="2:24" ht="21" customHeight="1" thickTop="1">
      <c r="B31" s="541" t="s">
        <v>3730</v>
      </c>
      <c r="C31" s="541"/>
      <c r="D31" s="541"/>
      <c r="E31" s="541"/>
      <c r="F31" s="541"/>
      <c r="G31" s="543"/>
      <c r="H31" s="1798"/>
      <c r="I31" s="1799"/>
      <c r="J31" s="1797"/>
      <c r="K31" s="1768"/>
      <c r="L31" s="906"/>
    </row>
    <row r="32" spans="2:24" ht="21" customHeight="1">
      <c r="B32" s="538"/>
      <c r="C32" s="538"/>
      <c r="D32" s="538"/>
      <c r="E32" s="538"/>
      <c r="F32" s="538"/>
      <c r="G32" s="353"/>
      <c r="H32" s="1774"/>
      <c r="I32" s="1775"/>
      <c r="J32" s="1781"/>
      <c r="K32" s="1770"/>
      <c r="L32" s="907"/>
    </row>
    <row r="33" spans="2:31" ht="21" customHeight="1">
      <c r="B33" s="538"/>
      <c r="C33" s="538"/>
      <c r="D33" s="538"/>
      <c r="E33" s="538"/>
      <c r="F33" s="538"/>
      <c r="G33" s="353"/>
      <c r="H33" s="1774"/>
      <c r="I33" s="1775"/>
      <c r="J33" s="1781"/>
      <c r="K33" s="1770"/>
      <c r="L33" s="907"/>
    </row>
    <row r="34" spans="2:31" ht="21" customHeight="1">
      <c r="B34" s="538"/>
      <c r="C34" s="538"/>
      <c r="D34" s="538"/>
      <c r="E34" s="538"/>
      <c r="F34" s="538"/>
      <c r="G34" s="353"/>
      <c r="H34" s="1774"/>
      <c r="I34" s="1775"/>
      <c r="J34" s="1781"/>
      <c r="K34" s="1770"/>
      <c r="L34" s="907"/>
    </row>
    <row r="35" spans="2:31" ht="21" customHeight="1">
      <c r="B35" s="538"/>
      <c r="C35" s="538"/>
      <c r="D35" s="538"/>
      <c r="E35" s="538"/>
      <c r="F35" s="538"/>
      <c r="G35" s="353"/>
      <c r="H35" s="1774"/>
      <c r="I35" s="1775"/>
      <c r="J35" s="1781"/>
      <c r="K35" s="1770"/>
      <c r="L35" s="907"/>
    </row>
    <row r="36" spans="2:31" ht="21" customHeight="1">
      <c r="B36" s="538"/>
      <c r="C36" s="538"/>
      <c r="D36" s="538"/>
      <c r="E36" s="538"/>
      <c r="F36" s="538"/>
      <c r="G36" s="353"/>
      <c r="H36" s="1774"/>
      <c r="I36" s="1775"/>
      <c r="J36" s="1781"/>
      <c r="K36" s="1770"/>
      <c r="L36" s="907"/>
    </row>
    <row r="37" spans="2:31" ht="21" customHeight="1">
      <c r="B37" s="538"/>
      <c r="C37" s="538"/>
      <c r="D37" s="538"/>
      <c r="E37" s="538"/>
      <c r="F37" s="538"/>
      <c r="G37" s="353"/>
      <c r="H37" s="1774"/>
      <c r="I37" s="1775"/>
      <c r="J37" s="1781"/>
      <c r="K37" s="1770"/>
      <c r="L37" s="907"/>
    </row>
    <row r="38" spans="2:31" ht="21" customHeight="1">
      <c r="B38" s="538"/>
      <c r="C38" s="538"/>
      <c r="D38" s="538"/>
      <c r="E38" s="538"/>
      <c r="F38" s="538"/>
      <c r="G38" s="353"/>
      <c r="H38" s="1774"/>
      <c r="I38" s="1775"/>
      <c r="J38" s="1781"/>
      <c r="K38" s="1770"/>
      <c r="L38" s="907"/>
    </row>
    <row r="39" spans="2:31" ht="21" customHeight="1" thickBot="1">
      <c r="B39" s="27"/>
      <c r="C39" s="27"/>
      <c r="D39" s="27"/>
      <c r="E39" s="27"/>
      <c r="F39" s="41" t="s">
        <v>201</v>
      </c>
      <c r="G39" s="77">
        <f>SUM(G31:G38)</f>
        <v>0</v>
      </c>
      <c r="H39" s="1795">
        <f>SUM(H31:I38)</f>
        <v>0</v>
      </c>
      <c r="I39" s="1796"/>
      <c r="J39" s="40"/>
      <c r="K39" s="27"/>
      <c r="L39" s="19"/>
    </row>
    <row r="40" spans="2:31" ht="13.8" thickTop="1">
      <c r="G40" s="56"/>
      <c r="H40" s="56"/>
      <c r="I40" s="56"/>
      <c r="AE40" s="309"/>
    </row>
    <row r="47" spans="2:31" ht="13.8">
      <c r="B47" s="1618" t="s">
        <v>554</v>
      </c>
      <c r="C47" s="1618"/>
      <c r="D47" s="1618"/>
      <c r="E47" s="1618"/>
      <c r="F47" s="1618"/>
      <c r="G47" s="1618"/>
      <c r="H47" s="1618"/>
      <c r="I47" s="1618"/>
      <c r="J47" s="1618"/>
      <c r="K47" s="1618"/>
      <c r="L47" s="1618"/>
    </row>
  </sheetData>
  <sheetProtection algorithmName="SHA-512" hashValue="kijKtSLH0oSmd4CFe81VrVP+es4xbzn+oenRtDqn6wrYeizGhQ032LKL5RcCKl0QgcWCq417eOAdg9FZfMwZPw==" saltValue="aA9azWga0mSATD4FLeBiIQ==" spinCount="100000" sheet="1" objects="1" scenarios="1"/>
  <mergeCells count="46">
    <mergeCell ref="J37:K37"/>
    <mergeCell ref="H32:I32"/>
    <mergeCell ref="B30:F30"/>
    <mergeCell ref="H30:I30"/>
    <mergeCell ref="H21:I21"/>
    <mergeCell ref="B47:L47"/>
    <mergeCell ref="B29:L29"/>
    <mergeCell ref="H39:I39"/>
    <mergeCell ref="H33:I33"/>
    <mergeCell ref="J31:K31"/>
    <mergeCell ref="H34:I34"/>
    <mergeCell ref="H35:I35"/>
    <mergeCell ref="H36:I36"/>
    <mergeCell ref="H31:I31"/>
    <mergeCell ref="H37:I37"/>
    <mergeCell ref="H38:I38"/>
    <mergeCell ref="J38:K38"/>
    <mergeCell ref="J32:K32"/>
    <mergeCell ref="J36:K36"/>
    <mergeCell ref="J30:K30"/>
    <mergeCell ref="J33:K33"/>
    <mergeCell ref="H9:I9"/>
    <mergeCell ref="H12:I12"/>
    <mergeCell ref="B16:I16"/>
    <mergeCell ref="H13:I13"/>
    <mergeCell ref="B17:I17"/>
    <mergeCell ref="K14:L14"/>
    <mergeCell ref="J35:K35"/>
    <mergeCell ref="H20:I20"/>
    <mergeCell ref="H10:I10"/>
    <mergeCell ref="H11:I11"/>
    <mergeCell ref="K25:L25"/>
    <mergeCell ref="K27:L27"/>
    <mergeCell ref="J34:K34"/>
    <mergeCell ref="H18:I18"/>
    <mergeCell ref="H19:I19"/>
    <mergeCell ref="H23:I23"/>
    <mergeCell ref="H22:I22"/>
    <mergeCell ref="H24:I24"/>
    <mergeCell ref="H8:I8"/>
    <mergeCell ref="B2:L2"/>
    <mergeCell ref="B3:L3"/>
    <mergeCell ref="B4:L4"/>
    <mergeCell ref="J6:L6"/>
    <mergeCell ref="H6:I6"/>
    <mergeCell ref="H7:I7"/>
  </mergeCells>
  <phoneticPr fontId="0" type="noConversion"/>
  <pageMargins left="0.25" right="0.25" top="0.5" bottom="0.5" header="0.25" footer="0.25"/>
  <pageSetup paperSize="5" orientation="portrait" r:id="rId1"/>
  <headerFooter alignWithMargins="0"/>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0"/>
  <dimension ref="B2:W47"/>
  <sheetViews>
    <sheetView topLeftCell="A10" zoomScaleNormal="100" workbookViewId="0">
      <selection activeCell="B32" sqref="B32"/>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 min="17" max="17" width="11.109375" bestFit="1" customWidth="1"/>
    <col min="18" max="18" width="16.5546875" customWidth="1"/>
  </cols>
  <sheetData>
    <row r="2" spans="2:23" ht="20.399999999999999">
      <c r="B2" s="1716" t="s">
        <v>481</v>
      </c>
      <c r="C2" s="1716"/>
      <c r="D2" s="1716"/>
      <c r="E2" s="1716"/>
      <c r="F2" s="1716"/>
      <c r="G2" s="1716"/>
      <c r="H2" s="1716"/>
      <c r="I2" s="1716"/>
      <c r="J2" s="1716"/>
      <c r="K2" s="1716"/>
      <c r="L2" s="1716"/>
    </row>
    <row r="3" spans="2:23" ht="21" thickBot="1">
      <c r="B3" s="1716" t="str">
        <f>" AND "&amp;IF('KEY INPUTS'!C42="State Fiscal Year","FISCAL  YEAR  "&amp;'KEY INPUTS'!D33+1&amp;"",'KEY INPUTS'!D34+1)&amp;"  DEBT  SERVICE  FOR  LOANS"</f>
        <v xml:space="preserve"> AND 2022  DEBT  SERVICE  FOR  LOANS</v>
      </c>
      <c r="C3" s="1716"/>
      <c r="D3" s="1716"/>
      <c r="E3" s="1716"/>
      <c r="F3" s="1716"/>
      <c r="G3" s="1716"/>
      <c r="H3" s="1716"/>
      <c r="I3" s="1716"/>
      <c r="J3" s="1716"/>
      <c r="K3" s="1716"/>
      <c r="L3" s="1716"/>
    </row>
    <row r="4" spans="2:23" ht="16.2" thickBot="1">
      <c r="B4" s="1814" t="str">
        <f>IF(R4&lt;&gt;"",(UPPER(R4)),"")&amp;" LOAN"</f>
        <v xml:space="preserve"> LOAN</v>
      </c>
      <c r="C4" s="1814"/>
      <c r="D4" s="1814"/>
      <c r="E4" s="1814"/>
      <c r="F4" s="1814"/>
      <c r="G4" s="1814"/>
      <c r="H4" s="1814"/>
      <c r="I4" s="1814"/>
      <c r="J4" s="1814"/>
      <c r="K4" s="1814"/>
      <c r="L4" s="1814"/>
      <c r="Q4" s="1554" t="s">
        <v>3579</v>
      </c>
      <c r="R4" s="1555"/>
    </row>
    <row r="5" spans="2:23" ht="9.75" customHeight="1" thickBot="1">
      <c r="B5" s="106"/>
      <c r="C5" s="106"/>
      <c r="D5" s="106"/>
      <c r="E5" s="106"/>
      <c r="F5" s="106"/>
      <c r="G5" s="106"/>
      <c r="H5" s="106"/>
      <c r="I5" s="106"/>
      <c r="J5" s="106"/>
      <c r="K5" s="106"/>
      <c r="L5" s="106"/>
    </row>
    <row r="6" spans="2:23" ht="27.75" customHeight="1" thickTop="1" thickBot="1">
      <c r="B6" s="991"/>
      <c r="C6" s="991"/>
      <c r="D6" s="991"/>
      <c r="E6" s="991"/>
      <c r="F6" s="991"/>
      <c r="G6" s="921" t="s">
        <v>96</v>
      </c>
      <c r="H6" s="1818" t="s">
        <v>97</v>
      </c>
      <c r="I6" s="1686"/>
      <c r="J6" s="1815" t="str">
        <f>'31-Capital Bond Schedule'!J6:L6</f>
        <v>2022  Debt Service</v>
      </c>
      <c r="K6" s="1816"/>
      <c r="L6" s="1817"/>
    </row>
    <row r="7" spans="2:23" ht="21" customHeight="1" thickTop="1">
      <c r="B7" s="22" t="str">
        <f>'31-Capital Bond Schedule'!B7</f>
        <v>Outstanding - January 1, 2021</v>
      </c>
      <c r="C7" s="22"/>
      <c r="D7" s="22"/>
      <c r="E7" s="22"/>
      <c r="F7" s="22"/>
      <c r="G7" s="1029" t="s">
        <v>628</v>
      </c>
      <c r="H7" s="1819">
        <v>0</v>
      </c>
      <c r="I7" s="1820"/>
      <c r="J7" s="72"/>
      <c r="K7" s="274"/>
      <c r="L7" s="772"/>
      <c r="O7" s="309"/>
      <c r="P7" s="309"/>
      <c r="Q7" s="309"/>
      <c r="R7" s="309"/>
      <c r="S7" s="309"/>
      <c r="T7" s="309"/>
      <c r="U7" s="309"/>
      <c r="V7" s="309"/>
      <c r="W7" s="309"/>
    </row>
    <row r="8" spans="2:23" ht="21" customHeight="1">
      <c r="B8" s="5" t="s">
        <v>92</v>
      </c>
      <c r="C8" s="5"/>
      <c r="D8" s="5"/>
      <c r="E8" s="5"/>
      <c r="F8" s="5"/>
      <c r="G8" s="926" t="s">
        <v>628</v>
      </c>
      <c r="H8" s="1774"/>
      <c r="I8" s="1775"/>
      <c r="J8" s="72"/>
      <c r="K8" s="274"/>
      <c r="L8" s="772"/>
      <c r="O8" s="309"/>
      <c r="P8" s="309"/>
      <c r="Q8" s="309"/>
      <c r="R8" s="309"/>
      <c r="S8" s="309"/>
      <c r="T8" s="309"/>
      <c r="U8" s="309"/>
      <c r="V8" s="309"/>
      <c r="W8" s="309"/>
    </row>
    <row r="9" spans="2:23" ht="21" customHeight="1">
      <c r="B9" s="5" t="s">
        <v>254</v>
      </c>
      <c r="C9" s="5"/>
      <c r="D9" s="5"/>
      <c r="E9" s="5"/>
      <c r="F9" s="5"/>
      <c r="G9" s="353"/>
      <c r="H9" s="1821" t="s">
        <v>628</v>
      </c>
      <c r="I9" s="1822"/>
      <c r="J9" s="72"/>
      <c r="K9" s="274"/>
      <c r="L9" s="772"/>
      <c r="O9" s="309"/>
      <c r="P9" s="309"/>
      <c r="Q9" s="309"/>
      <c r="R9" s="309"/>
      <c r="S9" s="309"/>
      <c r="T9" s="309"/>
      <c r="U9" s="309"/>
      <c r="V9" s="309"/>
      <c r="W9" s="309"/>
    </row>
    <row r="10" spans="2:23" ht="21" customHeight="1">
      <c r="B10" s="5" t="s">
        <v>149</v>
      </c>
      <c r="C10" s="5"/>
      <c r="D10" s="5"/>
      <c r="E10" s="5"/>
      <c r="F10" s="5"/>
      <c r="G10" s="353"/>
      <c r="H10" s="1774"/>
      <c r="I10" s="1775"/>
      <c r="J10" s="72"/>
      <c r="K10" s="274"/>
      <c r="L10" s="772"/>
      <c r="O10" s="309"/>
      <c r="P10" s="309"/>
      <c r="Q10" s="309"/>
      <c r="R10" s="309"/>
      <c r="S10" s="309"/>
      <c r="T10" s="309"/>
      <c r="U10" s="309"/>
      <c r="V10" s="309"/>
      <c r="W10" s="309"/>
    </row>
    <row r="11" spans="2:23" ht="21" customHeight="1">
      <c r="B11" s="1678"/>
      <c r="C11" s="1678"/>
      <c r="D11" s="1678"/>
      <c r="E11" s="1678"/>
      <c r="F11" s="1679"/>
      <c r="G11" s="571"/>
      <c r="H11" s="1807"/>
      <c r="I11" s="1808"/>
      <c r="J11" s="72"/>
      <c r="K11" s="274"/>
      <c r="L11" s="772"/>
      <c r="O11" s="309"/>
      <c r="P11" s="309"/>
      <c r="Q11" s="309"/>
      <c r="R11" s="309"/>
      <c r="S11" s="309"/>
      <c r="T11" s="309"/>
      <c r="U11" s="309"/>
      <c r="V11" s="309"/>
      <c r="W11" s="309"/>
    </row>
    <row r="12" spans="2:23" ht="21" customHeight="1" thickBot="1">
      <c r="B12" s="5" t="str">
        <f>'31-Capital Bond Schedule'!B12</f>
        <v>Outstanding - December 31, 2021</v>
      </c>
      <c r="C12" s="5"/>
      <c r="D12" s="5"/>
      <c r="E12" s="5"/>
      <c r="F12" s="5"/>
      <c r="G12" s="1030">
        <f>+H7+H8-G9-G10-G11+H10+H11</f>
        <v>0</v>
      </c>
      <c r="H12" s="1823" t="s">
        <v>628</v>
      </c>
      <c r="I12" s="1824"/>
      <c r="J12" s="72"/>
      <c r="K12" s="274"/>
      <c r="L12" s="772"/>
      <c r="O12" s="309"/>
      <c r="P12" s="309"/>
      <c r="Q12" s="309"/>
      <c r="R12" s="309"/>
      <c r="S12" s="309"/>
      <c r="T12" s="309"/>
      <c r="U12" s="309"/>
      <c r="V12" s="309"/>
      <c r="W12" s="309"/>
    </row>
    <row r="13" spans="2:23" ht="21" customHeight="1" thickBot="1">
      <c r="G13" s="1027">
        <f>SUM(G7:G12)</f>
        <v>0</v>
      </c>
      <c r="H13" s="1827">
        <f>SUM(H7:I12)</f>
        <v>0</v>
      </c>
      <c r="I13" s="1828"/>
      <c r="J13" s="72"/>
      <c r="K13" s="274"/>
      <c r="L13" s="772"/>
      <c r="O13" s="309"/>
      <c r="P13" s="309"/>
      <c r="Q13" s="309"/>
      <c r="R13" s="309"/>
      <c r="S13" s="309"/>
      <c r="T13" s="309"/>
      <c r="U13" s="309"/>
      <c r="V13" s="309"/>
      <c r="W13" s="309"/>
    </row>
    <row r="14" spans="2:23" ht="21" customHeight="1" thickTop="1">
      <c r="B14" s="272" t="str">
        <f>IF('KEY INPUTS'!C42="State Fiscal Year","Fiscal Year "&amp;'KEY INPUTS'!D33+1&amp;"",'KEY INPUTS'!D34+1)&amp;" Loan Maturities"</f>
        <v>2022 Loan Maturities</v>
      </c>
      <c r="C14" s="30"/>
      <c r="D14" s="30"/>
      <c r="E14" s="30"/>
      <c r="F14" s="30"/>
      <c r="G14" s="30"/>
      <c r="H14" s="30"/>
      <c r="I14" s="996"/>
      <c r="J14" s="713" t="s">
        <v>373</v>
      </c>
      <c r="K14" s="1779">
        <v>0</v>
      </c>
      <c r="L14" s="1780"/>
      <c r="O14" s="309"/>
      <c r="P14" s="356"/>
      <c r="Q14" s="309"/>
      <c r="R14" s="309"/>
      <c r="S14" s="309"/>
      <c r="T14" s="309"/>
      <c r="U14" s="309"/>
      <c r="V14" s="309"/>
      <c r="W14" s="309"/>
    </row>
    <row r="15" spans="2:23" ht="21" customHeight="1">
      <c r="B15" s="269" t="str">
        <f>IF('KEY INPUTS'!C42="State Fiscal Year","Fiscal Year "&amp;'KEY INPUTS'!D33+1&amp;"",'KEY INPUTS'!D34+1)&amp;" Interest on Loans "</f>
        <v xml:space="preserve">2022 Interest on Loans </v>
      </c>
      <c r="C15" s="5"/>
      <c r="D15" s="5"/>
      <c r="E15" s="5"/>
      <c r="F15" s="5"/>
      <c r="G15" s="48"/>
      <c r="H15" s="5"/>
      <c r="I15" s="1031"/>
      <c r="J15" s="713" t="s">
        <v>373</v>
      </c>
      <c r="K15" s="1779">
        <v>0</v>
      </c>
      <c r="L15" s="1780"/>
      <c r="O15" s="309"/>
      <c r="P15" s="309"/>
      <c r="Q15" s="309"/>
      <c r="R15" s="309"/>
      <c r="S15" s="309"/>
      <c r="T15" s="309"/>
      <c r="U15" s="309"/>
      <c r="V15" s="309"/>
      <c r="W15" s="309"/>
    </row>
    <row r="16" spans="2:23" ht="16.5" customHeight="1" thickBot="1">
      <c r="B16" s="1394" t="str">
        <f>"Total "&amp;IF('KEY INPUTS'!C42="State Fiscal Year","Fiscal Year "&amp;'KEY INPUTS'!D33+1&amp;"",'KEY INPUTS'!D34+1)&amp;" Debt Service for "&amp;IF(R4&lt;&gt;"",R4,"")&amp;" Loan"</f>
        <v>Total 2022 Debt Service for  Loan</v>
      </c>
      <c r="C16" s="1395"/>
      <c r="D16" s="1395"/>
      <c r="E16" s="1395"/>
      <c r="F16" s="1553"/>
      <c r="G16" s="1396"/>
      <c r="H16" s="10"/>
      <c r="I16" s="1032"/>
      <c r="J16" s="40" t="s">
        <v>373</v>
      </c>
      <c r="K16" s="1825">
        <f>+K14+K15</f>
        <v>0</v>
      </c>
      <c r="L16" s="1826"/>
      <c r="O16" s="309"/>
      <c r="P16" s="309"/>
      <c r="Q16" s="309"/>
      <c r="R16" s="309"/>
      <c r="S16" s="309"/>
      <c r="T16" s="309"/>
      <c r="U16" s="309"/>
      <c r="V16" s="309"/>
      <c r="W16" s="309"/>
    </row>
    <row r="17" spans="2:23" ht="16.8" thickTop="1" thickBot="1">
      <c r="B17" s="1812" t="str">
        <f>IF(R17&lt;&gt;"",(UPPER(R17)),"")&amp;" LOAN"</f>
        <v xml:space="preserve"> LOAN</v>
      </c>
      <c r="C17" s="1812"/>
      <c r="D17" s="1812"/>
      <c r="E17" s="1812"/>
      <c r="F17" s="1812"/>
      <c r="G17" s="1812"/>
      <c r="H17" s="1812"/>
      <c r="I17" s="1813"/>
      <c r="J17" s="72"/>
      <c r="K17" s="274"/>
      <c r="L17" s="772"/>
      <c r="O17" s="309"/>
      <c r="P17" s="309"/>
      <c r="Q17" s="1554" t="s">
        <v>3579</v>
      </c>
      <c r="R17" s="1555"/>
      <c r="S17" s="309"/>
      <c r="T17" s="309"/>
      <c r="U17" s="309"/>
      <c r="V17" s="309"/>
      <c r="W17" s="309"/>
    </row>
    <row r="18" spans="2:23" ht="21" customHeight="1" thickTop="1">
      <c r="B18" s="22" t="str">
        <f>B7</f>
        <v>Outstanding - January 1, 2021</v>
      </c>
      <c r="C18" s="22"/>
      <c r="D18" s="22"/>
      <c r="E18" s="22"/>
      <c r="F18" s="22"/>
      <c r="G18" s="1029" t="s">
        <v>628</v>
      </c>
      <c r="H18" s="1774">
        <v>0</v>
      </c>
      <c r="I18" s="1775"/>
      <c r="J18" s="72"/>
      <c r="K18" s="274"/>
      <c r="L18" s="772"/>
      <c r="O18" s="309"/>
      <c r="P18" s="309"/>
      <c r="Q18" s="309"/>
      <c r="R18" s="309"/>
      <c r="S18" s="309"/>
      <c r="T18" s="309"/>
      <c r="U18" s="309"/>
      <c r="V18" s="309"/>
      <c r="W18" s="309"/>
    </row>
    <row r="19" spans="2:23" ht="21" customHeight="1">
      <c r="B19" s="5" t="s">
        <v>92</v>
      </c>
      <c r="C19" s="5"/>
      <c r="D19" s="5"/>
      <c r="E19" s="5"/>
      <c r="F19" s="5"/>
      <c r="G19" s="926" t="s">
        <v>628</v>
      </c>
      <c r="H19" s="1774"/>
      <c r="I19" s="1775"/>
      <c r="J19" s="72"/>
      <c r="K19" s="274"/>
      <c r="L19" s="772"/>
      <c r="O19" s="309"/>
      <c r="P19" s="309"/>
      <c r="Q19" s="309"/>
      <c r="R19" s="309"/>
      <c r="S19" s="309"/>
      <c r="T19" s="309"/>
      <c r="U19" s="309"/>
      <c r="V19" s="309"/>
      <c r="W19" s="309"/>
    </row>
    <row r="20" spans="2:23" ht="21" customHeight="1">
      <c r="B20" s="5" t="s">
        <v>254</v>
      </c>
      <c r="C20" s="5"/>
      <c r="D20" s="5"/>
      <c r="E20" s="5"/>
      <c r="F20" s="5"/>
      <c r="G20" s="353"/>
      <c r="H20" s="1829" t="s">
        <v>628</v>
      </c>
      <c r="I20" s="1830"/>
      <c r="J20" s="72"/>
      <c r="K20" s="274"/>
      <c r="L20" s="772"/>
      <c r="O20" s="309"/>
      <c r="P20" s="309"/>
      <c r="Q20" s="309"/>
      <c r="R20" s="309"/>
      <c r="S20" s="309"/>
      <c r="T20" s="309"/>
      <c r="U20" s="309"/>
      <c r="V20" s="309"/>
      <c r="W20" s="309"/>
    </row>
    <row r="21" spans="2:23" ht="21" customHeight="1">
      <c r="B21" s="1801"/>
      <c r="C21" s="1801"/>
      <c r="D21" s="1801"/>
      <c r="E21" s="1801"/>
      <c r="F21" s="1802"/>
      <c r="G21" s="571"/>
      <c r="H21" s="1807"/>
      <c r="I21" s="1808"/>
      <c r="J21" s="72"/>
      <c r="K21" s="274"/>
      <c r="L21" s="772"/>
      <c r="O21" s="309"/>
      <c r="P21" s="309"/>
      <c r="Q21" s="309"/>
      <c r="R21" s="309"/>
      <c r="S21" s="309"/>
      <c r="T21" s="309"/>
      <c r="U21" s="309"/>
      <c r="V21" s="309"/>
      <c r="W21" s="309"/>
    </row>
    <row r="22" spans="2:23" ht="21" customHeight="1">
      <c r="B22" s="1801"/>
      <c r="C22" s="1801"/>
      <c r="D22" s="1801"/>
      <c r="E22" s="1801"/>
      <c r="F22" s="1802"/>
      <c r="G22" s="571"/>
      <c r="H22" s="1807"/>
      <c r="I22" s="1808"/>
      <c r="J22" s="72"/>
      <c r="K22" s="274"/>
      <c r="L22" s="772"/>
      <c r="O22" s="309"/>
      <c r="P22" s="309"/>
      <c r="Q22" s="309"/>
      <c r="R22" s="309"/>
      <c r="S22" s="309"/>
      <c r="T22" s="309"/>
      <c r="U22" s="309"/>
      <c r="V22" s="309"/>
      <c r="W22" s="309"/>
    </row>
    <row r="23" spans="2:23" ht="21" customHeight="1" thickBot="1">
      <c r="B23" s="5" t="str">
        <f>B12</f>
        <v>Outstanding - December 31, 2021</v>
      </c>
      <c r="C23" s="5"/>
      <c r="D23" s="5"/>
      <c r="E23" s="5"/>
      <c r="F23" s="5"/>
      <c r="G23" s="1030">
        <f>+H18+H19-G20-G21-G22+H21+H22</f>
        <v>0</v>
      </c>
      <c r="H23" s="1823" t="s">
        <v>628</v>
      </c>
      <c r="I23" s="1824"/>
      <c r="J23" s="72"/>
      <c r="K23" s="274"/>
      <c r="L23" s="772"/>
      <c r="O23" s="309"/>
      <c r="P23" s="309"/>
      <c r="Q23" s="309"/>
      <c r="R23" s="309"/>
      <c r="S23" s="309"/>
      <c r="T23" s="309"/>
      <c r="U23" s="309"/>
      <c r="V23" s="309"/>
      <c r="W23" s="309"/>
    </row>
    <row r="24" spans="2:23" ht="21" customHeight="1" thickBot="1">
      <c r="G24" s="1027">
        <f>SUM(G18:G23)</f>
        <v>0</v>
      </c>
      <c r="H24" s="1827">
        <f>SUM(H18:I23)</f>
        <v>0</v>
      </c>
      <c r="I24" s="1828"/>
      <c r="J24" s="72"/>
      <c r="K24" s="274"/>
      <c r="L24" s="772"/>
      <c r="O24" s="309"/>
      <c r="P24" s="309"/>
      <c r="Q24" s="309"/>
      <c r="R24" s="309"/>
      <c r="S24" s="309"/>
      <c r="T24" s="309"/>
      <c r="U24" s="309"/>
      <c r="V24" s="309"/>
      <c r="W24" s="309"/>
    </row>
    <row r="25" spans="2:23" ht="21" customHeight="1" thickTop="1">
      <c r="B25" s="30" t="str">
        <f>B14</f>
        <v>2022 Loan Maturities</v>
      </c>
      <c r="C25" s="30"/>
      <c r="D25" s="30"/>
      <c r="E25" s="30"/>
      <c r="F25" s="30"/>
      <c r="G25" s="30"/>
      <c r="H25" s="30"/>
      <c r="I25" s="117"/>
      <c r="J25" s="713" t="s">
        <v>373</v>
      </c>
      <c r="K25" s="1779">
        <v>0</v>
      </c>
      <c r="L25" s="1780"/>
      <c r="O25" s="309"/>
      <c r="P25" s="309"/>
      <c r="Q25" s="309"/>
      <c r="R25" s="309"/>
      <c r="S25" s="309"/>
      <c r="T25" s="309"/>
      <c r="U25" s="309"/>
      <c r="V25" s="309"/>
      <c r="W25" s="309"/>
    </row>
    <row r="26" spans="2:23" ht="21" customHeight="1">
      <c r="B26" s="5" t="str">
        <f>B15</f>
        <v xml:space="preserve">2022 Interest on Loans </v>
      </c>
      <c r="C26" s="5"/>
      <c r="D26" s="5"/>
      <c r="E26" s="5"/>
      <c r="F26" s="5"/>
      <c r="G26" s="48"/>
      <c r="H26" s="5"/>
      <c r="I26" s="99"/>
      <c r="J26" s="713" t="s">
        <v>373</v>
      </c>
      <c r="K26" s="1779">
        <v>0</v>
      </c>
      <c r="L26" s="1780"/>
    </row>
    <row r="27" spans="2:23" ht="21" customHeight="1" thickBot="1">
      <c r="B27" s="1397" t="str">
        <f>"Total "&amp;IF('KEY INPUTS'!C42="State Fiscal Year","Fiscal Year "&amp;'KEY INPUTS'!D33+1&amp;"",'KEY INPUTS'!D34+1)&amp;" Debt Service for "&amp;IF(R17&lt;&gt;"",R17,"")&amp;" Loan"</f>
        <v>Total 2022 Debt Service for  Loan</v>
      </c>
      <c r="C27" s="1398"/>
      <c r="D27" s="1398"/>
      <c r="E27" s="1398"/>
      <c r="F27" s="1397"/>
      <c r="G27" s="1541"/>
      <c r="H27" s="10"/>
      <c r="I27" s="233"/>
      <c r="J27" s="17" t="s">
        <v>373</v>
      </c>
      <c r="K27" s="1803">
        <f>+K25+K26</f>
        <v>0</v>
      </c>
      <c r="L27" s="1804"/>
    </row>
    <row r="28" spans="2:23" ht="21" customHeight="1" thickTop="1"/>
    <row r="29" spans="2:23" ht="21" customHeight="1" thickBot="1">
      <c r="B29" s="1794" t="str">
        <f>"LIST  OF  LOANS  ISSUED  DURING  "&amp;IF('KEY INPUTS'!C42="State Fiscal Year","FISCAL  YEAR  "&amp;'KEY INPUTS'!D33&amp;"",'KEY INPUTS'!D34)</f>
        <v>LIST  OF  LOANS  ISSUED  DURING  2021</v>
      </c>
      <c r="C29" s="1794"/>
      <c r="D29" s="1794"/>
      <c r="E29" s="1794"/>
      <c r="F29" s="1794"/>
      <c r="G29" s="1794"/>
      <c r="H29" s="1794"/>
      <c r="I29" s="1794"/>
      <c r="J29" s="1794"/>
      <c r="K29" s="1794"/>
      <c r="L29" s="1794"/>
    </row>
    <row r="30" spans="2:23" ht="27" customHeight="1" thickTop="1" thickBot="1">
      <c r="B30" s="1668" t="s">
        <v>413</v>
      </c>
      <c r="C30" s="1668"/>
      <c r="D30" s="1668"/>
      <c r="E30" s="1668"/>
      <c r="F30" s="1668"/>
      <c r="G30" s="4" t="str">
        <f>'31-Capital Bond Schedule'!G30</f>
        <v>2022 Maturity</v>
      </c>
      <c r="H30" s="1753" t="s">
        <v>91</v>
      </c>
      <c r="I30" s="1669"/>
      <c r="J30" s="1776" t="s">
        <v>89</v>
      </c>
      <c r="K30" s="1800"/>
      <c r="L30" s="773" t="s">
        <v>90</v>
      </c>
    </row>
    <row r="31" spans="2:23" ht="21" customHeight="1" thickTop="1">
      <c r="B31" s="541" t="s">
        <v>3730</v>
      </c>
      <c r="C31" s="541"/>
      <c r="D31" s="541"/>
      <c r="E31" s="541"/>
      <c r="F31" s="541"/>
      <c r="G31" s="575"/>
      <c r="H31" s="1809"/>
      <c r="I31" s="1810"/>
      <c r="J31" s="1811"/>
      <c r="K31" s="1768"/>
      <c r="L31" s="908"/>
    </row>
    <row r="32" spans="2:23" ht="21" customHeight="1">
      <c r="B32" s="538"/>
      <c r="C32" s="538"/>
      <c r="D32" s="538"/>
      <c r="E32" s="538"/>
      <c r="F32" s="538"/>
      <c r="G32" s="571"/>
      <c r="H32" s="1807"/>
      <c r="I32" s="1808"/>
      <c r="J32" s="1781"/>
      <c r="K32" s="1770"/>
      <c r="L32" s="909"/>
    </row>
    <row r="33" spans="2:12" ht="21" customHeight="1">
      <c r="B33" s="538"/>
      <c r="C33" s="538"/>
      <c r="D33" s="538"/>
      <c r="E33" s="538"/>
      <c r="F33" s="538"/>
      <c r="G33" s="571"/>
      <c r="H33" s="1807"/>
      <c r="I33" s="1808"/>
      <c r="J33" s="1781"/>
      <c r="K33" s="1770"/>
      <c r="L33" s="909"/>
    </row>
    <row r="34" spans="2:12" ht="21" customHeight="1">
      <c r="B34" s="538"/>
      <c r="C34" s="538"/>
      <c r="D34" s="538"/>
      <c r="E34" s="538"/>
      <c r="F34" s="538"/>
      <c r="G34" s="571"/>
      <c r="H34" s="1807"/>
      <c r="I34" s="1808"/>
      <c r="J34" s="1781"/>
      <c r="K34" s="1770"/>
      <c r="L34" s="909"/>
    </row>
    <row r="35" spans="2:12" ht="21" customHeight="1">
      <c r="B35" s="538"/>
      <c r="C35" s="538"/>
      <c r="D35" s="538"/>
      <c r="E35" s="538"/>
      <c r="F35" s="538"/>
      <c r="G35" s="571"/>
      <c r="H35" s="1807"/>
      <c r="I35" s="1808"/>
      <c r="J35" s="1781"/>
      <c r="K35" s="1770"/>
      <c r="L35" s="909"/>
    </row>
    <row r="36" spans="2:12" ht="21" customHeight="1">
      <c r="B36" s="538"/>
      <c r="C36" s="538"/>
      <c r="D36" s="538"/>
      <c r="E36" s="538"/>
      <c r="F36" s="538"/>
      <c r="G36" s="571"/>
      <c r="H36" s="1807"/>
      <c r="I36" s="1808"/>
      <c r="J36" s="1781"/>
      <c r="K36" s="1770"/>
      <c r="L36" s="909"/>
    </row>
    <row r="37" spans="2:12" ht="21" customHeight="1">
      <c r="B37" s="538"/>
      <c r="C37" s="538"/>
      <c r="D37" s="538"/>
      <c r="E37" s="538"/>
      <c r="F37" s="538"/>
      <c r="G37" s="571"/>
      <c r="H37" s="1807"/>
      <c r="I37" s="1808"/>
      <c r="J37" s="1781"/>
      <c r="K37" s="1770"/>
      <c r="L37" s="909"/>
    </row>
    <row r="38" spans="2:12" ht="21" customHeight="1">
      <c r="B38" s="538"/>
      <c r="C38" s="538"/>
      <c r="D38" s="538"/>
      <c r="E38" s="538"/>
      <c r="F38" s="538"/>
      <c r="G38" s="571"/>
      <c r="H38" s="1807"/>
      <c r="I38" s="1808"/>
      <c r="J38" s="1781"/>
      <c r="K38" s="1770"/>
      <c r="L38" s="909"/>
    </row>
    <row r="39" spans="2:12" ht="21" customHeight="1" thickBot="1">
      <c r="B39" s="27"/>
      <c r="C39" s="27"/>
      <c r="D39" s="27"/>
      <c r="E39" s="27"/>
      <c r="F39" s="818" t="s">
        <v>201</v>
      </c>
      <c r="G39" s="1027">
        <f>SUM(G31:G38)</f>
        <v>0</v>
      </c>
      <c r="H39" s="1805">
        <f>SUM(H31:I38)</f>
        <v>0</v>
      </c>
      <c r="I39" s="1806"/>
      <c r="J39" s="1033"/>
      <c r="K39" s="817"/>
      <c r="L39" s="824"/>
    </row>
    <row r="40" spans="2:12" ht="13.8" thickTop="1">
      <c r="G40" s="56"/>
      <c r="H40" s="56"/>
      <c r="I40" s="56"/>
    </row>
    <row r="47" spans="2:12" ht="13.8">
      <c r="B47" s="1618" t="s">
        <v>150</v>
      </c>
      <c r="C47" s="1618"/>
      <c r="D47" s="1618"/>
      <c r="E47" s="1618"/>
      <c r="F47" s="1618"/>
      <c r="G47" s="1618"/>
      <c r="H47" s="1618"/>
      <c r="I47" s="1618"/>
      <c r="J47" s="1618"/>
      <c r="K47" s="1618"/>
      <c r="L47" s="1618"/>
    </row>
  </sheetData>
  <sheetProtection algorithmName="SHA-512" hashValue="XCkgNthw+LPD1GEQDJuelug6+dWcdrFs9kG1Qs24Ga/+WJTpAQthOn+b3yXnlavhgc5keXEYBMiWtZ+yptLbgw==" saltValue="p5fAB0I1/sOTSGyY2L6HXw==" spinCount="100000" sheet="1" objects="1" scenarios="1"/>
  <mergeCells count="51">
    <mergeCell ref="K25:L25"/>
    <mergeCell ref="H12:I12"/>
    <mergeCell ref="H18:I18"/>
    <mergeCell ref="J36:K36"/>
    <mergeCell ref="B30:F30"/>
    <mergeCell ref="H22:I22"/>
    <mergeCell ref="K26:L26"/>
    <mergeCell ref="K15:L15"/>
    <mergeCell ref="K16:L16"/>
    <mergeCell ref="H13:I13"/>
    <mergeCell ref="H23:I23"/>
    <mergeCell ref="H19:I19"/>
    <mergeCell ref="K14:L14"/>
    <mergeCell ref="H24:I24"/>
    <mergeCell ref="H21:I21"/>
    <mergeCell ref="H20:I20"/>
    <mergeCell ref="B17:I17"/>
    <mergeCell ref="B2:L2"/>
    <mergeCell ref="B3:L3"/>
    <mergeCell ref="B4:L4"/>
    <mergeCell ref="J6:L6"/>
    <mergeCell ref="H6:I6"/>
    <mergeCell ref="H7:I7"/>
    <mergeCell ref="H8:I8"/>
    <mergeCell ref="H10:I10"/>
    <mergeCell ref="H11:I11"/>
    <mergeCell ref="H9:I9"/>
    <mergeCell ref="B11:F11"/>
    <mergeCell ref="J31:K31"/>
    <mergeCell ref="J30:K30"/>
    <mergeCell ref="H35:I35"/>
    <mergeCell ref="H38:I38"/>
    <mergeCell ref="H36:I36"/>
    <mergeCell ref="H37:I37"/>
    <mergeCell ref="H30:I30"/>
    <mergeCell ref="B21:F21"/>
    <mergeCell ref="B22:F22"/>
    <mergeCell ref="K27:L27"/>
    <mergeCell ref="B47:L47"/>
    <mergeCell ref="J38:K38"/>
    <mergeCell ref="J35:K35"/>
    <mergeCell ref="B29:L29"/>
    <mergeCell ref="H39:I39"/>
    <mergeCell ref="H33:I33"/>
    <mergeCell ref="H34:I34"/>
    <mergeCell ref="J37:K37"/>
    <mergeCell ref="H31:I31"/>
    <mergeCell ref="H32:I32"/>
    <mergeCell ref="J32:K32"/>
    <mergeCell ref="J33:K33"/>
    <mergeCell ref="J34:K34"/>
  </mergeCells>
  <phoneticPr fontId="0" type="noConversion"/>
  <pageMargins left="0.25" right="0.25" top="0.5" bottom="0.5" header="0.25" footer="0.25"/>
  <pageSetup paperSize="5" orientation="portrait" r:id="rId1"/>
  <headerFooter alignWithMargins="0"/>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dimension ref="B2:R47"/>
  <sheetViews>
    <sheetView topLeftCell="A10" workbookViewId="0">
      <selection activeCell="B32" sqref="B32"/>
    </sheetView>
  </sheetViews>
  <sheetFormatPr defaultColWidth="9.109375" defaultRowHeight="13.2"/>
  <cols>
    <col min="1" max="4" width="4.6640625" style="309" customWidth="1"/>
    <col min="5" max="5" width="17.88671875" style="309" customWidth="1"/>
    <col min="6" max="6" width="9.109375" style="309"/>
    <col min="7" max="7" width="16.6640625" style="309" customWidth="1"/>
    <col min="8" max="8" width="1.6640625" style="309" customWidth="1"/>
    <col min="9" max="9" width="15.6640625" style="309" customWidth="1"/>
    <col min="10" max="10" width="1.6640625" style="309" customWidth="1"/>
    <col min="11" max="11" width="8.6640625" style="309" customWidth="1"/>
    <col min="12" max="12" width="7.6640625" style="309" customWidth="1"/>
    <col min="13" max="16" width="9.109375" style="309"/>
    <col min="17" max="17" width="11.109375" style="309" bestFit="1" customWidth="1"/>
    <col min="18" max="18" width="15.109375" style="309" customWidth="1"/>
    <col min="19" max="16384" width="9.109375" style="309"/>
  </cols>
  <sheetData>
    <row r="2" spans="2:18" ht="20.399999999999999">
      <c r="B2" s="1619" t="s">
        <v>481</v>
      </c>
      <c r="C2" s="1619"/>
      <c r="D2" s="1619"/>
      <c r="E2" s="1619"/>
      <c r="F2" s="1619"/>
      <c r="G2" s="1619"/>
      <c r="H2" s="1619"/>
      <c r="I2" s="1619"/>
      <c r="J2" s="1619"/>
      <c r="K2" s="1619"/>
      <c r="L2" s="1619"/>
    </row>
    <row r="3" spans="2:18" ht="21" thickBot="1">
      <c r="B3" s="1619" t="str">
        <f>" AND "&amp;IF('KEY INPUTS'!C42="State Fiscal Year","FISCAL  YEAR  "&amp;'KEY INPUTS'!D33+1&amp;"",'KEY INPUTS'!D34+1)&amp;"  DEBT  SERVICE  FOR  LOANS"</f>
        <v xml:space="preserve"> AND 2022  DEBT  SERVICE  FOR  LOANS</v>
      </c>
      <c r="C3" s="1619"/>
      <c r="D3" s="1619"/>
      <c r="E3" s="1619"/>
      <c r="F3" s="1619"/>
      <c r="G3" s="1619"/>
      <c r="H3" s="1619"/>
      <c r="I3" s="1619"/>
      <c r="J3" s="1619"/>
      <c r="K3" s="1619"/>
      <c r="L3" s="1619"/>
    </row>
    <row r="4" spans="2:18" ht="16.2" thickBot="1">
      <c r="B4" s="1814" t="str">
        <f>IF(R4&lt;&gt;"",(UPPER(R4)),"")&amp;" LOAN"</f>
        <v xml:space="preserve"> LOAN</v>
      </c>
      <c r="C4" s="1814"/>
      <c r="D4" s="1814"/>
      <c r="E4" s="1814"/>
      <c r="F4" s="1814"/>
      <c r="G4" s="1814"/>
      <c r="H4" s="1814"/>
      <c r="I4" s="1814"/>
      <c r="J4" s="1814"/>
      <c r="K4" s="1814"/>
      <c r="L4" s="1814"/>
      <c r="Q4" s="1554" t="s">
        <v>3579</v>
      </c>
      <c r="R4" s="1555"/>
    </row>
    <row r="5" spans="2:18" ht="9.75" customHeight="1" thickBot="1">
      <c r="B5" s="717"/>
      <c r="C5" s="717"/>
      <c r="D5" s="717"/>
      <c r="E5" s="717"/>
      <c r="F5" s="717"/>
      <c r="G5" s="717"/>
      <c r="H5" s="717"/>
      <c r="I5" s="717"/>
      <c r="J5" s="717"/>
      <c r="K5" s="717"/>
      <c r="L5" s="717"/>
    </row>
    <row r="6" spans="2:18" ht="27.75" customHeight="1" thickTop="1" thickBot="1">
      <c r="B6" s="60"/>
      <c r="C6" s="60"/>
      <c r="D6" s="60"/>
      <c r="E6" s="60"/>
      <c r="F6" s="60"/>
      <c r="G6" s="4" t="s">
        <v>96</v>
      </c>
      <c r="H6" s="1753" t="s">
        <v>97</v>
      </c>
      <c r="I6" s="1669"/>
      <c r="J6" s="1776" t="str">
        <f>'31-Capital Bond Schedule'!J6:L6</f>
        <v>2022  Debt Service</v>
      </c>
      <c r="K6" s="1777"/>
      <c r="L6" s="1778"/>
    </row>
    <row r="7" spans="2:18" ht="21" customHeight="1" thickTop="1" thickBot="1">
      <c r="B7" s="271" t="str">
        <f>'31-Capital Bond Schedule'!B7</f>
        <v>Outstanding - January 1, 2021</v>
      </c>
      <c r="C7" s="271"/>
      <c r="D7" s="271"/>
      <c r="E7" s="271"/>
      <c r="F7" s="271"/>
      <c r="G7" s="1029" t="s">
        <v>628</v>
      </c>
      <c r="H7" s="1798">
        <v>0</v>
      </c>
      <c r="I7" s="1799"/>
      <c r="J7" s="72"/>
      <c r="K7" s="274"/>
      <c r="L7" s="772"/>
    </row>
    <row r="8" spans="2:18" ht="21" customHeight="1" thickTop="1">
      <c r="B8" s="310" t="s">
        <v>92</v>
      </c>
      <c r="C8" s="310"/>
      <c r="D8" s="310"/>
      <c r="E8" s="310"/>
      <c r="F8" s="310"/>
      <c r="G8" s="926" t="s">
        <v>628</v>
      </c>
      <c r="H8" s="1798"/>
      <c r="I8" s="1799"/>
      <c r="J8" s="72"/>
      <c r="K8" s="274"/>
      <c r="L8" s="772"/>
    </row>
    <row r="9" spans="2:18" ht="21" customHeight="1" thickBot="1">
      <c r="B9" s="310" t="s">
        <v>254</v>
      </c>
      <c r="C9" s="310"/>
      <c r="D9" s="310"/>
      <c r="E9" s="310"/>
      <c r="F9" s="310"/>
      <c r="G9" s="353"/>
      <c r="H9" s="1829" t="s">
        <v>628</v>
      </c>
      <c r="I9" s="1830"/>
      <c r="J9" s="72"/>
      <c r="K9" s="274"/>
      <c r="L9" s="772"/>
    </row>
    <row r="10" spans="2:18" ht="21" customHeight="1" thickTop="1">
      <c r="B10" s="310" t="s">
        <v>149</v>
      </c>
      <c r="C10" s="310"/>
      <c r="D10" s="310"/>
      <c r="E10" s="310"/>
      <c r="F10" s="310"/>
      <c r="G10" s="353"/>
      <c r="H10" s="1798"/>
      <c r="I10" s="1799"/>
      <c r="J10" s="72"/>
      <c r="K10" s="274"/>
      <c r="L10" s="772"/>
    </row>
    <row r="11" spans="2:18" ht="21" customHeight="1">
      <c r="B11" s="538"/>
      <c r="C11" s="538"/>
      <c r="D11" s="538"/>
      <c r="E11" s="538"/>
      <c r="F11" s="538"/>
      <c r="G11" s="571"/>
      <c r="H11" s="1807"/>
      <c r="I11" s="1808"/>
      <c r="J11" s="72"/>
      <c r="K11" s="274"/>
      <c r="L11" s="772"/>
    </row>
    <row r="12" spans="2:18" ht="21" customHeight="1" thickBot="1">
      <c r="B12" s="310" t="str">
        <f>'31-Capital Bond Schedule'!B12</f>
        <v>Outstanding - December 31, 2021</v>
      </c>
      <c r="C12" s="310"/>
      <c r="D12" s="310"/>
      <c r="E12" s="310"/>
      <c r="F12" s="310"/>
      <c r="G12" s="1030">
        <f>+H7+H8-G9-G10-G11+H10+H11</f>
        <v>0</v>
      </c>
      <c r="H12" s="1823" t="s">
        <v>628</v>
      </c>
      <c r="I12" s="1824"/>
      <c r="J12" s="72"/>
      <c r="K12" s="274"/>
      <c r="L12" s="772"/>
    </row>
    <row r="13" spans="2:18" ht="21" customHeight="1" thickBot="1">
      <c r="G13" s="1027">
        <f>SUM(G7:G12)</f>
        <v>0</v>
      </c>
      <c r="H13" s="1827">
        <f>SUM(H7:I12)</f>
        <v>0</v>
      </c>
      <c r="I13" s="1828"/>
      <c r="J13" s="72"/>
      <c r="K13" s="274"/>
      <c r="L13" s="772"/>
    </row>
    <row r="14" spans="2:18" ht="21" customHeight="1" thickTop="1">
      <c r="B14" s="272" t="str">
        <f>'31A-Loan Schedule'!B14</f>
        <v>2022 Loan Maturities</v>
      </c>
      <c r="C14" s="272"/>
      <c r="D14" s="272"/>
      <c r="E14" s="272"/>
      <c r="F14" s="272"/>
      <c r="G14" s="272"/>
      <c r="H14" s="272"/>
      <c r="I14" s="117"/>
      <c r="J14" s="713" t="s">
        <v>373</v>
      </c>
      <c r="K14" s="1779">
        <v>0</v>
      </c>
      <c r="L14" s="1780"/>
      <c r="P14" s="356"/>
    </row>
    <row r="15" spans="2:18" ht="21" customHeight="1">
      <c r="B15" s="310" t="str">
        <f>'31A-Loan Schedule'!B15</f>
        <v xml:space="preserve">2022 Interest on Loans </v>
      </c>
      <c r="C15" s="310"/>
      <c r="D15" s="310"/>
      <c r="E15" s="310"/>
      <c r="F15" s="310"/>
      <c r="G15" s="48"/>
      <c r="H15" s="310"/>
      <c r="I15" s="99"/>
      <c r="J15" s="713" t="s">
        <v>373</v>
      </c>
      <c r="K15" s="1779">
        <v>0</v>
      </c>
      <c r="L15" s="1780"/>
    </row>
    <row r="16" spans="2:18" ht="16.5" customHeight="1" thickBot="1">
      <c r="B16" s="1394" t="str">
        <f>"Total "&amp;IF('KEY INPUTS'!C42="State Fiscal Year","Fiscal Year "&amp;'KEY INPUTS'!D33+1&amp;"",'KEY INPUTS'!D34+1)&amp;" Debt Service for "&amp;IF(R4&lt;&gt;"",R4,"")&amp;" Loan"</f>
        <v>Total 2022 Debt Service for  Loan</v>
      </c>
      <c r="C16" s="1394"/>
      <c r="D16" s="1394"/>
      <c r="E16" s="1394"/>
      <c r="F16" s="1394"/>
      <c r="G16" s="1553"/>
      <c r="H16" s="10"/>
      <c r="I16" s="233"/>
      <c r="J16" s="40" t="s">
        <v>373</v>
      </c>
      <c r="K16" s="1825">
        <f>+K14+K15</f>
        <v>0</v>
      </c>
      <c r="L16" s="1826"/>
    </row>
    <row r="17" spans="2:18" ht="16.8" thickTop="1" thickBot="1">
      <c r="B17" s="1812" t="str">
        <f>IF(R17&lt;&gt;"",(UPPER(R17)),"")&amp;" LOAN"</f>
        <v xml:space="preserve"> LOAN</v>
      </c>
      <c r="C17" s="1812"/>
      <c r="D17" s="1812"/>
      <c r="E17" s="1812"/>
      <c r="F17" s="1812"/>
      <c r="G17" s="1812"/>
      <c r="H17" s="1812"/>
      <c r="I17" s="1813"/>
      <c r="L17" s="188"/>
      <c r="Q17" s="1554" t="s">
        <v>3579</v>
      </c>
      <c r="R17" s="1555"/>
    </row>
    <row r="18" spans="2:18" ht="21" customHeight="1" thickTop="1">
      <c r="B18" s="271" t="str">
        <f>B7</f>
        <v>Outstanding - January 1, 2021</v>
      </c>
      <c r="C18" s="271"/>
      <c r="D18" s="271"/>
      <c r="E18" s="271"/>
      <c r="F18" s="271"/>
      <c r="G18" s="1029" t="s">
        <v>628</v>
      </c>
      <c r="H18" s="1774">
        <v>0</v>
      </c>
      <c r="I18" s="1775"/>
      <c r="L18" s="772"/>
    </row>
    <row r="19" spans="2:18" ht="21" customHeight="1">
      <c r="B19" s="310" t="s">
        <v>92</v>
      </c>
      <c r="C19" s="310"/>
      <c r="D19" s="310"/>
      <c r="E19" s="310"/>
      <c r="F19" s="310"/>
      <c r="G19" s="926" t="s">
        <v>628</v>
      </c>
      <c r="H19" s="1774"/>
      <c r="I19" s="1775"/>
      <c r="L19" s="772"/>
    </row>
    <row r="20" spans="2:18" ht="21" customHeight="1">
      <c r="B20" s="310" t="s">
        <v>254</v>
      </c>
      <c r="C20" s="310"/>
      <c r="D20" s="310"/>
      <c r="E20" s="310"/>
      <c r="F20" s="310"/>
      <c r="G20" s="353"/>
      <c r="H20" s="1829" t="s">
        <v>628</v>
      </c>
      <c r="I20" s="1830"/>
      <c r="L20" s="772"/>
    </row>
    <row r="21" spans="2:18" ht="21" customHeight="1">
      <c r="B21" s="538"/>
      <c r="C21" s="538"/>
      <c r="D21" s="538"/>
      <c r="E21" s="538"/>
      <c r="F21" s="538"/>
      <c r="G21" s="571"/>
      <c r="H21" s="1831"/>
      <c r="I21" s="1832"/>
      <c r="L21" s="772"/>
    </row>
    <row r="22" spans="2:18" ht="21" customHeight="1">
      <c r="B22" s="538"/>
      <c r="C22" s="538"/>
      <c r="D22" s="538"/>
      <c r="E22" s="538"/>
      <c r="F22" s="538"/>
      <c r="G22" s="571"/>
      <c r="H22" s="1831"/>
      <c r="I22" s="1832"/>
      <c r="L22" s="772"/>
    </row>
    <row r="23" spans="2:18" ht="21" customHeight="1" thickBot="1">
      <c r="B23" s="310" t="str">
        <f>B12</f>
        <v>Outstanding - December 31, 2021</v>
      </c>
      <c r="C23" s="310"/>
      <c r="D23" s="310"/>
      <c r="E23" s="310"/>
      <c r="F23" s="310"/>
      <c r="G23" s="1030">
        <f>+H18+H19-G20-G21-G22+H21+H22</f>
        <v>0</v>
      </c>
      <c r="H23" s="1823" t="s">
        <v>628</v>
      </c>
      <c r="I23" s="1824"/>
      <c r="L23" s="772"/>
    </row>
    <row r="24" spans="2:18" ht="21" customHeight="1" thickBot="1">
      <c r="G24" s="1027">
        <f>SUM(G18:G23)</f>
        <v>0</v>
      </c>
      <c r="H24" s="1827">
        <f>SUM(H18:I23)</f>
        <v>0</v>
      </c>
      <c r="I24" s="1828"/>
      <c r="K24" s="274"/>
      <c r="L24" s="772"/>
    </row>
    <row r="25" spans="2:18" ht="21" customHeight="1" thickTop="1">
      <c r="B25" s="272" t="str">
        <f>B14</f>
        <v>2022 Loan Maturities</v>
      </c>
      <c r="C25" s="272"/>
      <c r="D25" s="272"/>
      <c r="E25" s="272"/>
      <c r="F25" s="272"/>
      <c r="G25" s="272"/>
      <c r="H25" s="272"/>
      <c r="I25" s="117"/>
      <c r="J25" s="272" t="s">
        <v>373</v>
      </c>
      <c r="K25" s="1779">
        <v>0</v>
      </c>
      <c r="L25" s="1780"/>
    </row>
    <row r="26" spans="2:18" ht="21" customHeight="1">
      <c r="B26" s="310" t="str">
        <f>B15</f>
        <v xml:space="preserve">2022 Interest on Loans </v>
      </c>
      <c r="C26" s="310"/>
      <c r="D26" s="310"/>
      <c r="E26" s="310"/>
      <c r="F26" s="310"/>
      <c r="G26" s="48"/>
      <c r="H26" s="310"/>
      <c r="I26" s="99"/>
      <c r="J26" s="272" t="s">
        <v>373</v>
      </c>
      <c r="K26" s="1779">
        <v>0</v>
      </c>
      <c r="L26" s="1780"/>
    </row>
    <row r="27" spans="2:18" ht="21" customHeight="1" thickBot="1">
      <c r="B27" s="1397" t="str">
        <f>"Total "&amp;IF('KEY INPUTS'!C42="State Fiscal Year","Fiscal Year "&amp;'KEY INPUTS'!D33+1&amp;"",'KEY INPUTS'!D34+1)&amp;" Debt Service for "&amp;IF(R17&lt;&gt;"",R17,"")&amp;" Loan"</f>
        <v>Total 2022 Debt Service for  Loan</v>
      </c>
      <c r="C27" s="1397"/>
      <c r="D27" s="1397"/>
      <c r="E27" s="1397"/>
      <c r="F27" s="1397"/>
      <c r="G27" s="1556"/>
      <c r="H27" s="10"/>
      <c r="I27" s="233"/>
      <c r="J27" s="10" t="s">
        <v>373</v>
      </c>
      <c r="K27" s="1803">
        <f>+K25+K26</f>
        <v>0</v>
      </c>
      <c r="L27" s="1804"/>
    </row>
    <row r="28" spans="2:18" ht="21" customHeight="1" thickTop="1"/>
    <row r="29" spans="2:18" ht="21" customHeight="1" thickBot="1">
      <c r="B29" s="1794" t="str">
        <f>"LIST  OF  LOANS  ISSUED  DURING  "&amp;IF('KEY INPUTS'!C42="State Fiscal Year","FISCAL  YEAR  "&amp;'KEY INPUTS'!D33&amp;"",'KEY INPUTS'!D34)</f>
        <v>LIST  OF  LOANS  ISSUED  DURING  2021</v>
      </c>
      <c r="C29" s="1794"/>
      <c r="D29" s="1794"/>
      <c r="E29" s="1794"/>
      <c r="F29" s="1794"/>
      <c r="G29" s="1794"/>
      <c r="H29" s="1794"/>
      <c r="I29" s="1794"/>
      <c r="J29" s="1794"/>
      <c r="K29" s="1794"/>
      <c r="L29" s="1794"/>
    </row>
    <row r="30" spans="2:18" ht="27" customHeight="1" thickTop="1" thickBot="1">
      <c r="B30" s="1668" t="s">
        <v>413</v>
      </c>
      <c r="C30" s="1668"/>
      <c r="D30" s="1668"/>
      <c r="E30" s="1668"/>
      <c r="F30" s="1668"/>
      <c r="G30" s="4" t="str">
        <f>'31-Capital Bond Schedule'!G30</f>
        <v>2022 Maturity</v>
      </c>
      <c r="H30" s="1753" t="s">
        <v>91</v>
      </c>
      <c r="I30" s="1669"/>
      <c r="J30" s="1776" t="s">
        <v>89</v>
      </c>
      <c r="K30" s="1800"/>
      <c r="L30" s="773" t="s">
        <v>90</v>
      </c>
    </row>
    <row r="31" spans="2:18" ht="21" customHeight="1" thickTop="1">
      <c r="B31" s="541" t="s">
        <v>3730</v>
      </c>
      <c r="C31" s="541"/>
      <c r="D31" s="541"/>
      <c r="E31" s="541"/>
      <c r="F31" s="541"/>
      <c r="G31" s="575"/>
      <c r="H31" s="1809"/>
      <c r="I31" s="1810"/>
      <c r="J31" s="1811"/>
      <c r="K31" s="1768"/>
      <c r="L31" s="774"/>
    </row>
    <row r="32" spans="2:18" ht="21" customHeight="1">
      <c r="B32" s="538"/>
      <c r="C32" s="538"/>
      <c r="D32" s="538"/>
      <c r="E32" s="538"/>
      <c r="F32" s="538"/>
      <c r="G32" s="571"/>
      <c r="H32" s="1807"/>
      <c r="I32" s="1808"/>
      <c r="J32" s="1781"/>
      <c r="K32" s="1770"/>
      <c r="L32" s="593"/>
    </row>
    <row r="33" spans="2:12" ht="21" customHeight="1">
      <c r="B33" s="538"/>
      <c r="C33" s="538"/>
      <c r="D33" s="538"/>
      <c r="E33" s="538"/>
      <c r="F33" s="538"/>
      <c r="G33" s="571"/>
      <c r="H33" s="1807"/>
      <c r="I33" s="1808"/>
      <c r="J33" s="1781"/>
      <c r="K33" s="1770"/>
      <c r="L33" s="593"/>
    </row>
    <row r="34" spans="2:12" ht="21" customHeight="1">
      <c r="B34" s="538"/>
      <c r="C34" s="538"/>
      <c r="D34" s="538"/>
      <c r="E34" s="538"/>
      <c r="F34" s="538"/>
      <c r="G34" s="571"/>
      <c r="H34" s="1807"/>
      <c r="I34" s="1808"/>
      <c r="J34" s="1781"/>
      <c r="K34" s="1770"/>
      <c r="L34" s="593"/>
    </row>
    <row r="35" spans="2:12" ht="21" customHeight="1">
      <c r="B35" s="538"/>
      <c r="C35" s="538"/>
      <c r="D35" s="538"/>
      <c r="E35" s="538"/>
      <c r="F35" s="538"/>
      <c r="G35" s="571"/>
      <c r="H35" s="1807"/>
      <c r="I35" s="1808"/>
      <c r="J35" s="1781"/>
      <c r="K35" s="1770"/>
      <c r="L35" s="593"/>
    </row>
    <row r="36" spans="2:12" ht="21" customHeight="1">
      <c r="B36" s="538"/>
      <c r="C36" s="538"/>
      <c r="D36" s="538"/>
      <c r="E36" s="538"/>
      <c r="F36" s="538"/>
      <c r="G36" s="571"/>
      <c r="H36" s="1807"/>
      <c r="I36" s="1808"/>
      <c r="J36" s="1781"/>
      <c r="K36" s="1770"/>
      <c r="L36" s="593"/>
    </row>
    <row r="37" spans="2:12" ht="21" customHeight="1">
      <c r="B37" s="538"/>
      <c r="C37" s="538"/>
      <c r="D37" s="538"/>
      <c r="E37" s="538"/>
      <c r="F37" s="538"/>
      <c r="G37" s="571"/>
      <c r="H37" s="1807"/>
      <c r="I37" s="1808"/>
      <c r="J37" s="1781"/>
      <c r="K37" s="1770"/>
      <c r="L37" s="593"/>
    </row>
    <row r="38" spans="2:12" ht="21" customHeight="1">
      <c r="B38" s="538"/>
      <c r="C38" s="538"/>
      <c r="D38" s="538"/>
      <c r="E38" s="538"/>
      <c r="F38" s="538"/>
      <c r="G38" s="571"/>
      <c r="H38" s="1807"/>
      <c r="I38" s="1808"/>
      <c r="J38" s="1781"/>
      <c r="K38" s="1770"/>
      <c r="L38" s="593"/>
    </row>
    <row r="39" spans="2:12" ht="21" customHeight="1" thickBot="1">
      <c r="B39" s="27"/>
      <c r="C39" s="27"/>
      <c r="D39" s="27"/>
      <c r="E39" s="27"/>
      <c r="F39" s="818" t="s">
        <v>201</v>
      </c>
      <c r="G39" s="1027">
        <f>SUM(G31:G38)</f>
        <v>0</v>
      </c>
      <c r="H39" s="1805">
        <f>SUM(H31:I38)</f>
        <v>0</v>
      </c>
      <c r="I39" s="1806"/>
      <c r="J39" s="40"/>
      <c r="K39" s="817"/>
      <c r="L39" s="824"/>
    </row>
    <row r="40" spans="2:12" ht="13.8" thickTop="1">
      <c r="G40" s="722"/>
      <c r="H40" s="722"/>
      <c r="I40" s="722"/>
    </row>
    <row r="47" spans="2:12" ht="13.8">
      <c r="B47" s="1618" t="s">
        <v>3342</v>
      </c>
      <c r="C47" s="1618"/>
      <c r="D47" s="1618"/>
      <c r="E47" s="1618"/>
      <c r="F47" s="1618"/>
      <c r="G47" s="1618"/>
      <c r="H47" s="1618"/>
      <c r="I47" s="1618"/>
      <c r="J47" s="1618"/>
      <c r="K47" s="1618"/>
      <c r="L47" s="1618"/>
    </row>
  </sheetData>
  <sheetProtection algorithmName="SHA-512" hashValue="51cOS4QD4J1tQo6fCiLVnLIEdNS38y9PkSdvEw7H4i2OflPONxMWcxiHZRO1nwkMMzme718AlRGPBq3WYgtHjA==" saltValue="LX3istTQMSJ+B++wm7ppNw==" spinCount="100000" sheet="1" objects="1" scenarios="1"/>
  <mergeCells count="48">
    <mergeCell ref="B47:L47"/>
    <mergeCell ref="H34:I34"/>
    <mergeCell ref="J34:K34"/>
    <mergeCell ref="H35:I35"/>
    <mergeCell ref="J35:K35"/>
    <mergeCell ref="H36:I36"/>
    <mergeCell ref="J36:K36"/>
    <mergeCell ref="H37:I37"/>
    <mergeCell ref="J37:K37"/>
    <mergeCell ref="H38:I38"/>
    <mergeCell ref="J38:K38"/>
    <mergeCell ref="H39:I39"/>
    <mergeCell ref="H31:I31"/>
    <mergeCell ref="J31:K31"/>
    <mergeCell ref="H32:I32"/>
    <mergeCell ref="J32:K32"/>
    <mergeCell ref="H33:I33"/>
    <mergeCell ref="J33:K33"/>
    <mergeCell ref="K26:L26"/>
    <mergeCell ref="K27:L27"/>
    <mergeCell ref="B29:L29"/>
    <mergeCell ref="B30:F30"/>
    <mergeCell ref="H30:I30"/>
    <mergeCell ref="J30:K30"/>
    <mergeCell ref="K25:L25"/>
    <mergeCell ref="K14:L14"/>
    <mergeCell ref="K15:L15"/>
    <mergeCell ref="K16:L16"/>
    <mergeCell ref="B17:I17"/>
    <mergeCell ref="H18:I18"/>
    <mergeCell ref="H19:I19"/>
    <mergeCell ref="H20:I20"/>
    <mergeCell ref="H21:I21"/>
    <mergeCell ref="H22:I22"/>
    <mergeCell ref="H23:I23"/>
    <mergeCell ref="H24:I24"/>
    <mergeCell ref="H13:I13"/>
    <mergeCell ref="B2:L2"/>
    <mergeCell ref="B3:L3"/>
    <mergeCell ref="B4:L4"/>
    <mergeCell ref="H6:I6"/>
    <mergeCell ref="J6:L6"/>
    <mergeCell ref="H7:I7"/>
    <mergeCell ref="H8:I8"/>
    <mergeCell ref="H9:I9"/>
    <mergeCell ref="H10:I10"/>
    <mergeCell ref="H11:I11"/>
    <mergeCell ref="H12:I12"/>
  </mergeCells>
  <pageMargins left="0.25" right="0.25" top="0.5" bottom="0.5" header="0.25" footer="0.25"/>
  <pageSetup paperSize="5" orientation="portrait"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2"/>
  <dimension ref="B2:R47"/>
  <sheetViews>
    <sheetView topLeftCell="A13" workbookViewId="0">
      <selection activeCell="B32" sqref="B32"/>
    </sheetView>
  </sheetViews>
  <sheetFormatPr defaultColWidth="9.109375" defaultRowHeight="13.2"/>
  <cols>
    <col min="1" max="4" width="4.6640625" style="309" customWidth="1"/>
    <col min="5" max="5" width="17.88671875" style="309" customWidth="1"/>
    <col min="6" max="6" width="9.109375" style="309"/>
    <col min="7" max="7" width="16.6640625" style="309" customWidth="1"/>
    <col min="8" max="8" width="1.6640625" style="309" customWidth="1"/>
    <col min="9" max="9" width="15.6640625" style="309" customWidth="1"/>
    <col min="10" max="10" width="1.6640625" style="309" customWidth="1"/>
    <col min="11" max="11" width="8.6640625" style="309" customWidth="1"/>
    <col min="12" max="12" width="7.6640625" style="309" customWidth="1"/>
    <col min="13" max="16" width="9.109375" style="309"/>
    <col min="17" max="17" width="11.109375" style="309" bestFit="1" customWidth="1"/>
    <col min="18" max="18" width="13.88671875" style="309" customWidth="1"/>
    <col min="19" max="16384" width="9.109375" style="309"/>
  </cols>
  <sheetData>
    <row r="2" spans="2:18" ht="20.399999999999999">
      <c r="B2" s="1619" t="s">
        <v>481</v>
      </c>
      <c r="C2" s="1619"/>
      <c r="D2" s="1619"/>
      <c r="E2" s="1619"/>
      <c r="F2" s="1619"/>
      <c r="G2" s="1619"/>
      <c r="H2" s="1619"/>
      <c r="I2" s="1619"/>
      <c r="J2" s="1619"/>
      <c r="K2" s="1619"/>
      <c r="L2" s="1619"/>
    </row>
    <row r="3" spans="2:18" ht="21" thickBot="1">
      <c r="B3" s="1619" t="str">
        <f>" AND "&amp;IF('KEY INPUTS'!C42="State Fiscal Year","FISCAL  YEAR  "&amp;'KEY INPUTS'!D33+1&amp;"",'KEY INPUTS'!D34+1)&amp;"  DEBT  SERVICE  FOR  LOANS"</f>
        <v xml:space="preserve"> AND 2022  DEBT  SERVICE  FOR  LOANS</v>
      </c>
      <c r="C3" s="1619"/>
      <c r="D3" s="1619"/>
      <c r="E3" s="1619"/>
      <c r="F3" s="1619"/>
      <c r="G3" s="1619"/>
      <c r="H3" s="1619"/>
      <c r="I3" s="1619"/>
      <c r="J3" s="1619"/>
      <c r="K3" s="1619"/>
      <c r="L3" s="1619"/>
    </row>
    <row r="4" spans="2:18" ht="16.2" thickBot="1">
      <c r="B4" s="1814" t="str">
        <f>IF(R4&lt;&gt;"",(UPPER(R4)),"")&amp;" LOAN"</f>
        <v xml:space="preserve"> LOAN</v>
      </c>
      <c r="C4" s="1814"/>
      <c r="D4" s="1814"/>
      <c r="E4" s="1814"/>
      <c r="F4" s="1814"/>
      <c r="G4" s="1814"/>
      <c r="H4" s="1814"/>
      <c r="I4" s="1814"/>
      <c r="J4" s="1814"/>
      <c r="K4" s="1814"/>
      <c r="L4" s="1814"/>
      <c r="Q4" s="1554" t="s">
        <v>3579</v>
      </c>
      <c r="R4" s="1555"/>
    </row>
    <row r="5" spans="2:18" ht="9.75" customHeight="1" thickBot="1">
      <c r="B5" s="717"/>
      <c r="C5" s="717"/>
      <c r="D5" s="717"/>
      <c r="E5" s="717"/>
      <c r="F5" s="717"/>
      <c r="G5" s="717"/>
      <c r="H5" s="717"/>
      <c r="I5" s="717"/>
      <c r="J5" s="717"/>
      <c r="K5" s="717"/>
      <c r="L5" s="717"/>
    </row>
    <row r="6" spans="2:18" ht="27.75" customHeight="1" thickTop="1" thickBot="1">
      <c r="B6" s="991"/>
      <c r="C6" s="991"/>
      <c r="D6" s="991"/>
      <c r="E6" s="991"/>
      <c r="F6" s="991"/>
      <c r="G6" s="921" t="s">
        <v>96</v>
      </c>
      <c r="H6" s="1818" t="s">
        <v>97</v>
      </c>
      <c r="I6" s="1686"/>
      <c r="J6" s="1815" t="str">
        <f>'31-Capital Bond Schedule'!J6:L6</f>
        <v>2022  Debt Service</v>
      </c>
      <c r="K6" s="1816"/>
      <c r="L6" s="1817"/>
    </row>
    <row r="7" spans="2:18" ht="21" customHeight="1" thickTop="1">
      <c r="B7" s="271" t="str">
        <f>'31-Capital Bond Schedule'!B7</f>
        <v>Outstanding - January 1, 2021</v>
      </c>
      <c r="C7" s="271"/>
      <c r="D7" s="271"/>
      <c r="E7" s="271"/>
      <c r="F7" s="271"/>
      <c r="G7" s="1029" t="s">
        <v>628</v>
      </c>
      <c r="H7" s="1819">
        <v>0</v>
      </c>
      <c r="I7" s="1820"/>
      <c r="J7" s="72"/>
      <c r="K7" s="274"/>
      <c r="L7" s="772"/>
    </row>
    <row r="8" spans="2:18" ht="21" customHeight="1">
      <c r="B8" s="310" t="s">
        <v>92</v>
      </c>
      <c r="C8" s="310"/>
      <c r="D8" s="310"/>
      <c r="E8" s="310"/>
      <c r="F8" s="310"/>
      <c r="G8" s="926" t="s">
        <v>628</v>
      </c>
      <c r="H8" s="1774"/>
      <c r="I8" s="1775"/>
      <c r="J8" s="72"/>
      <c r="K8" s="274"/>
      <c r="L8" s="772"/>
    </row>
    <row r="9" spans="2:18" ht="21" customHeight="1">
      <c r="B9" s="310" t="s">
        <v>254</v>
      </c>
      <c r="C9" s="310"/>
      <c r="D9" s="310"/>
      <c r="E9" s="310"/>
      <c r="F9" s="310"/>
      <c r="G9" s="353"/>
      <c r="H9" s="1821" t="s">
        <v>628</v>
      </c>
      <c r="I9" s="1822"/>
      <c r="J9" s="72"/>
      <c r="K9" s="274"/>
      <c r="L9" s="772"/>
    </row>
    <row r="10" spans="2:18" ht="21" customHeight="1">
      <c r="B10" s="310" t="s">
        <v>149</v>
      </c>
      <c r="C10" s="310"/>
      <c r="D10" s="310"/>
      <c r="E10" s="310"/>
      <c r="F10" s="310"/>
      <c r="G10" s="353"/>
      <c r="H10" s="1774"/>
      <c r="I10" s="1775"/>
      <c r="J10" s="72"/>
      <c r="K10" s="274"/>
      <c r="L10" s="772"/>
    </row>
    <row r="11" spans="2:18" ht="21" customHeight="1">
      <c r="B11" s="538"/>
      <c r="C11" s="538"/>
      <c r="D11" s="538"/>
      <c r="E11" s="538"/>
      <c r="F11" s="538"/>
      <c r="G11" s="571"/>
      <c r="H11" s="1807"/>
      <c r="I11" s="1808"/>
      <c r="J11" s="72"/>
      <c r="K11" s="274"/>
      <c r="L11" s="772"/>
    </row>
    <row r="12" spans="2:18" ht="21" customHeight="1" thickBot="1">
      <c r="B12" s="310" t="str">
        <f>'31-Capital Bond Schedule'!B12</f>
        <v>Outstanding - December 31, 2021</v>
      </c>
      <c r="C12" s="310"/>
      <c r="D12" s="310"/>
      <c r="E12" s="310"/>
      <c r="F12" s="310"/>
      <c r="G12" s="1030">
        <f>+H7+H8-G9-G10-G11+H10+H11</f>
        <v>0</v>
      </c>
      <c r="H12" s="1823" t="s">
        <v>628</v>
      </c>
      <c r="I12" s="1824"/>
      <c r="J12" s="72"/>
      <c r="K12" s="274"/>
      <c r="L12" s="772"/>
    </row>
    <row r="13" spans="2:18" ht="21" customHeight="1" thickBot="1">
      <c r="G13" s="1027">
        <f>SUM(G7:G12)</f>
        <v>0</v>
      </c>
      <c r="H13" s="1827">
        <f>SUM(H7:I12)</f>
        <v>0</v>
      </c>
      <c r="I13" s="1828"/>
      <c r="J13" s="72"/>
      <c r="K13" s="274"/>
      <c r="L13" s="772"/>
    </row>
    <row r="14" spans="2:18" ht="21" customHeight="1" thickTop="1">
      <c r="B14" s="272" t="str">
        <f>'31A.1-Loan Schedule'!B14</f>
        <v>2022 Loan Maturities</v>
      </c>
      <c r="C14" s="272"/>
      <c r="D14" s="272"/>
      <c r="E14" s="272"/>
      <c r="F14" s="272"/>
      <c r="G14" s="272"/>
      <c r="H14" s="272"/>
      <c r="I14" s="996"/>
      <c r="J14" s="272" t="s">
        <v>373</v>
      </c>
      <c r="K14" s="1779">
        <v>0</v>
      </c>
      <c r="L14" s="1780"/>
      <c r="P14" s="356"/>
    </row>
    <row r="15" spans="2:18" ht="21" customHeight="1">
      <c r="B15" s="310" t="str">
        <f>'31A.1-Loan Schedule'!B15</f>
        <v xml:space="preserve">2022 Interest on Loans </v>
      </c>
      <c r="C15" s="310"/>
      <c r="D15" s="310"/>
      <c r="E15" s="310"/>
      <c r="F15" s="310"/>
      <c r="G15" s="48"/>
      <c r="H15" s="310"/>
      <c r="I15" s="1031"/>
      <c r="J15" s="272" t="s">
        <v>373</v>
      </c>
      <c r="K15" s="1779">
        <v>0</v>
      </c>
      <c r="L15" s="1780"/>
    </row>
    <row r="16" spans="2:18" ht="16.5" customHeight="1" thickBot="1">
      <c r="B16" s="1394" t="str">
        <f>"Total "&amp;IF('KEY INPUTS'!C42="State Fiscal Year","Fiscal Year "&amp;'KEY INPUTS'!D33+1&amp;"",'KEY INPUTS'!D34+1)&amp;" Debt Service for "&amp;IF(R4&lt;&gt;"",R4,"")&amp;" Loan"</f>
        <v>Total 2022 Debt Service for  Loan</v>
      </c>
      <c r="C16" s="1394"/>
      <c r="D16" s="1394"/>
      <c r="E16" s="1394"/>
      <c r="F16" s="1394"/>
      <c r="G16" s="1553"/>
      <c r="H16" s="10"/>
      <c r="I16" s="1032"/>
      <c r="J16" s="40" t="s">
        <v>373</v>
      </c>
      <c r="K16" s="1825">
        <f>+K14+K15</f>
        <v>0</v>
      </c>
      <c r="L16" s="1826"/>
    </row>
    <row r="17" spans="2:18" ht="16.8" thickTop="1" thickBot="1">
      <c r="B17" s="1812" t="str">
        <f>IF(R17&lt;&gt;"",(UPPER(R17)),"")&amp;" LOAN"</f>
        <v xml:space="preserve"> LOAN</v>
      </c>
      <c r="C17" s="1812"/>
      <c r="D17" s="1812"/>
      <c r="E17" s="1812"/>
      <c r="F17" s="1812"/>
      <c r="G17" s="1812"/>
      <c r="H17" s="1812"/>
      <c r="I17" s="1813"/>
      <c r="L17" s="188"/>
      <c r="Q17" s="1554" t="s">
        <v>3579</v>
      </c>
      <c r="R17" s="1555"/>
    </row>
    <row r="18" spans="2:18" ht="21" customHeight="1" thickTop="1">
      <c r="B18" s="271" t="str">
        <f>B7</f>
        <v>Outstanding - January 1, 2021</v>
      </c>
      <c r="C18" s="271"/>
      <c r="D18" s="271"/>
      <c r="E18" s="271"/>
      <c r="F18" s="271"/>
      <c r="G18" s="1029" t="s">
        <v>628</v>
      </c>
      <c r="H18" s="1774">
        <v>0</v>
      </c>
      <c r="I18" s="1775"/>
      <c r="L18" s="772"/>
    </row>
    <row r="19" spans="2:18" ht="21" customHeight="1">
      <c r="B19" s="310" t="s">
        <v>92</v>
      </c>
      <c r="C19" s="310"/>
      <c r="D19" s="310"/>
      <c r="E19" s="310"/>
      <c r="F19" s="310"/>
      <c r="G19" s="926" t="s">
        <v>628</v>
      </c>
      <c r="H19" s="1774"/>
      <c r="I19" s="1775"/>
      <c r="L19" s="772"/>
    </row>
    <row r="20" spans="2:18" ht="21" customHeight="1">
      <c r="B20" s="310" t="s">
        <v>254</v>
      </c>
      <c r="C20" s="310"/>
      <c r="D20" s="310"/>
      <c r="E20" s="310"/>
      <c r="F20" s="310"/>
      <c r="G20" s="353"/>
      <c r="H20" s="1829" t="s">
        <v>628</v>
      </c>
      <c r="I20" s="1830"/>
      <c r="L20" s="772"/>
    </row>
    <row r="21" spans="2:18" ht="21" customHeight="1">
      <c r="B21" s="538"/>
      <c r="C21" s="538"/>
      <c r="D21" s="538"/>
      <c r="E21" s="538"/>
      <c r="F21" s="538"/>
      <c r="G21" s="571"/>
      <c r="H21" s="1807"/>
      <c r="I21" s="1808"/>
      <c r="L21" s="772"/>
    </row>
    <row r="22" spans="2:18" ht="21" customHeight="1">
      <c r="B22" s="538"/>
      <c r="C22" s="538"/>
      <c r="D22" s="538"/>
      <c r="E22" s="538"/>
      <c r="F22" s="538"/>
      <c r="G22" s="571"/>
      <c r="H22" s="1807"/>
      <c r="I22" s="1808"/>
      <c r="L22" s="772"/>
    </row>
    <row r="23" spans="2:18" ht="21" customHeight="1" thickBot="1">
      <c r="B23" s="310" t="str">
        <f>B12</f>
        <v>Outstanding - December 31, 2021</v>
      </c>
      <c r="C23" s="310"/>
      <c r="D23" s="310"/>
      <c r="E23" s="310"/>
      <c r="F23" s="310"/>
      <c r="G23" s="1030">
        <f>+H18+H19-G20-G21-G22+H21+H22</f>
        <v>0</v>
      </c>
      <c r="H23" s="1823" t="s">
        <v>628</v>
      </c>
      <c r="I23" s="1824"/>
      <c r="L23" s="772"/>
    </row>
    <row r="24" spans="2:18" ht="21" customHeight="1" thickBot="1">
      <c r="G24" s="1027">
        <f>SUM(G18:G23)</f>
        <v>0</v>
      </c>
      <c r="H24" s="1827">
        <f>SUM(H18:I23)</f>
        <v>0</v>
      </c>
      <c r="I24" s="1828"/>
      <c r="K24" s="274"/>
      <c r="L24" s="772"/>
    </row>
    <row r="25" spans="2:18" ht="21" customHeight="1" thickTop="1">
      <c r="B25" s="272" t="str">
        <f>B14</f>
        <v>2022 Loan Maturities</v>
      </c>
      <c r="C25" s="272"/>
      <c r="D25" s="272"/>
      <c r="E25" s="272"/>
      <c r="F25" s="272"/>
      <c r="G25" s="272"/>
      <c r="H25" s="272"/>
      <c r="I25" s="996"/>
      <c r="J25" s="272" t="s">
        <v>373</v>
      </c>
      <c r="K25" s="1779">
        <v>0</v>
      </c>
      <c r="L25" s="1780"/>
    </row>
    <row r="26" spans="2:18" ht="21" customHeight="1">
      <c r="B26" s="310" t="str">
        <f>B15</f>
        <v xml:space="preserve">2022 Interest on Loans </v>
      </c>
      <c r="C26" s="310"/>
      <c r="D26" s="310"/>
      <c r="E26" s="310"/>
      <c r="F26" s="310"/>
      <c r="G26" s="48"/>
      <c r="H26" s="310"/>
      <c r="I26" s="1031"/>
      <c r="J26" s="272" t="s">
        <v>373</v>
      </c>
      <c r="K26" s="1779">
        <v>0</v>
      </c>
      <c r="L26" s="1780"/>
    </row>
    <row r="27" spans="2:18" ht="21" customHeight="1" thickBot="1">
      <c r="B27" s="1397" t="str">
        <f>"Total "&amp;IF('KEY INPUTS'!C42="State Fiscal Year","Fiscal Year "&amp;'KEY INPUTS'!D33+1&amp;"",'KEY INPUTS'!D34+1)&amp;" Debt Service for "&amp;IF(R17&lt;&gt;"",R17,"")&amp;" Loan"</f>
        <v>Total 2022 Debt Service for  Loan</v>
      </c>
      <c r="C27" s="1397"/>
      <c r="D27" s="1397"/>
      <c r="E27" s="1397"/>
      <c r="F27" s="1397"/>
      <c r="G27" s="1397"/>
      <c r="H27" s="10"/>
      <c r="I27" s="1032"/>
      <c r="J27" s="10" t="s">
        <v>373</v>
      </c>
      <c r="K27" s="1803">
        <f>+K25+K26</f>
        <v>0</v>
      </c>
      <c r="L27" s="1804"/>
    </row>
    <row r="28" spans="2:18" ht="21" customHeight="1" thickTop="1"/>
    <row r="29" spans="2:18" ht="21" customHeight="1" thickBot="1">
      <c r="B29" s="1794" t="str">
        <f>"LIST  OF  LOANS  ISSUED  DURING  "&amp;IF('KEY INPUTS'!C42="State Fiscal Year","FISCAL  YEAR  "&amp;'KEY INPUTS'!D33&amp;"",'KEY INPUTS'!D34)</f>
        <v>LIST  OF  LOANS  ISSUED  DURING  2021</v>
      </c>
      <c r="C29" s="1794"/>
      <c r="D29" s="1794"/>
      <c r="E29" s="1794"/>
      <c r="F29" s="1794"/>
      <c r="G29" s="1794"/>
      <c r="H29" s="1794"/>
      <c r="I29" s="1794"/>
      <c r="J29" s="1794"/>
      <c r="K29" s="1794"/>
      <c r="L29" s="1794"/>
    </row>
    <row r="30" spans="2:18" ht="27" customHeight="1" thickTop="1" thickBot="1">
      <c r="B30" s="1668" t="s">
        <v>413</v>
      </c>
      <c r="C30" s="1668"/>
      <c r="D30" s="1668"/>
      <c r="E30" s="1668"/>
      <c r="F30" s="1668"/>
      <c r="G30" s="4" t="str">
        <f>'31-Capital Bond Schedule'!G30</f>
        <v>2022 Maturity</v>
      </c>
      <c r="H30" s="1753" t="s">
        <v>91</v>
      </c>
      <c r="I30" s="1669"/>
      <c r="J30" s="1776" t="s">
        <v>89</v>
      </c>
      <c r="K30" s="1800"/>
      <c r="L30" s="773" t="s">
        <v>90</v>
      </c>
    </row>
    <row r="31" spans="2:18" ht="21" customHeight="1" thickTop="1">
      <c r="B31" s="541" t="s">
        <v>3730</v>
      </c>
      <c r="C31" s="541"/>
      <c r="D31" s="541"/>
      <c r="E31" s="541"/>
      <c r="F31" s="541"/>
      <c r="G31" s="575"/>
      <c r="H31" s="1809"/>
      <c r="I31" s="1810"/>
      <c r="J31" s="1811"/>
      <c r="K31" s="1768"/>
      <c r="L31" s="774"/>
    </row>
    <row r="32" spans="2:18" ht="21" customHeight="1">
      <c r="B32" s="538"/>
      <c r="C32" s="538"/>
      <c r="D32" s="538"/>
      <c r="E32" s="538"/>
      <c r="F32" s="538"/>
      <c r="G32" s="571"/>
      <c r="H32" s="1807"/>
      <c r="I32" s="1808"/>
      <c r="J32" s="1781"/>
      <c r="K32" s="1770"/>
      <c r="L32" s="593"/>
    </row>
    <row r="33" spans="2:12" ht="21" customHeight="1">
      <c r="B33" s="538"/>
      <c r="C33" s="538"/>
      <c r="D33" s="538"/>
      <c r="E33" s="538"/>
      <c r="F33" s="538"/>
      <c r="G33" s="571"/>
      <c r="H33" s="1807"/>
      <c r="I33" s="1808"/>
      <c r="J33" s="1781"/>
      <c r="K33" s="1770"/>
      <c r="L33" s="593"/>
    </row>
    <row r="34" spans="2:12" ht="21" customHeight="1">
      <c r="B34" s="538"/>
      <c r="C34" s="538"/>
      <c r="D34" s="538"/>
      <c r="E34" s="538"/>
      <c r="F34" s="538"/>
      <c r="G34" s="571"/>
      <c r="H34" s="1807"/>
      <c r="I34" s="1808"/>
      <c r="J34" s="1781"/>
      <c r="K34" s="1770"/>
      <c r="L34" s="593"/>
    </row>
    <row r="35" spans="2:12" ht="21" customHeight="1">
      <c r="B35" s="538"/>
      <c r="C35" s="538"/>
      <c r="D35" s="538"/>
      <c r="E35" s="538"/>
      <c r="F35" s="538"/>
      <c r="G35" s="571"/>
      <c r="H35" s="1807"/>
      <c r="I35" s="1808"/>
      <c r="J35" s="1781"/>
      <c r="K35" s="1770"/>
      <c r="L35" s="593"/>
    </row>
    <row r="36" spans="2:12" ht="21" customHeight="1">
      <c r="B36" s="538"/>
      <c r="C36" s="538"/>
      <c r="D36" s="538"/>
      <c r="E36" s="538"/>
      <c r="F36" s="538"/>
      <c r="G36" s="571"/>
      <c r="H36" s="1807"/>
      <c r="I36" s="1808"/>
      <c r="J36" s="1781"/>
      <c r="K36" s="1770"/>
      <c r="L36" s="593"/>
    </row>
    <row r="37" spans="2:12" ht="21" customHeight="1">
      <c r="B37" s="538"/>
      <c r="C37" s="538"/>
      <c r="D37" s="538"/>
      <c r="E37" s="538"/>
      <c r="F37" s="538"/>
      <c r="G37" s="571"/>
      <c r="H37" s="1807"/>
      <c r="I37" s="1808"/>
      <c r="J37" s="1781"/>
      <c r="K37" s="1770"/>
      <c r="L37" s="593"/>
    </row>
    <row r="38" spans="2:12" ht="21" customHeight="1">
      <c r="B38" s="538"/>
      <c r="C38" s="538"/>
      <c r="D38" s="538"/>
      <c r="E38" s="538"/>
      <c r="F38" s="538"/>
      <c r="G38" s="571"/>
      <c r="H38" s="1807"/>
      <c r="I38" s="1808"/>
      <c r="J38" s="1781"/>
      <c r="K38" s="1770"/>
      <c r="L38" s="593"/>
    </row>
    <row r="39" spans="2:12" ht="21" customHeight="1" thickBot="1">
      <c r="B39" s="27"/>
      <c r="C39" s="27"/>
      <c r="D39" s="27"/>
      <c r="E39" s="27"/>
      <c r="F39" s="818" t="s">
        <v>201</v>
      </c>
      <c r="G39" s="1027">
        <f>SUM(G31:G38)</f>
        <v>0</v>
      </c>
      <c r="H39" s="1805">
        <f>SUM(H31:I38)</f>
        <v>0</v>
      </c>
      <c r="I39" s="1806"/>
      <c r="J39" s="40"/>
      <c r="K39" s="817"/>
      <c r="L39" s="824"/>
    </row>
    <row r="40" spans="2:12" ht="13.8" thickTop="1">
      <c r="G40" s="722"/>
      <c r="H40" s="722"/>
      <c r="I40" s="722"/>
    </row>
    <row r="47" spans="2:12" ht="13.8">
      <c r="B47" s="1618" t="s">
        <v>3341</v>
      </c>
      <c r="C47" s="1618"/>
      <c r="D47" s="1618"/>
      <c r="E47" s="1618"/>
      <c r="F47" s="1618"/>
      <c r="G47" s="1618"/>
      <c r="H47" s="1618"/>
      <c r="I47" s="1618"/>
      <c r="J47" s="1618"/>
      <c r="K47" s="1618"/>
      <c r="L47" s="1618"/>
    </row>
  </sheetData>
  <sheetProtection algorithmName="SHA-512" hashValue="HEHzfAvk6FdzQzgg7XP8YqznCXeXV7D7ZWbjuIvvv2Qp9MEBHgxqENHs2QXOL2GRNOStS0g0mssYgzIiSfoNsg==" saltValue="ok6OcbnY2+Hr9PO+OngzLw==" spinCount="100000" sheet="1" objects="1" scenarios="1"/>
  <mergeCells count="48">
    <mergeCell ref="B47:L47"/>
    <mergeCell ref="H34:I34"/>
    <mergeCell ref="J34:K34"/>
    <mergeCell ref="H35:I35"/>
    <mergeCell ref="J35:K35"/>
    <mergeCell ref="H36:I36"/>
    <mergeCell ref="J36:K36"/>
    <mergeCell ref="H37:I37"/>
    <mergeCell ref="J37:K37"/>
    <mergeCell ref="H38:I38"/>
    <mergeCell ref="J38:K38"/>
    <mergeCell ref="H39:I39"/>
    <mergeCell ref="H31:I31"/>
    <mergeCell ref="J31:K31"/>
    <mergeCell ref="H32:I32"/>
    <mergeCell ref="J32:K32"/>
    <mergeCell ref="H33:I33"/>
    <mergeCell ref="J33:K33"/>
    <mergeCell ref="K26:L26"/>
    <mergeCell ref="K27:L27"/>
    <mergeCell ref="B29:L29"/>
    <mergeCell ref="B30:F30"/>
    <mergeCell ref="H30:I30"/>
    <mergeCell ref="J30:K30"/>
    <mergeCell ref="K25:L25"/>
    <mergeCell ref="K14:L14"/>
    <mergeCell ref="K15:L15"/>
    <mergeCell ref="K16:L16"/>
    <mergeCell ref="B17:I17"/>
    <mergeCell ref="H18:I18"/>
    <mergeCell ref="H19:I19"/>
    <mergeCell ref="H20:I20"/>
    <mergeCell ref="H21:I21"/>
    <mergeCell ref="H22:I22"/>
    <mergeCell ref="H23:I23"/>
    <mergeCell ref="H24:I24"/>
    <mergeCell ref="H13:I13"/>
    <mergeCell ref="B2:L2"/>
    <mergeCell ref="B3:L3"/>
    <mergeCell ref="B4:L4"/>
    <mergeCell ref="H6:I6"/>
    <mergeCell ref="J6:L6"/>
    <mergeCell ref="H7:I7"/>
    <mergeCell ref="H8:I8"/>
    <mergeCell ref="H9:I9"/>
    <mergeCell ref="H10:I10"/>
    <mergeCell ref="H11:I11"/>
    <mergeCell ref="H12:I12"/>
  </mergeCells>
  <pageMargins left="0.25" right="0.25" top="0.5" bottom="0.5" header="0.25" footer="0.25"/>
  <pageSetup paperSize="5" orientation="portrait" r:id="rId1"/>
  <headerFooter alignWithMargins="0"/>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3"/>
  <dimension ref="B2:W48"/>
  <sheetViews>
    <sheetView topLeftCell="A16" zoomScaleNormal="100" workbookViewId="0">
      <selection activeCell="K44" sqref="K44:L44"/>
    </sheetView>
  </sheetViews>
  <sheetFormatPr defaultRowHeight="13.2"/>
  <cols>
    <col min="1" max="4" width="4.6640625" customWidth="1"/>
    <col min="5" max="5" width="17.88671875" customWidth="1"/>
    <col min="7" max="7" width="16.6640625" customWidth="1"/>
    <col min="8" max="8" width="1.6640625" customWidth="1"/>
    <col min="9" max="9" width="15.6640625" customWidth="1"/>
    <col min="10" max="10" width="1.6640625" customWidth="1"/>
    <col min="11" max="11" width="8.6640625" customWidth="1"/>
    <col min="12" max="12" width="7.6640625" customWidth="1"/>
  </cols>
  <sheetData>
    <row r="2" spans="2:23" ht="20.399999999999999">
      <c r="B2" s="1619" t="s">
        <v>127</v>
      </c>
      <c r="C2" s="1619"/>
      <c r="D2" s="1619"/>
      <c r="E2" s="1619"/>
      <c r="F2" s="1619"/>
      <c r="G2" s="1619"/>
      <c r="H2" s="1619"/>
      <c r="I2" s="1619"/>
      <c r="J2" s="1619"/>
      <c r="K2" s="1619"/>
      <c r="L2" s="1619"/>
    </row>
    <row r="3" spans="2:23" ht="20.399999999999999">
      <c r="B3" s="1619" t="str">
        <f>" AND "&amp;IF('KEY INPUTS'!C42="State Fiscal Year","FISCAL YEAR "&amp;'KEY INPUTS'!D33+1&amp;"",'KEY INPUTS'!D34+1)&amp;" DEBT  SERVICE  FOR  BONDS"</f>
        <v xml:space="preserve"> AND 2022 DEBT  SERVICE  FOR  BONDS</v>
      </c>
      <c r="C3" s="1619"/>
      <c r="D3" s="1619"/>
      <c r="E3" s="1619"/>
      <c r="F3" s="1619"/>
      <c r="G3" s="1619"/>
      <c r="H3" s="1619"/>
      <c r="I3" s="1619"/>
      <c r="J3" s="1619"/>
      <c r="K3" s="1619"/>
      <c r="L3" s="1619"/>
    </row>
    <row r="4" spans="2:23" ht="15.6">
      <c r="B4" s="1620" t="s">
        <v>555</v>
      </c>
      <c r="C4" s="1620"/>
      <c r="D4" s="1620"/>
      <c r="E4" s="1620"/>
      <c r="F4" s="1620"/>
      <c r="G4" s="1620"/>
      <c r="H4" s="1620"/>
      <c r="I4" s="1620"/>
      <c r="J4" s="1620"/>
      <c r="K4" s="1620"/>
      <c r="L4" s="1620"/>
    </row>
    <row r="5" spans="2:23" ht="9.75" customHeight="1" thickBot="1">
      <c r="B5" s="106"/>
      <c r="C5" s="106"/>
      <c r="D5" s="106"/>
      <c r="E5" s="106"/>
      <c r="F5" s="106"/>
      <c r="G5" s="106"/>
      <c r="H5" s="106"/>
      <c r="I5" s="106"/>
      <c r="J5" s="106"/>
      <c r="K5" s="106"/>
      <c r="L5" s="106"/>
    </row>
    <row r="6" spans="2:23" ht="27.75" customHeight="1" thickTop="1" thickBot="1">
      <c r="B6" s="60"/>
      <c r="C6" s="60"/>
      <c r="D6" s="60"/>
      <c r="E6" s="60"/>
      <c r="F6" s="60"/>
      <c r="G6" s="4" t="s">
        <v>96</v>
      </c>
      <c r="H6" s="1753" t="s">
        <v>97</v>
      </c>
      <c r="I6" s="1669"/>
      <c r="J6" s="1776" t="str">
        <f>'31A-Loan Schedule'!J6:L6</f>
        <v>2022  Debt Service</v>
      </c>
      <c r="K6" s="1777"/>
      <c r="L6" s="1778"/>
    </row>
    <row r="7" spans="2:23" ht="21" customHeight="1" thickTop="1">
      <c r="B7" s="271" t="str">
        <f>'31-Capital Bond Schedule'!B7</f>
        <v>Outstanding - January 1, 2021</v>
      </c>
      <c r="C7" s="271"/>
      <c r="D7" s="271"/>
      <c r="E7" s="271"/>
      <c r="F7" s="271"/>
      <c r="G7" s="141" t="s">
        <v>628</v>
      </c>
      <c r="H7" s="1809">
        <v>0</v>
      </c>
      <c r="I7" s="1810"/>
      <c r="O7" s="309"/>
      <c r="P7" s="309"/>
      <c r="Q7" s="309"/>
      <c r="R7" s="309"/>
      <c r="S7" s="309"/>
      <c r="T7" s="309"/>
      <c r="U7" s="309"/>
      <c r="V7" s="309"/>
      <c r="W7" s="309"/>
    </row>
    <row r="8" spans="2:23" ht="21" customHeight="1">
      <c r="B8" s="310" t="s">
        <v>254</v>
      </c>
      <c r="C8" s="310"/>
      <c r="D8" s="310"/>
      <c r="E8" s="310"/>
      <c r="F8" s="310"/>
      <c r="G8" s="353"/>
      <c r="H8" s="1782" t="s">
        <v>628</v>
      </c>
      <c r="I8" s="1783"/>
      <c r="O8" s="309"/>
      <c r="P8" s="309"/>
      <c r="Q8" s="309"/>
      <c r="R8" s="309"/>
      <c r="S8" s="309"/>
      <c r="T8" s="309"/>
      <c r="U8" s="309"/>
      <c r="V8" s="309"/>
      <c r="W8" s="309"/>
    </row>
    <row r="9" spans="2:23" ht="21" customHeight="1">
      <c r="B9" s="538"/>
      <c r="C9" s="538"/>
      <c r="D9" s="538"/>
      <c r="E9" s="538"/>
      <c r="F9" s="538"/>
      <c r="G9" s="571"/>
      <c r="H9" s="1807"/>
      <c r="I9" s="1808"/>
      <c r="O9" s="309"/>
      <c r="P9" s="309"/>
      <c r="Q9" s="309"/>
      <c r="R9" s="309"/>
      <c r="S9" s="309"/>
      <c r="T9" s="309"/>
      <c r="U9" s="309"/>
      <c r="V9" s="309"/>
      <c r="W9" s="309"/>
    </row>
    <row r="10" spans="2:23" ht="21" customHeight="1">
      <c r="B10" s="538"/>
      <c r="C10" s="538"/>
      <c r="D10" s="538"/>
      <c r="E10" s="538"/>
      <c r="F10" s="538"/>
      <c r="G10" s="571"/>
      <c r="H10" s="1807"/>
      <c r="I10" s="1808"/>
      <c r="O10" s="309"/>
      <c r="P10" s="309"/>
      <c r="Q10" s="309"/>
      <c r="R10" s="309"/>
      <c r="S10" s="309"/>
      <c r="T10" s="309"/>
      <c r="U10" s="309"/>
      <c r="V10" s="309"/>
      <c r="W10" s="309"/>
    </row>
    <row r="11" spans="2:23" ht="21" customHeight="1" thickBot="1">
      <c r="B11" s="310" t="str">
        <f>'31-Capital Bond Schedule'!B12</f>
        <v>Outstanding - December 31, 2021</v>
      </c>
      <c r="C11" s="310"/>
      <c r="D11" s="310"/>
      <c r="E11" s="310"/>
      <c r="F11" s="310"/>
      <c r="G11" s="137">
        <f>+H7-G8-G9-G10+H9+H10</f>
        <v>0</v>
      </c>
      <c r="H11" s="1786" t="s">
        <v>628</v>
      </c>
      <c r="I11" s="1787"/>
      <c r="O11" s="309"/>
      <c r="P11" s="309"/>
      <c r="Q11" s="309"/>
      <c r="R11" s="309"/>
      <c r="S11" s="309"/>
      <c r="T11" s="309"/>
      <c r="U11" s="309"/>
      <c r="V11" s="309"/>
      <c r="W11" s="309"/>
    </row>
    <row r="12" spans="2:23" ht="21" customHeight="1" thickBot="1">
      <c r="B12" s="309"/>
      <c r="C12" s="309"/>
      <c r="D12" s="309"/>
      <c r="E12" s="309"/>
      <c r="F12" s="309"/>
      <c r="G12" s="133">
        <f>SUM(G7:G11)</f>
        <v>0</v>
      </c>
      <c r="H12" s="1838">
        <f>SUM(H7:I11)</f>
        <v>0</v>
      </c>
      <c r="I12" s="1839"/>
      <c r="O12" s="309"/>
      <c r="P12" s="309"/>
      <c r="Q12" s="309"/>
      <c r="R12" s="309"/>
      <c r="S12" s="309"/>
      <c r="T12" s="309"/>
      <c r="U12" s="309"/>
      <c r="V12" s="309"/>
      <c r="W12" s="309"/>
    </row>
    <row r="13" spans="2:23" ht="21" customHeight="1" thickTop="1">
      <c r="B13" s="272" t="str">
        <f>IF('KEY INPUTS'!C42="State Fiscal Year","Fiscal Year "&amp;'KEY INPUTS'!D33+1&amp;"",'KEY INPUTS'!D34+1)&amp;" Bond Maturities - Term Bonds"</f>
        <v>2022 Bond Maturities - Term Bonds</v>
      </c>
      <c r="C13" s="272"/>
      <c r="D13" s="272"/>
      <c r="E13" s="272"/>
      <c r="F13" s="272"/>
      <c r="G13" s="117"/>
      <c r="H13" s="30" t="s">
        <v>373</v>
      </c>
      <c r="I13" s="576">
        <v>0</v>
      </c>
      <c r="J13" s="72"/>
      <c r="K13" s="1841"/>
      <c r="L13" s="1841"/>
      <c r="O13" s="309"/>
      <c r="P13" s="309"/>
      <c r="Q13" s="309"/>
      <c r="R13" s="309"/>
      <c r="S13" s="309"/>
      <c r="T13" s="309"/>
      <c r="U13" s="309"/>
      <c r="V13" s="309"/>
      <c r="W13" s="309"/>
    </row>
    <row r="14" spans="2:23" ht="21" customHeight="1" thickBot="1">
      <c r="B14" s="27" t="str">
        <f>IF('KEY INPUTS'!C42="State Fiscal Year","Fiscal Year "&amp;'KEY INPUTS'!D33+1&amp;"",'KEY INPUTS'!D34+1)&amp;" Interest on Bonds"</f>
        <v>2022 Interest on Bonds</v>
      </c>
      <c r="C14" s="27"/>
      <c r="D14" s="27"/>
      <c r="E14" s="27"/>
      <c r="F14" s="27"/>
      <c r="G14" s="75"/>
      <c r="H14" s="27" t="s">
        <v>373</v>
      </c>
      <c r="I14" s="577">
        <v>0</v>
      </c>
      <c r="O14" s="309"/>
      <c r="P14" s="356"/>
      <c r="Q14" s="309"/>
      <c r="R14" s="309"/>
      <c r="S14" s="309"/>
      <c r="T14" s="309"/>
      <c r="U14" s="309"/>
      <c r="V14" s="309"/>
      <c r="W14" s="309"/>
    </row>
    <row r="15" spans="2:23" ht="16.5" customHeight="1" thickTop="1">
      <c r="B15" s="1790"/>
      <c r="C15" s="1790"/>
      <c r="D15" s="1790"/>
      <c r="E15" s="1790"/>
      <c r="F15" s="1790"/>
      <c r="G15" s="1790"/>
      <c r="H15" s="1790"/>
      <c r="I15" s="1791"/>
      <c r="O15" s="309"/>
      <c r="P15" s="309"/>
      <c r="Q15" s="309"/>
      <c r="R15" s="309"/>
      <c r="S15" s="309"/>
      <c r="T15" s="309"/>
      <c r="U15" s="309"/>
      <c r="V15" s="309"/>
      <c r="W15" s="309"/>
    </row>
    <row r="16" spans="2:23" ht="26.25" customHeight="1" thickBot="1">
      <c r="B16" s="1792" t="s">
        <v>84</v>
      </c>
      <c r="C16" s="1792"/>
      <c r="D16" s="1792"/>
      <c r="E16" s="1792"/>
      <c r="F16" s="1792"/>
      <c r="G16" s="1792"/>
      <c r="H16" s="1792"/>
      <c r="I16" s="1793"/>
      <c r="O16" s="309"/>
      <c r="P16" s="309"/>
      <c r="Q16" s="309"/>
      <c r="R16" s="309"/>
      <c r="S16" s="309"/>
      <c r="T16" s="309"/>
      <c r="U16" s="309"/>
      <c r="V16" s="309"/>
      <c r="W16" s="309"/>
    </row>
    <row r="17" spans="2:23" ht="21" customHeight="1" thickTop="1">
      <c r="B17" s="271" t="str">
        <f>B7</f>
        <v>Outstanding - January 1, 2021</v>
      </c>
      <c r="C17" s="271"/>
      <c r="D17" s="271"/>
      <c r="E17" s="271"/>
      <c r="F17" s="271"/>
      <c r="G17" s="141" t="s">
        <v>628</v>
      </c>
      <c r="H17" s="1774">
        <v>0</v>
      </c>
      <c r="I17" s="1775"/>
      <c r="O17" s="309"/>
      <c r="P17" s="309"/>
      <c r="Q17" s="309"/>
      <c r="R17" s="309"/>
      <c r="S17" s="309"/>
      <c r="T17" s="309"/>
      <c r="U17" s="309"/>
      <c r="V17" s="309"/>
      <c r="W17" s="309"/>
    </row>
    <row r="18" spans="2:23" ht="21" customHeight="1">
      <c r="B18" s="310" t="s">
        <v>92</v>
      </c>
      <c r="C18" s="310"/>
      <c r="D18" s="310"/>
      <c r="E18" s="310"/>
      <c r="F18" s="310"/>
      <c r="G18" s="142" t="s">
        <v>628</v>
      </c>
      <c r="H18" s="1774"/>
      <c r="I18" s="1775"/>
      <c r="O18" s="309"/>
      <c r="P18" s="309"/>
      <c r="Q18" s="309"/>
      <c r="R18" s="309"/>
      <c r="S18" s="309"/>
      <c r="T18" s="309"/>
      <c r="U18" s="309"/>
      <c r="V18" s="309"/>
      <c r="W18" s="309"/>
    </row>
    <row r="19" spans="2:23" ht="21" customHeight="1">
      <c r="B19" s="310" t="s">
        <v>254</v>
      </c>
      <c r="C19" s="310"/>
      <c r="D19" s="310"/>
      <c r="E19" s="310"/>
      <c r="F19" s="310"/>
      <c r="G19" s="353"/>
      <c r="H19" s="1782" t="s">
        <v>628</v>
      </c>
      <c r="I19" s="1783"/>
      <c r="O19" s="309"/>
      <c r="P19" s="309"/>
      <c r="Q19" s="309"/>
      <c r="R19" s="309"/>
      <c r="S19" s="309"/>
      <c r="T19" s="309"/>
      <c r="U19" s="309"/>
      <c r="V19" s="309"/>
      <c r="W19" s="309"/>
    </row>
    <row r="20" spans="2:23" ht="21" customHeight="1">
      <c r="B20" s="538"/>
      <c r="C20" s="538"/>
      <c r="D20" s="538"/>
      <c r="E20" s="538"/>
      <c r="F20" s="538"/>
      <c r="G20" s="571"/>
      <c r="H20" s="1807"/>
      <c r="I20" s="1808"/>
      <c r="O20" s="309"/>
      <c r="P20" s="309"/>
      <c r="Q20" s="309"/>
      <c r="R20" s="309"/>
      <c r="S20" s="309"/>
      <c r="T20" s="309"/>
      <c r="U20" s="309"/>
      <c r="V20" s="309"/>
      <c r="W20" s="309"/>
    </row>
    <row r="21" spans="2:23" ht="21" customHeight="1">
      <c r="B21" s="538"/>
      <c r="C21" s="538"/>
      <c r="D21" s="538"/>
      <c r="E21" s="538"/>
      <c r="F21" s="538"/>
      <c r="G21" s="571"/>
      <c r="H21" s="1807"/>
      <c r="I21" s="1808"/>
      <c r="O21" s="309"/>
      <c r="P21" s="309"/>
      <c r="Q21" s="309"/>
      <c r="R21" s="309"/>
      <c r="S21" s="309"/>
      <c r="T21" s="309"/>
      <c r="U21" s="309"/>
      <c r="V21" s="309"/>
      <c r="W21" s="309"/>
    </row>
    <row r="22" spans="2:23" ht="21" customHeight="1" thickBot="1">
      <c r="B22" s="310" t="str">
        <f>B11</f>
        <v>Outstanding - December 31, 2021</v>
      </c>
      <c r="C22" s="310"/>
      <c r="D22" s="310"/>
      <c r="E22" s="310"/>
      <c r="F22" s="310"/>
      <c r="G22" s="137">
        <f>+H17+H18-G19-G20-G21+H20+H21</f>
        <v>0</v>
      </c>
      <c r="H22" s="1786" t="s">
        <v>628</v>
      </c>
      <c r="I22" s="1787"/>
      <c r="O22" s="309"/>
      <c r="P22" s="309"/>
      <c r="Q22" s="309"/>
      <c r="R22" s="309"/>
      <c r="S22" s="309"/>
      <c r="T22" s="309"/>
      <c r="U22" s="309"/>
      <c r="V22" s="309"/>
      <c r="W22" s="309"/>
    </row>
    <row r="23" spans="2:23" ht="21" customHeight="1" thickBot="1">
      <c r="G23" s="133">
        <f>SUM(G17:G22)</f>
        <v>0</v>
      </c>
      <c r="H23" s="1838">
        <f>SUM(H17:I22)</f>
        <v>0</v>
      </c>
      <c r="I23" s="1839"/>
      <c r="O23" s="309"/>
      <c r="P23" s="309"/>
      <c r="Q23" s="309"/>
      <c r="R23" s="309"/>
      <c r="S23" s="309"/>
      <c r="T23" s="309"/>
      <c r="U23" s="309"/>
      <c r="V23" s="309"/>
      <c r="W23" s="309"/>
    </row>
    <row r="24" spans="2:23" ht="21" customHeight="1" thickTop="1">
      <c r="B24" s="272" t="str">
        <f>B14</f>
        <v>2022 Interest on Bonds</v>
      </c>
      <c r="C24" s="272"/>
      <c r="D24" s="272"/>
      <c r="E24" s="272"/>
      <c r="F24" s="272"/>
      <c r="G24" s="117"/>
      <c r="H24" s="30" t="s">
        <v>373</v>
      </c>
      <c r="I24" s="579">
        <v>0</v>
      </c>
      <c r="J24" s="72"/>
      <c r="K24" s="1841"/>
      <c r="L24" s="1841"/>
      <c r="O24" s="309"/>
      <c r="P24" s="309"/>
      <c r="Q24" s="309"/>
      <c r="R24" s="309"/>
      <c r="S24" s="309"/>
      <c r="T24" s="309"/>
      <c r="U24" s="309"/>
      <c r="V24" s="309"/>
      <c r="W24" s="309"/>
    </row>
    <row r="25" spans="2:23" ht="21" customHeight="1" thickBot="1">
      <c r="B25" s="27" t="str">
        <f>B13</f>
        <v>2022 Bond Maturities - Term Bonds</v>
      </c>
      <c r="C25" s="27"/>
      <c r="D25" s="27"/>
      <c r="E25" s="27"/>
      <c r="F25" s="27"/>
      <c r="G25" s="135"/>
      <c r="H25" s="27"/>
      <c r="I25" s="75"/>
      <c r="J25" s="30" t="s">
        <v>373</v>
      </c>
      <c r="K25" s="1834">
        <v>0</v>
      </c>
      <c r="L25" s="1834"/>
      <c r="O25" s="309"/>
      <c r="P25" s="309"/>
      <c r="Q25" s="309"/>
      <c r="R25" s="309"/>
      <c r="S25" s="309"/>
      <c r="T25" s="309"/>
      <c r="U25" s="309"/>
      <c r="V25" s="309"/>
      <c r="W25" s="309"/>
    </row>
    <row r="26" spans="2:23" ht="21" customHeight="1" thickTop="1" thickBot="1">
      <c r="B26" s="10" t="s">
        <v>78</v>
      </c>
      <c r="C26" s="10"/>
      <c r="D26" s="10"/>
      <c r="E26" s="10"/>
      <c r="F26" s="10"/>
      <c r="G26" s="10"/>
      <c r="H26" s="10"/>
      <c r="I26" s="136"/>
      <c r="J26" s="10" t="s">
        <v>373</v>
      </c>
      <c r="K26" s="1840">
        <f>+I24+I14</f>
        <v>0</v>
      </c>
      <c r="L26" s="1840"/>
    </row>
    <row r="27" spans="2:23" ht="21" customHeight="1" thickTop="1"/>
    <row r="28" spans="2:23" ht="21" customHeight="1" thickBot="1">
      <c r="B28" s="1837" t="str">
        <f>"LIST  OF  BONDS  ISSUED  DURING  "&amp;IF('KEY INPUTS'!C42="State Fiscal Year","FISCAL  YEAR  "&amp;'KEY INPUTS'!D33&amp;"",'KEY INPUTS'!D34)&amp;""</f>
        <v>LIST  OF  BONDS  ISSUED  DURING  2021</v>
      </c>
      <c r="C28" s="1837"/>
      <c r="D28" s="1837"/>
      <c r="E28" s="1837"/>
      <c r="F28" s="1837"/>
      <c r="G28" s="1837"/>
      <c r="H28" s="1837"/>
      <c r="I28" s="1837"/>
      <c r="J28" s="1837"/>
      <c r="K28" s="1837"/>
      <c r="L28" s="1837"/>
    </row>
    <row r="29" spans="2:23" ht="27" customHeight="1" thickTop="1" thickBot="1">
      <c r="B29" s="1668" t="s">
        <v>413</v>
      </c>
      <c r="C29" s="1668"/>
      <c r="D29" s="1668"/>
      <c r="E29" s="1668"/>
      <c r="F29" s="1668"/>
      <c r="G29" s="139" t="str">
        <f>IF('KEY INPUTS'!C42="State Fiscal Year","FY "&amp;'KEY INPUTS'!D33+1&amp;"",'KEY INPUTS'!D34+1)&amp;" Maturity           -01"</f>
        <v>2022 Maturity           -01</v>
      </c>
      <c r="H29" s="1776" t="s">
        <v>79</v>
      </c>
      <c r="I29" s="1800"/>
      <c r="J29" s="1776" t="s">
        <v>89</v>
      </c>
      <c r="K29" s="1800"/>
      <c r="L29" s="773" t="s">
        <v>90</v>
      </c>
    </row>
    <row r="30" spans="2:23" ht="21" customHeight="1" thickTop="1">
      <c r="B30" s="541" t="s">
        <v>3730</v>
      </c>
      <c r="C30" s="541"/>
      <c r="D30" s="541"/>
      <c r="E30" s="541"/>
      <c r="F30" s="541"/>
      <c r="G30" s="575"/>
      <c r="H30" s="1809"/>
      <c r="I30" s="1810"/>
      <c r="J30" s="1797"/>
      <c r="K30" s="1768"/>
      <c r="L30" s="906"/>
    </row>
    <row r="31" spans="2:23" ht="21" customHeight="1">
      <c r="B31" s="538"/>
      <c r="C31" s="538"/>
      <c r="D31" s="538"/>
      <c r="E31" s="538"/>
      <c r="F31" s="538"/>
      <c r="G31" s="571"/>
      <c r="H31" s="1807"/>
      <c r="I31" s="1808"/>
      <c r="J31" s="1781"/>
      <c r="K31" s="1770"/>
      <c r="L31" s="907"/>
    </row>
    <row r="32" spans="2:23" ht="21" customHeight="1">
      <c r="B32" s="538"/>
      <c r="C32" s="538"/>
      <c r="D32" s="538"/>
      <c r="E32" s="538"/>
      <c r="F32" s="538"/>
      <c r="G32" s="571"/>
      <c r="H32" s="1807"/>
      <c r="I32" s="1808"/>
      <c r="J32" s="1781"/>
      <c r="K32" s="1770"/>
      <c r="L32" s="907"/>
    </row>
    <row r="33" spans="2:12" ht="21" customHeight="1" thickBot="1">
      <c r="B33" s="27"/>
      <c r="C33" s="27"/>
      <c r="D33" s="27"/>
      <c r="E33" s="138" t="s">
        <v>201</v>
      </c>
      <c r="F33" s="41"/>
      <c r="G33" s="133">
        <f>SUM(G30:G32)</f>
        <v>0</v>
      </c>
      <c r="H33" s="1835">
        <f>SUM(H30:I32)</f>
        <v>0</v>
      </c>
      <c r="I33" s="1836"/>
      <c r="J33" s="40"/>
      <c r="K33" s="27"/>
      <c r="L33" s="19"/>
    </row>
    <row r="34" spans="2:12" ht="13.8" thickTop="1">
      <c r="G34" s="56"/>
      <c r="H34" s="56"/>
      <c r="I34" s="56"/>
    </row>
    <row r="35" spans="2:12" ht="7.5" customHeight="1"/>
    <row r="36" spans="2:12" ht="15.6">
      <c r="B36" s="1620" t="str">
        <f>IF('KEY INPUTS'!C42="State Fiscal Year","FISCAL  YEAR  "&amp;'KEY INPUTS'!D33+1&amp;"",'KEY INPUTS'!D34+1)&amp;"  INTEREST  REQUIREMENT  -  CURRENT  FUND  DEBT  ONLY"</f>
        <v>2022  INTEREST  REQUIREMENT  -  CURRENT  FUND  DEBT  ONLY</v>
      </c>
      <c r="C36" s="1620"/>
      <c r="D36" s="1620"/>
      <c r="E36" s="1620"/>
      <c r="F36" s="1620"/>
      <c r="G36" s="1620"/>
      <c r="H36" s="1620"/>
      <c r="I36" s="1620"/>
      <c r="J36" s="1620"/>
      <c r="K36" s="1620"/>
      <c r="L36" s="1620"/>
    </row>
    <row r="37" spans="2:12" ht="9.75" customHeight="1">
      <c r="I37" s="9" t="s">
        <v>198</v>
      </c>
      <c r="J37" s="34"/>
      <c r="K37" s="1833" t="str">
        <f>IF('KEY INPUTS'!C42="State Fiscal Year","FY "&amp;'KEY INPUTS'!D33+1&amp;"",'KEY INPUTS'!D34+1)&amp;" Interest"</f>
        <v>2022 Interest</v>
      </c>
      <c r="L37" s="1833"/>
    </row>
    <row r="38" spans="2:12" ht="9.75" customHeight="1">
      <c r="I38" s="291" t="str">
        <f>IF('KEY INPUTS'!C42 = "State Fiscal Year", 'KEY INPUTS'!F47,'KEY INPUTS'!D47)</f>
        <v>Dec. 31, 2021</v>
      </c>
      <c r="J38" s="34"/>
      <c r="K38" s="1833" t="s">
        <v>129</v>
      </c>
      <c r="L38" s="1833"/>
    </row>
    <row r="40" spans="2:12" ht="20.100000000000001" customHeight="1">
      <c r="C40" s="943" t="s">
        <v>292</v>
      </c>
      <c r="D40" s="277" t="s">
        <v>130</v>
      </c>
      <c r="E40" s="309"/>
      <c r="F40" s="309"/>
      <c r="G40" s="140"/>
      <c r="H40" t="s">
        <v>373</v>
      </c>
      <c r="I40" s="355">
        <v>0</v>
      </c>
      <c r="J40" t="s">
        <v>373</v>
      </c>
      <c r="K40" s="1667">
        <v>0</v>
      </c>
      <c r="L40" s="1667"/>
    </row>
    <row r="41" spans="2:12" ht="20.100000000000001" customHeight="1">
      <c r="C41" s="943" t="s">
        <v>293</v>
      </c>
      <c r="D41" s="277" t="s">
        <v>131</v>
      </c>
      <c r="E41" s="309"/>
      <c r="F41" s="309"/>
      <c r="G41" s="140"/>
      <c r="H41" t="s">
        <v>373</v>
      </c>
      <c r="I41" s="355">
        <v>0</v>
      </c>
      <c r="J41" t="s">
        <v>373</v>
      </c>
      <c r="K41" s="1667">
        <v>0</v>
      </c>
      <c r="L41" s="1667"/>
    </row>
    <row r="42" spans="2:12" ht="20.100000000000001" customHeight="1">
      <c r="C42" s="943" t="s">
        <v>294</v>
      </c>
      <c r="D42" s="277" t="s">
        <v>132</v>
      </c>
      <c r="E42" s="309"/>
      <c r="F42" s="309"/>
      <c r="G42" s="140"/>
      <c r="H42" t="s">
        <v>373</v>
      </c>
      <c r="I42" s="355">
        <v>0</v>
      </c>
      <c r="J42" t="s">
        <v>373</v>
      </c>
      <c r="K42" s="1667">
        <v>0</v>
      </c>
      <c r="L42" s="1667"/>
    </row>
    <row r="43" spans="2:12" ht="20.100000000000001" customHeight="1">
      <c r="C43" s="943" t="s">
        <v>295</v>
      </c>
      <c r="D43" s="277" t="s">
        <v>133</v>
      </c>
      <c r="E43" s="309"/>
      <c r="F43" s="309"/>
      <c r="G43" s="140"/>
      <c r="H43" t="s">
        <v>373</v>
      </c>
      <c r="I43" s="355">
        <v>0</v>
      </c>
      <c r="J43" t="s">
        <v>373</v>
      </c>
      <c r="K43" s="1667">
        <v>0</v>
      </c>
      <c r="L43" s="1667"/>
    </row>
    <row r="44" spans="2:12" ht="20.100000000000001" customHeight="1">
      <c r="C44" s="83" t="s">
        <v>296</v>
      </c>
      <c r="D44" s="354"/>
      <c r="E44" s="354"/>
      <c r="F44" s="354"/>
      <c r="H44" t="s">
        <v>373</v>
      </c>
      <c r="I44" s="355"/>
      <c r="J44" t="s">
        <v>373</v>
      </c>
      <c r="K44" s="1667"/>
      <c r="L44" s="1667"/>
    </row>
    <row r="45" spans="2:12" ht="20.100000000000001" customHeight="1">
      <c r="C45" s="83" t="s">
        <v>297</v>
      </c>
      <c r="D45" s="354"/>
      <c r="E45" s="354"/>
      <c r="F45" s="354"/>
      <c r="H45" t="s">
        <v>373</v>
      </c>
      <c r="I45" s="355"/>
      <c r="J45" t="s">
        <v>373</v>
      </c>
      <c r="K45" s="1667"/>
      <c r="L45" s="1667"/>
    </row>
    <row r="46" spans="2:12">
      <c r="L46" s="309"/>
    </row>
    <row r="48" spans="2:12" ht="13.8">
      <c r="B48" s="1618" t="s">
        <v>134</v>
      </c>
      <c r="C48" s="1618"/>
      <c r="D48" s="1618"/>
      <c r="E48" s="1618"/>
      <c r="F48" s="1618"/>
      <c r="G48" s="1618"/>
      <c r="H48" s="1618"/>
      <c r="I48" s="1618"/>
      <c r="J48" s="1618"/>
      <c r="K48" s="1618"/>
      <c r="L48" s="1618"/>
    </row>
  </sheetData>
  <sheetProtection algorithmName="SHA-512" hashValue="3WCkljb5/esjgOg8p2oyN3xEmxeleS1UvOW8h1wUzmRV+nXlzKJUXu3Z0pZSlLxqR8NCTy6EeVsGmv/k2npVAw==" saltValue="mT9Ek3p0pwWhiBl7uMjgFg==" spinCount="100000" sheet="1" objects="1" scenarios="1"/>
  <mergeCells count="45">
    <mergeCell ref="B2:L2"/>
    <mergeCell ref="B3:L3"/>
    <mergeCell ref="B4:L4"/>
    <mergeCell ref="J6:L6"/>
    <mergeCell ref="H6:I6"/>
    <mergeCell ref="H11:I11"/>
    <mergeCell ref="H7:I7"/>
    <mergeCell ref="H9:I9"/>
    <mergeCell ref="B28:L28"/>
    <mergeCell ref="H23:I23"/>
    <mergeCell ref="H17:I17"/>
    <mergeCell ref="B15:I15"/>
    <mergeCell ref="H18:I18"/>
    <mergeCell ref="K26:L26"/>
    <mergeCell ref="K24:L24"/>
    <mergeCell ref="K13:L13"/>
    <mergeCell ref="B16:I16"/>
    <mergeCell ref="H10:I10"/>
    <mergeCell ref="H12:I12"/>
    <mergeCell ref="H8:I8"/>
    <mergeCell ref="H21:I21"/>
    <mergeCell ref="H19:I19"/>
    <mergeCell ref="H20:I20"/>
    <mergeCell ref="B36:L36"/>
    <mergeCell ref="K25:L25"/>
    <mergeCell ref="J32:K32"/>
    <mergeCell ref="J30:K30"/>
    <mergeCell ref="J31:K31"/>
    <mergeCell ref="B29:F29"/>
    <mergeCell ref="J29:K29"/>
    <mergeCell ref="H22:I22"/>
    <mergeCell ref="H29:I29"/>
    <mergeCell ref="H30:I30"/>
    <mergeCell ref="H33:I33"/>
    <mergeCell ref="H31:I31"/>
    <mergeCell ref="H32:I32"/>
    <mergeCell ref="K37:L37"/>
    <mergeCell ref="B48:L48"/>
    <mergeCell ref="K45:L45"/>
    <mergeCell ref="K41:L41"/>
    <mergeCell ref="K42:L42"/>
    <mergeCell ref="K43:L43"/>
    <mergeCell ref="K44:L44"/>
    <mergeCell ref="K38:L38"/>
    <mergeCell ref="K40:L40"/>
  </mergeCells>
  <phoneticPr fontId="0" type="noConversion"/>
  <pageMargins left="0.25" right="0.25" top="0.5" bottom="0.5" header="0.25" footer="0.25"/>
  <pageSetup paperSize="5" orientation="portrait" r:id="rId1"/>
  <headerFooter alignWithMargins="0"/>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4"/>
  <dimension ref="A1:V35"/>
  <sheetViews>
    <sheetView zoomScaleNormal="100" workbookViewId="0">
      <selection activeCell="B10" sqref="B10:D10"/>
    </sheetView>
  </sheetViews>
  <sheetFormatPr defaultRowHeight="13.2"/>
  <cols>
    <col min="1" max="1" width="5.6640625" customWidth="1"/>
    <col min="2" max="3" width="4.88671875" customWidth="1"/>
    <col min="4" max="4" width="30.6640625" customWidth="1"/>
    <col min="5" max="9" width="15.6640625" customWidth="1"/>
    <col min="10" max="11" width="16.109375" customWidth="1"/>
    <col min="12" max="12" width="15.6640625" customWidth="1"/>
    <col min="13" max="13" width="12.88671875" bestFit="1" customWidth="1"/>
  </cols>
  <sheetData>
    <row r="1" spans="1:22">
      <c r="B1" s="309"/>
      <c r="C1" s="309"/>
      <c r="D1" s="309"/>
      <c r="E1" s="309"/>
      <c r="F1" s="309"/>
      <c r="G1" s="309"/>
      <c r="H1" s="309"/>
      <c r="I1" s="309"/>
      <c r="J1" s="309"/>
      <c r="K1" s="309"/>
      <c r="L1" s="309"/>
    </row>
    <row r="2" spans="1:22" ht="20.399999999999999">
      <c r="B2" s="1619" t="s">
        <v>135</v>
      </c>
      <c r="C2" s="1619"/>
      <c r="D2" s="1619"/>
      <c r="E2" s="1619"/>
      <c r="F2" s="1619"/>
      <c r="G2" s="1619"/>
      <c r="H2" s="1619"/>
      <c r="I2" s="1619"/>
      <c r="J2" s="1619"/>
      <c r="K2" s="1619"/>
      <c r="L2" s="1619"/>
    </row>
    <row r="3" spans="1:22" ht="21" thickBot="1">
      <c r="B3" s="1619"/>
      <c r="C3" s="1619"/>
      <c r="D3" s="1619"/>
      <c r="E3" s="1619"/>
      <c r="F3" s="1619"/>
      <c r="G3" s="1619"/>
      <c r="H3" s="1619"/>
      <c r="I3" s="1619"/>
      <c r="J3" s="1619"/>
      <c r="K3" s="1619"/>
      <c r="L3" s="1619"/>
    </row>
    <row r="4" spans="1:22" ht="13.5" customHeight="1" thickTop="1">
      <c r="B4" s="11"/>
      <c r="C4" s="11"/>
      <c r="D4" s="11"/>
      <c r="E4" s="12"/>
      <c r="F4" s="12"/>
      <c r="G4" s="12"/>
      <c r="H4" s="12"/>
      <c r="I4" s="12"/>
      <c r="J4" s="11"/>
      <c r="K4" s="11"/>
      <c r="L4" s="18"/>
    </row>
    <row r="5" spans="1:22" ht="13.5" customHeight="1">
      <c r="B5" s="309"/>
      <c r="C5" s="309"/>
      <c r="D5" s="309"/>
      <c r="E5" s="270" t="s">
        <v>139</v>
      </c>
      <c r="F5" s="950" t="s">
        <v>139</v>
      </c>
      <c r="G5" s="950" t="s">
        <v>414</v>
      </c>
      <c r="H5" s="950" t="s">
        <v>17</v>
      </c>
      <c r="I5" s="950" t="s">
        <v>543</v>
      </c>
      <c r="J5" s="1842" t="str">
        <f>IF('KEY INPUTS'!C42="State Fiscal Year","FY "&amp;'KEY INPUTS'!D33+1&amp;"",'KEY INPUTS'!D34+1)&amp;" Budget Requirements"</f>
        <v>2022 Budget Requirements</v>
      </c>
      <c r="K5" s="1843"/>
      <c r="L5" s="21" t="s">
        <v>544</v>
      </c>
    </row>
    <row r="6" spans="1:22" ht="13.5" customHeight="1">
      <c r="B6" s="309"/>
      <c r="C6" s="1663" t="s">
        <v>138</v>
      </c>
      <c r="D6" s="1715"/>
      <c r="E6" s="270" t="s">
        <v>414</v>
      </c>
      <c r="F6" s="950" t="s">
        <v>140</v>
      </c>
      <c r="G6" s="950" t="s">
        <v>540</v>
      </c>
      <c r="H6" s="950" t="s">
        <v>541</v>
      </c>
      <c r="I6" s="950" t="s">
        <v>541</v>
      </c>
      <c r="J6" s="1844"/>
      <c r="K6" s="1845"/>
      <c r="L6" s="21" t="s">
        <v>547</v>
      </c>
    </row>
    <row r="7" spans="1:22" ht="13.5" customHeight="1">
      <c r="B7" s="309"/>
      <c r="C7" s="309"/>
      <c r="D7" s="309"/>
      <c r="E7" s="270" t="s">
        <v>92</v>
      </c>
      <c r="F7" s="270" t="s">
        <v>141</v>
      </c>
      <c r="G7" s="270" t="s">
        <v>198</v>
      </c>
      <c r="H7" s="270" t="s">
        <v>542</v>
      </c>
      <c r="I7" s="270" t="s">
        <v>544</v>
      </c>
      <c r="J7" s="270" t="s">
        <v>113</v>
      </c>
      <c r="K7" s="750" t="s">
        <v>3639</v>
      </c>
      <c r="L7" s="21" t="s">
        <v>548</v>
      </c>
    </row>
    <row r="8" spans="1:22" ht="13.5" customHeight="1" thickBot="1">
      <c r="B8" s="10"/>
      <c r="C8" s="10"/>
      <c r="D8" s="10"/>
      <c r="E8" s="14"/>
      <c r="F8" s="14"/>
      <c r="G8" s="292" t="str">
        <f>IF('KEY INPUTS'!C42 = "State Fiscal Year", 'KEY INPUTS'!F47,'KEY INPUTS'!D47)</f>
        <v>Dec. 31, 2021</v>
      </c>
      <c r="H8" s="14"/>
      <c r="I8" s="14"/>
      <c r="J8" s="16"/>
      <c r="K8" s="145"/>
      <c r="L8" s="19"/>
    </row>
    <row r="9" spans="1:22" ht="21" customHeight="1" thickTop="1">
      <c r="B9" s="1846" t="s">
        <v>3730</v>
      </c>
      <c r="C9" s="1846"/>
      <c r="D9" s="1847"/>
      <c r="E9" s="353"/>
      <c r="F9" s="580"/>
      <c r="G9" s="353"/>
      <c r="H9" s="581"/>
      <c r="I9" s="910"/>
      <c r="J9" s="582"/>
      <c r="K9" s="353"/>
      <c r="L9" s="583"/>
      <c r="M9" s="312"/>
    </row>
    <row r="10" spans="1:22" ht="21" customHeight="1">
      <c r="B10" s="1848"/>
      <c r="C10" s="1848"/>
      <c r="D10" s="1849"/>
      <c r="E10" s="353"/>
      <c r="F10" s="580"/>
      <c r="G10" s="353"/>
      <c r="H10" s="581"/>
      <c r="I10" s="910"/>
      <c r="J10" s="582"/>
      <c r="K10" s="353"/>
      <c r="L10" s="583"/>
      <c r="M10" s="312"/>
      <c r="P10" s="309"/>
      <c r="Q10" s="309"/>
      <c r="R10" s="309"/>
      <c r="S10" s="309"/>
      <c r="T10" s="309"/>
      <c r="U10" s="309"/>
      <c r="V10" s="309"/>
    </row>
    <row r="11" spans="1:22" ht="21" customHeight="1">
      <c r="B11" s="1848"/>
      <c r="C11" s="1848"/>
      <c r="D11" s="1849"/>
      <c r="E11" s="353"/>
      <c r="F11" s="580"/>
      <c r="G11" s="353"/>
      <c r="H11" s="581"/>
      <c r="I11" s="910"/>
      <c r="J11" s="582"/>
      <c r="K11" s="353"/>
      <c r="L11" s="583"/>
      <c r="M11" s="312"/>
      <c r="P11" s="309"/>
      <c r="Q11" s="309"/>
      <c r="R11" s="309"/>
      <c r="S11" s="309"/>
      <c r="T11" s="309"/>
      <c r="U11" s="309"/>
      <c r="V11" s="309"/>
    </row>
    <row r="12" spans="1:22" ht="21" customHeight="1">
      <c r="B12" s="1848"/>
      <c r="C12" s="1848"/>
      <c r="D12" s="1849"/>
      <c r="E12" s="353"/>
      <c r="F12" s="580"/>
      <c r="G12" s="353"/>
      <c r="H12" s="581"/>
      <c r="I12" s="910"/>
      <c r="J12" s="582"/>
      <c r="K12" s="353"/>
      <c r="L12" s="583"/>
      <c r="M12" s="312"/>
      <c r="P12" s="356"/>
      <c r="Q12" s="309"/>
      <c r="R12" s="309"/>
      <c r="S12" s="309"/>
      <c r="T12" s="309"/>
      <c r="U12" s="309"/>
      <c r="V12" s="309"/>
    </row>
    <row r="13" spans="1:22" ht="21" customHeight="1">
      <c r="B13" s="1848"/>
      <c r="C13" s="1848"/>
      <c r="D13" s="1849"/>
      <c r="E13" s="353"/>
      <c r="F13" s="580"/>
      <c r="G13" s="353"/>
      <c r="H13" s="581"/>
      <c r="I13" s="910"/>
      <c r="J13" s="582"/>
      <c r="K13" s="353"/>
      <c r="L13" s="583"/>
      <c r="M13" s="312"/>
      <c r="P13" s="309"/>
      <c r="Q13" s="309"/>
      <c r="R13" s="309"/>
      <c r="S13" s="309"/>
      <c r="T13" s="309"/>
      <c r="U13" s="309"/>
      <c r="V13" s="309"/>
    </row>
    <row r="14" spans="1:22" ht="21" customHeight="1">
      <c r="B14" s="1848"/>
      <c r="C14" s="1848"/>
      <c r="D14" s="1849"/>
      <c r="E14" s="353"/>
      <c r="F14" s="580"/>
      <c r="G14" s="353"/>
      <c r="H14" s="581"/>
      <c r="I14" s="910"/>
      <c r="J14" s="353"/>
      <c r="K14" s="353"/>
      <c r="L14" s="583"/>
      <c r="P14" s="309"/>
      <c r="Q14" s="309"/>
      <c r="R14" s="309"/>
      <c r="S14" s="309"/>
      <c r="T14" s="309"/>
      <c r="U14" s="309"/>
      <c r="V14" s="309"/>
    </row>
    <row r="15" spans="1:22" ht="21" customHeight="1">
      <c r="A15" s="1692" t="s">
        <v>136</v>
      </c>
      <c r="B15" s="1848"/>
      <c r="C15" s="1848"/>
      <c r="D15" s="1849"/>
      <c r="E15" s="353"/>
      <c r="F15" s="580"/>
      <c r="G15" s="353"/>
      <c r="H15" s="581"/>
      <c r="I15" s="910"/>
      <c r="J15" s="353"/>
      <c r="K15" s="353"/>
      <c r="L15" s="583"/>
      <c r="P15" s="309"/>
      <c r="Q15" s="309"/>
      <c r="R15" s="309"/>
      <c r="S15" s="309"/>
      <c r="T15" s="309"/>
      <c r="U15" s="309"/>
      <c r="V15" s="309"/>
    </row>
    <row r="16" spans="1:22" ht="21" customHeight="1">
      <c r="A16" s="1692"/>
      <c r="B16" s="1848"/>
      <c r="C16" s="1848"/>
      <c r="D16" s="1849"/>
      <c r="E16" s="353"/>
      <c r="F16" s="580"/>
      <c r="G16" s="353"/>
      <c r="H16" s="581"/>
      <c r="I16" s="910"/>
      <c r="J16" s="353"/>
      <c r="K16" s="353"/>
      <c r="L16" s="583"/>
      <c r="P16" s="309"/>
      <c r="Q16" s="309"/>
      <c r="R16" s="309"/>
      <c r="S16" s="309"/>
      <c r="T16" s="309"/>
      <c r="U16" s="309"/>
      <c r="V16" s="309"/>
    </row>
    <row r="17" spans="1:22" ht="21" customHeight="1">
      <c r="A17" s="1692"/>
      <c r="B17" s="1848"/>
      <c r="C17" s="1848"/>
      <c r="D17" s="1849"/>
      <c r="E17" s="353"/>
      <c r="F17" s="580"/>
      <c r="G17" s="353"/>
      <c r="H17" s="581"/>
      <c r="I17" s="910"/>
      <c r="J17" s="353"/>
      <c r="K17" s="353"/>
      <c r="L17" s="583"/>
      <c r="P17" s="309"/>
      <c r="Q17" s="309"/>
      <c r="R17" s="309"/>
      <c r="S17" s="309"/>
      <c r="T17" s="309"/>
      <c r="U17" s="309"/>
      <c r="V17" s="309"/>
    </row>
    <row r="18" spans="1:22" ht="21" customHeight="1">
      <c r="A18" s="134"/>
      <c r="B18" s="1848"/>
      <c r="C18" s="1848"/>
      <c r="D18" s="1849"/>
      <c r="E18" s="353"/>
      <c r="F18" s="580"/>
      <c r="G18" s="353"/>
      <c r="H18" s="581"/>
      <c r="I18" s="910"/>
      <c r="J18" s="353"/>
      <c r="K18" s="353"/>
      <c r="L18" s="583"/>
      <c r="P18" s="309"/>
      <c r="Q18" s="309"/>
      <c r="R18" s="309"/>
      <c r="S18" s="309"/>
      <c r="T18" s="309"/>
      <c r="U18" s="309"/>
      <c r="V18" s="309"/>
    </row>
    <row r="19" spans="1:22" ht="21" customHeight="1">
      <c r="B19" s="1848"/>
      <c r="C19" s="1848"/>
      <c r="D19" s="1849"/>
      <c r="E19" s="353"/>
      <c r="F19" s="580"/>
      <c r="G19" s="353"/>
      <c r="H19" s="581"/>
      <c r="I19" s="910"/>
      <c r="J19" s="353"/>
      <c r="K19" s="353"/>
      <c r="L19" s="583"/>
      <c r="P19" s="309"/>
      <c r="Q19" s="309"/>
      <c r="R19" s="309"/>
      <c r="S19" s="309"/>
      <c r="T19" s="309"/>
      <c r="U19" s="309"/>
      <c r="V19" s="309"/>
    </row>
    <row r="20" spans="1:22" ht="21" customHeight="1">
      <c r="B20" s="1848"/>
      <c r="C20" s="1848"/>
      <c r="D20" s="1849"/>
      <c r="E20" s="353"/>
      <c r="F20" s="580"/>
      <c r="G20" s="353"/>
      <c r="H20" s="581"/>
      <c r="I20" s="910"/>
      <c r="J20" s="353"/>
      <c r="K20" s="353"/>
      <c r="L20" s="583"/>
      <c r="P20" s="309"/>
      <c r="Q20" s="309"/>
      <c r="R20" s="309"/>
      <c r="S20" s="309"/>
      <c r="T20" s="309"/>
      <c r="U20" s="309"/>
      <c r="V20" s="309"/>
    </row>
    <row r="21" spans="1:22" ht="21" customHeight="1">
      <c r="B21" s="1848"/>
      <c r="C21" s="1848"/>
      <c r="D21" s="1849"/>
      <c r="E21" s="353"/>
      <c r="F21" s="580"/>
      <c r="G21" s="353"/>
      <c r="H21" s="584"/>
      <c r="I21" s="910"/>
      <c r="J21" s="353"/>
      <c r="K21" s="353"/>
      <c r="L21" s="583"/>
      <c r="P21" s="309"/>
      <c r="Q21" s="309"/>
      <c r="R21" s="309"/>
      <c r="S21" s="309"/>
      <c r="T21" s="309"/>
      <c r="U21" s="309"/>
      <c r="V21" s="309"/>
    </row>
    <row r="22" spans="1:22" ht="21" customHeight="1" thickBot="1">
      <c r="B22" s="1848"/>
      <c r="C22" s="1848"/>
      <c r="D22" s="1849"/>
      <c r="E22" s="585"/>
      <c r="F22" s="1399"/>
      <c r="G22" s="585"/>
      <c r="H22" s="1400"/>
      <c r="I22" s="911"/>
      <c r="J22" s="585"/>
      <c r="K22" s="585"/>
      <c r="L22" s="1401"/>
      <c r="P22" s="309"/>
      <c r="Q22" s="309"/>
      <c r="R22" s="309"/>
      <c r="S22" s="309"/>
      <c r="T22" s="309"/>
      <c r="U22" s="309"/>
      <c r="V22" s="309"/>
    </row>
    <row r="23" spans="1:22" ht="21" customHeight="1" thickTop="1" thickBot="1">
      <c r="B23" s="144"/>
      <c r="C23" s="27"/>
      <c r="D23" s="757" t="s">
        <v>3344</v>
      </c>
      <c r="E23" s="77">
        <f>SUM(E9:E22)</f>
        <v>0</v>
      </c>
      <c r="F23" s="14"/>
      <c r="G23" s="77">
        <f>SUM(G9:G22)</f>
        <v>0</v>
      </c>
      <c r="H23" s="77"/>
      <c r="I23" s="77"/>
      <c r="J23" s="77">
        <f>SUM(J9:J22)</f>
        <v>0</v>
      </c>
      <c r="K23" s="77">
        <f>SUM(K9:K22)</f>
        <v>0</v>
      </c>
      <c r="L23" s="19"/>
      <c r="M23" s="244"/>
      <c r="P23" s="309"/>
      <c r="Q23" s="309"/>
      <c r="R23" s="309"/>
      <c r="S23" s="309"/>
      <c r="T23" s="309"/>
      <c r="U23" s="309"/>
      <c r="V23" s="309"/>
    </row>
    <row r="24" spans="1:22" ht="13.5" customHeight="1" thickTop="1">
      <c r="B24" s="201" t="s">
        <v>3570</v>
      </c>
      <c r="C24" s="202"/>
      <c r="D24" s="203"/>
      <c r="E24" s="274"/>
      <c r="F24" s="274"/>
      <c r="G24" s="274"/>
      <c r="H24" s="274"/>
      <c r="I24" s="274"/>
      <c r="J24" s="941"/>
      <c r="K24" s="941"/>
      <c r="L24" s="274"/>
      <c r="P24" s="309"/>
      <c r="Q24" s="309"/>
      <c r="R24" s="309"/>
      <c r="S24" s="309"/>
      <c r="T24" s="309"/>
      <c r="U24" s="309"/>
      <c r="V24" s="309"/>
    </row>
    <row r="25" spans="1:22" ht="13.5" customHeight="1">
      <c r="B25" s="201" t="s">
        <v>36</v>
      </c>
      <c r="C25" s="202"/>
      <c r="D25" s="203"/>
      <c r="E25" s="274"/>
      <c r="F25" s="274"/>
      <c r="G25" s="274"/>
      <c r="H25" s="274"/>
      <c r="I25" s="274"/>
      <c r="J25" s="274"/>
      <c r="K25" s="274"/>
      <c r="L25" s="274"/>
      <c r="P25" s="309"/>
      <c r="Q25" s="309"/>
      <c r="R25" s="309"/>
      <c r="S25" s="309"/>
      <c r="T25" s="309"/>
      <c r="U25" s="309"/>
      <c r="V25" s="309"/>
    </row>
    <row r="26" spans="1:22" ht="13.5" customHeight="1">
      <c r="B26" s="201" t="s">
        <v>3640</v>
      </c>
      <c r="C26" s="202"/>
      <c r="D26" s="203"/>
      <c r="E26" s="274"/>
      <c r="F26" s="274"/>
      <c r="G26" s="274"/>
      <c r="H26" s="274"/>
      <c r="I26" s="274"/>
      <c r="J26" s="274"/>
      <c r="K26" s="274"/>
      <c r="L26" s="274"/>
      <c r="P26" s="309"/>
      <c r="Q26" s="309"/>
      <c r="R26" s="309"/>
      <c r="S26" s="309"/>
      <c r="T26" s="309"/>
      <c r="U26" s="309"/>
      <c r="V26" s="309"/>
    </row>
    <row r="27" spans="1:22" ht="13.5" customHeight="1">
      <c r="B27" s="201"/>
      <c r="C27" s="202"/>
      <c r="D27" s="204" t="str">
        <f>"All notes with an original date of issue of "&amp;IF('KEY INPUTS'!C42="State Fiscal Year","FY "&amp;'KEY INPUTS'!D33-2&amp;"",'KEY INPUTS'!D34-2)&amp;" or prior require one legally payable installment to be budgeted if it is contemplated that such notes will be renewed in "&amp;IF('KEY INPUTS'!C42="State Fiscal Year","FY "&amp;'KEY INPUTS'!D33+1&amp;"",'KEY INPUTS'!D34+1)&amp;" or"</f>
        <v>All notes with an original date of issue of 2019 or prior require one legally payable installment to be budgeted if it is contemplated that such notes will be renewed in 2022 or</v>
      </c>
      <c r="E27" s="274"/>
      <c r="F27" s="274"/>
      <c r="G27" s="274"/>
      <c r="H27" s="274"/>
      <c r="I27" s="274"/>
      <c r="J27" s="274"/>
      <c r="K27" s="274"/>
      <c r="L27" s="274"/>
    </row>
    <row r="28" spans="1:22" ht="13.5" customHeight="1">
      <c r="B28" s="201"/>
      <c r="C28" s="202"/>
      <c r="D28" s="204" t="s">
        <v>37</v>
      </c>
      <c r="E28" s="274"/>
      <c r="F28" s="274"/>
      <c r="G28" s="274"/>
      <c r="H28" s="274"/>
      <c r="I28" s="274"/>
      <c r="J28" s="147" t="s">
        <v>98</v>
      </c>
      <c r="K28" s="274"/>
      <c r="L28" s="274"/>
    </row>
    <row r="29" spans="1:22">
      <c r="B29" s="200" t="s">
        <v>38</v>
      </c>
      <c r="C29" s="200"/>
      <c r="D29" s="200"/>
      <c r="E29" s="309"/>
      <c r="F29" s="309"/>
      <c r="G29" s="309"/>
      <c r="H29" s="309"/>
      <c r="I29" s="309"/>
      <c r="J29" s="309"/>
      <c r="K29" s="309"/>
      <c r="L29" s="309"/>
    </row>
    <row r="32" spans="1:22">
      <c r="J32" s="218"/>
    </row>
    <row r="33" spans="7:11">
      <c r="G33" s="218"/>
      <c r="J33" s="218"/>
      <c r="K33" s="243"/>
    </row>
    <row r="35" spans="7:11">
      <c r="K35" s="299"/>
    </row>
  </sheetData>
  <sheetProtection algorithmName="SHA-512" hashValue="0UBxBofTwIi0+dswtIyueUkolLTkNiuESGVXjAKAwybiu+aQxg3hEzEpnenLhtTKoKHqPPdHkgMX1FI2UZ4yrQ==" saltValue="ZOziLiGejYMD/hAkf1lDwA==" spinCount="100000" sheet="1" objects="1" scenarios="1"/>
  <mergeCells count="19">
    <mergeCell ref="B18:D18"/>
    <mergeCell ref="B19:D19"/>
    <mergeCell ref="B20:D20"/>
    <mergeCell ref="B21:D21"/>
    <mergeCell ref="B22:D22"/>
    <mergeCell ref="B2:L2"/>
    <mergeCell ref="B3:L3"/>
    <mergeCell ref="A15:A17"/>
    <mergeCell ref="C6:D6"/>
    <mergeCell ref="J5:K6"/>
    <mergeCell ref="B9:D9"/>
    <mergeCell ref="B10:D10"/>
    <mergeCell ref="B11:D11"/>
    <mergeCell ref="B12:D12"/>
    <mergeCell ref="B13:D13"/>
    <mergeCell ref="B14:D14"/>
    <mergeCell ref="B15:D15"/>
    <mergeCell ref="B16:D16"/>
    <mergeCell ref="B17:D17"/>
  </mergeCells>
  <phoneticPr fontId="0" type="noConversion"/>
  <pageMargins left="0.25" right="0.25" top="0.5" bottom="0.5" header="0.25" footer="0.25"/>
  <pageSetup paperSize="5" orientation="landscape" r:id="rId1"/>
  <headerFooter alignWithMargins="0"/>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5"/>
  <dimension ref="A1:P35"/>
  <sheetViews>
    <sheetView workbookViewId="0">
      <selection activeCell="B27" sqref="B27"/>
    </sheetView>
  </sheetViews>
  <sheetFormatPr defaultColWidth="9.109375" defaultRowHeight="13.2"/>
  <cols>
    <col min="1" max="1" width="5.6640625" style="309" customWidth="1"/>
    <col min="2" max="3" width="4.88671875" style="309" customWidth="1"/>
    <col min="4" max="4" width="30.6640625" style="309" customWidth="1"/>
    <col min="5" max="9" width="15.6640625" style="309" customWidth="1"/>
    <col min="10" max="11" width="16.109375" style="309" customWidth="1"/>
    <col min="12" max="12" width="15.6640625" style="309" customWidth="1"/>
    <col min="13" max="13" width="12.88671875" style="309" bestFit="1" customWidth="1"/>
    <col min="14" max="16384" width="9.109375" style="309"/>
  </cols>
  <sheetData>
    <row r="1" spans="1:16">
      <c r="B1" s="811"/>
      <c r="C1" s="811"/>
      <c r="D1" s="811"/>
      <c r="E1" s="811"/>
      <c r="F1" s="811"/>
      <c r="G1" s="811"/>
      <c r="H1" s="811"/>
      <c r="I1" s="811"/>
      <c r="J1" s="811"/>
      <c r="K1" s="811"/>
      <c r="L1" s="811"/>
    </row>
    <row r="2" spans="1:16" ht="20.399999999999999">
      <c r="B2" s="1716" t="s">
        <v>135</v>
      </c>
      <c r="C2" s="1716"/>
      <c r="D2" s="1716"/>
      <c r="E2" s="1716"/>
      <c r="F2" s="1716"/>
      <c r="G2" s="1716"/>
      <c r="H2" s="1716"/>
      <c r="I2" s="1716"/>
      <c r="J2" s="1716"/>
      <c r="K2" s="1716"/>
      <c r="L2" s="1716"/>
    </row>
    <row r="3" spans="1:16" ht="21" thickBot="1">
      <c r="B3" s="1716"/>
      <c r="C3" s="1716"/>
      <c r="D3" s="1716"/>
      <c r="E3" s="1716"/>
      <c r="F3" s="1716"/>
      <c r="G3" s="1716"/>
      <c r="H3" s="1716"/>
      <c r="I3" s="1716"/>
      <c r="J3" s="1716"/>
      <c r="K3" s="1716"/>
      <c r="L3" s="1716"/>
    </row>
    <row r="4" spans="1:16" ht="13.5" customHeight="1" thickTop="1">
      <c r="B4" s="844"/>
      <c r="C4" s="844"/>
      <c r="D4" s="844"/>
      <c r="E4" s="845"/>
      <c r="F4" s="845"/>
      <c r="G4" s="845"/>
      <c r="H4" s="845"/>
      <c r="I4" s="845"/>
      <c r="J4" s="844"/>
      <c r="K4" s="844"/>
      <c r="L4" s="821"/>
    </row>
    <row r="5" spans="1:16" ht="13.5" customHeight="1">
      <c r="B5" s="811"/>
      <c r="C5" s="811"/>
      <c r="D5" s="811"/>
      <c r="E5" s="847" t="s">
        <v>139</v>
      </c>
      <c r="F5" s="852" t="s">
        <v>139</v>
      </c>
      <c r="G5" s="852" t="s">
        <v>414</v>
      </c>
      <c r="H5" s="852" t="s">
        <v>17</v>
      </c>
      <c r="I5" s="852" t="s">
        <v>543</v>
      </c>
      <c r="J5" s="1850" t="str">
        <f>IF('KEY INPUTS'!C42="State Fiscal Year","FY "&amp;'KEY INPUTS'!D33+1&amp;"",'KEY INPUTS'!D34+1)&amp;" Budget Requirements"</f>
        <v>2022 Budget Requirements</v>
      </c>
      <c r="K5" s="1851"/>
      <c r="L5" s="822" t="s">
        <v>544</v>
      </c>
    </row>
    <row r="6" spans="1:16" ht="13.5" customHeight="1">
      <c r="B6" s="811"/>
      <c r="C6" s="1717" t="s">
        <v>138</v>
      </c>
      <c r="D6" s="1718"/>
      <c r="E6" s="847" t="s">
        <v>414</v>
      </c>
      <c r="F6" s="852" t="s">
        <v>140</v>
      </c>
      <c r="G6" s="852" t="s">
        <v>540</v>
      </c>
      <c r="H6" s="852" t="s">
        <v>541</v>
      </c>
      <c r="I6" s="852" t="s">
        <v>541</v>
      </c>
      <c r="J6" s="1852"/>
      <c r="K6" s="1853"/>
      <c r="L6" s="822" t="s">
        <v>547</v>
      </c>
    </row>
    <row r="7" spans="1:16" ht="13.5" customHeight="1">
      <c r="B7" s="811"/>
      <c r="C7" s="811"/>
      <c r="D7" s="811"/>
      <c r="E7" s="847" t="s">
        <v>92</v>
      </c>
      <c r="F7" s="847" t="s">
        <v>141</v>
      </c>
      <c r="G7" s="847" t="s">
        <v>198</v>
      </c>
      <c r="H7" s="847" t="s">
        <v>542</v>
      </c>
      <c r="I7" s="847" t="s">
        <v>544</v>
      </c>
      <c r="J7" s="847" t="s">
        <v>113</v>
      </c>
      <c r="K7" s="848" t="s">
        <v>3639</v>
      </c>
      <c r="L7" s="822" t="s">
        <v>548</v>
      </c>
    </row>
    <row r="8" spans="1:16" ht="13.5" customHeight="1" thickBot="1">
      <c r="B8" s="853"/>
      <c r="C8" s="853"/>
      <c r="D8" s="853"/>
      <c r="E8" s="854"/>
      <c r="F8" s="854"/>
      <c r="G8" s="1034" t="str">
        <f>'33-Note Debt Service'!G8</f>
        <v>Dec. 31, 2021</v>
      </c>
      <c r="H8" s="854"/>
      <c r="I8" s="854"/>
      <c r="J8" s="855"/>
      <c r="K8" s="1035"/>
      <c r="L8" s="824"/>
    </row>
    <row r="9" spans="1:16" ht="21" customHeight="1" thickTop="1">
      <c r="B9" s="995"/>
      <c r="C9" s="801" t="s">
        <v>3266</v>
      </c>
      <c r="D9" s="975"/>
      <c r="E9" s="800">
        <f>+'33-Note Debt Service'!E23</f>
        <v>0</v>
      </c>
      <c r="F9" s="1036"/>
      <c r="G9" s="800">
        <f>+'33-Note Debt Service'!G23</f>
        <v>0</v>
      </c>
      <c r="H9" s="1037"/>
      <c r="I9" s="1038"/>
      <c r="J9" s="1039">
        <f>+'33-Note Debt Service'!J23</f>
        <v>0</v>
      </c>
      <c r="K9" s="800">
        <f>+'33-Note Debt Service'!K23</f>
        <v>0</v>
      </c>
      <c r="L9" s="1040"/>
      <c r="M9" s="312"/>
    </row>
    <row r="10" spans="1:16" ht="21" customHeight="1">
      <c r="B10" s="85"/>
      <c r="C10" s="956"/>
      <c r="D10" s="957"/>
      <c r="E10" s="353"/>
      <c r="F10" s="580"/>
      <c r="G10" s="353"/>
      <c r="H10" s="581"/>
      <c r="I10" s="910"/>
      <c r="J10" s="582"/>
      <c r="K10" s="353"/>
      <c r="L10" s="583"/>
      <c r="M10" s="312"/>
    </row>
    <row r="11" spans="1:16" ht="21" customHeight="1">
      <c r="B11" s="85"/>
      <c r="C11" s="956"/>
      <c r="D11" s="957"/>
      <c r="E11" s="353"/>
      <c r="F11" s="580"/>
      <c r="G11" s="353"/>
      <c r="H11" s="581"/>
      <c r="I11" s="910"/>
      <c r="J11" s="582"/>
      <c r="K11" s="353"/>
      <c r="L11" s="583"/>
      <c r="M11" s="312"/>
    </row>
    <row r="12" spans="1:16" ht="21" customHeight="1">
      <c r="B12" s="85"/>
      <c r="C12" s="956"/>
      <c r="D12" s="957"/>
      <c r="E12" s="353"/>
      <c r="F12" s="580"/>
      <c r="G12" s="353"/>
      <c r="H12" s="581"/>
      <c r="I12" s="910"/>
      <c r="J12" s="582"/>
      <c r="K12" s="353"/>
      <c r="L12" s="583"/>
      <c r="M12" s="312"/>
      <c r="P12" s="356"/>
    </row>
    <row r="13" spans="1:16" ht="21" customHeight="1">
      <c r="B13" s="85"/>
      <c r="C13" s="956"/>
      <c r="D13" s="957"/>
      <c r="E13" s="353"/>
      <c r="F13" s="580"/>
      <c r="G13" s="353"/>
      <c r="H13" s="581"/>
      <c r="I13" s="910"/>
      <c r="J13" s="582"/>
      <c r="K13" s="353"/>
      <c r="L13" s="583"/>
      <c r="M13" s="312"/>
    </row>
    <row r="14" spans="1:16" ht="21" customHeight="1">
      <c r="B14" s="85"/>
      <c r="C14" s="956"/>
      <c r="D14" s="957"/>
      <c r="E14" s="353"/>
      <c r="F14" s="580"/>
      <c r="G14" s="353"/>
      <c r="H14" s="581"/>
      <c r="I14" s="910"/>
      <c r="J14" s="353"/>
      <c r="K14" s="353"/>
      <c r="L14" s="583"/>
    </row>
    <row r="15" spans="1:16" ht="21" customHeight="1">
      <c r="A15" s="1692" t="s">
        <v>3343</v>
      </c>
      <c r="B15" s="85"/>
      <c r="C15" s="956"/>
      <c r="D15" s="957"/>
      <c r="E15" s="353"/>
      <c r="F15" s="580"/>
      <c r="G15" s="353"/>
      <c r="H15" s="581"/>
      <c r="I15" s="910"/>
      <c r="J15" s="353"/>
      <c r="K15" s="353"/>
      <c r="L15" s="583"/>
    </row>
    <row r="16" spans="1:16" ht="21" customHeight="1">
      <c r="A16" s="1692"/>
      <c r="B16" s="85"/>
      <c r="C16" s="956"/>
      <c r="D16" s="957"/>
      <c r="E16" s="353"/>
      <c r="F16" s="580"/>
      <c r="G16" s="353"/>
      <c r="H16" s="581"/>
      <c r="I16" s="910"/>
      <c r="J16" s="353"/>
      <c r="K16" s="353"/>
      <c r="L16" s="583"/>
    </row>
    <row r="17" spans="1:13" ht="21" customHeight="1">
      <c r="A17" s="1692"/>
      <c r="B17" s="85"/>
      <c r="C17" s="956"/>
      <c r="D17" s="957"/>
      <c r="E17" s="353"/>
      <c r="F17" s="580"/>
      <c r="G17" s="353"/>
      <c r="H17" s="581"/>
      <c r="I17" s="910"/>
      <c r="J17" s="353"/>
      <c r="K17" s="353"/>
      <c r="L17" s="583"/>
    </row>
    <row r="18" spans="1:13" ht="21" customHeight="1">
      <c r="A18" s="134"/>
      <c r="B18" s="85"/>
      <c r="C18" s="956"/>
      <c r="D18" s="957"/>
      <c r="E18" s="353"/>
      <c r="F18" s="580"/>
      <c r="G18" s="353"/>
      <c r="H18" s="581"/>
      <c r="I18" s="910"/>
      <c r="J18" s="353"/>
      <c r="K18" s="353"/>
      <c r="L18" s="583"/>
    </row>
    <row r="19" spans="1:13" ht="21" customHeight="1">
      <c r="B19" s="85"/>
      <c r="C19" s="956"/>
      <c r="D19" s="957"/>
      <c r="E19" s="353"/>
      <c r="F19" s="580"/>
      <c r="G19" s="353"/>
      <c r="H19" s="581"/>
      <c r="I19" s="910"/>
      <c r="J19" s="353"/>
      <c r="K19" s="353"/>
      <c r="L19" s="583"/>
    </row>
    <row r="20" spans="1:13" ht="21" customHeight="1">
      <c r="B20" s="85"/>
      <c r="C20" s="956"/>
      <c r="D20" s="957"/>
      <c r="E20" s="353"/>
      <c r="F20" s="580"/>
      <c r="G20" s="353"/>
      <c r="H20" s="581"/>
      <c r="I20" s="910"/>
      <c r="J20" s="353"/>
      <c r="K20" s="353"/>
      <c r="L20" s="583"/>
    </row>
    <row r="21" spans="1:13" ht="21" customHeight="1">
      <c r="B21" s="85"/>
      <c r="C21" s="956"/>
      <c r="D21" s="957"/>
      <c r="E21" s="353"/>
      <c r="F21" s="580"/>
      <c r="G21" s="353"/>
      <c r="H21" s="584"/>
      <c r="I21" s="910"/>
      <c r="J21" s="353"/>
      <c r="K21" s="353"/>
      <c r="L21" s="583"/>
    </row>
    <row r="22" spans="1:13" ht="21" customHeight="1" thickBot="1">
      <c r="B22" s="85"/>
      <c r="C22" s="956"/>
      <c r="D22" s="957"/>
      <c r="E22" s="585"/>
      <c r="F22" s="1399"/>
      <c r="G22" s="585"/>
      <c r="H22" s="1400"/>
      <c r="I22" s="911"/>
      <c r="J22" s="585"/>
      <c r="K22" s="585"/>
      <c r="L22" s="1401"/>
    </row>
    <row r="23" spans="1:13" ht="21" customHeight="1" thickTop="1" thickBot="1">
      <c r="B23" s="144"/>
      <c r="C23" s="27"/>
      <c r="D23" s="757" t="s">
        <v>3345</v>
      </c>
      <c r="E23" s="77">
        <f>SUM(E9:E22)</f>
        <v>0</v>
      </c>
      <c r="F23" s="14"/>
      <c r="G23" s="77">
        <f>SUM(G9:G22)</f>
        <v>0</v>
      </c>
      <c r="H23" s="77"/>
      <c r="I23" s="77"/>
      <c r="J23" s="77">
        <f>SUM(J9:J22)</f>
        <v>0</v>
      </c>
      <c r="K23" s="77">
        <f>SUM(K9:K22)</f>
        <v>0</v>
      </c>
      <c r="L23" s="19"/>
      <c r="M23" s="244"/>
    </row>
    <row r="24" spans="1:13" ht="13.5" customHeight="1" thickTop="1">
      <c r="B24" s="201" t="s">
        <v>3570</v>
      </c>
      <c r="C24" s="202"/>
      <c r="D24" s="203"/>
      <c r="E24" s="274"/>
      <c r="F24" s="274"/>
      <c r="G24" s="274"/>
      <c r="H24" s="274"/>
      <c r="I24" s="274"/>
      <c r="J24" s="941"/>
      <c r="K24" s="941"/>
      <c r="L24" s="274"/>
    </row>
    <row r="25" spans="1:13" ht="13.5" customHeight="1">
      <c r="B25" s="201" t="s">
        <v>36</v>
      </c>
      <c r="C25" s="202"/>
      <c r="D25" s="203"/>
      <c r="E25" s="274"/>
      <c r="F25" s="274"/>
      <c r="G25" s="274"/>
      <c r="H25" s="274"/>
      <c r="I25" s="274"/>
      <c r="J25" s="274"/>
      <c r="K25" s="274"/>
      <c r="L25" s="274"/>
    </row>
    <row r="26" spans="1:13" ht="13.5" customHeight="1">
      <c r="B26" s="201" t="s">
        <v>3640</v>
      </c>
      <c r="C26" s="202"/>
      <c r="D26" s="203"/>
      <c r="E26" s="274"/>
      <c r="F26" s="274"/>
      <c r="G26" s="274"/>
      <c r="H26" s="274"/>
      <c r="I26" s="274"/>
      <c r="J26" s="274"/>
      <c r="K26" s="274"/>
      <c r="L26" s="274"/>
    </row>
    <row r="27" spans="1:13" ht="13.5" customHeight="1">
      <c r="B27" s="201"/>
      <c r="C27" s="202"/>
      <c r="D27" s="204" t="str">
        <f>"All notes with an original date of issue of "&amp;IF('KEY INPUTS'!C42="State Fiscal Year","FY "&amp;'KEY INPUTS'!D33-2&amp;"",'KEY INPUTS'!D34-2)&amp;" or prior require one legally payable installment to be budgeted if it is contemplated that such notes will be renewed in "&amp;IF('KEY INPUTS'!C42="State Fiscal Year","FY "&amp;'KEY INPUTS'!D33+1&amp;"",'KEY INPUTS'!D34+1)&amp;" or"</f>
        <v>All notes with an original date of issue of 2019 or prior require one legally payable installment to be budgeted if it is contemplated that such notes will be renewed in 2022 or</v>
      </c>
      <c r="E27" s="274"/>
      <c r="F27" s="274"/>
      <c r="G27" s="274"/>
      <c r="H27" s="274"/>
      <c r="I27" s="274"/>
      <c r="J27" s="274"/>
      <c r="K27" s="274"/>
      <c r="L27" s="274"/>
    </row>
    <row r="28" spans="1:13" ht="13.5" customHeight="1">
      <c r="B28" s="201"/>
      <c r="C28" s="202"/>
      <c r="D28" s="204" t="s">
        <v>37</v>
      </c>
      <c r="E28" s="274"/>
      <c r="F28" s="274"/>
      <c r="G28" s="274"/>
      <c r="H28" s="274"/>
      <c r="I28" s="274"/>
      <c r="J28" s="147" t="s">
        <v>98</v>
      </c>
      <c r="K28" s="274"/>
      <c r="L28" s="274"/>
    </row>
    <row r="29" spans="1:13">
      <c r="B29" s="200" t="s">
        <v>38</v>
      </c>
      <c r="C29" s="200"/>
      <c r="D29" s="200"/>
    </row>
    <row r="32" spans="1:13">
      <c r="J32" s="312"/>
    </row>
    <row r="33" spans="7:11">
      <c r="G33" s="312"/>
      <c r="J33" s="312"/>
      <c r="K33" s="243"/>
    </row>
    <row r="35" spans="7:11">
      <c r="K35" s="312"/>
    </row>
  </sheetData>
  <sheetProtection algorithmName="SHA-512" hashValue="y9do6dNsgKFY4Z8kaL+K3bbchH67FH8HQ1Z6QQlpJP5H6OlXNJifSbb4ahgKPiHJa9qnxEkRp4bpOAzYYB097A==" saltValue="Q8KZeUHQELPlNd9AOgV0Dg==" spinCount="100000" sheet="1" objects="1" scenarios="1"/>
  <mergeCells count="5">
    <mergeCell ref="B2:L2"/>
    <mergeCell ref="B3:L3"/>
    <mergeCell ref="J5:K6"/>
    <mergeCell ref="C6:D6"/>
    <mergeCell ref="A15:A17"/>
  </mergeCells>
  <pageMargins left="0.25" right="0.25" top="0.5" bottom="0.5" header="0.25" footer="0.25"/>
  <pageSetup paperSize="5" orientation="landscape" r:id="rId1"/>
  <headerFooter alignWithMargins="0"/>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6"/>
  <dimension ref="A1:P35"/>
  <sheetViews>
    <sheetView workbookViewId="0">
      <selection activeCell="K8" sqref="K8"/>
    </sheetView>
  </sheetViews>
  <sheetFormatPr defaultColWidth="9.109375" defaultRowHeight="13.2"/>
  <cols>
    <col min="1" max="1" width="5.6640625" style="309" customWidth="1"/>
    <col min="2" max="3" width="4.88671875" style="309" customWidth="1"/>
    <col min="4" max="4" width="30.6640625" style="309" customWidth="1"/>
    <col min="5" max="9" width="15.6640625" style="309" customWidth="1"/>
    <col min="10" max="11" width="16.109375" style="309" customWidth="1"/>
    <col min="12" max="12" width="15.6640625" style="309" customWidth="1"/>
    <col min="13" max="13" width="12.88671875" style="309" bestFit="1" customWidth="1"/>
    <col min="14" max="16384" width="9.109375" style="309"/>
  </cols>
  <sheetData>
    <row r="1" spans="1:16">
      <c r="B1" s="811"/>
      <c r="C1" s="811"/>
      <c r="D1" s="811"/>
      <c r="E1" s="811"/>
      <c r="F1" s="811"/>
      <c r="G1" s="811"/>
      <c r="H1" s="811"/>
      <c r="I1" s="811"/>
      <c r="J1" s="811"/>
      <c r="K1" s="811"/>
      <c r="L1" s="811"/>
    </row>
    <row r="2" spans="1:16" ht="20.399999999999999">
      <c r="B2" s="1716" t="s">
        <v>135</v>
      </c>
      <c r="C2" s="1716"/>
      <c r="D2" s="1716"/>
      <c r="E2" s="1716"/>
      <c r="F2" s="1716"/>
      <c r="G2" s="1716"/>
      <c r="H2" s="1716"/>
      <c r="I2" s="1716"/>
      <c r="J2" s="1716"/>
      <c r="K2" s="1716"/>
      <c r="L2" s="1716"/>
    </row>
    <row r="3" spans="1:16" ht="21" thickBot="1">
      <c r="B3" s="1716"/>
      <c r="C3" s="1716"/>
      <c r="D3" s="1716"/>
      <c r="E3" s="1716"/>
      <c r="F3" s="1716"/>
      <c r="G3" s="1716"/>
      <c r="H3" s="1716"/>
      <c r="I3" s="1716"/>
      <c r="J3" s="1716"/>
      <c r="K3" s="1716"/>
      <c r="L3" s="1716"/>
    </row>
    <row r="4" spans="1:16" ht="13.5" customHeight="1" thickTop="1">
      <c r="B4" s="844"/>
      <c r="C4" s="844"/>
      <c r="D4" s="844"/>
      <c r="E4" s="845"/>
      <c r="F4" s="845"/>
      <c r="G4" s="845"/>
      <c r="H4" s="845"/>
      <c r="I4" s="845"/>
      <c r="J4" s="844"/>
      <c r="K4" s="844"/>
      <c r="L4" s="821"/>
    </row>
    <row r="5" spans="1:16" ht="13.5" customHeight="1">
      <c r="B5" s="811"/>
      <c r="C5" s="811"/>
      <c r="D5" s="811"/>
      <c r="E5" s="847" t="s">
        <v>139</v>
      </c>
      <c r="F5" s="852" t="s">
        <v>139</v>
      </c>
      <c r="G5" s="852" t="s">
        <v>414</v>
      </c>
      <c r="H5" s="852" t="s">
        <v>17</v>
      </c>
      <c r="I5" s="852" t="s">
        <v>543</v>
      </c>
      <c r="J5" s="1850" t="str">
        <f>IF('KEY INPUTS'!C42="State Fiscal Year","FY "&amp;'KEY INPUTS'!D33+1&amp;"",'KEY INPUTS'!D34+1)&amp;" Budget Requirements"</f>
        <v>2022 Budget Requirements</v>
      </c>
      <c r="K5" s="1851"/>
      <c r="L5" s="822" t="s">
        <v>544</v>
      </c>
    </row>
    <row r="6" spans="1:16" ht="13.5" customHeight="1">
      <c r="B6" s="811"/>
      <c r="C6" s="1717" t="s">
        <v>138</v>
      </c>
      <c r="D6" s="1718"/>
      <c r="E6" s="847" t="s">
        <v>414</v>
      </c>
      <c r="F6" s="852" t="s">
        <v>140</v>
      </c>
      <c r="G6" s="852" t="s">
        <v>540</v>
      </c>
      <c r="H6" s="852" t="s">
        <v>541</v>
      </c>
      <c r="I6" s="852" t="s">
        <v>541</v>
      </c>
      <c r="J6" s="1852"/>
      <c r="K6" s="1853"/>
      <c r="L6" s="822" t="s">
        <v>547</v>
      </c>
    </row>
    <row r="7" spans="1:16" ht="13.5" customHeight="1">
      <c r="B7" s="811"/>
      <c r="C7" s="811"/>
      <c r="D7" s="811"/>
      <c r="E7" s="847" t="s">
        <v>92</v>
      </c>
      <c r="F7" s="847" t="s">
        <v>141</v>
      </c>
      <c r="G7" s="847" t="s">
        <v>198</v>
      </c>
      <c r="H7" s="847" t="s">
        <v>542</v>
      </c>
      <c r="I7" s="847" t="s">
        <v>544</v>
      </c>
      <c r="J7" s="847" t="s">
        <v>113</v>
      </c>
      <c r="K7" s="848" t="s">
        <v>3639</v>
      </c>
      <c r="L7" s="822" t="s">
        <v>548</v>
      </c>
    </row>
    <row r="8" spans="1:16" ht="13.5" customHeight="1" thickBot="1">
      <c r="B8" s="853"/>
      <c r="C8" s="853"/>
      <c r="D8" s="853"/>
      <c r="E8" s="854"/>
      <c r="F8" s="854"/>
      <c r="G8" s="1034" t="str">
        <f>'33.1-Note Debt Service'!G8</f>
        <v>Dec. 31, 2021</v>
      </c>
      <c r="H8" s="854"/>
      <c r="I8" s="854"/>
      <c r="J8" s="855"/>
      <c r="K8" s="1035"/>
      <c r="L8" s="824"/>
    </row>
    <row r="9" spans="1:16" ht="21" customHeight="1" thickTop="1">
      <c r="B9" s="995"/>
      <c r="C9" s="801" t="s">
        <v>3266</v>
      </c>
      <c r="D9" s="975"/>
      <c r="E9" s="800">
        <f>+'33.1-Note Debt Service'!E23</f>
        <v>0</v>
      </c>
      <c r="F9" s="1036"/>
      <c r="G9" s="800">
        <f>+'33.1-Note Debt Service'!G23</f>
        <v>0</v>
      </c>
      <c r="H9" s="1037"/>
      <c r="I9" s="1038"/>
      <c r="J9" s="1039">
        <f>+'33.1-Note Debt Service'!J23</f>
        <v>0</v>
      </c>
      <c r="K9" s="800">
        <f>+'33.1-Note Debt Service'!K23</f>
        <v>0</v>
      </c>
      <c r="L9" s="1040"/>
      <c r="M9" s="312"/>
    </row>
    <row r="10" spans="1:16" ht="21" customHeight="1">
      <c r="B10" s="85"/>
      <c r="C10" s="1678"/>
      <c r="D10" s="1679"/>
      <c r="E10" s="353"/>
      <c r="F10" s="580"/>
      <c r="G10" s="353"/>
      <c r="H10" s="581"/>
      <c r="I10" s="910"/>
      <c r="J10" s="582"/>
      <c r="K10" s="353"/>
      <c r="L10" s="583"/>
      <c r="M10" s="312"/>
    </row>
    <row r="11" spans="1:16" ht="21" customHeight="1">
      <c r="B11" s="85"/>
      <c r="C11" s="1678"/>
      <c r="D11" s="1679"/>
      <c r="E11" s="353"/>
      <c r="F11" s="580"/>
      <c r="G11" s="353"/>
      <c r="H11" s="581"/>
      <c r="I11" s="910"/>
      <c r="J11" s="582"/>
      <c r="K11" s="353"/>
      <c r="L11" s="583"/>
      <c r="M11" s="312"/>
    </row>
    <row r="12" spans="1:16" ht="21" customHeight="1">
      <c r="B12" s="85"/>
      <c r="C12" s="1678"/>
      <c r="D12" s="1679"/>
      <c r="E12" s="353"/>
      <c r="F12" s="580"/>
      <c r="G12" s="353"/>
      <c r="H12" s="581"/>
      <c r="I12" s="910"/>
      <c r="J12" s="582"/>
      <c r="K12" s="353"/>
      <c r="L12" s="583"/>
      <c r="M12" s="312"/>
      <c r="P12" s="356"/>
    </row>
    <row r="13" spans="1:16" ht="21" customHeight="1">
      <c r="B13" s="85"/>
      <c r="C13" s="1678"/>
      <c r="D13" s="1679"/>
      <c r="E13" s="353"/>
      <c r="F13" s="580"/>
      <c r="G13" s="353"/>
      <c r="H13" s="581"/>
      <c r="I13" s="910"/>
      <c r="J13" s="582"/>
      <c r="K13" s="353"/>
      <c r="L13" s="583"/>
      <c r="M13" s="312"/>
    </row>
    <row r="14" spans="1:16" ht="21" customHeight="1">
      <c r="B14" s="85"/>
      <c r="C14" s="1678"/>
      <c r="D14" s="1679"/>
      <c r="E14" s="353"/>
      <c r="F14" s="580"/>
      <c r="G14" s="353"/>
      <c r="H14" s="581"/>
      <c r="I14" s="910"/>
      <c r="J14" s="353"/>
      <c r="K14" s="353"/>
      <c r="L14" s="583"/>
    </row>
    <row r="15" spans="1:16" ht="21" customHeight="1">
      <c r="A15" s="1692" t="s">
        <v>3346</v>
      </c>
      <c r="B15" s="85"/>
      <c r="C15" s="1678"/>
      <c r="D15" s="1679"/>
      <c r="E15" s="353"/>
      <c r="F15" s="580"/>
      <c r="G15" s="353"/>
      <c r="H15" s="581"/>
      <c r="I15" s="910"/>
      <c r="J15" s="353"/>
      <c r="K15" s="353"/>
      <c r="L15" s="583"/>
    </row>
    <row r="16" spans="1:16" ht="21" customHeight="1">
      <c r="A16" s="1692"/>
      <c r="B16" s="85"/>
      <c r="C16" s="1678"/>
      <c r="D16" s="1679"/>
      <c r="E16" s="353"/>
      <c r="F16" s="580"/>
      <c r="G16" s="353"/>
      <c r="H16" s="581"/>
      <c r="I16" s="910"/>
      <c r="J16" s="353"/>
      <c r="K16" s="353"/>
      <c r="L16" s="583"/>
    </row>
    <row r="17" spans="1:13" ht="21" customHeight="1">
      <c r="A17" s="1692"/>
      <c r="B17" s="85"/>
      <c r="C17" s="1678"/>
      <c r="D17" s="1679"/>
      <c r="E17" s="353"/>
      <c r="F17" s="580"/>
      <c r="G17" s="353"/>
      <c r="H17" s="581"/>
      <c r="I17" s="910"/>
      <c r="J17" s="353"/>
      <c r="K17" s="353"/>
      <c r="L17" s="583"/>
    </row>
    <row r="18" spans="1:13" ht="21" customHeight="1">
      <c r="A18" s="134"/>
      <c r="B18" s="85"/>
      <c r="C18" s="1678"/>
      <c r="D18" s="1679"/>
      <c r="E18" s="353"/>
      <c r="F18" s="580"/>
      <c r="G18" s="353"/>
      <c r="H18" s="581"/>
      <c r="I18" s="910"/>
      <c r="J18" s="353"/>
      <c r="K18" s="353"/>
      <c r="L18" s="583"/>
    </row>
    <row r="19" spans="1:13" ht="21" customHeight="1">
      <c r="B19" s="85"/>
      <c r="C19" s="1678"/>
      <c r="D19" s="1679"/>
      <c r="E19" s="353"/>
      <c r="F19" s="580"/>
      <c r="G19" s="353"/>
      <c r="H19" s="581"/>
      <c r="I19" s="910"/>
      <c r="J19" s="353"/>
      <c r="K19" s="353"/>
      <c r="L19" s="583"/>
    </row>
    <row r="20" spans="1:13" ht="21" customHeight="1">
      <c r="B20" s="85"/>
      <c r="C20" s="1678"/>
      <c r="D20" s="1679"/>
      <c r="E20" s="353"/>
      <c r="F20" s="580"/>
      <c r="G20" s="353"/>
      <c r="H20" s="581"/>
      <c r="I20" s="910"/>
      <c r="J20" s="353"/>
      <c r="K20" s="353"/>
      <c r="L20" s="583"/>
    </row>
    <row r="21" spans="1:13" ht="21" customHeight="1">
      <c r="B21" s="85"/>
      <c r="C21" s="1678"/>
      <c r="D21" s="1679"/>
      <c r="E21" s="353"/>
      <c r="F21" s="580"/>
      <c r="G21" s="353"/>
      <c r="H21" s="584"/>
      <c r="I21" s="910"/>
      <c r="J21" s="353"/>
      <c r="K21" s="353"/>
      <c r="L21" s="583"/>
    </row>
    <row r="22" spans="1:13" ht="21" customHeight="1" thickBot="1">
      <c r="B22" s="85"/>
      <c r="C22" s="1678"/>
      <c r="D22" s="1679"/>
      <c r="E22" s="585"/>
      <c r="F22" s="1399"/>
      <c r="G22" s="585"/>
      <c r="H22" s="1400"/>
      <c r="I22" s="911"/>
      <c r="J22" s="585"/>
      <c r="K22" s="585"/>
      <c r="L22" s="1401"/>
    </row>
    <row r="23" spans="1:13" ht="21" customHeight="1" thickTop="1" thickBot="1">
      <c r="B23" s="144"/>
      <c r="C23" s="27"/>
      <c r="D23" s="757" t="s">
        <v>3345</v>
      </c>
      <c r="E23" s="77">
        <f>SUM(E9:E22)</f>
        <v>0</v>
      </c>
      <c r="F23" s="14"/>
      <c r="G23" s="77">
        <f>SUM(G9:G22)</f>
        <v>0</v>
      </c>
      <c r="H23" s="77"/>
      <c r="I23" s="77"/>
      <c r="J23" s="77">
        <f>SUM(J9:J22)</f>
        <v>0</v>
      </c>
      <c r="K23" s="77">
        <f>SUM(K9:K22)</f>
        <v>0</v>
      </c>
      <c r="L23" s="19"/>
      <c r="M23" s="244"/>
    </row>
    <row r="24" spans="1:13" ht="13.5" customHeight="1" thickTop="1">
      <c r="B24" s="201" t="s">
        <v>3570</v>
      </c>
      <c r="C24" s="202"/>
      <c r="D24" s="203"/>
      <c r="E24" s="274"/>
      <c r="F24" s="274"/>
      <c r="G24" s="274"/>
      <c r="H24" s="274"/>
      <c r="I24" s="274"/>
      <c r="J24" s="941"/>
      <c r="K24" s="941"/>
      <c r="L24" s="274"/>
    </row>
    <row r="25" spans="1:13" ht="13.5" customHeight="1">
      <c r="B25" s="201" t="s">
        <v>36</v>
      </c>
      <c r="C25" s="202"/>
      <c r="D25" s="203"/>
      <c r="E25" s="274"/>
      <c r="F25" s="274"/>
      <c r="G25" s="274"/>
      <c r="H25" s="274"/>
      <c r="I25" s="274"/>
      <c r="J25" s="274"/>
      <c r="K25" s="274"/>
      <c r="L25" s="274"/>
    </row>
    <row r="26" spans="1:13" ht="13.5" customHeight="1">
      <c r="B26" s="201" t="s">
        <v>3640</v>
      </c>
      <c r="C26" s="202"/>
      <c r="D26" s="203"/>
      <c r="E26" s="274"/>
      <c r="F26" s="274"/>
      <c r="G26" s="274"/>
      <c r="H26" s="274"/>
      <c r="I26" s="274"/>
      <c r="J26" s="274"/>
      <c r="K26" s="274"/>
      <c r="L26" s="274"/>
    </row>
    <row r="27" spans="1:13" ht="13.5" customHeight="1">
      <c r="B27" s="201"/>
      <c r="C27" s="202"/>
      <c r="D27" s="204" t="str">
        <f>"All notes with an original date of issue of "&amp;IF('KEY INPUTS'!C42="State Fiscal Year","FY "&amp;'KEY INPUTS'!D33-2&amp;"",'KEY INPUTS'!D34-2)&amp;" or prior require one legally payable installment to be budgeted if it is contemplated that such notes will be renewed in "&amp;IF('KEY INPUTS'!C42="State Fiscal Year","FY "&amp;'KEY INPUTS'!D33+1&amp;"",'KEY INPUTS'!D34+1)&amp;" or"</f>
        <v>All notes with an original date of issue of 2019 or prior require one legally payable installment to be budgeted if it is contemplated that such notes will be renewed in 2022 or</v>
      </c>
      <c r="E27" s="274"/>
      <c r="F27" s="274"/>
      <c r="G27" s="274"/>
      <c r="H27" s="274"/>
      <c r="I27" s="274"/>
      <c r="J27" s="274"/>
      <c r="K27" s="274"/>
      <c r="L27" s="274"/>
    </row>
    <row r="28" spans="1:13" ht="13.5" customHeight="1">
      <c r="B28" s="201"/>
      <c r="C28" s="202"/>
      <c r="D28" s="204" t="s">
        <v>37</v>
      </c>
      <c r="E28" s="274"/>
      <c r="F28" s="274"/>
      <c r="G28" s="274"/>
      <c r="H28" s="274"/>
      <c r="I28" s="274"/>
      <c r="J28" s="147" t="s">
        <v>98</v>
      </c>
      <c r="K28" s="274"/>
      <c r="L28" s="274"/>
    </row>
    <row r="29" spans="1:13">
      <c r="B29" s="200" t="s">
        <v>38</v>
      </c>
      <c r="C29" s="200"/>
      <c r="D29" s="200"/>
    </row>
    <row r="32" spans="1:13">
      <c r="J32" s="312"/>
    </row>
    <row r="33" spans="7:11">
      <c r="G33" s="312"/>
      <c r="J33" s="312"/>
      <c r="K33" s="243"/>
    </row>
    <row r="35" spans="7:11">
      <c r="K35" s="312"/>
    </row>
  </sheetData>
  <sheetProtection algorithmName="SHA-512" hashValue="1hGXW2J/fhgA57qPX/hcAVULKwVkKYyb6F5FI9KdKxnQXdRy7GWIWLS1ERGcwWz4mxKR0ahABMeH6XyxAF+9ww==" saltValue="cM41eWcZBvVbJ/6fNMiNzA==" spinCount="100000" sheet="1" objects="1" scenarios="1"/>
  <mergeCells count="18">
    <mergeCell ref="C18:D18"/>
    <mergeCell ref="C19:D19"/>
    <mergeCell ref="C20:D20"/>
    <mergeCell ref="C21:D21"/>
    <mergeCell ref="C22:D22"/>
    <mergeCell ref="B2:L2"/>
    <mergeCell ref="B3:L3"/>
    <mergeCell ref="J5:K6"/>
    <mergeCell ref="C6:D6"/>
    <mergeCell ref="A15:A17"/>
    <mergeCell ref="C10:D10"/>
    <mergeCell ref="C11:D11"/>
    <mergeCell ref="C12:D12"/>
    <mergeCell ref="C13:D13"/>
    <mergeCell ref="C14:D14"/>
    <mergeCell ref="C15:D15"/>
    <mergeCell ref="C16:D16"/>
    <mergeCell ref="C17:D17"/>
  </mergeCells>
  <pageMargins left="0.25" right="0.25" top="0.5" bottom="0.5" header="0.25" footer="0.25"/>
  <pageSetup paperSize="5" orientation="landscape" r:id="rId1"/>
  <headerFooter alignWithMargins="0"/>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7"/>
  <dimension ref="A1:U29"/>
  <sheetViews>
    <sheetView zoomScaleNormal="100" workbookViewId="0">
      <selection activeCell="C10" sqref="C10:D10"/>
    </sheetView>
  </sheetViews>
  <sheetFormatPr defaultRowHeight="13.2"/>
  <cols>
    <col min="1" max="1" width="5.6640625" customWidth="1"/>
    <col min="2" max="3" width="4.88671875" customWidth="1"/>
    <col min="4" max="4" width="30.6640625" customWidth="1"/>
    <col min="5" max="9" width="15.6640625" customWidth="1"/>
    <col min="10" max="11" width="16.109375" customWidth="1"/>
    <col min="12" max="12" width="15.6640625" customWidth="1"/>
  </cols>
  <sheetData>
    <row r="1" spans="1:21">
      <c r="B1" s="309"/>
      <c r="C1" s="309"/>
      <c r="D1" s="309"/>
      <c r="E1" s="309"/>
      <c r="F1" s="309"/>
      <c r="G1" s="309"/>
      <c r="H1" s="309"/>
      <c r="I1" s="309"/>
      <c r="J1" s="309"/>
      <c r="K1" s="309"/>
      <c r="L1" s="309"/>
    </row>
    <row r="2" spans="1:21" ht="20.399999999999999">
      <c r="B2" s="1619" t="s">
        <v>513</v>
      </c>
      <c r="C2" s="1619"/>
      <c r="D2" s="1619"/>
      <c r="E2" s="1619"/>
      <c r="F2" s="1619"/>
      <c r="G2" s="1619"/>
      <c r="H2" s="1619"/>
      <c r="I2" s="1619"/>
      <c r="J2" s="1619"/>
      <c r="K2" s="1619"/>
      <c r="L2" s="1619"/>
    </row>
    <row r="3" spans="1:21" ht="21" thickBot="1">
      <c r="B3" s="1619"/>
      <c r="C3" s="1619"/>
      <c r="D3" s="1619"/>
      <c r="E3" s="1619"/>
      <c r="F3" s="1619"/>
      <c r="G3" s="1619"/>
      <c r="H3" s="1619"/>
      <c r="I3" s="1619"/>
      <c r="J3" s="1619"/>
      <c r="K3" s="1619"/>
      <c r="L3" s="1619"/>
    </row>
    <row r="4" spans="1:21" ht="13.5" customHeight="1" thickTop="1">
      <c r="B4" s="11"/>
      <c r="C4" s="11"/>
      <c r="D4" s="11"/>
      <c r="E4" s="12"/>
      <c r="F4" s="12"/>
      <c r="G4" s="12"/>
      <c r="H4" s="12"/>
      <c r="I4" s="12"/>
      <c r="J4" s="11"/>
      <c r="K4" s="11"/>
      <c r="L4" s="18"/>
    </row>
    <row r="5" spans="1:21" ht="13.5" customHeight="1">
      <c r="B5" s="309"/>
      <c r="C5" s="309"/>
      <c r="D5" s="309"/>
      <c r="E5" s="270" t="s">
        <v>139</v>
      </c>
      <c r="F5" s="950" t="s">
        <v>139</v>
      </c>
      <c r="G5" s="950" t="s">
        <v>414</v>
      </c>
      <c r="H5" s="950" t="s">
        <v>17</v>
      </c>
      <c r="I5" s="950" t="s">
        <v>543</v>
      </c>
      <c r="J5" s="1842" t="str">
        <f>'33-Note Debt Service'!J5:K6</f>
        <v>2022 Budget Requirements</v>
      </c>
      <c r="K5" s="1843"/>
      <c r="L5" s="21" t="s">
        <v>544</v>
      </c>
    </row>
    <row r="6" spans="1:21" ht="13.5" customHeight="1">
      <c r="B6" s="309"/>
      <c r="C6" s="1663" t="s">
        <v>138</v>
      </c>
      <c r="D6" s="1715"/>
      <c r="E6" s="270" t="s">
        <v>414</v>
      </c>
      <c r="F6" s="950" t="s">
        <v>140</v>
      </c>
      <c r="G6" s="950" t="s">
        <v>540</v>
      </c>
      <c r="H6" s="950" t="s">
        <v>541</v>
      </c>
      <c r="I6" s="950" t="s">
        <v>541</v>
      </c>
      <c r="J6" s="1844"/>
      <c r="K6" s="1845"/>
      <c r="L6" s="21" t="s">
        <v>547</v>
      </c>
    </row>
    <row r="7" spans="1:21" ht="13.5" customHeight="1">
      <c r="B7" s="309"/>
      <c r="C7" s="309"/>
      <c r="D7" s="309"/>
      <c r="E7" s="270" t="s">
        <v>92</v>
      </c>
      <c r="F7" s="270" t="s">
        <v>141</v>
      </c>
      <c r="G7" s="270" t="s">
        <v>198</v>
      </c>
      <c r="H7" s="270" t="s">
        <v>542</v>
      </c>
      <c r="I7" s="270" t="s">
        <v>544</v>
      </c>
      <c r="J7" s="270" t="s">
        <v>113</v>
      </c>
      <c r="K7" s="750" t="s">
        <v>3639</v>
      </c>
      <c r="L7" s="21" t="s">
        <v>548</v>
      </c>
    </row>
    <row r="8" spans="1:21" ht="13.5" customHeight="1" thickBot="1">
      <c r="B8" s="10"/>
      <c r="C8" s="10"/>
      <c r="D8" s="10"/>
      <c r="E8" s="14"/>
      <c r="F8" s="14"/>
      <c r="G8" s="292" t="str">
        <f>'33 Totals-Note Debt Service'!G8</f>
        <v>Dec. 31, 2021</v>
      </c>
      <c r="H8" s="14"/>
      <c r="I8" s="14"/>
      <c r="J8" s="16"/>
      <c r="K8" s="145"/>
      <c r="L8" s="19"/>
    </row>
    <row r="9" spans="1:21" ht="21" customHeight="1" thickTop="1">
      <c r="B9" s="84" t="s">
        <v>292</v>
      </c>
      <c r="C9" s="1854" t="s">
        <v>3730</v>
      </c>
      <c r="D9" s="1855"/>
      <c r="E9" s="587"/>
      <c r="F9" s="588"/>
      <c r="G9" s="587"/>
      <c r="H9" s="587"/>
      <c r="I9" s="912"/>
      <c r="J9" s="587"/>
      <c r="K9" s="587"/>
      <c r="L9" s="590"/>
      <c r="O9" s="309"/>
      <c r="P9" s="309"/>
      <c r="Q9" s="309"/>
      <c r="R9" s="309"/>
      <c r="S9" s="309"/>
      <c r="T9" s="309"/>
      <c r="U9" s="309"/>
    </row>
    <row r="10" spans="1:21" ht="21" customHeight="1">
      <c r="B10" s="85" t="s">
        <v>293</v>
      </c>
      <c r="C10" s="1678"/>
      <c r="D10" s="1679"/>
      <c r="E10" s="571"/>
      <c r="F10" s="591"/>
      <c r="G10" s="571"/>
      <c r="H10" s="571"/>
      <c r="I10" s="913"/>
      <c r="J10" s="571"/>
      <c r="K10" s="571"/>
      <c r="L10" s="593"/>
      <c r="O10" s="309"/>
      <c r="P10" s="309"/>
      <c r="Q10" s="309"/>
      <c r="R10" s="309"/>
      <c r="S10" s="309"/>
      <c r="T10" s="309"/>
      <c r="U10" s="309"/>
    </row>
    <row r="11" spans="1:21" ht="21" customHeight="1">
      <c r="B11" s="85" t="s">
        <v>294</v>
      </c>
      <c r="C11" s="1678"/>
      <c r="D11" s="1679"/>
      <c r="E11" s="571"/>
      <c r="F11" s="591"/>
      <c r="G11" s="571"/>
      <c r="H11" s="571"/>
      <c r="I11" s="913"/>
      <c r="J11" s="571"/>
      <c r="K11" s="571"/>
      <c r="L11" s="593"/>
      <c r="O11" s="356"/>
      <c r="P11" s="309"/>
      <c r="Q11" s="309"/>
      <c r="R11" s="309"/>
      <c r="S11" s="309"/>
      <c r="T11" s="309"/>
      <c r="U11" s="309"/>
    </row>
    <row r="12" spans="1:21" ht="21" customHeight="1">
      <c r="B12" s="85" t="s">
        <v>295</v>
      </c>
      <c r="C12" s="1678"/>
      <c r="D12" s="1679"/>
      <c r="E12" s="571"/>
      <c r="F12" s="591"/>
      <c r="G12" s="571"/>
      <c r="H12" s="571"/>
      <c r="I12" s="913"/>
      <c r="J12" s="571"/>
      <c r="K12" s="571"/>
      <c r="L12" s="593"/>
      <c r="O12" s="309"/>
      <c r="P12" s="309"/>
      <c r="Q12" s="309"/>
      <c r="R12" s="309"/>
      <c r="S12" s="309"/>
      <c r="T12" s="309"/>
      <c r="U12" s="309"/>
    </row>
    <row r="13" spans="1:21" ht="21" customHeight="1">
      <c r="B13" s="85" t="s">
        <v>296</v>
      </c>
      <c r="C13" s="1678"/>
      <c r="D13" s="1679"/>
      <c r="E13" s="571"/>
      <c r="F13" s="591"/>
      <c r="G13" s="571"/>
      <c r="H13" s="571"/>
      <c r="I13" s="913"/>
      <c r="J13" s="571"/>
      <c r="K13" s="571"/>
      <c r="L13" s="593"/>
      <c r="O13" s="309"/>
      <c r="P13" s="309"/>
      <c r="Q13" s="309"/>
      <c r="R13" s="309"/>
      <c r="S13" s="309"/>
      <c r="T13" s="309"/>
      <c r="U13" s="309"/>
    </row>
    <row r="14" spans="1:21" ht="21" customHeight="1">
      <c r="B14" s="85" t="s">
        <v>297</v>
      </c>
      <c r="C14" s="1678"/>
      <c r="D14" s="1679"/>
      <c r="E14" s="574"/>
      <c r="F14" s="594"/>
      <c r="G14" s="574"/>
      <c r="H14" s="574"/>
      <c r="I14" s="914"/>
      <c r="J14" s="571"/>
      <c r="K14" s="571"/>
      <c r="L14" s="593"/>
      <c r="O14" s="309"/>
      <c r="P14" s="309"/>
      <c r="Q14" s="309"/>
      <c r="R14" s="309"/>
      <c r="S14" s="309"/>
      <c r="T14" s="309"/>
      <c r="U14" s="309"/>
    </row>
    <row r="15" spans="1:21" ht="21" customHeight="1">
      <c r="A15" s="1692" t="s">
        <v>549</v>
      </c>
      <c r="B15" s="85" t="s">
        <v>298</v>
      </c>
      <c r="C15" s="1678"/>
      <c r="D15" s="1679"/>
      <c r="E15" s="571"/>
      <c r="F15" s="591"/>
      <c r="G15" s="571"/>
      <c r="H15" s="571"/>
      <c r="I15" s="913"/>
      <c r="J15" s="571"/>
      <c r="K15" s="571"/>
      <c r="L15" s="593"/>
      <c r="O15" s="309"/>
      <c r="P15" s="309"/>
      <c r="Q15" s="309"/>
      <c r="R15" s="309"/>
      <c r="S15" s="309"/>
      <c r="T15" s="309"/>
      <c r="U15" s="309"/>
    </row>
    <row r="16" spans="1:21" ht="21" customHeight="1">
      <c r="A16" s="1692"/>
      <c r="B16" s="85" t="s">
        <v>384</v>
      </c>
      <c r="C16" s="1678"/>
      <c r="D16" s="1679"/>
      <c r="E16" s="571"/>
      <c r="F16" s="591"/>
      <c r="G16" s="571"/>
      <c r="H16" s="571"/>
      <c r="I16" s="913"/>
      <c r="J16" s="571"/>
      <c r="K16" s="571"/>
      <c r="L16" s="593"/>
      <c r="O16" s="309"/>
      <c r="P16" s="309"/>
      <c r="Q16" s="309"/>
      <c r="R16" s="309"/>
      <c r="S16" s="309"/>
      <c r="T16" s="309"/>
      <c r="U16" s="309"/>
    </row>
    <row r="17" spans="1:21" ht="21" customHeight="1">
      <c r="A17" s="1692"/>
      <c r="B17" s="85" t="s">
        <v>385</v>
      </c>
      <c r="C17" s="1678"/>
      <c r="D17" s="1679"/>
      <c r="E17" s="571"/>
      <c r="F17" s="591"/>
      <c r="G17" s="571"/>
      <c r="H17" s="571"/>
      <c r="I17" s="913"/>
      <c r="J17" s="571"/>
      <c r="K17" s="571"/>
      <c r="L17" s="593"/>
      <c r="O17" s="309"/>
      <c r="P17" s="309"/>
      <c r="Q17" s="309"/>
      <c r="R17" s="309"/>
      <c r="S17" s="309"/>
      <c r="T17" s="309"/>
      <c r="U17" s="309"/>
    </row>
    <row r="18" spans="1:21" ht="21" customHeight="1">
      <c r="A18" s="134"/>
      <c r="B18" s="85" t="s">
        <v>386</v>
      </c>
      <c r="C18" s="1678"/>
      <c r="D18" s="1679"/>
      <c r="E18" s="571"/>
      <c r="F18" s="591"/>
      <c r="G18" s="571"/>
      <c r="H18" s="571"/>
      <c r="I18" s="913"/>
      <c r="J18" s="571"/>
      <c r="K18" s="571"/>
      <c r="L18" s="593"/>
      <c r="O18" s="309"/>
      <c r="P18" s="309"/>
      <c r="Q18" s="309"/>
      <c r="R18" s="309"/>
      <c r="S18" s="309"/>
      <c r="T18" s="309"/>
      <c r="U18" s="309"/>
    </row>
    <row r="19" spans="1:21" ht="21" customHeight="1">
      <c r="B19" s="85" t="s">
        <v>223</v>
      </c>
      <c r="C19" s="1678"/>
      <c r="D19" s="1679"/>
      <c r="E19" s="571"/>
      <c r="F19" s="591"/>
      <c r="G19" s="571"/>
      <c r="H19" s="571"/>
      <c r="I19" s="913"/>
      <c r="J19" s="571"/>
      <c r="K19" s="571"/>
      <c r="L19" s="593"/>
      <c r="O19" s="309"/>
      <c r="P19" s="309"/>
      <c r="Q19" s="309"/>
      <c r="R19" s="309"/>
      <c r="S19" s="309"/>
      <c r="T19" s="309"/>
      <c r="U19" s="309"/>
    </row>
    <row r="20" spans="1:21" ht="21" customHeight="1">
      <c r="B20" s="85" t="s">
        <v>225</v>
      </c>
      <c r="C20" s="1678"/>
      <c r="D20" s="1679"/>
      <c r="E20" s="571"/>
      <c r="F20" s="591"/>
      <c r="G20" s="571"/>
      <c r="H20" s="571"/>
      <c r="I20" s="913"/>
      <c r="J20" s="571"/>
      <c r="K20" s="571"/>
      <c r="L20" s="593"/>
      <c r="O20" s="309"/>
      <c r="P20" s="309"/>
      <c r="Q20" s="309"/>
      <c r="R20" s="309"/>
      <c r="S20" s="309"/>
      <c r="T20" s="309"/>
      <c r="U20" s="309"/>
    </row>
    <row r="21" spans="1:21" ht="21" customHeight="1">
      <c r="B21" s="85" t="s">
        <v>226</v>
      </c>
      <c r="C21" s="1678"/>
      <c r="D21" s="1679"/>
      <c r="E21" s="571"/>
      <c r="F21" s="591"/>
      <c r="G21" s="571"/>
      <c r="H21" s="571"/>
      <c r="I21" s="913"/>
      <c r="J21" s="571"/>
      <c r="K21" s="571"/>
      <c r="L21" s="593"/>
      <c r="O21" s="309"/>
      <c r="P21" s="309"/>
      <c r="Q21" s="309"/>
      <c r="R21" s="309"/>
      <c r="S21" s="309"/>
      <c r="T21" s="309"/>
      <c r="U21" s="309"/>
    </row>
    <row r="22" spans="1:21" ht="21" customHeight="1" thickBot="1">
      <c r="B22" s="85" t="s">
        <v>565</v>
      </c>
      <c r="C22" s="1678"/>
      <c r="D22" s="1679"/>
      <c r="E22" s="596"/>
      <c r="F22" s="586"/>
      <c r="G22" s="596"/>
      <c r="H22" s="596"/>
      <c r="I22" s="915"/>
      <c r="J22" s="596"/>
      <c r="K22" s="596"/>
      <c r="L22" s="597"/>
      <c r="O22" s="309"/>
      <c r="P22" s="309"/>
      <c r="Q22" s="309"/>
      <c r="R22" s="309"/>
      <c r="S22" s="309"/>
      <c r="T22" s="309"/>
      <c r="U22" s="309"/>
    </row>
    <row r="23" spans="1:21" ht="21" customHeight="1" thickTop="1" thickBot="1">
      <c r="B23" s="144"/>
      <c r="C23" s="27"/>
      <c r="D23" s="75" t="s">
        <v>137</v>
      </c>
      <c r="E23" s="133"/>
      <c r="F23" s="14"/>
      <c r="G23" s="133">
        <f>SUM(G9:G22)</f>
        <v>0</v>
      </c>
      <c r="H23" s="133">
        <f>SUM(H9:H22)</f>
        <v>0</v>
      </c>
      <c r="I23" s="133"/>
      <c r="J23" s="133">
        <f>SUM(J9:J22)</f>
        <v>0</v>
      </c>
      <c r="K23" s="133">
        <f>SUM(K9:K22)</f>
        <v>0</v>
      </c>
      <c r="L23" s="19"/>
      <c r="O23" s="309"/>
      <c r="P23" s="309"/>
      <c r="Q23" s="309"/>
      <c r="R23" s="309"/>
      <c r="S23" s="309"/>
      <c r="T23" s="309"/>
      <c r="U23" s="309"/>
    </row>
    <row r="24" spans="1:21" ht="13.5" customHeight="1" thickTop="1">
      <c r="B24" s="150" t="s">
        <v>3641</v>
      </c>
      <c r="C24" s="44"/>
      <c r="D24" s="148"/>
      <c r="E24" s="274"/>
      <c r="F24" s="274"/>
      <c r="G24" s="274"/>
      <c r="H24" s="274"/>
      <c r="I24" s="274"/>
      <c r="J24" s="941"/>
      <c r="K24" s="941"/>
      <c r="L24" s="274"/>
      <c r="O24" s="309"/>
      <c r="P24" s="309"/>
      <c r="Q24" s="309"/>
      <c r="R24" s="309"/>
      <c r="S24" s="309"/>
      <c r="T24" s="309"/>
      <c r="U24" s="309"/>
    </row>
    <row r="25" spans="1:21" ht="13.5" customHeight="1">
      <c r="B25" s="150"/>
      <c r="C25" s="44" t="str">
        <f>"Assessment Notes with an original date of issue of "&amp;IF('KEY INPUTS'!C42="State Fiscal Year","FY "&amp;'KEY INPUTS'!D33-2&amp;"",'KEY INPUTS'!D34-2)&amp;" or prior must be appropriated in full in the "&amp;IF('KEY INPUTS'!C42="State Fiscal Year","FY "&amp;'KEY INPUTS'!D33+1&amp;"",'KEY INPUTS'!D34+1)&amp;" Dedicated Assessment Budget or written intent of permanent financing"</f>
        <v>Assessment Notes with an original date of issue of 2019 or prior must be appropriated in full in the 2022 Dedicated Assessment Budget or written intent of permanent financing</v>
      </c>
      <c r="D25" s="148"/>
      <c r="E25" s="274"/>
      <c r="F25" s="274"/>
      <c r="G25" s="274"/>
      <c r="H25" s="274"/>
      <c r="I25" s="274"/>
      <c r="J25" s="274"/>
      <c r="K25" s="274"/>
      <c r="L25" s="274"/>
      <c r="O25" s="309"/>
      <c r="P25" s="309"/>
      <c r="Q25" s="309"/>
      <c r="R25" s="309"/>
      <c r="S25" s="309"/>
      <c r="T25" s="309"/>
      <c r="U25" s="309"/>
    </row>
    <row r="26" spans="1:21" ht="13.5" customHeight="1">
      <c r="B26" s="150"/>
      <c r="C26" s="44"/>
      <c r="D26" s="151" t="s">
        <v>551</v>
      </c>
      <c r="E26" s="274"/>
      <c r="F26" s="274"/>
      <c r="G26" s="274"/>
      <c r="H26" s="274"/>
      <c r="I26" s="274"/>
      <c r="J26" s="274"/>
      <c r="K26" s="274"/>
      <c r="L26" s="274"/>
    </row>
    <row r="27" spans="1:21" ht="13.5" customHeight="1">
      <c r="B27" s="150"/>
      <c r="C27" s="44" t="s">
        <v>3642</v>
      </c>
      <c r="D27" s="148"/>
      <c r="E27" s="274"/>
      <c r="F27" s="274"/>
      <c r="G27" s="274"/>
      <c r="H27" s="274"/>
      <c r="I27" s="274"/>
      <c r="J27" s="274"/>
      <c r="K27" s="274"/>
      <c r="L27" s="274"/>
    </row>
    <row r="28" spans="1:21" ht="13.5" customHeight="1">
      <c r="B28" s="150"/>
      <c r="C28" s="44"/>
      <c r="D28" s="148"/>
      <c r="E28" s="274"/>
      <c r="F28" s="274"/>
      <c r="G28" s="274"/>
      <c r="H28" s="274"/>
      <c r="I28" s="274"/>
      <c r="J28" s="147" t="s">
        <v>98</v>
      </c>
      <c r="K28" s="274"/>
      <c r="L28" s="274"/>
    </row>
    <row r="29" spans="1:21">
      <c r="B29" s="8"/>
      <c r="C29" s="34"/>
      <c r="D29" s="34"/>
    </row>
  </sheetData>
  <sheetProtection algorithmName="SHA-512" hashValue="n3THRjsvhEaNgfDjtrYJf3DzcaJ1Di+o503HZsqKlIvPOeAWcudzJv1akQXtCdSG8+4MRJRBlUandswIucMX7w==" saltValue="Erakri26xUkf0y7ZM3X5Ig==" spinCount="100000" sheet="1" objects="1" scenarios="1"/>
  <mergeCells count="19">
    <mergeCell ref="C18:D18"/>
    <mergeCell ref="C19:D19"/>
    <mergeCell ref="C20:D20"/>
    <mergeCell ref="C21:D21"/>
    <mergeCell ref="C22:D22"/>
    <mergeCell ref="B2:L2"/>
    <mergeCell ref="B3:L3"/>
    <mergeCell ref="A15:A17"/>
    <mergeCell ref="C6:D6"/>
    <mergeCell ref="J5:K6"/>
    <mergeCell ref="C9:D9"/>
    <mergeCell ref="C10:D10"/>
    <mergeCell ref="C11:D11"/>
    <mergeCell ref="C12:D12"/>
    <mergeCell ref="C13:D13"/>
    <mergeCell ref="C14:D14"/>
    <mergeCell ref="C15:D15"/>
    <mergeCell ref="C16:D16"/>
    <mergeCell ref="C17:D17"/>
  </mergeCells>
  <phoneticPr fontId="0" type="noConversion"/>
  <pageMargins left="0.25" right="0.25" top="0.5" bottom="0.5" header="0.25" footer="0.25"/>
  <pageSetup paperSize="5" orientation="landscape" r:id="rId1"/>
  <headerFooter alignWithMargins="0"/>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8"/>
  <dimension ref="A1:R27"/>
  <sheetViews>
    <sheetView workbookViewId="0">
      <selection activeCell="C10" sqref="C10:F10"/>
    </sheetView>
  </sheetViews>
  <sheetFormatPr defaultRowHeight="13.2"/>
  <cols>
    <col min="1" max="1" width="5.6640625" customWidth="1"/>
    <col min="2" max="3" width="4.88671875" customWidth="1"/>
    <col min="4" max="4" width="30.6640625" customWidth="1"/>
    <col min="5" max="6" width="15.6640625" customWidth="1"/>
    <col min="7" max="9" width="30.6640625" customWidth="1"/>
  </cols>
  <sheetData>
    <row r="1" spans="1:18">
      <c r="B1" s="309"/>
      <c r="C1" s="309"/>
      <c r="D1" s="309"/>
      <c r="E1" s="309"/>
      <c r="F1" s="309"/>
      <c r="G1" s="309"/>
      <c r="H1" s="309"/>
      <c r="I1" s="309"/>
    </row>
    <row r="2" spans="1:18" ht="20.399999999999999">
      <c r="B2" s="1619" t="s">
        <v>429</v>
      </c>
      <c r="C2" s="1619"/>
      <c r="D2" s="1619"/>
      <c r="E2" s="1619"/>
      <c r="F2" s="1619"/>
      <c r="G2" s="1619"/>
      <c r="H2" s="1619"/>
      <c r="I2" s="1619"/>
    </row>
    <row r="3" spans="1:18" ht="21" thickBot="1">
      <c r="B3" s="1619"/>
      <c r="C3" s="1619"/>
      <c r="D3" s="1619"/>
      <c r="E3" s="1619"/>
      <c r="F3" s="1619"/>
      <c r="G3" s="1619"/>
      <c r="H3" s="1619"/>
      <c r="I3" s="1619"/>
    </row>
    <row r="4" spans="1:18" ht="13.5" customHeight="1" thickTop="1">
      <c r="B4" s="11"/>
      <c r="C4" s="11"/>
      <c r="D4" s="11"/>
      <c r="E4" s="53"/>
      <c r="F4" s="949"/>
      <c r="G4" s="949"/>
      <c r="H4" s="11"/>
      <c r="I4" s="188"/>
    </row>
    <row r="5" spans="1:18" ht="13.5" customHeight="1">
      <c r="B5" s="309"/>
      <c r="C5" s="309"/>
      <c r="D5" s="309"/>
      <c r="E5" s="958"/>
      <c r="F5" s="958"/>
      <c r="G5" s="950" t="s">
        <v>414</v>
      </c>
      <c r="H5" s="1842" t="str">
        <f>'34-Assmt Note Debt Service'!J5</f>
        <v>2022 Budget Requirements</v>
      </c>
      <c r="I5" s="1857"/>
    </row>
    <row r="6" spans="1:18" ht="13.5" customHeight="1">
      <c r="B6" s="309"/>
      <c r="C6" s="1663" t="s">
        <v>413</v>
      </c>
      <c r="D6" s="1856"/>
      <c r="E6" s="958"/>
      <c r="F6" s="958"/>
      <c r="G6" s="950" t="s">
        <v>430</v>
      </c>
      <c r="H6" s="1844"/>
      <c r="I6" s="1858"/>
    </row>
    <row r="7" spans="1:18" ht="13.5" customHeight="1">
      <c r="B7" s="309"/>
      <c r="C7" s="309"/>
      <c r="D7" s="309"/>
      <c r="E7" s="958"/>
      <c r="F7" s="947"/>
      <c r="G7" s="293" t="str">
        <f>'34-Assmt Note Debt Service'!G8</f>
        <v>Dec. 31, 2021</v>
      </c>
      <c r="H7" s="270" t="s">
        <v>113</v>
      </c>
      <c r="I7" s="21" t="s">
        <v>431</v>
      </c>
    </row>
    <row r="8" spans="1:18" ht="13.5" customHeight="1" thickBot="1">
      <c r="B8" s="10"/>
      <c r="C8" s="10"/>
      <c r="D8" s="10"/>
      <c r="E8" s="10"/>
      <c r="F8" s="160"/>
      <c r="G8" s="234"/>
      <c r="H8" s="16"/>
      <c r="I8" s="152"/>
    </row>
    <row r="9" spans="1:18" ht="21" customHeight="1" thickTop="1">
      <c r="B9" s="84" t="s">
        <v>292</v>
      </c>
      <c r="C9" s="1854" t="s">
        <v>3730</v>
      </c>
      <c r="D9" s="1854"/>
      <c r="E9" s="1854"/>
      <c r="F9" s="1855"/>
      <c r="G9" s="598"/>
      <c r="H9" s="587"/>
      <c r="I9" s="599"/>
      <c r="L9" s="309"/>
      <c r="M9" s="309"/>
      <c r="N9" s="309"/>
      <c r="O9" s="309"/>
      <c r="P9" s="309"/>
      <c r="Q9" s="309"/>
      <c r="R9" s="309"/>
    </row>
    <row r="10" spans="1:18" ht="21" customHeight="1">
      <c r="B10" s="85" t="s">
        <v>293</v>
      </c>
      <c r="C10" s="1678"/>
      <c r="D10" s="1678"/>
      <c r="E10" s="1678"/>
      <c r="F10" s="1679"/>
      <c r="G10" s="600"/>
      <c r="H10" s="571"/>
      <c r="I10" s="572"/>
      <c r="L10" s="309"/>
      <c r="M10" s="309"/>
      <c r="N10" s="309"/>
      <c r="O10" s="309"/>
      <c r="P10" s="309"/>
      <c r="Q10" s="309"/>
      <c r="R10" s="309"/>
    </row>
    <row r="11" spans="1:18" ht="21" customHeight="1">
      <c r="B11" s="85" t="s">
        <v>294</v>
      </c>
      <c r="C11" s="1678"/>
      <c r="D11" s="1678"/>
      <c r="E11" s="1678"/>
      <c r="F11" s="1679"/>
      <c r="G11" s="600"/>
      <c r="H11" s="571"/>
      <c r="I11" s="572"/>
      <c r="L11" s="356"/>
      <c r="M11" s="309"/>
      <c r="N11" s="309"/>
      <c r="O11" s="309"/>
      <c r="P11" s="309"/>
      <c r="Q11" s="309"/>
      <c r="R11" s="309"/>
    </row>
    <row r="12" spans="1:18" ht="21" customHeight="1">
      <c r="B12" s="85" t="s">
        <v>295</v>
      </c>
      <c r="C12" s="1678"/>
      <c r="D12" s="1678"/>
      <c r="E12" s="1678"/>
      <c r="F12" s="1679"/>
      <c r="G12" s="600"/>
      <c r="H12" s="571"/>
      <c r="I12" s="572"/>
      <c r="L12" s="309"/>
      <c r="M12" s="309"/>
      <c r="N12" s="309"/>
      <c r="O12" s="309"/>
      <c r="P12" s="309"/>
      <c r="Q12" s="309"/>
      <c r="R12" s="309"/>
    </row>
    <row r="13" spans="1:18" ht="21" customHeight="1">
      <c r="B13" s="85" t="s">
        <v>296</v>
      </c>
      <c r="C13" s="1678"/>
      <c r="D13" s="1678"/>
      <c r="E13" s="1678"/>
      <c r="F13" s="1679"/>
      <c r="G13" s="600"/>
      <c r="H13" s="571"/>
      <c r="I13" s="572"/>
      <c r="L13" s="309"/>
      <c r="M13" s="309"/>
      <c r="N13" s="309"/>
      <c r="O13" s="309"/>
      <c r="P13" s="309"/>
      <c r="Q13" s="309"/>
      <c r="R13" s="309"/>
    </row>
    <row r="14" spans="1:18" ht="21" customHeight="1">
      <c r="B14" s="85" t="s">
        <v>297</v>
      </c>
      <c r="C14" s="1678"/>
      <c r="D14" s="1678"/>
      <c r="E14" s="1678"/>
      <c r="F14" s="1679"/>
      <c r="G14" s="601"/>
      <c r="H14" s="571"/>
      <c r="I14" s="572"/>
      <c r="L14" s="309"/>
      <c r="M14" s="309"/>
      <c r="N14" s="309"/>
      <c r="O14" s="309"/>
      <c r="P14" s="309"/>
      <c r="Q14" s="309"/>
      <c r="R14" s="309"/>
    </row>
    <row r="15" spans="1:18" ht="21" customHeight="1">
      <c r="A15" s="1692" t="s">
        <v>641</v>
      </c>
      <c r="B15" s="85" t="s">
        <v>298</v>
      </c>
      <c r="C15" s="1678"/>
      <c r="D15" s="1678"/>
      <c r="E15" s="1678"/>
      <c r="F15" s="1679"/>
      <c r="G15" s="600"/>
      <c r="H15" s="571"/>
      <c r="I15" s="572"/>
      <c r="L15" s="309"/>
      <c r="M15" s="309"/>
      <c r="N15" s="309"/>
      <c r="O15" s="309"/>
      <c r="P15" s="309"/>
      <c r="Q15" s="309"/>
      <c r="R15" s="309"/>
    </row>
    <row r="16" spans="1:18" ht="21" customHeight="1">
      <c r="A16" s="1692"/>
      <c r="B16" s="85" t="s">
        <v>384</v>
      </c>
      <c r="C16" s="1678"/>
      <c r="D16" s="1678"/>
      <c r="E16" s="1678"/>
      <c r="F16" s="1679"/>
      <c r="G16" s="600"/>
      <c r="H16" s="571"/>
      <c r="I16" s="572"/>
      <c r="L16" s="309"/>
      <c r="M16" s="309"/>
      <c r="N16" s="309"/>
      <c r="O16" s="309"/>
      <c r="P16" s="309"/>
      <c r="Q16" s="309"/>
      <c r="R16" s="309"/>
    </row>
    <row r="17" spans="1:18" ht="21" customHeight="1">
      <c r="A17" s="1692"/>
      <c r="B17" s="85" t="s">
        <v>385</v>
      </c>
      <c r="C17" s="1678"/>
      <c r="D17" s="1678"/>
      <c r="E17" s="1678"/>
      <c r="F17" s="1679"/>
      <c r="G17" s="600"/>
      <c r="H17" s="571"/>
      <c r="I17" s="572"/>
      <c r="L17" s="309"/>
      <c r="M17" s="309"/>
      <c r="N17" s="309"/>
      <c r="O17" s="309"/>
      <c r="P17" s="309"/>
      <c r="Q17" s="309"/>
      <c r="R17" s="309"/>
    </row>
    <row r="18" spans="1:18" ht="21" customHeight="1">
      <c r="A18" s="134"/>
      <c r="B18" s="85" t="s">
        <v>386</v>
      </c>
      <c r="C18" s="1678"/>
      <c r="D18" s="1678"/>
      <c r="E18" s="1678"/>
      <c r="F18" s="1679"/>
      <c r="G18" s="600"/>
      <c r="H18" s="571"/>
      <c r="I18" s="572"/>
      <c r="L18" s="309"/>
      <c r="M18" s="309"/>
      <c r="N18" s="309"/>
      <c r="O18" s="309"/>
      <c r="P18" s="309"/>
      <c r="Q18" s="309"/>
      <c r="R18" s="309"/>
    </row>
    <row r="19" spans="1:18" ht="21" customHeight="1">
      <c r="B19" s="85" t="s">
        <v>223</v>
      </c>
      <c r="C19" s="1678"/>
      <c r="D19" s="1678"/>
      <c r="E19" s="1678"/>
      <c r="F19" s="1679"/>
      <c r="G19" s="600"/>
      <c r="H19" s="571"/>
      <c r="I19" s="572"/>
      <c r="L19" s="309"/>
      <c r="M19" s="309"/>
      <c r="N19" s="309"/>
      <c r="O19" s="309"/>
      <c r="P19" s="309"/>
      <c r="Q19" s="309"/>
      <c r="R19" s="309"/>
    </row>
    <row r="20" spans="1:18" ht="21" customHeight="1">
      <c r="B20" s="85" t="s">
        <v>225</v>
      </c>
      <c r="C20" s="1678"/>
      <c r="D20" s="1678"/>
      <c r="E20" s="1678"/>
      <c r="F20" s="1679"/>
      <c r="G20" s="600"/>
      <c r="H20" s="571"/>
      <c r="I20" s="572"/>
      <c r="L20" s="309"/>
      <c r="M20" s="309"/>
      <c r="N20" s="309"/>
      <c r="O20" s="309"/>
      <c r="P20" s="309"/>
      <c r="Q20" s="309"/>
      <c r="R20" s="309"/>
    </row>
    <row r="21" spans="1:18" ht="21" customHeight="1">
      <c r="B21" s="85" t="s">
        <v>226</v>
      </c>
      <c r="C21" s="1678"/>
      <c r="D21" s="1678"/>
      <c r="E21" s="1678"/>
      <c r="F21" s="1679"/>
      <c r="G21" s="600"/>
      <c r="H21" s="571"/>
      <c r="I21" s="572"/>
      <c r="L21" s="309"/>
      <c r="M21" s="309"/>
      <c r="N21" s="309"/>
      <c r="O21" s="309"/>
      <c r="P21" s="309"/>
      <c r="Q21" s="309"/>
      <c r="R21" s="309"/>
    </row>
    <row r="22" spans="1:18" ht="21" customHeight="1" thickBot="1">
      <c r="B22" s="85" t="s">
        <v>565</v>
      </c>
      <c r="C22" s="1678"/>
      <c r="D22" s="1678"/>
      <c r="E22" s="1678"/>
      <c r="F22" s="1679"/>
      <c r="G22" s="602"/>
      <c r="H22" s="596"/>
      <c r="I22" s="603"/>
      <c r="L22" s="309"/>
      <c r="M22" s="309"/>
      <c r="N22" s="309"/>
      <c r="O22" s="309"/>
      <c r="P22" s="309"/>
      <c r="Q22" s="309"/>
      <c r="R22" s="309"/>
    </row>
    <row r="23" spans="1:18" ht="21" customHeight="1" thickTop="1" thickBot="1">
      <c r="B23" s="144"/>
      <c r="C23" s="27"/>
      <c r="D23" s="135" t="s">
        <v>137</v>
      </c>
      <c r="E23" s="119"/>
      <c r="F23" s="160"/>
      <c r="G23" s="235">
        <f>SUM(G9:G22)</f>
        <v>0</v>
      </c>
      <c r="H23" s="133">
        <f>SUM(H9:H22)</f>
        <v>0</v>
      </c>
      <c r="I23" s="153">
        <f>SUM(I9:I22)</f>
        <v>0</v>
      </c>
      <c r="L23" s="309"/>
      <c r="M23" s="309"/>
      <c r="N23" s="309"/>
      <c r="O23" s="309"/>
      <c r="P23" s="309"/>
      <c r="Q23" s="309"/>
      <c r="R23" s="309"/>
    </row>
    <row r="24" spans="1:18" ht="13.5" customHeight="1" thickTop="1">
      <c r="B24" s="150"/>
      <c r="C24" s="44"/>
      <c r="D24" s="148"/>
      <c r="E24" s="274"/>
      <c r="F24" s="274"/>
      <c r="G24" s="274"/>
      <c r="H24" s="941"/>
      <c r="I24" s="941"/>
      <c r="L24" s="309"/>
      <c r="M24" s="309"/>
      <c r="N24" s="309"/>
      <c r="O24" s="309"/>
      <c r="P24" s="309"/>
      <c r="Q24" s="309"/>
      <c r="R24" s="309"/>
    </row>
    <row r="25" spans="1:18" ht="13.5" customHeight="1">
      <c r="B25" s="150"/>
      <c r="C25" s="44"/>
      <c r="D25" s="148"/>
      <c r="E25" s="274"/>
      <c r="F25" s="274"/>
      <c r="G25" s="274"/>
      <c r="H25" s="274"/>
      <c r="I25" s="274"/>
      <c r="L25" s="309"/>
      <c r="M25" s="309"/>
      <c r="N25" s="309"/>
      <c r="O25" s="309"/>
      <c r="P25" s="309"/>
      <c r="Q25" s="309"/>
      <c r="R25" s="309"/>
    </row>
    <row r="26" spans="1:18" ht="13.5" customHeight="1">
      <c r="B26" s="150"/>
      <c r="C26" s="44"/>
      <c r="D26" s="148"/>
      <c r="E26" s="274"/>
      <c r="F26" s="274"/>
      <c r="G26" s="274"/>
      <c r="H26" s="147" t="s">
        <v>98</v>
      </c>
      <c r="I26" s="274"/>
    </row>
    <row r="27" spans="1:18">
      <c r="B27" s="8"/>
      <c r="C27" s="34"/>
      <c r="D27" s="34"/>
    </row>
  </sheetData>
  <sheetProtection algorithmName="SHA-512" hashValue="KWYboxaXYZwq3o/N+P9sG7JFFhnwJbk3PFsUYOQoQvhIzw46etpVhk2Nv8fMKQSeCCk5/xHWo47qjO401pogqg==" saltValue="vAISXGav4Iu9ZEliFpuWGw==" spinCount="100000" sheet="1" objects="1" scenarios="1"/>
  <mergeCells count="19">
    <mergeCell ref="C18:F18"/>
    <mergeCell ref="C19:F19"/>
    <mergeCell ref="C20:F20"/>
    <mergeCell ref="C21:F21"/>
    <mergeCell ref="C22:F22"/>
    <mergeCell ref="B2:I2"/>
    <mergeCell ref="B3:I3"/>
    <mergeCell ref="A15:A17"/>
    <mergeCell ref="C6:D6"/>
    <mergeCell ref="H5:I6"/>
    <mergeCell ref="C9:F9"/>
    <mergeCell ref="C10:F10"/>
    <mergeCell ref="C11:F11"/>
    <mergeCell ref="C12:F12"/>
    <mergeCell ref="C13:F13"/>
    <mergeCell ref="C14:F14"/>
    <mergeCell ref="C15:F15"/>
    <mergeCell ref="C16:F16"/>
    <mergeCell ref="C17:F17"/>
  </mergeCells>
  <phoneticPr fontId="0" type="noConversion"/>
  <pageMargins left="0.25" right="0.25" top="0.5" bottom="0.5" header="0.25" footer="0.25"/>
  <pageSetup paperSize="5" orientation="landscape" r:id="rId1"/>
  <headerFooter alignWithMargins="0"/>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9"/>
  <dimension ref="A1:U33"/>
  <sheetViews>
    <sheetView zoomScaleNormal="100" workbookViewId="0">
      <selection activeCell="E21" sqref="E21"/>
    </sheetView>
  </sheetViews>
  <sheetFormatPr defaultRowHeight="13.2"/>
  <cols>
    <col min="1" max="1" width="3.6640625" customWidth="1"/>
    <col min="2" max="2" width="5.109375" customWidth="1"/>
    <col min="3" max="3" width="4.88671875" customWidth="1"/>
    <col min="4" max="4" width="35.6640625" customWidth="1"/>
    <col min="5" max="12" width="15.6640625" customWidth="1"/>
  </cols>
  <sheetData>
    <row r="1" spans="2:21" ht="8.25" customHeight="1"/>
    <row r="2" spans="2:21" ht="20.399999999999999">
      <c r="B2" s="1619" t="s">
        <v>514</v>
      </c>
      <c r="C2" s="1619"/>
      <c r="D2" s="1619"/>
      <c r="E2" s="1619"/>
      <c r="F2" s="1619"/>
      <c r="G2" s="1619"/>
      <c r="H2" s="1619"/>
      <c r="I2" s="1619"/>
      <c r="J2" s="1619"/>
      <c r="K2" s="1619"/>
      <c r="L2" s="1619"/>
    </row>
    <row r="3" spans="2:21" ht="9.75" customHeight="1" thickBot="1">
      <c r="B3" s="1619"/>
      <c r="C3" s="1619"/>
      <c r="D3" s="1619"/>
      <c r="E3" s="1619"/>
      <c r="F3" s="1619"/>
      <c r="G3" s="1619"/>
      <c r="H3" s="1619"/>
      <c r="I3" s="1619"/>
      <c r="J3" s="1619"/>
      <c r="K3" s="1619"/>
      <c r="L3" s="1619"/>
    </row>
    <row r="4" spans="2:21" ht="13.5" customHeight="1" thickTop="1">
      <c r="B4" s="11"/>
      <c r="C4" s="11"/>
      <c r="D4" s="11"/>
      <c r="E4" s="1859" t="str">
        <f>IF('KEY INPUTS'!C42 = "State Fiscal Year", 'KEY INPUTS'!F25,'KEY INPUTS'!D25)</f>
        <v>Balance - January 1, 2021</v>
      </c>
      <c r="F4" s="1737"/>
      <c r="G4" s="12"/>
      <c r="H4" s="12"/>
      <c r="I4" s="12"/>
      <c r="J4" s="12"/>
      <c r="K4" s="1859" t="str">
        <f>IF('KEY INPUTS'!C42 = "State Fiscal Year", 'KEY INPUTS'!F26,'KEY INPUTS'!D26)</f>
        <v>Balance - December 31, 2021</v>
      </c>
      <c r="L4" s="1865"/>
    </row>
    <row r="5" spans="2:21" ht="13.5" customHeight="1">
      <c r="B5" s="1663" t="s">
        <v>515</v>
      </c>
      <c r="C5" s="1663"/>
      <c r="D5" s="1715"/>
      <c r="E5" s="1860"/>
      <c r="F5" s="1861"/>
      <c r="G5" s="20"/>
      <c r="H5" s="20"/>
      <c r="I5" s="20"/>
      <c r="J5" s="20"/>
      <c r="K5" s="1860"/>
      <c r="L5" s="1866"/>
    </row>
    <row r="6" spans="2:21" ht="13.5" customHeight="1">
      <c r="B6" s="1663" t="s">
        <v>516</v>
      </c>
      <c r="C6" s="1663"/>
      <c r="D6" s="1715"/>
      <c r="E6" s="1862"/>
      <c r="F6" s="1863"/>
      <c r="G6" s="878" t="str">
        <f>IF('KEY INPUTS'!C42="State Fiscal Year","Fiscal Year "&amp;'KEY INPUTS'!D33&amp;"",'KEY INPUTS'!D34)&amp;""</f>
        <v>2021</v>
      </c>
      <c r="H6" s="878" t="s">
        <v>218</v>
      </c>
      <c r="I6" s="20" t="s">
        <v>235</v>
      </c>
      <c r="J6" s="20" t="s">
        <v>520</v>
      </c>
      <c r="K6" s="1862"/>
      <c r="L6" s="1867"/>
    </row>
    <row r="7" spans="2:21" ht="13.5" customHeight="1">
      <c r="B7" s="1663" t="s">
        <v>517</v>
      </c>
      <c r="C7" s="1663"/>
      <c r="D7" s="1715"/>
      <c r="E7" s="13" t="s">
        <v>518</v>
      </c>
      <c r="F7" s="13" t="s">
        <v>519</v>
      </c>
      <c r="G7" s="13" t="s">
        <v>520</v>
      </c>
      <c r="H7" s="13"/>
      <c r="I7" s="13"/>
      <c r="J7" s="13" t="s">
        <v>439</v>
      </c>
      <c r="K7" s="13" t="s">
        <v>518</v>
      </c>
      <c r="L7" s="21" t="s">
        <v>519</v>
      </c>
    </row>
    <row r="8" spans="2:21" ht="13.5" customHeight="1" thickBot="1">
      <c r="B8" s="10"/>
      <c r="C8" s="10"/>
      <c r="D8" s="10"/>
      <c r="E8" s="14"/>
      <c r="F8" s="14"/>
      <c r="G8" s="16"/>
      <c r="H8" s="16"/>
      <c r="I8" s="14"/>
      <c r="J8" s="14"/>
      <c r="K8" s="16"/>
      <c r="L8" s="152"/>
    </row>
    <row r="9" spans="2:21" ht="21" customHeight="1" thickTop="1">
      <c r="B9" s="1607" t="s">
        <v>3706</v>
      </c>
      <c r="C9" s="1607"/>
      <c r="D9" s="1608"/>
      <c r="E9" s="1459">
        <v>286.29000000000002</v>
      </c>
      <c r="F9" s="1459"/>
      <c r="G9" s="1459"/>
      <c r="H9" s="1459"/>
      <c r="I9" s="1459">
        <v>252.7</v>
      </c>
      <c r="J9" s="1459"/>
      <c r="K9" s="547">
        <f>+E9+F9+G9+H9-I9-J9</f>
        <v>33.590000000000032</v>
      </c>
      <c r="L9" s="1460"/>
    </row>
    <row r="10" spans="2:21" ht="21" customHeight="1">
      <c r="B10" s="1610" t="s">
        <v>3707</v>
      </c>
      <c r="C10" s="1610"/>
      <c r="D10" s="1611"/>
      <c r="E10" s="547">
        <v>924.78</v>
      </c>
      <c r="F10" s="547"/>
      <c r="G10" s="547"/>
      <c r="H10" s="547"/>
      <c r="I10" s="547">
        <v>924.78</v>
      </c>
      <c r="J10" s="547"/>
      <c r="K10" s="547">
        <f t="shared" ref="K10:K11" si="0">+E10+F10+G10+H10-I10-J10</f>
        <v>0</v>
      </c>
      <c r="L10" s="669"/>
      <c r="M10" s="218"/>
      <c r="O10" s="309"/>
      <c r="P10" s="309"/>
      <c r="Q10" s="309"/>
      <c r="R10" s="309"/>
      <c r="S10" s="309"/>
      <c r="T10" s="309"/>
      <c r="U10" s="309"/>
    </row>
    <row r="11" spans="2:21" ht="21" customHeight="1">
      <c r="B11" s="1610" t="s">
        <v>3708</v>
      </c>
      <c r="C11" s="1610"/>
      <c r="D11" s="1611"/>
      <c r="E11" s="547">
        <v>2237.5500000000002</v>
      </c>
      <c r="F11" s="547"/>
      <c r="G11" s="547"/>
      <c r="H11" s="547"/>
      <c r="I11" s="547">
        <v>0</v>
      </c>
      <c r="J11" s="547"/>
      <c r="K11" s="547">
        <f t="shared" si="0"/>
        <v>2237.5500000000002</v>
      </c>
      <c r="L11" s="669"/>
      <c r="O11" s="309"/>
      <c r="P11" s="309"/>
      <c r="Q11" s="309"/>
      <c r="R11" s="309"/>
      <c r="S11" s="309"/>
      <c r="T11" s="309"/>
      <c r="U11" s="309"/>
    </row>
    <row r="12" spans="2:21" ht="21" customHeight="1">
      <c r="B12" s="1610" t="s">
        <v>3709</v>
      </c>
      <c r="C12" s="1610"/>
      <c r="D12" s="1611"/>
      <c r="E12" s="1461">
        <v>33522.61</v>
      </c>
      <c r="F12" s="1461"/>
      <c r="G12" s="547"/>
      <c r="H12" s="547"/>
      <c r="I12" s="547">
        <v>33522.61</v>
      </c>
      <c r="J12" s="547"/>
      <c r="K12" s="547">
        <f>+E12+F12+G12+H12-I12-J12</f>
        <v>0</v>
      </c>
      <c r="L12" s="669"/>
      <c r="M12" s="218"/>
      <c r="O12" s="356"/>
      <c r="P12" s="309"/>
      <c r="Q12" s="309"/>
      <c r="R12" s="309"/>
      <c r="S12" s="309"/>
      <c r="T12" s="309"/>
      <c r="U12" s="309"/>
    </row>
    <row r="13" spans="2:21" ht="21" customHeight="1">
      <c r="B13" s="1615" t="s">
        <v>3710</v>
      </c>
      <c r="C13" s="1610"/>
      <c r="D13" s="1611"/>
      <c r="E13" s="547">
        <v>301760</v>
      </c>
      <c r="F13" s="547"/>
      <c r="G13" s="547"/>
      <c r="H13" s="547"/>
      <c r="I13" s="547">
        <v>281446.51</v>
      </c>
      <c r="J13" s="547"/>
      <c r="K13" s="547">
        <f t="shared" ref="K13:K22" si="1">+E13+F13+G13+H13-I13-J13</f>
        <v>20313.489999999991</v>
      </c>
      <c r="L13" s="669"/>
      <c r="O13" s="309"/>
      <c r="P13" s="309"/>
      <c r="Q13" s="309"/>
      <c r="R13" s="309"/>
      <c r="S13" s="309"/>
      <c r="T13" s="309"/>
      <c r="U13" s="309"/>
    </row>
    <row r="14" spans="2:21" ht="21" customHeight="1">
      <c r="B14" s="1615" t="s">
        <v>3711</v>
      </c>
      <c r="C14" s="1610"/>
      <c r="D14" s="1611"/>
      <c r="E14" s="547">
        <v>323659.40000000002</v>
      </c>
      <c r="F14" s="547"/>
      <c r="G14" s="1461"/>
      <c r="H14" s="1461"/>
      <c r="I14" s="1461">
        <v>314875.46999999997</v>
      </c>
      <c r="J14" s="1461"/>
      <c r="K14" s="547">
        <f t="shared" si="1"/>
        <v>8783.9300000000512</v>
      </c>
      <c r="L14" s="669"/>
      <c r="M14" s="218"/>
      <c r="O14" s="309"/>
      <c r="P14" s="309"/>
      <c r="Q14" s="309"/>
      <c r="R14" s="309"/>
      <c r="S14" s="309"/>
      <c r="T14" s="309"/>
      <c r="U14" s="309"/>
    </row>
    <row r="15" spans="2:21" ht="21" customHeight="1">
      <c r="B15" s="1615" t="s">
        <v>3712</v>
      </c>
      <c r="C15" s="1610"/>
      <c r="D15" s="1611"/>
      <c r="E15" s="547">
        <v>139499.21</v>
      </c>
      <c r="F15" s="547"/>
      <c r="G15" s="547"/>
      <c r="H15" s="547"/>
      <c r="I15" s="547">
        <v>139499.21</v>
      </c>
      <c r="J15" s="547"/>
      <c r="K15" s="547">
        <f t="shared" si="1"/>
        <v>0</v>
      </c>
      <c r="L15" s="669"/>
      <c r="O15" s="309"/>
      <c r="P15" s="309"/>
      <c r="Q15" s="309"/>
      <c r="R15" s="309"/>
      <c r="S15" s="309"/>
      <c r="T15" s="309"/>
      <c r="U15" s="309"/>
    </row>
    <row r="16" spans="2:21" ht="21" customHeight="1">
      <c r="B16" s="1615" t="s">
        <v>3713</v>
      </c>
      <c r="C16" s="1610"/>
      <c r="D16" s="1611"/>
      <c r="E16" s="547">
        <v>144000</v>
      </c>
      <c r="F16" s="547"/>
      <c r="G16" s="547"/>
      <c r="H16" s="547"/>
      <c r="I16" s="547">
        <v>3125</v>
      </c>
      <c r="J16" s="547"/>
      <c r="K16" s="547">
        <f t="shared" si="1"/>
        <v>140875</v>
      </c>
      <c r="L16" s="669"/>
      <c r="M16" s="218"/>
      <c r="O16" s="309"/>
      <c r="P16" s="309"/>
      <c r="Q16" s="309"/>
      <c r="R16" s="309"/>
      <c r="S16" s="309"/>
      <c r="T16" s="309"/>
      <c r="U16" s="309"/>
    </row>
    <row r="17" spans="1:21" ht="21" customHeight="1">
      <c r="A17" s="1692" t="s">
        <v>523</v>
      </c>
      <c r="B17" s="1615" t="s">
        <v>3714</v>
      </c>
      <c r="C17" s="1610"/>
      <c r="D17" s="1611"/>
      <c r="E17" s="547">
        <v>74000</v>
      </c>
      <c r="F17" s="547"/>
      <c r="G17" s="547"/>
      <c r="H17" s="547"/>
      <c r="I17" s="547">
        <v>3125</v>
      </c>
      <c r="J17" s="547"/>
      <c r="K17" s="547">
        <f t="shared" si="1"/>
        <v>70875</v>
      </c>
      <c r="L17" s="669"/>
      <c r="O17" s="309"/>
      <c r="P17" s="309"/>
      <c r="Q17" s="309"/>
      <c r="R17" s="309"/>
      <c r="S17" s="309"/>
      <c r="T17" s="309"/>
      <c r="U17" s="309"/>
    </row>
    <row r="18" spans="1:21" ht="21" customHeight="1">
      <c r="A18" s="1692"/>
      <c r="B18" s="1615" t="s">
        <v>3715</v>
      </c>
      <c r="C18" s="1610"/>
      <c r="D18" s="1611"/>
      <c r="E18" s="547">
        <v>39000</v>
      </c>
      <c r="F18" s="547"/>
      <c r="G18" s="547"/>
      <c r="H18" s="547"/>
      <c r="I18" s="547">
        <v>3125</v>
      </c>
      <c r="J18" s="547"/>
      <c r="K18" s="547">
        <f t="shared" si="1"/>
        <v>35875</v>
      </c>
      <c r="L18" s="669"/>
      <c r="M18" s="218"/>
      <c r="O18" s="309"/>
      <c r="P18" s="309"/>
      <c r="Q18" s="309"/>
      <c r="R18" s="309"/>
      <c r="S18" s="309"/>
      <c r="T18" s="309"/>
      <c r="U18" s="309"/>
    </row>
    <row r="19" spans="1:21" ht="21" customHeight="1">
      <c r="A19" s="1692"/>
      <c r="B19" s="1864" t="s">
        <v>3716</v>
      </c>
      <c r="C19" s="1848"/>
      <c r="D19" s="1849"/>
      <c r="E19" s="547">
        <v>356000</v>
      </c>
      <c r="F19" s="547"/>
      <c r="G19" s="547"/>
      <c r="H19" s="547"/>
      <c r="I19" s="547">
        <v>15625</v>
      </c>
      <c r="J19" s="547"/>
      <c r="K19" s="547">
        <f t="shared" si="1"/>
        <v>340375</v>
      </c>
      <c r="L19" s="669"/>
      <c r="O19" s="309"/>
      <c r="P19" s="309"/>
      <c r="Q19" s="309"/>
      <c r="R19" s="309"/>
      <c r="S19" s="309"/>
      <c r="T19" s="309"/>
      <c r="U19" s="309"/>
    </row>
    <row r="20" spans="1:21" ht="21" customHeight="1">
      <c r="A20" s="134"/>
      <c r="B20" s="1864" t="s">
        <v>3717</v>
      </c>
      <c r="C20" s="1848"/>
      <c r="D20" s="1849"/>
      <c r="E20" s="547">
        <v>378368.5</v>
      </c>
      <c r="F20" s="547"/>
      <c r="G20" s="547"/>
      <c r="H20" s="547"/>
      <c r="I20" s="547"/>
      <c r="J20" s="547"/>
      <c r="K20" s="547">
        <f t="shared" si="1"/>
        <v>378368.5</v>
      </c>
      <c r="L20" s="669"/>
      <c r="M20" s="218"/>
      <c r="O20" s="309"/>
      <c r="P20" s="309"/>
      <c r="Q20" s="309"/>
      <c r="R20" s="309"/>
      <c r="S20" s="309"/>
      <c r="T20" s="309"/>
      <c r="U20" s="309"/>
    </row>
    <row r="21" spans="1:21" ht="21" customHeight="1">
      <c r="A21" s="134"/>
      <c r="B21" s="1864"/>
      <c r="C21" s="1848"/>
      <c r="D21" s="1849"/>
      <c r="E21" s="547"/>
      <c r="F21" s="547"/>
      <c r="G21" s="547"/>
      <c r="H21" s="547"/>
      <c r="I21" s="547"/>
      <c r="J21" s="547"/>
      <c r="K21" s="547">
        <f t="shared" si="1"/>
        <v>0</v>
      </c>
      <c r="L21" s="669"/>
      <c r="O21" s="309"/>
      <c r="P21" s="309"/>
      <c r="Q21" s="309"/>
      <c r="R21" s="309"/>
      <c r="S21" s="309"/>
      <c r="T21" s="309"/>
      <c r="U21" s="309"/>
    </row>
    <row r="22" spans="1:21" ht="21" customHeight="1">
      <c r="A22" s="134"/>
      <c r="B22" s="1864"/>
      <c r="C22" s="1848"/>
      <c r="D22" s="1849"/>
      <c r="E22" s="547"/>
      <c r="F22" s="547"/>
      <c r="G22" s="547"/>
      <c r="H22" s="547"/>
      <c r="I22" s="547"/>
      <c r="J22" s="547"/>
      <c r="K22" s="547">
        <f t="shared" si="1"/>
        <v>0</v>
      </c>
      <c r="L22" s="669"/>
      <c r="M22" s="218"/>
      <c r="O22" s="309"/>
      <c r="P22" s="309"/>
      <c r="Q22" s="309"/>
      <c r="R22" s="309"/>
      <c r="S22" s="309"/>
      <c r="T22" s="309"/>
      <c r="U22" s="309"/>
    </row>
    <row r="23" spans="1:21" ht="21" customHeight="1">
      <c r="B23" s="1487"/>
      <c r="C23" s="1487"/>
      <c r="D23" s="1488"/>
      <c r="E23" s="547"/>
      <c r="F23" s="547"/>
      <c r="G23" s="547"/>
      <c r="H23" s="547"/>
      <c r="I23" s="547"/>
      <c r="J23" s="547"/>
      <c r="K23" s="547"/>
      <c r="L23" s="669"/>
      <c r="O23" s="309"/>
      <c r="P23" s="309"/>
      <c r="Q23" s="309"/>
      <c r="R23" s="309"/>
      <c r="S23" s="309"/>
      <c r="T23" s="309"/>
      <c r="U23" s="309"/>
    </row>
    <row r="24" spans="1:21" s="309" customFormat="1" ht="21" customHeight="1">
      <c r="B24" s="1487"/>
      <c r="C24" s="1487"/>
      <c r="D24" s="1488"/>
      <c r="E24" s="547"/>
      <c r="F24" s="547"/>
      <c r="G24" s="547"/>
      <c r="H24" s="547"/>
      <c r="I24" s="547"/>
      <c r="J24" s="547"/>
      <c r="K24" s="547"/>
      <c r="L24" s="669"/>
    </row>
    <row r="25" spans="1:21" ht="21" customHeight="1">
      <c r="B25" s="1487"/>
      <c r="C25" s="1487"/>
      <c r="D25" s="1488"/>
      <c r="E25" s="547"/>
      <c r="F25" s="547"/>
      <c r="G25" s="547"/>
      <c r="H25" s="547"/>
      <c r="I25" s="547"/>
      <c r="J25" s="547"/>
      <c r="K25" s="547"/>
      <c r="L25" s="669"/>
      <c r="M25" s="218"/>
      <c r="O25" s="309"/>
      <c r="P25" s="309"/>
      <c r="Q25" s="309"/>
      <c r="R25" s="309"/>
      <c r="S25" s="309"/>
      <c r="T25" s="309"/>
      <c r="U25" s="309"/>
    </row>
    <row r="26" spans="1:21" ht="21" customHeight="1">
      <c r="B26" s="1487"/>
      <c r="C26" s="1487"/>
      <c r="D26" s="1488"/>
      <c r="E26" s="547"/>
      <c r="F26" s="547"/>
      <c r="G26" s="547"/>
      <c r="H26" s="547"/>
      <c r="I26" s="547"/>
      <c r="J26" s="547"/>
      <c r="K26" s="547"/>
      <c r="L26" s="669"/>
      <c r="O26" s="309"/>
      <c r="P26" s="309"/>
      <c r="Q26" s="309"/>
      <c r="R26" s="309"/>
      <c r="S26" s="309"/>
      <c r="T26" s="309"/>
      <c r="U26" s="309"/>
    </row>
    <row r="27" spans="1:21" ht="21" customHeight="1" thickBot="1">
      <c r="B27" s="1487"/>
      <c r="C27" s="1487"/>
      <c r="D27" s="1488"/>
      <c r="E27" s="1462"/>
      <c r="F27" s="1462"/>
      <c r="G27" s="1462"/>
      <c r="H27" s="1462"/>
      <c r="I27" s="1462"/>
      <c r="J27" s="1462"/>
      <c r="K27" s="1462"/>
      <c r="L27" s="1463"/>
      <c r="O27" s="309"/>
      <c r="P27" s="309"/>
      <c r="Q27" s="309"/>
      <c r="R27" s="309"/>
      <c r="S27" s="309"/>
      <c r="T27" s="309"/>
      <c r="U27" s="309"/>
    </row>
    <row r="28" spans="1:21" ht="21" customHeight="1" thickTop="1" thickBot="1">
      <c r="B28" s="144"/>
      <c r="C28" s="27"/>
      <c r="D28" s="75" t="s">
        <v>521</v>
      </c>
      <c r="E28" s="1466">
        <f t="shared" ref="E28:L28" si="2">SUM(E9:E27)</f>
        <v>1793258.3399999999</v>
      </c>
      <c r="F28" s="1466">
        <f>SUM(F9:F27)</f>
        <v>0</v>
      </c>
      <c r="G28" s="1466">
        <f t="shared" si="2"/>
        <v>0</v>
      </c>
      <c r="H28" s="1466">
        <f t="shared" si="2"/>
        <v>0</v>
      </c>
      <c r="I28" s="1466">
        <f t="shared" si="2"/>
        <v>795521.28</v>
      </c>
      <c r="J28" s="1466">
        <f t="shared" si="2"/>
        <v>0</v>
      </c>
      <c r="K28" s="1467">
        <f t="shared" si="2"/>
        <v>997737.06</v>
      </c>
      <c r="L28" s="1467">
        <f t="shared" si="2"/>
        <v>0</v>
      </c>
    </row>
    <row r="29" spans="1:21" ht="13.5" customHeight="1" thickTop="1">
      <c r="B29" s="150"/>
      <c r="C29" s="44" t="s">
        <v>522</v>
      </c>
      <c r="D29" s="148"/>
      <c r="E29" s="42"/>
      <c r="F29" s="42"/>
      <c r="G29" s="42"/>
      <c r="H29" s="42"/>
      <c r="I29" s="42"/>
      <c r="J29" s="42"/>
      <c r="K29" s="146"/>
      <c r="L29" s="146"/>
    </row>
    <row r="31" spans="1:21">
      <c r="L31" s="218"/>
    </row>
    <row r="32" spans="1:21">
      <c r="L32" s="218"/>
    </row>
    <row r="33" spans="12:12">
      <c r="L33" s="218"/>
    </row>
  </sheetData>
  <sheetProtection algorithmName="SHA-512" hashValue="XXfNOkOsTJzZ0LCDaUVzH8F86VGhxrZSmnjNZvTMfjCt+xf7N7f+52avdbxm4hJ+x68jFwb0vuEjM/0CiaccZA==" saltValue="BdUC68fQeOkubO7NhJ/vIQ==" spinCount="100000" sheet="1" objects="1" scenarios="1"/>
  <mergeCells count="12">
    <mergeCell ref="B20:D20"/>
    <mergeCell ref="B21:D21"/>
    <mergeCell ref="B22:D22"/>
    <mergeCell ref="B2:L2"/>
    <mergeCell ref="B3:L3"/>
    <mergeCell ref="K4:L6"/>
    <mergeCell ref="A17:A19"/>
    <mergeCell ref="B5:D5"/>
    <mergeCell ref="B6:D6"/>
    <mergeCell ref="B7:D7"/>
    <mergeCell ref="E4:F6"/>
    <mergeCell ref="B19:D19"/>
  </mergeCells>
  <phoneticPr fontId="0" type="noConversion"/>
  <pageMargins left="0.25" right="0.25" top="0.5" bottom="0.5" header="0.25" footer="0.25"/>
  <pageSetup paperSize="5" orientation="landscape" r:id="rId1"/>
  <headerFooter alignWithMargins="0"/>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0"/>
  <dimension ref="A1:T38"/>
  <sheetViews>
    <sheetView zoomScaleNormal="100" workbookViewId="0">
      <selection activeCell="G7" sqref="G7"/>
    </sheetView>
  </sheetViews>
  <sheetFormatPr defaultRowHeight="13.2"/>
  <cols>
    <col min="1" max="1" width="3.6640625" customWidth="1"/>
    <col min="2" max="3" width="4.88671875" customWidth="1"/>
    <col min="4" max="4" width="35.6640625" customWidth="1"/>
    <col min="5" max="12" width="15.6640625" customWidth="1"/>
    <col min="13" max="13" width="15.33203125" customWidth="1"/>
  </cols>
  <sheetData>
    <row r="1" spans="1:20" ht="8.25" customHeight="1"/>
    <row r="2" spans="1:20" ht="20.399999999999999">
      <c r="B2" s="1619" t="s">
        <v>524</v>
      </c>
      <c r="C2" s="1619"/>
      <c r="D2" s="1619"/>
      <c r="E2" s="1619"/>
      <c r="F2" s="1619"/>
      <c r="G2" s="1619"/>
      <c r="H2" s="1619"/>
      <c r="I2" s="1619"/>
      <c r="J2" s="1619"/>
      <c r="K2" s="1619"/>
      <c r="L2" s="1619"/>
    </row>
    <row r="3" spans="1:20" ht="9.75" customHeight="1" thickBot="1">
      <c r="B3" s="1619"/>
      <c r="C3" s="1619"/>
      <c r="D3" s="1619"/>
      <c r="E3" s="1619"/>
      <c r="F3" s="1619"/>
      <c r="G3" s="1619"/>
      <c r="H3" s="1619"/>
      <c r="I3" s="1619"/>
      <c r="J3" s="1619"/>
      <c r="K3" s="1619"/>
      <c r="L3" s="1619"/>
    </row>
    <row r="4" spans="1:20"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20" ht="13.5" customHeight="1">
      <c r="B5" s="1663" t="s">
        <v>515</v>
      </c>
      <c r="C5" s="1663"/>
      <c r="D5" s="1715"/>
      <c r="E5" s="1860"/>
      <c r="F5" s="1861"/>
      <c r="G5" s="20"/>
      <c r="H5" s="20"/>
      <c r="I5" s="20"/>
      <c r="J5" s="20"/>
      <c r="K5" s="1860"/>
      <c r="L5" s="1866"/>
    </row>
    <row r="6" spans="1:20" ht="13.5" customHeight="1">
      <c r="B6" s="1663" t="s">
        <v>516</v>
      </c>
      <c r="C6" s="1663"/>
      <c r="D6" s="1715"/>
      <c r="E6" s="1862"/>
      <c r="F6" s="1863"/>
      <c r="G6" s="20" t="str">
        <f>IF('KEY INPUTS'!C42="State Fiscal Year","Fiscal Year "&amp;'KEY INPUTS'!D33&amp;"",'KEY INPUTS'!D34)&amp;""</f>
        <v>2021</v>
      </c>
      <c r="H6" s="878" t="s">
        <v>218</v>
      </c>
      <c r="I6" s="20" t="s">
        <v>235</v>
      </c>
      <c r="J6" s="20" t="s">
        <v>520</v>
      </c>
      <c r="K6" s="1862"/>
      <c r="L6" s="1867"/>
    </row>
    <row r="7" spans="1:20" ht="13.5" customHeight="1">
      <c r="B7" s="1663" t="s">
        <v>517</v>
      </c>
      <c r="C7" s="1663"/>
      <c r="D7" s="1715"/>
      <c r="E7" s="13" t="s">
        <v>518</v>
      </c>
      <c r="F7" s="13" t="s">
        <v>519</v>
      </c>
      <c r="G7" s="13" t="s">
        <v>520</v>
      </c>
      <c r="H7" s="270"/>
      <c r="I7" s="13"/>
      <c r="J7" s="13" t="s">
        <v>439</v>
      </c>
      <c r="K7" s="13" t="s">
        <v>518</v>
      </c>
      <c r="L7" s="21" t="s">
        <v>519</v>
      </c>
    </row>
    <row r="8" spans="1:20" ht="13.5" customHeight="1" thickBot="1">
      <c r="B8" s="10"/>
      <c r="C8" s="10"/>
      <c r="D8" s="10"/>
      <c r="E8" s="14"/>
      <c r="F8" s="14"/>
      <c r="G8" s="16"/>
      <c r="H8" s="16"/>
      <c r="I8" s="14"/>
      <c r="J8" s="14"/>
      <c r="K8" s="16"/>
      <c r="L8" s="152"/>
    </row>
    <row r="9" spans="1:20" ht="21" customHeight="1" thickTop="1">
      <c r="B9" s="219" t="s">
        <v>3266</v>
      </c>
      <c r="C9" s="22"/>
      <c r="D9" s="23"/>
      <c r="E9" s="1464">
        <f>'35- Cap Fund Imprv Auth'!E28</f>
        <v>1793258.3399999999</v>
      </c>
      <c r="F9" s="1464">
        <f>'35- Cap Fund Imprv Auth'!F28</f>
        <v>0</v>
      </c>
      <c r="G9" s="1464">
        <f>+'35- Cap Fund Imprv Auth'!G28</f>
        <v>0</v>
      </c>
      <c r="H9" s="1464">
        <f>+'35- Cap Fund Imprv Auth'!H28</f>
        <v>0</v>
      </c>
      <c r="I9" s="1464">
        <f>+'35- Cap Fund Imprv Auth'!I28</f>
        <v>795521.28</v>
      </c>
      <c r="J9" s="1464">
        <f>+'35- Cap Fund Imprv Auth'!J28</f>
        <v>0</v>
      </c>
      <c r="K9" s="1464">
        <f>+'35- Cap Fund Imprv Auth'!K28</f>
        <v>997737.06</v>
      </c>
      <c r="L9" s="1465">
        <f>+'35- Cap Fund Imprv Auth'!L28</f>
        <v>0</v>
      </c>
    </row>
    <row r="10" spans="1:20" ht="21" customHeight="1">
      <c r="B10" s="1487"/>
      <c r="C10" s="1487"/>
      <c r="D10" s="1488"/>
      <c r="E10" s="547"/>
      <c r="F10" s="547"/>
      <c r="G10" s="547"/>
      <c r="H10" s="547"/>
      <c r="I10" s="547"/>
      <c r="J10" s="547"/>
      <c r="K10" s="547"/>
      <c r="L10" s="669"/>
      <c r="N10" s="309"/>
      <c r="O10" s="309"/>
      <c r="P10" s="309"/>
      <c r="Q10" s="309"/>
      <c r="R10" s="309"/>
      <c r="S10" s="309"/>
      <c r="T10" s="309"/>
    </row>
    <row r="11" spans="1:20" ht="21" customHeight="1">
      <c r="B11" s="1487"/>
      <c r="C11" s="1487"/>
      <c r="D11" s="1488"/>
      <c r="E11" s="547"/>
      <c r="F11" s="547"/>
      <c r="G11" s="547"/>
      <c r="H11" s="547"/>
      <c r="I11" s="547"/>
      <c r="J11" s="547"/>
      <c r="K11" s="547"/>
      <c r="L11" s="669"/>
      <c r="N11" s="309"/>
      <c r="O11" s="309"/>
      <c r="P11" s="309"/>
      <c r="Q11" s="309"/>
      <c r="R11" s="309"/>
      <c r="S11" s="309"/>
      <c r="T11" s="309"/>
    </row>
    <row r="12" spans="1:20" ht="21" customHeight="1">
      <c r="A12" s="1692" t="s">
        <v>3494</v>
      </c>
      <c r="B12" s="1487"/>
      <c r="C12" s="1487"/>
      <c r="D12" s="1488"/>
      <c r="E12" s="547"/>
      <c r="F12" s="547"/>
      <c r="G12" s="547"/>
      <c r="H12" s="547"/>
      <c r="I12" s="547"/>
      <c r="J12" s="547"/>
      <c r="K12" s="547"/>
      <c r="L12" s="669"/>
      <c r="M12" s="218"/>
      <c r="N12" s="309"/>
      <c r="O12" s="309"/>
      <c r="P12" s="309"/>
      <c r="Q12" s="309"/>
      <c r="R12" s="309"/>
      <c r="S12" s="309"/>
      <c r="T12" s="309"/>
    </row>
    <row r="13" spans="1:20" ht="21" customHeight="1">
      <c r="A13" s="1692"/>
      <c r="B13" s="1487"/>
      <c r="C13" s="1487"/>
      <c r="D13" s="1488"/>
      <c r="E13" s="547"/>
      <c r="F13" s="547"/>
      <c r="G13" s="547"/>
      <c r="H13" s="547"/>
      <c r="I13" s="547"/>
      <c r="J13" s="547"/>
      <c r="K13" s="547"/>
      <c r="L13" s="669"/>
      <c r="N13" s="309"/>
      <c r="O13" s="309"/>
      <c r="P13" s="309"/>
      <c r="Q13" s="309"/>
      <c r="R13" s="309"/>
      <c r="S13" s="309"/>
      <c r="T13" s="309"/>
    </row>
    <row r="14" spans="1:20" s="309" customFormat="1" ht="21" customHeight="1">
      <c r="A14" s="1692"/>
      <c r="B14" s="1487"/>
      <c r="C14" s="1487"/>
      <c r="D14" s="1488"/>
      <c r="E14" s="547"/>
      <c r="F14" s="547"/>
      <c r="G14" s="547"/>
      <c r="H14" s="547"/>
      <c r="I14" s="547"/>
      <c r="J14" s="547"/>
      <c r="K14" s="547"/>
      <c r="L14" s="669"/>
    </row>
    <row r="15" spans="1:20" s="309" customFormat="1" ht="21" customHeight="1">
      <c r="A15" s="1692"/>
      <c r="B15" s="1487"/>
      <c r="C15" s="1487"/>
      <c r="D15" s="1488"/>
      <c r="E15" s="547"/>
      <c r="F15" s="547"/>
      <c r="G15" s="547"/>
      <c r="H15" s="547"/>
      <c r="I15" s="547"/>
      <c r="J15" s="547"/>
      <c r="K15" s="547"/>
      <c r="L15" s="669"/>
    </row>
    <row r="16" spans="1:20" s="309" customFormat="1" ht="21" customHeight="1">
      <c r="A16" s="1692"/>
      <c r="B16" s="1487"/>
      <c r="C16" s="1487"/>
      <c r="D16" s="1488"/>
      <c r="E16" s="547"/>
      <c r="F16" s="547"/>
      <c r="G16" s="547"/>
      <c r="H16" s="547"/>
      <c r="I16" s="547"/>
      <c r="J16" s="547"/>
      <c r="K16" s="547"/>
      <c r="L16" s="669"/>
    </row>
    <row r="17" spans="1:20" s="309" customFormat="1" ht="21" customHeight="1">
      <c r="A17" s="1692"/>
      <c r="B17" s="1487"/>
      <c r="C17" s="1487"/>
      <c r="D17" s="1488"/>
      <c r="E17" s="547"/>
      <c r="F17" s="547"/>
      <c r="G17" s="547"/>
      <c r="H17" s="547"/>
      <c r="I17" s="547"/>
      <c r="J17" s="547"/>
      <c r="K17" s="547"/>
      <c r="L17" s="669"/>
    </row>
    <row r="18" spans="1:20" s="309" customFormat="1" ht="21" customHeight="1">
      <c r="A18" s="1692"/>
      <c r="B18" s="1487"/>
      <c r="C18" s="1487"/>
      <c r="D18" s="1488"/>
      <c r="E18" s="547"/>
      <c r="F18" s="547"/>
      <c r="G18" s="547"/>
      <c r="H18" s="547"/>
      <c r="I18" s="547"/>
      <c r="J18" s="547"/>
      <c r="K18" s="547"/>
      <c r="L18" s="669"/>
    </row>
    <row r="19" spans="1:20" s="309" customFormat="1" ht="21" customHeight="1">
      <c r="A19" s="1692"/>
      <c r="B19" s="1487"/>
      <c r="C19" s="1487"/>
      <c r="D19" s="1488"/>
      <c r="E19" s="547"/>
      <c r="F19" s="547"/>
      <c r="G19" s="547"/>
      <c r="H19" s="547"/>
      <c r="I19" s="547"/>
      <c r="J19" s="547"/>
      <c r="K19" s="547"/>
      <c r="L19" s="669"/>
    </row>
    <row r="20" spans="1:20" s="309" customFormat="1" ht="21" customHeight="1">
      <c r="A20" s="1692"/>
      <c r="B20" s="1487"/>
      <c r="C20" s="1487"/>
      <c r="D20" s="1488"/>
      <c r="E20" s="547"/>
      <c r="F20" s="547"/>
      <c r="G20" s="547"/>
      <c r="H20" s="547"/>
      <c r="I20" s="547"/>
      <c r="J20" s="547"/>
      <c r="K20" s="547"/>
      <c r="L20" s="669"/>
    </row>
    <row r="21" spans="1:20" s="309" customFormat="1" ht="21" customHeight="1">
      <c r="A21" s="1692"/>
      <c r="B21" s="1487"/>
      <c r="C21" s="1487"/>
      <c r="D21" s="1488"/>
      <c r="E21" s="547"/>
      <c r="F21" s="547"/>
      <c r="G21" s="547"/>
      <c r="H21" s="547"/>
      <c r="I21" s="547"/>
      <c r="J21" s="547"/>
      <c r="K21" s="547"/>
      <c r="L21" s="669"/>
    </row>
    <row r="22" spans="1:20" s="309" customFormat="1" ht="21" customHeight="1">
      <c r="A22" s="1692"/>
      <c r="B22" s="1487"/>
      <c r="C22" s="1487"/>
      <c r="D22" s="1488"/>
      <c r="E22" s="547"/>
      <c r="F22" s="547"/>
      <c r="G22" s="547"/>
      <c r="H22" s="547"/>
      <c r="I22" s="547"/>
      <c r="J22" s="547"/>
      <c r="K22" s="547"/>
      <c r="L22" s="669"/>
    </row>
    <row r="23" spans="1:20" s="309" customFormat="1" ht="21" customHeight="1">
      <c r="A23" s="1692"/>
      <c r="B23" s="1487"/>
      <c r="C23" s="1487"/>
      <c r="D23" s="1488"/>
      <c r="E23" s="547"/>
      <c r="F23" s="547"/>
      <c r="G23" s="547"/>
      <c r="H23" s="547"/>
      <c r="I23" s="547"/>
      <c r="J23" s="547"/>
      <c r="K23" s="547"/>
      <c r="L23" s="669"/>
    </row>
    <row r="24" spans="1:20" ht="21" customHeight="1">
      <c r="A24" s="1692"/>
      <c r="B24" s="1487"/>
      <c r="C24" s="1487"/>
      <c r="D24" s="1488"/>
      <c r="E24" s="547"/>
      <c r="F24" s="547"/>
      <c r="G24" s="547"/>
      <c r="H24" s="547"/>
      <c r="I24" s="547"/>
      <c r="J24" s="547"/>
      <c r="K24" s="547"/>
      <c r="L24" s="669"/>
      <c r="M24" s="218"/>
      <c r="N24" s="309"/>
      <c r="O24" s="309"/>
      <c r="P24" s="309"/>
      <c r="Q24" s="309"/>
      <c r="R24" s="309"/>
      <c r="S24" s="309"/>
      <c r="T24" s="309"/>
    </row>
    <row r="25" spans="1:20" ht="21" customHeight="1">
      <c r="B25" s="1487"/>
      <c r="C25" s="1487"/>
      <c r="D25" s="1488"/>
      <c r="E25" s="547"/>
      <c r="F25" s="547"/>
      <c r="G25" s="547"/>
      <c r="H25" s="547"/>
      <c r="I25" s="547"/>
      <c r="J25" s="547"/>
      <c r="K25" s="547"/>
      <c r="L25" s="669"/>
      <c r="N25" s="309"/>
      <c r="O25" s="309"/>
      <c r="P25" s="309"/>
      <c r="Q25" s="309"/>
      <c r="R25" s="309"/>
      <c r="S25" s="309"/>
      <c r="T25" s="309"/>
    </row>
    <row r="26" spans="1:20" ht="21" customHeight="1">
      <c r="B26" s="1487"/>
      <c r="C26" s="1487"/>
      <c r="D26" s="1488"/>
      <c r="E26" s="547"/>
      <c r="F26" s="547"/>
      <c r="G26" s="547"/>
      <c r="H26" s="547"/>
      <c r="I26" s="547"/>
      <c r="J26" s="547"/>
      <c r="K26" s="547"/>
      <c r="L26" s="669"/>
      <c r="N26" s="309"/>
      <c r="O26" s="309"/>
      <c r="P26" s="309"/>
      <c r="Q26" s="309"/>
      <c r="R26" s="309"/>
      <c r="S26" s="309"/>
      <c r="T26" s="309"/>
    </row>
    <row r="27" spans="1:20" ht="21" customHeight="1" thickBot="1">
      <c r="B27" s="1487"/>
      <c r="C27" s="1487"/>
      <c r="D27" s="1488"/>
      <c r="E27" s="1462"/>
      <c r="F27" s="1462"/>
      <c r="G27" s="1462"/>
      <c r="H27" s="1462"/>
      <c r="I27" s="1462"/>
      <c r="J27" s="1462"/>
      <c r="K27" s="1462"/>
      <c r="L27" s="1463"/>
      <c r="N27" s="309"/>
      <c r="O27" s="309"/>
      <c r="P27" s="309"/>
      <c r="Q27" s="309"/>
      <c r="R27" s="309"/>
      <c r="S27" s="309"/>
      <c r="T27" s="309"/>
    </row>
    <row r="28" spans="1:20" ht="21" customHeight="1" thickTop="1" thickBot="1">
      <c r="B28" s="144"/>
      <c r="C28" s="27"/>
      <c r="D28" s="757" t="s">
        <v>3265</v>
      </c>
      <c r="E28" s="1466">
        <f>SUM(E9:E27)</f>
        <v>1793258.3399999999</v>
      </c>
      <c r="F28" s="1466">
        <f>SUM(F9:F27)</f>
        <v>0</v>
      </c>
      <c r="G28" s="1466">
        <f t="shared" ref="G28:K28" si="0">SUM(G9:G27)</f>
        <v>0</v>
      </c>
      <c r="H28" s="1466">
        <f t="shared" si="0"/>
        <v>0</v>
      </c>
      <c r="I28" s="1466">
        <f t="shared" si="0"/>
        <v>795521.28</v>
      </c>
      <c r="J28" s="1466">
        <f t="shared" si="0"/>
        <v>0</v>
      </c>
      <c r="K28" s="1466">
        <f t="shared" si="0"/>
        <v>997737.06</v>
      </c>
      <c r="L28" s="1467">
        <f>SUM(L9:L27)</f>
        <v>0</v>
      </c>
    </row>
    <row r="29" spans="1:20" ht="13.5" customHeight="1" thickTop="1">
      <c r="B29" s="150"/>
      <c r="C29" s="44" t="s">
        <v>522</v>
      </c>
      <c r="D29" s="148"/>
      <c r="E29" s="42"/>
      <c r="F29" s="42"/>
      <c r="G29" s="42"/>
      <c r="H29" s="42"/>
      <c r="I29" s="42"/>
      <c r="J29" s="42"/>
      <c r="K29" s="146"/>
      <c r="L29" s="146"/>
    </row>
    <row r="30" spans="1:20">
      <c r="K30" s="218"/>
      <c r="L30" s="275"/>
    </row>
    <row r="33" spans="5:12">
      <c r="E33" s="312"/>
      <c r="F33" s="312"/>
    </row>
    <row r="34" spans="5:12">
      <c r="K34" s="312"/>
      <c r="L34" s="312"/>
    </row>
    <row r="35" spans="5:12">
      <c r="L35" s="218"/>
    </row>
    <row r="36" spans="5:12">
      <c r="L36" s="218"/>
    </row>
    <row r="38" spans="5:12">
      <c r="L38" s="312"/>
    </row>
  </sheetData>
  <sheetProtection algorithmName="SHA-512" hashValue="R1U/qgs+ma+LVbmpJH4nn6UBajZHrsORleDGQZHpy4ESU/yZ/dt/qy5Hgj6Bxk7g5ovg5LYot/uRVf9v8QYstg==" saltValue="iKohSeztEtZ/PRflAhEEVg==" spinCount="100000" sheet="1" objects="1" scenarios="1"/>
  <mergeCells count="8">
    <mergeCell ref="B2:L2"/>
    <mergeCell ref="B3:L3"/>
    <mergeCell ref="A12:A24"/>
    <mergeCell ref="B5:D5"/>
    <mergeCell ref="B6:D6"/>
    <mergeCell ref="B7:D7"/>
    <mergeCell ref="E4:F6"/>
    <mergeCell ref="K4:L6"/>
  </mergeCells>
  <phoneticPr fontId="0" type="noConversion"/>
  <pageMargins left="0.25" right="0.25" top="0.5" bottom="0.5" header="0.25" footer="0.25"/>
  <pageSetup paperSize="5" orientation="landscape" r:id="rId1"/>
  <headerFooter alignWithMargins="0"/>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1"/>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+'35.1- Cap Fund Imprv Auth '!E28</f>
        <v>1793258.3399999999</v>
      </c>
      <c r="F9" s="1464">
        <f>+'35.1- Cap Fund Imprv Auth '!F28</f>
        <v>0</v>
      </c>
      <c r="G9" s="1464">
        <f>+'35.1- Cap Fund Imprv Auth '!G28</f>
        <v>0</v>
      </c>
      <c r="H9" s="1464">
        <f>+'35.1- Cap Fund Imprv Auth '!H28</f>
        <v>0</v>
      </c>
      <c r="I9" s="1464">
        <f>+'35.1- Cap Fund Imprv Auth '!I28</f>
        <v>795521.28</v>
      </c>
      <c r="J9" s="1464">
        <f>+'35.1- Cap Fund Imprv Auth '!J28</f>
        <v>0</v>
      </c>
      <c r="K9" s="1464">
        <f>+'35.1- Cap Fund Imprv Auth '!K28</f>
        <v>997737.06</v>
      </c>
      <c r="L9" s="1465">
        <f>+'35.1- Cap Fund Imprv Auth '!L28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3495</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ieZJ5DdDU6fw8DQPKgig5LIo+FoVG4PLDbUsJ09U66/JtAhUmNL7Y9f6i6i115ygsy3PLiMaDQS3dhglZeuqLw==" saltValue="IoqtNtiosJetdG/2V7U67Q=="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2"/>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+'35.2- Cap Fund Imprv Auth'!E28</f>
        <v>1793258.3399999999</v>
      </c>
      <c r="F9" s="1464">
        <f>+'35.2- Cap Fund Imprv Auth'!F28</f>
        <v>0</v>
      </c>
      <c r="G9" s="1464">
        <f>+'35.2- Cap Fund Imprv Auth'!G28</f>
        <v>0</v>
      </c>
      <c r="H9" s="1464">
        <f>+'35.2- Cap Fund Imprv Auth'!H28</f>
        <v>0</v>
      </c>
      <c r="I9" s="1464">
        <f>+'35.2- Cap Fund Imprv Auth'!I28</f>
        <v>795521.28</v>
      </c>
      <c r="J9" s="1464">
        <f>+'35.2- Cap Fund Imprv Auth'!J28</f>
        <v>0</v>
      </c>
      <c r="K9" s="1464">
        <f>+'35.2- Cap Fund Imprv Auth'!K28</f>
        <v>997737.06</v>
      </c>
      <c r="L9" s="1465">
        <f>+'35.2-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3496</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qScgtrPh6Xshrjb7zUKvKrTNKZPgablWlwj9r5aek3tjJJPl10JjqAkvOcoi6BDe7bUEpkoDjwHdSZ76YoX3pg==" saltValue="i5n8wQUJsVgGkfD8fWAlYw=="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3"/>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+'35.3- Cap Fund Imprv Auth'!E28</f>
        <v>1793258.3399999999</v>
      </c>
      <c r="F9" s="1464">
        <f>+'35.3- Cap Fund Imprv Auth'!F28</f>
        <v>0</v>
      </c>
      <c r="G9" s="1464">
        <f>+'35.3- Cap Fund Imprv Auth'!G28</f>
        <v>0</v>
      </c>
      <c r="H9" s="1464">
        <f>+'35.3- Cap Fund Imprv Auth'!H28</f>
        <v>0</v>
      </c>
      <c r="I9" s="1464">
        <f>+'35.3- Cap Fund Imprv Auth'!I28</f>
        <v>795521.28</v>
      </c>
      <c r="J9" s="1464">
        <f>+'35.3- Cap Fund Imprv Auth'!J28</f>
        <v>0</v>
      </c>
      <c r="K9" s="1464">
        <f>+'35.3- Cap Fund Imprv Auth'!K28</f>
        <v>997737.06</v>
      </c>
      <c r="L9" s="1465">
        <f>+'35.3-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3497</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uPHFMmdDr1UdK1fqbdWnNKlXoLKzytvGp3VE56ao2leOHZT1kqdrMoTPLHosh519VR5yzTqQ0PXeuK+gSTgi1w==" saltValue="XvApd57oC0qAyOAxz+HPGA=="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4"/>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+'35.4- Cap Fund Imprv Auth'!E28</f>
        <v>1793258.3399999999</v>
      </c>
      <c r="F9" s="1464">
        <f>+'35.4- Cap Fund Imprv Auth'!F28</f>
        <v>0</v>
      </c>
      <c r="G9" s="1464">
        <f>+'35.4- Cap Fund Imprv Auth'!G28</f>
        <v>0</v>
      </c>
      <c r="H9" s="1464">
        <f>+'35.4- Cap Fund Imprv Auth'!H28</f>
        <v>0</v>
      </c>
      <c r="I9" s="1464">
        <f>+'35.4- Cap Fund Imprv Auth'!I28</f>
        <v>795521.28</v>
      </c>
      <c r="J9" s="1464">
        <f>+'35.4- Cap Fund Imprv Auth'!J28</f>
        <v>0</v>
      </c>
      <c r="K9" s="1464">
        <f>+'35.4- Cap Fund Imprv Auth'!K28</f>
        <v>997737.06</v>
      </c>
      <c r="L9" s="1465">
        <f>+'35.4-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3498</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BhFh0uETseNCbqVpA/uzFW85SLzh3faCEF9S1u4FLorzb5x7LB4awGr39BGkG5y6+D682AD4dd14JlFTaumCkw==" saltValue="QtQpLyjruoZOw5t6amm54A=="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5"/>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+'35.5- Cap Fund Imprv Auth'!E28</f>
        <v>1793258.3399999999</v>
      </c>
      <c r="F9" s="1464">
        <f>+'35.5- Cap Fund Imprv Auth'!F28</f>
        <v>0</v>
      </c>
      <c r="G9" s="1464">
        <f>+'35.5- Cap Fund Imprv Auth'!G28</f>
        <v>0</v>
      </c>
      <c r="H9" s="1464">
        <f>+'35.5- Cap Fund Imprv Auth'!H28</f>
        <v>0</v>
      </c>
      <c r="I9" s="1464">
        <f>+'35.5- Cap Fund Imprv Auth'!I28</f>
        <v>795521.28</v>
      </c>
      <c r="J9" s="1464">
        <f>+'35.5- Cap Fund Imprv Auth'!J28</f>
        <v>0</v>
      </c>
      <c r="K9" s="1464">
        <f>+'35.5- Cap Fund Imprv Auth'!K28</f>
        <v>997737.06</v>
      </c>
      <c r="L9" s="1465">
        <f>+'35.5-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3499</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qYYzpbIbkJ8MYYxTMUQtWnSs4vhKkSMn2R1NOQoNiEnatslhDqzCEmojnqvsxafVu4gQiT5DJEl8A6z2lN+Qpw==" saltValue="nRhdt/Spr/H6RTDLgBqe3w=="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6"/>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+'35.6- Cap Fund Imprv Auth'!E28</f>
        <v>1793258.3399999999</v>
      </c>
      <c r="F9" s="1464">
        <f>+'35.6- Cap Fund Imprv Auth'!F28</f>
        <v>0</v>
      </c>
      <c r="G9" s="1464">
        <f>+'35.6- Cap Fund Imprv Auth'!G28</f>
        <v>0</v>
      </c>
      <c r="H9" s="1464">
        <f>+'35.6- Cap Fund Imprv Auth'!H28</f>
        <v>0</v>
      </c>
      <c r="I9" s="1464">
        <f>+'35.6- Cap Fund Imprv Auth'!I28</f>
        <v>795521.28</v>
      </c>
      <c r="J9" s="1464">
        <f>+'35.6- Cap Fund Imprv Auth'!J28</f>
        <v>0</v>
      </c>
      <c r="K9" s="1464">
        <f>+'35.6- Cap Fund Imprv Auth'!K28</f>
        <v>997737.06</v>
      </c>
      <c r="L9" s="1465">
        <f>+'35.6-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3500</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MrNxeJfsdrCHhsRvVGhIQjCn2APx6sbmNfeg5iukkZ/vmCjcFO5hQrHo6g+hJ0P/P5/XSQ5FyupDFZkuW6FrpQ==" saltValue="ooJ4ZD4oXEFIaU8bP9c4Iw=="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7"/>
  <dimension ref="A1:M38"/>
  <sheetViews>
    <sheetView zoomScaleNormal="100" workbookViewId="0">
      <selection activeCell="R31" sqref="R31"/>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+'35.7- Cap Fund Imprv Auth'!E28</f>
        <v>1793258.3399999999</v>
      </c>
      <c r="F9" s="1464">
        <f>+'35.7- Cap Fund Imprv Auth'!F28</f>
        <v>0</v>
      </c>
      <c r="G9" s="1464">
        <f>+'35.7- Cap Fund Imprv Auth'!G28</f>
        <v>0</v>
      </c>
      <c r="H9" s="1464">
        <f>+'35.7- Cap Fund Imprv Auth'!H28</f>
        <v>0</v>
      </c>
      <c r="I9" s="1464">
        <f>+'35.7- Cap Fund Imprv Auth'!I28</f>
        <v>795521.28</v>
      </c>
      <c r="J9" s="1464">
        <f>+'35.7- Cap Fund Imprv Auth'!J28</f>
        <v>0</v>
      </c>
      <c r="K9" s="1464">
        <f>+'35.7- Cap Fund Imprv Auth'!K28</f>
        <v>997737.06</v>
      </c>
      <c r="L9" s="1465">
        <f>+'35.7-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3501</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SZKMjg+5OxbejPcs0F2bZCL4jYVpE3f2gzXAZfhFV6eklHaeahguj/Sd1B7vJ+vqMDEK2ZIyW1cAGqc0gyzHXw==" saltValue="tTAA3tHyu7UBaLNsYsN5SA=="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8"/>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+'35.8- Cap Fund Imprv Auth'!E28</f>
        <v>1793258.3399999999</v>
      </c>
      <c r="F9" s="1464">
        <f>+'35.8- Cap Fund Imprv Auth'!F28</f>
        <v>0</v>
      </c>
      <c r="G9" s="1464">
        <f>+'35.8- Cap Fund Imprv Auth'!G28</f>
        <v>0</v>
      </c>
      <c r="H9" s="1464">
        <f>+'35.8- Cap Fund Imprv Auth'!H28</f>
        <v>0</v>
      </c>
      <c r="I9" s="1464">
        <f>+'35.8- Cap Fund Imprv Auth'!I28</f>
        <v>795521.28</v>
      </c>
      <c r="J9" s="1464">
        <f>+'35.8- Cap Fund Imprv Auth'!J28</f>
        <v>0</v>
      </c>
      <c r="K9" s="1464">
        <f>+'35.8- Cap Fund Imprv Auth'!K28</f>
        <v>997737.06</v>
      </c>
      <c r="L9" s="1465">
        <f>+'35.8-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3502</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87"/>
      <c r="C27" s="1487"/>
      <c r="D27" s="1488"/>
      <c r="E27" s="1462"/>
      <c r="F27" s="1462"/>
      <c r="G27" s="1462"/>
      <c r="H27" s="1462"/>
      <c r="I27" s="1462"/>
      <c r="J27" s="1462"/>
      <c r="K27" s="1462"/>
      <c r="L27" s="1463"/>
    </row>
    <row r="28" spans="1:13" ht="21" customHeight="1" thickTop="1" thickBot="1">
      <c r="B28" s="144"/>
      <c r="C28" s="27"/>
      <c r="D28" s="757" t="s">
        <v>3265</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VWGZQBfmoUUJA0AaqhnZxX+XmtRcJNXhpLI1H87vbU7aLrpJu7bAPklUmIY+MeFsDnQq8BwBDYBWOATecqCfrQ==" saltValue="RNHti+RghnDzLpwNBxAp9Q=="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9"/>
  <dimension ref="A1:M38"/>
  <sheetViews>
    <sheetView zoomScaleNormal="100" workbookViewId="0">
      <selection activeCell="G7" sqref="G7"/>
    </sheetView>
  </sheetViews>
  <sheetFormatPr defaultColWidth="9.109375" defaultRowHeight="13.2"/>
  <cols>
    <col min="1" max="1" width="3.6640625" style="309" customWidth="1"/>
    <col min="2" max="3" width="4.88671875" style="309" customWidth="1"/>
    <col min="4" max="4" width="35.6640625" style="309" customWidth="1"/>
    <col min="5" max="12" width="15.6640625" style="309" customWidth="1"/>
    <col min="13" max="13" width="15.33203125" style="309" customWidth="1"/>
    <col min="14" max="16384" width="9.109375" style="309"/>
  </cols>
  <sheetData>
    <row r="1" spans="1:13" ht="8.25" customHeight="1"/>
    <row r="2" spans="1:13" ht="20.399999999999999">
      <c r="B2" s="1619" t="s">
        <v>524</v>
      </c>
      <c r="C2" s="1619"/>
      <c r="D2" s="1619"/>
      <c r="E2" s="1619"/>
      <c r="F2" s="1619"/>
      <c r="G2" s="1619"/>
      <c r="H2" s="1619"/>
      <c r="I2" s="1619"/>
      <c r="J2" s="1619"/>
      <c r="K2" s="1619"/>
      <c r="L2" s="1619"/>
    </row>
    <row r="3" spans="1:13" ht="9.75" customHeight="1" thickBot="1">
      <c r="B3" s="1619"/>
      <c r="C3" s="1619"/>
      <c r="D3" s="1619"/>
      <c r="E3" s="1619"/>
      <c r="F3" s="1619"/>
      <c r="G3" s="1619"/>
      <c r="H3" s="1619"/>
      <c r="I3" s="1619"/>
      <c r="J3" s="1619"/>
      <c r="K3" s="1619"/>
      <c r="L3" s="1619"/>
    </row>
    <row r="4" spans="1:13" ht="13.5" customHeight="1" thickTop="1">
      <c r="B4" s="11"/>
      <c r="C4" s="11"/>
      <c r="D4" s="11"/>
      <c r="E4" s="1859" t="str">
        <f>'35- Cap Fund Imprv Auth'!E4:F6</f>
        <v>Balance - January 1, 2021</v>
      </c>
      <c r="F4" s="1737"/>
      <c r="G4" s="12"/>
      <c r="H4" s="12"/>
      <c r="I4" s="12"/>
      <c r="J4" s="12"/>
      <c r="K4" s="1859" t="str">
        <f>'35- Cap Fund Imprv Auth'!K4:L6</f>
        <v>Balance - December 31, 2021</v>
      </c>
      <c r="L4" s="1865"/>
    </row>
    <row r="5" spans="1:13" ht="13.5" customHeight="1">
      <c r="B5" s="1663" t="s">
        <v>515</v>
      </c>
      <c r="C5" s="1663"/>
      <c r="D5" s="1715"/>
      <c r="E5" s="1860"/>
      <c r="F5" s="1861"/>
      <c r="G5" s="721"/>
      <c r="H5" s="721"/>
      <c r="I5" s="721"/>
      <c r="J5" s="721"/>
      <c r="K5" s="1860"/>
      <c r="L5" s="1866"/>
    </row>
    <row r="6" spans="1:13" ht="13.5" customHeight="1">
      <c r="B6" s="1663" t="s">
        <v>516</v>
      </c>
      <c r="C6" s="1663"/>
      <c r="D6" s="1715"/>
      <c r="E6" s="1862"/>
      <c r="F6" s="1863"/>
      <c r="G6" s="721" t="str">
        <f>IF('KEY INPUTS'!C42="State Fiscal Year","Fiscal Year "&amp;'KEY INPUTS'!D33&amp;"",'KEY INPUTS'!D34)&amp;""</f>
        <v>2021</v>
      </c>
      <c r="H6" s="878" t="s">
        <v>218</v>
      </c>
      <c r="I6" s="721" t="s">
        <v>235</v>
      </c>
      <c r="J6" s="721" t="s">
        <v>520</v>
      </c>
      <c r="K6" s="1862"/>
      <c r="L6" s="1867"/>
    </row>
    <row r="7" spans="1:13" ht="13.5" customHeight="1">
      <c r="B7" s="1663" t="s">
        <v>517</v>
      </c>
      <c r="C7" s="1663"/>
      <c r="D7" s="1715"/>
      <c r="E7" s="270" t="s">
        <v>518</v>
      </c>
      <c r="F7" s="270" t="s">
        <v>519</v>
      </c>
      <c r="G7" s="270" t="s">
        <v>520</v>
      </c>
      <c r="H7" s="270"/>
      <c r="I7" s="270"/>
      <c r="J7" s="270" t="s">
        <v>439</v>
      </c>
      <c r="K7" s="270" t="s">
        <v>518</v>
      </c>
      <c r="L7" s="21" t="s">
        <v>519</v>
      </c>
    </row>
    <row r="8" spans="1:13" ht="13.5" customHeight="1" thickBot="1">
      <c r="B8" s="10"/>
      <c r="C8" s="10"/>
      <c r="D8" s="10"/>
      <c r="E8" s="14"/>
      <c r="F8" s="14"/>
      <c r="G8" s="16"/>
      <c r="H8" s="16"/>
      <c r="I8" s="14"/>
      <c r="J8" s="14"/>
      <c r="K8" s="16"/>
      <c r="L8" s="152"/>
    </row>
    <row r="9" spans="1:13" ht="21" customHeight="1" thickTop="1">
      <c r="B9" s="219" t="s">
        <v>3266</v>
      </c>
      <c r="C9" s="271"/>
      <c r="D9" s="23"/>
      <c r="E9" s="1464">
        <f>+'35.9- Cap Fund Imprv Auth'!E28</f>
        <v>1793258.3399999999</v>
      </c>
      <c r="F9" s="1464">
        <f>+'35.9- Cap Fund Imprv Auth'!F28</f>
        <v>0</v>
      </c>
      <c r="G9" s="1464">
        <f>+'35.9- Cap Fund Imprv Auth'!G28</f>
        <v>0</v>
      </c>
      <c r="H9" s="1464">
        <f>+'35.9- Cap Fund Imprv Auth'!H28</f>
        <v>0</v>
      </c>
      <c r="I9" s="1464">
        <f>+'35.9- Cap Fund Imprv Auth'!I28</f>
        <v>795521.28</v>
      </c>
      <c r="J9" s="1464">
        <f>+'35.9- Cap Fund Imprv Auth'!J28</f>
        <v>0</v>
      </c>
      <c r="K9" s="1464">
        <f>+'35.9- Cap Fund Imprv Auth'!K28</f>
        <v>997737.06</v>
      </c>
      <c r="L9" s="1465">
        <f>+'35.9- Cap Fund Imprv Auth'!L28</f>
        <v>0</v>
      </c>
    </row>
    <row r="10" spans="1:13" ht="21" customHeight="1">
      <c r="B10" s="1487"/>
      <c r="C10" s="1487"/>
      <c r="D10" s="1488"/>
      <c r="E10" s="547"/>
      <c r="F10" s="547"/>
      <c r="G10" s="547"/>
      <c r="H10" s="547"/>
      <c r="I10" s="547"/>
      <c r="J10" s="547"/>
      <c r="K10" s="547"/>
      <c r="L10" s="669"/>
    </row>
    <row r="11" spans="1:13" ht="21" customHeight="1">
      <c r="B11" s="1487"/>
      <c r="C11" s="1487"/>
      <c r="D11" s="1488"/>
      <c r="E11" s="547"/>
      <c r="F11" s="547"/>
      <c r="G11" s="547"/>
      <c r="H11" s="547"/>
      <c r="I11" s="547"/>
      <c r="J11" s="547"/>
      <c r="K11" s="547"/>
      <c r="L11" s="669"/>
    </row>
    <row r="12" spans="1:13" ht="21" customHeight="1">
      <c r="A12" s="1692" t="s">
        <v>3503</v>
      </c>
      <c r="B12" s="1487"/>
      <c r="C12" s="1487"/>
      <c r="D12" s="1488"/>
      <c r="E12" s="547"/>
      <c r="F12" s="547"/>
      <c r="G12" s="547"/>
      <c r="H12" s="547"/>
      <c r="I12" s="547"/>
      <c r="J12" s="547"/>
      <c r="K12" s="547"/>
      <c r="L12" s="669"/>
      <c r="M12" s="312"/>
    </row>
    <row r="13" spans="1:13" ht="21" customHeight="1">
      <c r="A13" s="1692"/>
      <c r="B13" s="1487"/>
      <c r="C13" s="1487"/>
      <c r="D13" s="1488"/>
      <c r="E13" s="547"/>
      <c r="F13" s="547"/>
      <c r="G13" s="547"/>
      <c r="H13" s="547"/>
      <c r="I13" s="547"/>
      <c r="J13" s="547"/>
      <c r="K13" s="547"/>
      <c r="L13" s="669"/>
    </row>
    <row r="14" spans="1:13" ht="21" customHeight="1">
      <c r="A14" s="1692"/>
      <c r="B14" s="1487"/>
      <c r="C14" s="1487"/>
      <c r="D14" s="1488"/>
      <c r="E14" s="547"/>
      <c r="F14" s="547"/>
      <c r="G14" s="547"/>
      <c r="H14" s="547"/>
      <c r="I14" s="547"/>
      <c r="J14" s="547"/>
      <c r="K14" s="547"/>
      <c r="L14" s="669"/>
    </row>
    <row r="15" spans="1:13" ht="21" customHeight="1">
      <c r="A15" s="1692"/>
      <c r="B15" s="1487"/>
      <c r="C15" s="1487"/>
      <c r="D15" s="1488"/>
      <c r="E15" s="547"/>
      <c r="F15" s="547"/>
      <c r="G15" s="547"/>
      <c r="H15" s="547"/>
      <c r="I15" s="547"/>
      <c r="J15" s="547"/>
      <c r="K15" s="547"/>
      <c r="L15" s="669"/>
    </row>
    <row r="16" spans="1:13" ht="21" customHeight="1">
      <c r="A16" s="1692"/>
      <c r="B16" s="1487"/>
      <c r="C16" s="1487"/>
      <c r="D16" s="1488"/>
      <c r="E16" s="547"/>
      <c r="F16" s="547"/>
      <c r="G16" s="547"/>
      <c r="H16" s="547"/>
      <c r="I16" s="547"/>
      <c r="J16" s="547"/>
      <c r="K16" s="547"/>
      <c r="L16" s="669"/>
    </row>
    <row r="17" spans="1:13" ht="21" customHeight="1">
      <c r="A17" s="1692"/>
      <c r="B17" s="1487"/>
      <c r="C17" s="1487"/>
      <c r="D17" s="1488"/>
      <c r="E17" s="547"/>
      <c r="F17" s="547"/>
      <c r="G17" s="547"/>
      <c r="H17" s="547"/>
      <c r="I17" s="547"/>
      <c r="J17" s="547"/>
      <c r="K17" s="547"/>
      <c r="L17" s="669"/>
    </row>
    <row r="18" spans="1:13" ht="21" customHeight="1">
      <c r="A18" s="1692"/>
      <c r="B18" s="1487"/>
      <c r="C18" s="1487"/>
      <c r="D18" s="1488"/>
      <c r="E18" s="547"/>
      <c r="F18" s="547"/>
      <c r="G18" s="547"/>
      <c r="H18" s="547"/>
      <c r="I18" s="547"/>
      <c r="J18" s="547"/>
      <c r="K18" s="547"/>
      <c r="L18" s="669"/>
    </row>
    <row r="19" spans="1:13" ht="21" customHeight="1">
      <c r="A19" s="1692"/>
      <c r="B19" s="1487"/>
      <c r="C19" s="1487"/>
      <c r="D19" s="1488"/>
      <c r="E19" s="547"/>
      <c r="F19" s="547"/>
      <c r="G19" s="547"/>
      <c r="H19" s="547"/>
      <c r="I19" s="547"/>
      <c r="J19" s="547"/>
      <c r="K19" s="547"/>
      <c r="L19" s="669"/>
    </row>
    <row r="20" spans="1:13" ht="21" customHeight="1">
      <c r="A20" s="1692"/>
      <c r="B20" s="1487"/>
      <c r="C20" s="1487"/>
      <c r="D20" s="1488"/>
      <c r="E20" s="547"/>
      <c r="F20" s="547"/>
      <c r="G20" s="547"/>
      <c r="H20" s="547"/>
      <c r="I20" s="547"/>
      <c r="J20" s="547"/>
      <c r="K20" s="547"/>
      <c r="L20" s="669"/>
    </row>
    <row r="21" spans="1:13" ht="21" customHeight="1">
      <c r="A21" s="1692"/>
      <c r="B21" s="1487"/>
      <c r="C21" s="1487"/>
      <c r="D21" s="1488"/>
      <c r="E21" s="547"/>
      <c r="F21" s="547"/>
      <c r="G21" s="547"/>
      <c r="H21" s="547"/>
      <c r="I21" s="547"/>
      <c r="J21" s="547"/>
      <c r="K21" s="547"/>
      <c r="L21" s="669"/>
    </row>
    <row r="22" spans="1:13" ht="21" customHeight="1">
      <c r="A22" s="1692"/>
      <c r="B22" s="1487"/>
      <c r="C22" s="1487"/>
      <c r="D22" s="1488"/>
      <c r="E22" s="547"/>
      <c r="F22" s="547"/>
      <c r="G22" s="547"/>
      <c r="H22" s="547"/>
      <c r="I22" s="547"/>
      <c r="J22" s="547"/>
      <c r="K22" s="547"/>
      <c r="L22" s="669"/>
    </row>
    <row r="23" spans="1:13" ht="21" customHeight="1">
      <c r="A23" s="1692"/>
      <c r="B23" s="1487"/>
      <c r="C23" s="1487"/>
      <c r="D23" s="1488"/>
      <c r="E23" s="547"/>
      <c r="F23" s="547"/>
      <c r="G23" s="547"/>
      <c r="H23" s="547"/>
      <c r="I23" s="547"/>
      <c r="J23" s="547"/>
      <c r="K23" s="547"/>
      <c r="L23" s="669"/>
    </row>
    <row r="24" spans="1:13" ht="21" customHeight="1">
      <c r="A24" s="1692"/>
      <c r="B24" s="1487"/>
      <c r="C24" s="1487"/>
      <c r="D24" s="1488"/>
      <c r="E24" s="547"/>
      <c r="F24" s="547"/>
      <c r="G24" s="547"/>
      <c r="H24" s="547"/>
      <c r="I24" s="547"/>
      <c r="J24" s="547"/>
      <c r="K24" s="547"/>
      <c r="L24" s="669"/>
      <c r="M24" s="312"/>
    </row>
    <row r="25" spans="1:13" ht="21" customHeight="1">
      <c r="B25" s="1487"/>
      <c r="C25" s="1487"/>
      <c r="D25" s="1488"/>
      <c r="E25" s="547"/>
      <c r="F25" s="547"/>
      <c r="G25" s="547"/>
      <c r="H25" s="547"/>
      <c r="I25" s="547"/>
      <c r="J25" s="547"/>
      <c r="K25" s="547"/>
      <c r="L25" s="669"/>
    </row>
    <row r="26" spans="1:13" ht="21" customHeight="1">
      <c r="B26" s="1487"/>
      <c r="C26" s="1487"/>
      <c r="D26" s="1488"/>
      <c r="E26" s="547"/>
      <c r="F26" s="547"/>
      <c r="G26" s="547"/>
      <c r="H26" s="547"/>
      <c r="I26" s="547"/>
      <c r="J26" s="547"/>
      <c r="K26" s="547"/>
      <c r="L26" s="669"/>
    </row>
    <row r="27" spans="1:13" ht="21" customHeight="1" thickBot="1">
      <c r="B27" s="143"/>
      <c r="C27" s="310"/>
      <c r="D27" s="73"/>
      <c r="E27" s="1468"/>
      <c r="F27" s="1468"/>
      <c r="G27" s="1468"/>
      <c r="H27" s="1468"/>
      <c r="I27" s="1468"/>
      <c r="J27" s="1468"/>
      <c r="K27" s="1468"/>
      <c r="L27" s="1469"/>
    </row>
    <row r="28" spans="1:13" ht="21" customHeight="1" thickTop="1" thickBot="1">
      <c r="B28" s="144"/>
      <c r="C28" s="27"/>
      <c r="D28" s="757" t="s">
        <v>3347</v>
      </c>
      <c r="E28" s="1466">
        <f t="shared" ref="E28:K28" si="0">SUM(E9:E27)</f>
        <v>1793258.3399999999</v>
      </c>
      <c r="F28" s="1466">
        <f>SUM(F9:F27)</f>
        <v>0</v>
      </c>
      <c r="G28" s="1466">
        <f t="shared" si="0"/>
        <v>0</v>
      </c>
      <c r="H28" s="1466">
        <f t="shared" si="0"/>
        <v>0</v>
      </c>
      <c r="I28" s="1466">
        <f t="shared" si="0"/>
        <v>795521.28</v>
      </c>
      <c r="J28" s="1466">
        <f t="shared" si="0"/>
        <v>0</v>
      </c>
      <c r="K28" s="1466">
        <f t="shared" si="0"/>
        <v>997737.06</v>
      </c>
      <c r="L28" s="1467">
        <f>SUM(L9:L27)</f>
        <v>0</v>
      </c>
    </row>
    <row r="29" spans="1:13" ht="13.5" customHeight="1" thickTop="1">
      <c r="B29" s="150"/>
      <c r="C29" s="44" t="s">
        <v>522</v>
      </c>
      <c r="D29" s="148"/>
      <c r="E29" s="274"/>
      <c r="F29" s="274"/>
      <c r="G29" s="274"/>
      <c r="H29" s="274"/>
      <c r="I29" s="274"/>
      <c r="J29" s="274"/>
      <c r="K29" s="718"/>
      <c r="L29" s="718"/>
    </row>
    <row r="30" spans="1:13">
      <c r="K30" s="312"/>
      <c r="L30" s="275"/>
    </row>
    <row r="33" spans="5:12">
      <c r="E33" s="312"/>
      <c r="F33" s="312"/>
    </row>
    <row r="34" spans="5:12">
      <c r="K34" s="312"/>
      <c r="L34" s="312"/>
    </row>
    <row r="35" spans="5:12">
      <c r="L35" s="312"/>
    </row>
    <row r="36" spans="5:12">
      <c r="L36" s="312"/>
    </row>
    <row r="38" spans="5:12">
      <c r="L38" s="312"/>
    </row>
  </sheetData>
  <sheetProtection algorithmName="SHA-512" hashValue="jufYuMlj1mYJOwhBnDW4PsoYi5ziuAw9/evTj55wr/x7l7XwA6v9cPHo44w6yfx8ViOtphl7Hvcf3vXU9kMZyA==" saltValue="tbPlUc6/QVYSgxlcogJ7Lw==" spinCount="100000" sheet="1" objects="1" scenarios="1"/>
  <mergeCells count="8">
    <mergeCell ref="B7:D7"/>
    <mergeCell ref="A12:A24"/>
    <mergeCell ref="B2:L2"/>
    <mergeCell ref="B3:L3"/>
    <mergeCell ref="E4:F6"/>
    <mergeCell ref="K4:L6"/>
    <mergeCell ref="B5:D5"/>
    <mergeCell ref="B6:D6"/>
  </mergeCells>
  <pageMargins left="0.25" right="0.25" top="0.5" bottom="0.5" header="0.25" footer="0.25"/>
  <pageSetup paperSize="5" orientation="landscape" r:id="rId1"/>
  <headerFooter alignWithMargins="0"/>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0"/>
  <dimension ref="B1:S54"/>
  <sheetViews>
    <sheetView topLeftCell="A16" zoomScaleNormal="100" workbookViewId="0">
      <selection activeCell="J9" sqref="J9"/>
    </sheetView>
  </sheetViews>
  <sheetFormatPr defaultRowHeight="13.2"/>
  <cols>
    <col min="1" max="4" width="4.6640625" customWidth="1"/>
    <col min="7" max="7" width="14.44140625" customWidth="1"/>
    <col min="8" max="8" width="15" customWidth="1"/>
    <col min="9" max="10" width="16.6640625" customWidth="1"/>
    <col min="11" max="11" width="11.109375" bestFit="1" customWidth="1"/>
  </cols>
  <sheetData>
    <row r="1" spans="2:19">
      <c r="B1" s="309"/>
      <c r="C1" s="309"/>
      <c r="D1" s="309"/>
      <c r="E1" s="309"/>
      <c r="F1" s="309"/>
      <c r="G1" s="309"/>
      <c r="H1" s="309"/>
      <c r="I1" s="309"/>
      <c r="J1" s="309"/>
    </row>
    <row r="2" spans="2:19">
      <c r="B2" s="309"/>
      <c r="C2" s="309"/>
      <c r="D2" s="309"/>
      <c r="E2" s="309"/>
      <c r="F2" s="309"/>
      <c r="G2" s="309"/>
      <c r="H2" s="309"/>
      <c r="I2" s="309"/>
      <c r="J2" s="309"/>
    </row>
    <row r="3" spans="2:19" ht="22.8">
      <c r="B3" s="1665" t="s">
        <v>525</v>
      </c>
      <c r="C3" s="1665"/>
      <c r="D3" s="1665"/>
      <c r="E3" s="1665"/>
      <c r="F3" s="1665"/>
      <c r="G3" s="1665"/>
      <c r="H3" s="1665"/>
      <c r="I3" s="1665"/>
      <c r="J3" s="1665"/>
    </row>
    <row r="4" spans="2:19">
      <c r="B4" s="309"/>
      <c r="C4" s="309"/>
      <c r="D4" s="309"/>
      <c r="E4" s="309"/>
      <c r="F4" s="309"/>
      <c r="G4" s="309"/>
      <c r="H4" s="309"/>
      <c r="I4" s="309"/>
      <c r="J4" s="309"/>
    </row>
    <row r="5" spans="2:19" ht="15.6">
      <c r="B5" s="1620" t="s">
        <v>526</v>
      </c>
      <c r="C5" s="1620"/>
      <c r="D5" s="1620"/>
      <c r="E5" s="1620"/>
      <c r="F5" s="1620"/>
      <c r="G5" s="1620"/>
      <c r="H5" s="1620"/>
      <c r="I5" s="1620"/>
      <c r="J5" s="1620"/>
    </row>
    <row r="6" spans="2:19" ht="13.8" thickBot="1">
      <c r="B6" s="309"/>
      <c r="C6" s="309"/>
      <c r="D6" s="309"/>
      <c r="E6" s="309"/>
      <c r="F6" s="309"/>
      <c r="G6" s="309"/>
      <c r="H6" s="309"/>
      <c r="I6" s="309"/>
      <c r="J6" s="309"/>
    </row>
    <row r="7" spans="2:19" ht="28.5" customHeight="1" thickTop="1" thickBot="1">
      <c r="B7" s="60"/>
      <c r="C7" s="60"/>
      <c r="D7" s="60"/>
      <c r="E7" s="60"/>
      <c r="F7" s="60"/>
      <c r="G7" s="60"/>
      <c r="H7" s="60"/>
      <c r="I7" s="4" t="s">
        <v>96</v>
      </c>
      <c r="J7" s="945" t="s">
        <v>97</v>
      </c>
    </row>
    <row r="8" spans="2:19" ht="21" customHeight="1" thickTop="1">
      <c r="B8" s="271" t="str">
        <f>IF('KEY INPUTS'!C42 = "State Fiscal Year", 'KEY INPUTS'!F25,'KEY INPUTS'!D25)</f>
        <v>Balance - January 1, 2021</v>
      </c>
      <c r="C8" s="271"/>
      <c r="D8" s="271"/>
      <c r="E8" s="271"/>
      <c r="F8" s="271"/>
      <c r="G8" s="271"/>
      <c r="H8" s="49"/>
      <c r="I8" s="141" t="s">
        <v>628</v>
      </c>
      <c r="J8" s="882">
        <v>15266.24</v>
      </c>
      <c r="K8" s="312"/>
    </row>
    <row r="9" spans="2:19" ht="21" customHeight="1">
      <c r="B9" s="310" t="str">
        <f>"Received from "&amp;IF('KEY INPUTS'!C42="State Fiscal Year","Fiscal Year "&amp;'KEY INPUTS'!D33&amp;"",'KEY INPUTS'!D34)&amp;" Budget Appropriation*"</f>
        <v>Received from 2021 Budget Appropriation*</v>
      </c>
      <c r="C9" s="310"/>
      <c r="D9" s="310"/>
      <c r="E9" s="310"/>
      <c r="F9" s="310"/>
      <c r="G9" s="310"/>
      <c r="H9" s="48"/>
      <c r="I9" s="142" t="s">
        <v>628</v>
      </c>
      <c r="J9" s="552"/>
    </row>
    <row r="10" spans="2:19" ht="21" customHeight="1">
      <c r="B10" s="538"/>
      <c r="C10" s="538"/>
      <c r="D10" s="538"/>
      <c r="E10" s="538"/>
      <c r="F10" s="538"/>
      <c r="G10" s="538"/>
      <c r="H10" s="538"/>
      <c r="I10" s="142" t="s">
        <v>628</v>
      </c>
      <c r="J10" s="550"/>
    </row>
    <row r="11" spans="2:19" ht="11.25" customHeight="1">
      <c r="B11" s="32" t="s">
        <v>176</v>
      </c>
      <c r="C11" s="7"/>
      <c r="D11" s="7"/>
      <c r="E11" s="7"/>
      <c r="F11" s="7"/>
      <c r="G11" s="7"/>
      <c r="H11" s="81"/>
      <c r="I11" s="1870" t="s">
        <v>628</v>
      </c>
      <c r="J11" s="1868"/>
      <c r="M11" s="309"/>
      <c r="N11" s="309"/>
      <c r="O11" s="309"/>
      <c r="P11" s="309"/>
      <c r="Q11" s="309"/>
      <c r="R11" s="309"/>
      <c r="S11" s="309"/>
    </row>
    <row r="12" spans="2:19" ht="12.75" customHeight="1">
      <c r="B12" s="272"/>
      <c r="C12" s="33" t="s">
        <v>177</v>
      </c>
      <c r="D12" s="272"/>
      <c r="E12" s="272"/>
      <c r="F12" s="272"/>
      <c r="G12" s="272"/>
      <c r="H12" s="52"/>
      <c r="I12" s="1871"/>
      <c r="J12" s="1869"/>
      <c r="M12" s="309"/>
      <c r="N12" s="309"/>
      <c r="O12" s="309"/>
      <c r="P12" s="309"/>
      <c r="Q12" s="309"/>
      <c r="R12" s="309"/>
      <c r="S12" s="309"/>
    </row>
    <row r="13" spans="2:19" ht="21" customHeight="1">
      <c r="B13" s="354"/>
      <c r="C13" s="1041"/>
      <c r="D13" s="354"/>
      <c r="E13" s="354"/>
      <c r="F13" s="354"/>
      <c r="G13" s="354"/>
      <c r="H13" s="354"/>
      <c r="I13" s="925"/>
      <c r="J13" s="552"/>
      <c r="M13" s="356"/>
      <c r="N13" s="309"/>
      <c r="O13" s="309"/>
      <c r="P13" s="309"/>
      <c r="Q13" s="309"/>
      <c r="R13" s="309"/>
      <c r="S13" s="309"/>
    </row>
    <row r="14" spans="2:19" ht="21" customHeight="1">
      <c r="B14" s="310" t="s">
        <v>178</v>
      </c>
      <c r="C14" s="310"/>
      <c r="D14" s="310"/>
      <c r="E14" s="310"/>
      <c r="F14" s="310"/>
      <c r="G14" s="310"/>
      <c r="H14" s="310"/>
      <c r="I14" s="142" t="s">
        <v>628</v>
      </c>
      <c r="J14" s="123" t="s">
        <v>628</v>
      </c>
      <c r="M14" s="309"/>
      <c r="N14" s="309"/>
      <c r="O14" s="309"/>
      <c r="P14" s="309"/>
      <c r="Q14" s="309"/>
      <c r="R14" s="309"/>
      <c r="S14" s="309"/>
    </row>
    <row r="15" spans="2:19" ht="21" customHeight="1">
      <c r="B15" s="538"/>
      <c r="C15" s="538"/>
      <c r="D15" s="538"/>
      <c r="E15" s="538"/>
      <c r="F15" s="538"/>
      <c r="G15" s="538"/>
      <c r="H15" s="538"/>
      <c r="I15" s="353"/>
      <c r="J15" s="123" t="s">
        <v>628</v>
      </c>
      <c r="M15" s="309"/>
      <c r="N15" s="309"/>
      <c r="O15" s="309"/>
      <c r="P15" s="309"/>
      <c r="Q15" s="309"/>
      <c r="R15" s="309"/>
      <c r="S15" s="309"/>
    </row>
    <row r="16" spans="2:19" ht="21" customHeight="1">
      <c r="B16" s="538"/>
      <c r="C16" s="538"/>
      <c r="D16" s="538"/>
      <c r="E16" s="538"/>
      <c r="F16" s="538"/>
      <c r="G16" s="538"/>
      <c r="H16" s="538"/>
      <c r="I16" s="353"/>
      <c r="J16" s="123" t="s">
        <v>628</v>
      </c>
      <c r="M16" s="309"/>
      <c r="N16" s="309"/>
      <c r="O16" s="309"/>
      <c r="P16" s="309"/>
      <c r="Q16" s="309"/>
      <c r="R16" s="309"/>
      <c r="S16" s="309"/>
    </row>
    <row r="17" spans="2:19" ht="21" customHeight="1">
      <c r="B17" s="538"/>
      <c r="C17" s="538"/>
      <c r="D17" s="538"/>
      <c r="E17" s="538"/>
      <c r="F17" s="538"/>
      <c r="G17" s="538"/>
      <c r="H17" s="538"/>
      <c r="I17" s="353"/>
      <c r="J17" s="123" t="s">
        <v>628</v>
      </c>
      <c r="M17" s="309"/>
      <c r="N17" s="309"/>
      <c r="O17" s="309"/>
      <c r="P17" s="309"/>
      <c r="Q17" s="309"/>
      <c r="R17" s="309"/>
      <c r="S17" s="309"/>
    </row>
    <row r="18" spans="2:19" ht="21" customHeight="1">
      <c r="B18" s="538"/>
      <c r="C18" s="538"/>
      <c r="D18" s="538"/>
      <c r="E18" s="538"/>
      <c r="F18" s="538"/>
      <c r="G18" s="538"/>
      <c r="H18" s="538"/>
      <c r="I18" s="353"/>
      <c r="J18" s="123" t="s">
        <v>628</v>
      </c>
      <c r="M18" s="309"/>
      <c r="N18" s="309"/>
      <c r="O18" s="309"/>
      <c r="P18" s="309"/>
      <c r="Q18" s="309"/>
      <c r="R18" s="309"/>
      <c r="S18" s="309"/>
    </row>
    <row r="19" spans="2:19" ht="21" customHeight="1">
      <c r="B19" s="538"/>
      <c r="C19" s="538"/>
      <c r="D19" s="538"/>
      <c r="E19" s="538"/>
      <c r="F19" s="538"/>
      <c r="G19" s="538"/>
      <c r="H19" s="538"/>
      <c r="I19" s="353"/>
      <c r="J19" s="123" t="s">
        <v>628</v>
      </c>
      <c r="M19" s="309"/>
      <c r="N19" s="309"/>
      <c r="O19" s="309"/>
      <c r="P19" s="309"/>
      <c r="Q19" s="309"/>
      <c r="R19" s="309"/>
      <c r="S19" s="309"/>
    </row>
    <row r="20" spans="2:19" ht="21" customHeight="1">
      <c r="B20" s="538"/>
      <c r="C20" s="538"/>
      <c r="D20" s="538"/>
      <c r="E20" s="538"/>
      <c r="F20" s="538"/>
      <c r="G20" s="538"/>
      <c r="H20" s="538"/>
      <c r="I20" s="353"/>
      <c r="J20" s="123" t="s">
        <v>628</v>
      </c>
      <c r="M20" s="309"/>
      <c r="N20" s="309"/>
      <c r="O20" s="309"/>
      <c r="P20" s="309"/>
      <c r="Q20" s="309"/>
      <c r="R20" s="309"/>
      <c r="S20" s="309"/>
    </row>
    <row r="21" spans="2:19" ht="21" customHeight="1">
      <c r="B21" s="538"/>
      <c r="C21" s="538"/>
      <c r="D21" s="538"/>
      <c r="E21" s="538"/>
      <c r="F21" s="538"/>
      <c r="G21" s="538"/>
      <c r="H21" s="538"/>
      <c r="I21" s="353"/>
      <c r="J21" s="123" t="s">
        <v>628</v>
      </c>
      <c r="M21" s="309"/>
      <c r="N21" s="309"/>
      <c r="O21" s="309"/>
      <c r="P21" s="309"/>
      <c r="Q21" s="309"/>
      <c r="R21" s="309"/>
      <c r="S21" s="309"/>
    </row>
    <row r="22" spans="2:19" ht="21" customHeight="1">
      <c r="B22" s="538"/>
      <c r="C22" s="538"/>
      <c r="D22" s="538"/>
      <c r="E22" s="538"/>
      <c r="F22" s="538"/>
      <c r="G22" s="538"/>
      <c r="H22" s="538"/>
      <c r="I22" s="353"/>
      <c r="J22" s="123" t="s">
        <v>628</v>
      </c>
      <c r="M22" s="309"/>
      <c r="N22" s="309"/>
      <c r="O22" s="309"/>
      <c r="P22" s="309"/>
      <c r="Q22" s="309"/>
      <c r="R22" s="309"/>
      <c r="S22" s="309"/>
    </row>
    <row r="23" spans="2:19" ht="21" customHeight="1">
      <c r="B23" s="538"/>
      <c r="C23" s="538"/>
      <c r="D23" s="538"/>
      <c r="E23" s="538"/>
      <c r="F23" s="538"/>
      <c r="G23" s="538"/>
      <c r="H23" s="538"/>
      <c r="I23" s="353"/>
      <c r="J23" s="123" t="s">
        <v>628</v>
      </c>
      <c r="M23" s="309"/>
      <c r="N23" s="309"/>
      <c r="O23" s="309"/>
      <c r="P23" s="309"/>
      <c r="Q23" s="309"/>
      <c r="R23" s="309"/>
      <c r="S23" s="309"/>
    </row>
    <row r="24" spans="2:19" ht="21" customHeight="1">
      <c r="B24" s="538"/>
      <c r="C24" s="538"/>
      <c r="D24" s="538"/>
      <c r="E24" s="538"/>
      <c r="F24" s="538"/>
      <c r="G24" s="538"/>
      <c r="H24" s="538"/>
      <c r="I24" s="353"/>
      <c r="J24" s="123" t="s">
        <v>628</v>
      </c>
      <c r="M24" s="309"/>
      <c r="N24" s="309"/>
      <c r="O24" s="309"/>
      <c r="P24" s="309"/>
      <c r="Q24" s="309"/>
      <c r="R24" s="309"/>
      <c r="S24" s="309"/>
    </row>
    <row r="25" spans="2:19" ht="21" customHeight="1">
      <c r="B25" s="538"/>
      <c r="C25" s="538"/>
      <c r="D25" s="538"/>
      <c r="E25" s="538"/>
      <c r="F25" s="538"/>
      <c r="G25" s="538"/>
      <c r="H25" s="538"/>
      <c r="I25" s="353"/>
      <c r="J25" s="123" t="s">
        <v>628</v>
      </c>
      <c r="M25" s="309"/>
      <c r="N25" s="309"/>
      <c r="O25" s="309"/>
      <c r="P25" s="309"/>
      <c r="Q25" s="309"/>
      <c r="R25" s="309"/>
      <c r="S25" s="309"/>
    </row>
    <row r="26" spans="2:19" ht="21" customHeight="1">
      <c r="B26" s="538"/>
      <c r="C26" s="538"/>
      <c r="D26" s="538"/>
      <c r="E26" s="538"/>
      <c r="F26" s="538"/>
      <c r="G26" s="538"/>
      <c r="H26" s="538"/>
      <c r="I26" s="353"/>
      <c r="J26" s="123" t="s">
        <v>628</v>
      </c>
      <c r="M26" s="309"/>
      <c r="N26" s="309"/>
      <c r="O26" s="309"/>
      <c r="P26" s="309"/>
      <c r="Q26" s="309"/>
      <c r="R26" s="309"/>
      <c r="S26" s="309"/>
    </row>
    <row r="27" spans="2:19" ht="21" customHeight="1">
      <c r="B27" s="538"/>
      <c r="C27" s="538"/>
      <c r="D27" s="538"/>
      <c r="E27" s="538"/>
      <c r="F27" s="538"/>
      <c r="G27" s="538"/>
      <c r="H27" s="538"/>
      <c r="I27" s="353"/>
      <c r="J27" s="123" t="s">
        <v>628</v>
      </c>
      <c r="M27" s="309"/>
      <c r="N27" s="309"/>
      <c r="O27" s="309"/>
      <c r="P27" s="309"/>
      <c r="Q27" s="309"/>
      <c r="R27" s="309"/>
      <c r="S27" s="309"/>
    </row>
    <row r="28" spans="2:19" ht="21" customHeight="1">
      <c r="B28" s="538"/>
      <c r="C28" s="538"/>
      <c r="D28" s="538"/>
      <c r="E28" s="538"/>
      <c r="F28" s="538"/>
      <c r="G28" s="538"/>
      <c r="H28" s="538"/>
      <c r="I28" s="353"/>
      <c r="J28" s="123" t="s">
        <v>628</v>
      </c>
    </row>
    <row r="29" spans="2:19" ht="21" customHeight="1">
      <c r="B29" s="310" t="s">
        <v>179</v>
      </c>
      <c r="C29" s="310"/>
      <c r="D29" s="310"/>
      <c r="E29" s="310"/>
      <c r="F29" s="310"/>
      <c r="G29" s="310"/>
      <c r="H29" s="48"/>
      <c r="I29" s="353"/>
      <c r="J29" s="123" t="s">
        <v>628</v>
      </c>
    </row>
    <row r="30" spans="2:19" ht="21" customHeight="1">
      <c r="B30" s="310"/>
      <c r="C30" s="310"/>
      <c r="D30" s="310"/>
      <c r="E30" s="310"/>
      <c r="F30" s="310"/>
      <c r="G30" s="310"/>
      <c r="H30" s="310"/>
      <c r="I30" s="66"/>
      <c r="J30" s="123" t="s">
        <v>628</v>
      </c>
    </row>
    <row r="31" spans="2:19" ht="21" customHeight="1" thickBot="1">
      <c r="B31" s="310" t="str">
        <f>IF('KEY INPUTS'!C42 = "State Fiscal Year", 'KEY INPUTS'!F26,'KEY INPUTS'!D26)</f>
        <v>Balance - December 31, 2021</v>
      </c>
      <c r="C31" s="310"/>
      <c r="D31" s="310"/>
      <c r="E31" s="310"/>
      <c r="F31" s="310"/>
      <c r="G31" s="310"/>
      <c r="H31" s="48"/>
      <c r="I31" s="68">
        <f>+SUM(J8:J13)-SUM(I13:I30)</f>
        <v>15266.24</v>
      </c>
      <c r="J31" s="155" t="s">
        <v>628</v>
      </c>
      <c r="K31" s="218"/>
    </row>
    <row r="32" spans="2:19" ht="21" customHeight="1" thickTop="1" thickBot="1">
      <c r="B32" s="309"/>
      <c r="C32" s="309"/>
      <c r="D32" s="309"/>
      <c r="E32" s="309"/>
      <c r="F32" s="309"/>
      <c r="G32" s="309"/>
      <c r="H32" s="309"/>
      <c r="I32" s="69">
        <f>SUM(I8:I31)</f>
        <v>15266.24</v>
      </c>
      <c r="J32" s="70">
        <f>SUM(J8:J31)</f>
        <v>15266.24</v>
      </c>
      <c r="L32" s="218"/>
    </row>
    <row r="33" spans="2:11" ht="13.8" thickTop="1"/>
    <row r="34" spans="2:11">
      <c r="K34" s="218"/>
    </row>
    <row r="37" spans="2:11">
      <c r="B37" t="str">
        <f>"*The full amount of the "&amp;IF('KEY INPUTS'!C42="State Fiscal Year","Fiscal Year "&amp;'KEY INPUTS'!D33&amp;"",'KEY INPUTS'!D34)&amp;" budget appropriation should be transferred to this account unless the"</f>
        <v>*The full amount of the 2021 budget appropriation should be transferred to this account unless the</v>
      </c>
    </row>
    <row r="38" spans="2:11">
      <c r="B38" s="311" t="s">
        <v>3571</v>
      </c>
    </row>
    <row r="54" spans="2:10" ht="13.8">
      <c r="B54" s="1618" t="s">
        <v>175</v>
      </c>
      <c r="C54" s="1618"/>
      <c r="D54" s="1618"/>
      <c r="E54" s="1618"/>
      <c r="F54" s="1618"/>
      <c r="G54" s="1618"/>
      <c r="H54" s="1618"/>
      <c r="I54" s="1618"/>
      <c r="J54" s="1618"/>
    </row>
  </sheetData>
  <sheetProtection algorithmName="SHA-512" hashValue="V4wh7t8KzG+0+iZgZ+GB8DyMKpS49ClUKlaBsZpcWSaQvQZpV/1FXq1xrs0Sb5hwpQzKLlXKKri8NpFYWbkd0g==" saltValue="zcjnUulAEzReEogSQBgYTQ==" spinCount="100000" sheet="1" objects="1" scenarios="1"/>
  <mergeCells count="5">
    <mergeCell ref="B3:J3"/>
    <mergeCell ref="B5:J5"/>
    <mergeCell ref="B54:J54"/>
    <mergeCell ref="J11:J12"/>
    <mergeCell ref="I11:I12"/>
  </mergeCells>
  <phoneticPr fontId="0" type="noConversion"/>
  <pageMargins left="0.25" right="0.25" top="0.5" bottom="0.5" header="0.25" footer="0.25"/>
  <pageSetup paperSize="5" orientation="portrait" r:id="rId1"/>
  <headerFooter alignWithMargins="0"/>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1"/>
  <dimension ref="B3:T54"/>
  <sheetViews>
    <sheetView topLeftCell="B4" zoomScaleNormal="100" workbookViewId="0">
      <selection activeCell="B29" sqref="B29"/>
    </sheetView>
  </sheetViews>
  <sheetFormatPr defaultRowHeight="13.2"/>
  <cols>
    <col min="1" max="1" width="4.6640625" customWidth="1"/>
    <col min="2" max="2" width="6.6640625" customWidth="1"/>
    <col min="3" max="4" width="4.6640625" customWidth="1"/>
    <col min="6" max="6" width="6.6640625" customWidth="1"/>
    <col min="7" max="10" width="16.6640625" customWidth="1"/>
  </cols>
  <sheetData>
    <row r="3" spans="2:20" ht="22.8">
      <c r="B3" s="1665" t="s">
        <v>525</v>
      </c>
      <c r="C3" s="1665"/>
      <c r="D3" s="1665"/>
      <c r="E3" s="1665"/>
      <c r="F3" s="1665"/>
      <c r="G3" s="1665"/>
      <c r="H3" s="1665"/>
      <c r="I3" s="1665"/>
      <c r="J3" s="1665"/>
    </row>
    <row r="5" spans="2:20" ht="15.6">
      <c r="B5" s="1620" t="s">
        <v>180</v>
      </c>
      <c r="C5" s="1620"/>
      <c r="D5" s="1620"/>
      <c r="E5" s="1620"/>
      <c r="F5" s="1620"/>
      <c r="G5" s="1620"/>
      <c r="H5" s="1620"/>
      <c r="I5" s="1620"/>
      <c r="J5" s="1620"/>
    </row>
    <row r="6" spans="2:20" ht="13.8" thickBot="1"/>
    <row r="7" spans="2:20" ht="28.5" customHeight="1" thickTop="1" thickBot="1">
      <c r="B7" s="991"/>
      <c r="C7" s="991"/>
      <c r="D7" s="991"/>
      <c r="E7" s="991"/>
      <c r="F7" s="991"/>
      <c r="G7" s="991"/>
      <c r="H7" s="991"/>
      <c r="I7" s="921" t="s">
        <v>96</v>
      </c>
      <c r="J7" s="3" t="s">
        <v>97</v>
      </c>
      <c r="N7" s="309"/>
      <c r="O7" s="309"/>
      <c r="P7" s="309"/>
      <c r="Q7" s="309"/>
      <c r="R7" s="309"/>
      <c r="S7" s="309"/>
      <c r="T7" s="309"/>
    </row>
    <row r="8" spans="2:20" ht="21" customHeight="1" thickTop="1">
      <c r="B8" s="358" t="str">
        <f>'36- Capital Improvement Fund'!B8</f>
        <v>Balance - January 1, 2021</v>
      </c>
      <c r="C8" s="358"/>
      <c r="D8" s="358"/>
      <c r="E8" s="358"/>
      <c r="F8" s="358"/>
      <c r="G8" s="358"/>
      <c r="H8" s="1043"/>
      <c r="I8" s="1029" t="s">
        <v>628</v>
      </c>
      <c r="J8" s="609">
        <v>0</v>
      </c>
      <c r="N8" s="309"/>
      <c r="O8" s="309"/>
      <c r="P8" s="309"/>
      <c r="Q8" s="309"/>
      <c r="R8" s="309"/>
      <c r="S8" s="309"/>
      <c r="T8" s="309"/>
    </row>
    <row r="9" spans="2:20" ht="21" customHeight="1">
      <c r="B9" s="360" t="str">
        <f>"Received from "&amp;IF('KEY INPUTS'!C42="State Fiscal Year","Fiscal Year "&amp;'KEY INPUTS'!D33&amp;"",'KEY INPUTS'!D34)&amp;" Budget Appropriation*"</f>
        <v>Received from 2021 Budget Appropriation*</v>
      </c>
      <c r="C9" s="360"/>
      <c r="D9" s="360"/>
      <c r="E9" s="360"/>
      <c r="F9" s="360"/>
      <c r="G9" s="360"/>
      <c r="H9" s="1044"/>
      <c r="I9" s="926" t="s">
        <v>628</v>
      </c>
      <c r="J9" s="600"/>
      <c r="N9" s="356"/>
      <c r="O9" s="309"/>
      <c r="P9" s="309"/>
      <c r="Q9" s="309"/>
      <c r="R9" s="309"/>
      <c r="S9" s="309"/>
      <c r="T9" s="309"/>
    </row>
    <row r="10" spans="2:20" ht="21" customHeight="1">
      <c r="B10" s="360" t="str">
        <f>"Received from "&amp;IF('KEY INPUTS'!C42="State Fiscal Year","Fiscal Year "&amp;'KEY INPUTS'!D33&amp;"",'KEY INPUTS'!D34)&amp;" Emergency Appropriation*"</f>
        <v>Received from 2021 Emergency Appropriation*</v>
      </c>
      <c r="C10" s="360"/>
      <c r="D10" s="360"/>
      <c r="E10" s="360"/>
      <c r="F10" s="360"/>
      <c r="G10" s="360"/>
      <c r="H10" s="1044"/>
      <c r="I10" s="926" t="s">
        <v>628</v>
      </c>
      <c r="J10" s="600"/>
      <c r="N10" s="309"/>
      <c r="O10" s="309"/>
      <c r="P10" s="309"/>
      <c r="Q10" s="309"/>
      <c r="R10" s="309"/>
      <c r="S10" s="309"/>
      <c r="T10" s="309"/>
    </row>
    <row r="11" spans="2:20" ht="21" customHeight="1">
      <c r="B11" s="538"/>
      <c r="C11" s="538"/>
      <c r="D11" s="538"/>
      <c r="E11" s="538"/>
      <c r="F11" s="538"/>
      <c r="G11" s="538"/>
      <c r="H11" s="783"/>
      <c r="I11" s="1042"/>
      <c r="J11" s="355"/>
      <c r="N11" s="309"/>
      <c r="O11" s="309"/>
      <c r="P11" s="309"/>
      <c r="Q11" s="309"/>
      <c r="R11" s="309"/>
      <c r="S11" s="309"/>
      <c r="T11" s="309"/>
    </row>
    <row r="12" spans="2:20" ht="21" customHeight="1">
      <c r="B12" s="538"/>
      <c r="C12" s="538"/>
      <c r="D12" s="538"/>
      <c r="E12" s="538"/>
      <c r="F12" s="538"/>
      <c r="G12" s="538"/>
      <c r="H12" s="538"/>
      <c r="I12" s="571"/>
      <c r="J12" s="930" t="s">
        <v>628</v>
      </c>
      <c r="N12" s="309"/>
      <c r="O12" s="309"/>
      <c r="P12" s="309"/>
      <c r="Q12" s="309"/>
      <c r="R12" s="309"/>
      <c r="S12" s="309"/>
      <c r="T12" s="309"/>
    </row>
    <row r="13" spans="2:20" ht="21" customHeight="1">
      <c r="B13" s="360" t="s">
        <v>179</v>
      </c>
      <c r="C13" s="360"/>
      <c r="D13" s="360"/>
      <c r="E13" s="360"/>
      <c r="F13" s="360"/>
      <c r="G13" s="360"/>
      <c r="H13" s="1044"/>
      <c r="I13" s="1380"/>
      <c r="J13" s="930" t="s">
        <v>628</v>
      </c>
      <c r="N13" s="309"/>
      <c r="O13" s="309"/>
      <c r="P13" s="309"/>
      <c r="Q13" s="309"/>
      <c r="R13" s="309"/>
      <c r="S13" s="309"/>
      <c r="T13" s="309"/>
    </row>
    <row r="14" spans="2:20" ht="21" customHeight="1">
      <c r="B14" s="538"/>
      <c r="C14" s="538"/>
      <c r="D14" s="538"/>
      <c r="E14" s="538"/>
      <c r="F14" s="538"/>
      <c r="G14" s="538"/>
      <c r="H14" s="538"/>
      <c r="I14" s="571"/>
      <c r="J14" s="930" t="s">
        <v>628</v>
      </c>
      <c r="N14" s="309"/>
      <c r="O14" s="309"/>
      <c r="P14" s="309"/>
      <c r="Q14" s="309"/>
      <c r="R14" s="309"/>
      <c r="S14" s="309"/>
      <c r="T14" s="309"/>
    </row>
    <row r="15" spans="2:20" ht="21" customHeight="1" thickBot="1">
      <c r="B15" s="360" t="str">
        <f>'36- Capital Improvement Fund'!B31</f>
        <v>Balance - December 31, 2021</v>
      </c>
      <c r="C15" s="360"/>
      <c r="D15" s="360"/>
      <c r="E15" s="360"/>
      <c r="F15" s="360"/>
      <c r="G15" s="360"/>
      <c r="H15" s="1044"/>
      <c r="I15" s="1047">
        <f>+SUM(J8:J11)-SUM(I11:I14)</f>
        <v>0</v>
      </c>
      <c r="J15" s="1045" t="s">
        <v>628</v>
      </c>
      <c r="N15" s="309"/>
      <c r="O15" s="309"/>
      <c r="P15" s="309"/>
      <c r="Q15" s="309"/>
      <c r="R15" s="309"/>
      <c r="S15" s="309"/>
      <c r="T15" s="309"/>
    </row>
    <row r="16" spans="2:20" ht="21" customHeight="1" thickTop="1" thickBot="1">
      <c r="I16" s="1008">
        <f>SUM(I8:I15)</f>
        <v>0</v>
      </c>
      <c r="J16" s="1048">
        <f>SUM(J8:J15)</f>
        <v>0</v>
      </c>
      <c r="N16" s="309"/>
      <c r="O16" s="309"/>
      <c r="P16" s="309"/>
      <c r="Q16" s="309"/>
      <c r="R16" s="309"/>
      <c r="S16" s="309"/>
      <c r="T16" s="309"/>
    </row>
    <row r="17" spans="2:20" ht="13.8" thickTop="1">
      <c r="N17" s="309"/>
      <c r="O17" s="309"/>
      <c r="P17" s="309"/>
      <c r="Q17" s="309"/>
      <c r="R17" s="309"/>
      <c r="S17" s="309"/>
      <c r="T17" s="309"/>
    </row>
    <row r="18" spans="2:20">
      <c r="C18" s="185" t="str">
        <f>"*The full amount of the "&amp;IF('KEY INPUTS'!C42="State Fiscal Year","Fiscal Year "&amp;'KEY INPUTS'!D33&amp;"",'KEY INPUTS'!D34)&amp;" budget appropriation should be transferred to this account unless the"</f>
        <v>*The full amount of the 2021 budget appropriation should be transferred to this account unless the</v>
      </c>
      <c r="D18" s="185"/>
      <c r="E18" s="185"/>
      <c r="N18" s="309"/>
      <c r="O18" s="309"/>
      <c r="P18" s="309"/>
      <c r="Q18" s="309"/>
      <c r="R18" s="309"/>
      <c r="S18" s="309"/>
      <c r="T18" s="309"/>
    </row>
    <row r="19" spans="2:20">
      <c r="C19" s="185"/>
      <c r="D19" s="185" t="s">
        <v>3571</v>
      </c>
      <c r="E19" s="185"/>
      <c r="N19" s="309"/>
      <c r="O19" s="309"/>
      <c r="P19" s="309"/>
      <c r="Q19" s="309"/>
      <c r="R19" s="309"/>
      <c r="S19" s="309"/>
      <c r="T19" s="309"/>
    </row>
    <row r="21" spans="2:20" ht="17.399999999999999">
      <c r="B21" s="1675" t="str">
        <f>"CAPITAL  IMPROVEMENTS  AUTHORIZED  IN  "&amp;IF('KEY INPUTS'!C42="State Fiscal Year","FISCAL  YEAR  "&amp;'KEY INPUTS'!D33&amp;"",'KEY INPUTS'!D34)&amp;""</f>
        <v>CAPITAL  IMPROVEMENTS  AUTHORIZED  IN  2021</v>
      </c>
      <c r="C21" s="1675"/>
      <c r="D21" s="1675"/>
      <c r="E21" s="1675"/>
      <c r="F21" s="1675"/>
      <c r="G21" s="1675"/>
      <c r="H21" s="1675"/>
      <c r="I21" s="1675"/>
      <c r="J21" s="1675"/>
    </row>
    <row r="22" spans="2:20" ht="17.399999999999999">
      <c r="B22" s="1675" t="s">
        <v>3572</v>
      </c>
      <c r="C22" s="1675"/>
      <c r="D22" s="1675"/>
      <c r="E22" s="1675"/>
      <c r="F22" s="1675"/>
      <c r="G22" s="1675"/>
      <c r="H22" s="1675"/>
      <c r="I22" s="1675"/>
      <c r="J22" s="1675"/>
    </row>
    <row r="23" spans="2:20" ht="11.25" customHeight="1" thickBot="1"/>
    <row r="24" spans="2:20" ht="13.8" thickTop="1">
      <c r="B24" s="844"/>
      <c r="C24" s="844"/>
      <c r="D24" s="844"/>
      <c r="E24" s="844"/>
      <c r="F24" s="844"/>
      <c r="G24" s="845"/>
      <c r="H24" s="845"/>
      <c r="I24" s="845"/>
      <c r="J24" s="1021"/>
    </row>
    <row r="25" spans="2:20">
      <c r="B25" s="811"/>
      <c r="C25" s="1717" t="s">
        <v>413</v>
      </c>
      <c r="D25" s="1717"/>
      <c r="E25" s="1717"/>
      <c r="F25" s="811"/>
      <c r="G25" s="847" t="s">
        <v>414</v>
      </c>
      <c r="H25" s="847" t="s">
        <v>201</v>
      </c>
      <c r="I25" s="847" t="s">
        <v>204</v>
      </c>
      <c r="J25" s="948" t="s">
        <v>3578</v>
      </c>
    </row>
    <row r="26" spans="2:20">
      <c r="B26" s="811"/>
      <c r="C26" s="811"/>
      <c r="D26" s="811"/>
      <c r="E26" s="811"/>
      <c r="F26" s="811"/>
      <c r="G26" s="847" t="s">
        <v>202</v>
      </c>
      <c r="H26" s="847" t="s">
        <v>203</v>
      </c>
      <c r="I26" s="847" t="s">
        <v>205</v>
      </c>
      <c r="J26" s="948" t="s">
        <v>3577</v>
      </c>
    </row>
    <row r="27" spans="2:20" ht="13.8" thickBot="1">
      <c r="B27" s="853"/>
      <c r="C27" s="853"/>
      <c r="D27" s="853"/>
      <c r="E27" s="853"/>
      <c r="F27" s="853"/>
      <c r="G27" s="855"/>
      <c r="H27" s="855" t="s">
        <v>441</v>
      </c>
      <c r="I27" s="855" t="s">
        <v>239</v>
      </c>
      <c r="J27" s="1543"/>
    </row>
    <row r="28" spans="2:20" ht="21" customHeight="1" thickTop="1">
      <c r="B28" s="610" t="s">
        <v>3730</v>
      </c>
      <c r="C28" s="610"/>
      <c r="D28" s="541"/>
      <c r="E28" s="541"/>
      <c r="F28" s="541"/>
      <c r="G28" s="543"/>
      <c r="H28" s="543"/>
      <c r="I28" s="543"/>
      <c r="J28" s="606"/>
      <c r="K28" s="700"/>
    </row>
    <row r="29" spans="2:20" ht="21" customHeight="1">
      <c r="B29" s="611"/>
      <c r="C29" s="612"/>
      <c r="D29" s="612"/>
      <c r="E29" s="612"/>
      <c r="F29" s="612"/>
      <c r="G29" s="353"/>
      <c r="H29" s="353"/>
      <c r="I29" s="353"/>
      <c r="J29" s="550"/>
      <c r="K29" s="715"/>
    </row>
    <row r="30" spans="2:20" ht="21" customHeight="1">
      <c r="B30" s="538"/>
      <c r="C30" s="538"/>
      <c r="D30" s="538"/>
      <c r="E30" s="538"/>
      <c r="F30" s="538"/>
      <c r="G30" s="353"/>
      <c r="H30" s="353"/>
      <c r="I30" s="353"/>
      <c r="J30" s="550"/>
    </row>
    <row r="31" spans="2:20" s="309" customFormat="1" ht="21" customHeight="1">
      <c r="B31" s="538"/>
      <c r="C31" s="538"/>
      <c r="D31" s="538"/>
      <c r="E31" s="538"/>
      <c r="F31" s="538"/>
      <c r="G31" s="353"/>
      <c r="H31" s="353"/>
      <c r="I31" s="353"/>
      <c r="J31" s="550"/>
    </row>
    <row r="32" spans="2:20" s="309" customFormat="1" ht="21" customHeight="1">
      <c r="B32" s="538"/>
      <c r="C32" s="538"/>
      <c r="D32" s="538"/>
      <c r="E32" s="538"/>
      <c r="F32" s="538"/>
      <c r="G32" s="353"/>
      <c r="H32" s="353"/>
      <c r="I32" s="353"/>
      <c r="J32" s="550"/>
    </row>
    <row r="33" spans="2:11" s="309" customFormat="1" ht="21" customHeight="1">
      <c r="B33" s="538"/>
      <c r="C33" s="538"/>
      <c r="D33" s="538"/>
      <c r="E33" s="538"/>
      <c r="F33" s="538"/>
      <c r="G33" s="353"/>
      <c r="H33" s="353"/>
      <c r="I33" s="353"/>
      <c r="J33" s="550"/>
    </row>
    <row r="34" spans="2:11" s="309" customFormat="1" ht="21" customHeight="1">
      <c r="B34" s="538"/>
      <c r="C34" s="538"/>
      <c r="D34" s="538"/>
      <c r="E34" s="538"/>
      <c r="F34" s="538"/>
      <c r="G34" s="353"/>
      <c r="H34" s="353"/>
      <c r="I34" s="353"/>
      <c r="J34" s="550"/>
    </row>
    <row r="35" spans="2:11" s="309" customFormat="1" ht="21" customHeight="1">
      <c r="B35" s="538"/>
      <c r="C35" s="538"/>
      <c r="D35" s="538"/>
      <c r="E35" s="538"/>
      <c r="F35" s="538"/>
      <c r="G35" s="353"/>
      <c r="H35" s="353"/>
      <c r="I35" s="353"/>
      <c r="J35" s="550"/>
    </row>
    <row r="36" spans="2:11" s="309" customFormat="1" ht="21" customHeight="1">
      <c r="B36" s="538"/>
      <c r="C36" s="538"/>
      <c r="D36" s="538"/>
      <c r="E36" s="538"/>
      <c r="F36" s="538"/>
      <c r="G36" s="353"/>
      <c r="H36" s="353"/>
      <c r="I36" s="353"/>
      <c r="J36" s="550"/>
    </row>
    <row r="37" spans="2:11" s="309" customFormat="1" ht="21" customHeight="1">
      <c r="B37" s="538"/>
      <c r="C37" s="538"/>
      <c r="D37" s="538"/>
      <c r="E37" s="538"/>
      <c r="F37" s="538"/>
      <c r="G37" s="353"/>
      <c r="H37" s="353"/>
      <c r="I37" s="353"/>
      <c r="J37" s="550"/>
    </row>
    <row r="38" spans="2:11" s="309" customFormat="1" ht="21" customHeight="1">
      <c r="B38" s="538"/>
      <c r="C38" s="538"/>
      <c r="D38" s="538"/>
      <c r="E38" s="538"/>
      <c r="F38" s="538"/>
      <c r="G38" s="353"/>
      <c r="H38" s="353"/>
      <c r="I38" s="353"/>
      <c r="J38" s="550"/>
    </row>
    <row r="39" spans="2:11" s="309" customFormat="1" ht="21" customHeight="1">
      <c r="B39" s="538"/>
      <c r="C39" s="538"/>
      <c r="D39" s="538"/>
      <c r="E39" s="538"/>
      <c r="F39" s="538"/>
      <c r="G39" s="353"/>
      <c r="H39" s="353"/>
      <c r="I39" s="353"/>
      <c r="J39" s="550"/>
    </row>
    <row r="40" spans="2:11" s="309" customFormat="1" ht="21" customHeight="1">
      <c r="B40" s="538"/>
      <c r="C40" s="538"/>
      <c r="D40" s="538"/>
      <c r="E40" s="538"/>
      <c r="F40" s="538"/>
      <c r="G40" s="353"/>
      <c r="H40" s="353"/>
      <c r="I40" s="353"/>
      <c r="J40" s="550"/>
    </row>
    <row r="41" spans="2:11" ht="21" customHeight="1">
      <c r="B41" s="613"/>
      <c r="C41" s="538"/>
      <c r="D41" s="538"/>
      <c r="E41" s="538"/>
      <c r="F41" s="538"/>
      <c r="G41" s="353"/>
      <c r="H41" s="353"/>
      <c r="I41" s="353"/>
      <c r="J41" s="550"/>
      <c r="K41" s="238"/>
    </row>
    <row r="42" spans="2:11" ht="21" customHeight="1">
      <c r="B42" s="538"/>
      <c r="C42" s="538"/>
      <c r="D42" s="538"/>
      <c r="E42" s="538"/>
      <c r="F42" s="538"/>
      <c r="G42" s="353"/>
      <c r="H42" s="353"/>
      <c r="I42" s="353"/>
      <c r="J42" s="550"/>
    </row>
    <row r="43" spans="2:11" ht="21" customHeight="1">
      <c r="B43" s="538"/>
      <c r="C43" s="538"/>
      <c r="D43" s="538"/>
      <c r="E43" s="538"/>
      <c r="F43" s="538"/>
      <c r="G43" s="353"/>
      <c r="H43" s="353"/>
      <c r="I43" s="353"/>
      <c r="J43" s="550"/>
      <c r="K43" s="238"/>
    </row>
    <row r="44" spans="2:11" ht="21" customHeight="1">
      <c r="B44" s="538"/>
      <c r="C44" s="538"/>
      <c r="D44" s="538"/>
      <c r="E44" s="538"/>
      <c r="F44" s="538"/>
      <c r="G44" s="353"/>
      <c r="H44" s="353"/>
      <c r="I44" s="353"/>
      <c r="J44" s="550"/>
    </row>
    <row r="45" spans="2:11" ht="21" customHeight="1">
      <c r="B45" s="538"/>
      <c r="C45" s="538"/>
      <c r="D45" s="538"/>
      <c r="E45" s="538"/>
      <c r="F45" s="538"/>
      <c r="G45" s="353"/>
      <c r="H45" s="353"/>
      <c r="I45" s="353"/>
      <c r="J45" s="550"/>
    </row>
    <row r="46" spans="2:11" ht="21" customHeight="1">
      <c r="B46" s="538"/>
      <c r="C46" s="538"/>
      <c r="D46" s="538"/>
      <c r="E46" s="538"/>
      <c r="F46" s="538"/>
      <c r="G46" s="353"/>
      <c r="H46" s="353"/>
      <c r="I46" s="353"/>
      <c r="J46" s="550"/>
    </row>
    <row r="47" spans="2:11" ht="21" customHeight="1" thickBot="1">
      <c r="B47" s="538"/>
      <c r="C47" s="538"/>
      <c r="D47" s="538"/>
      <c r="E47" s="538"/>
      <c r="F47" s="538"/>
      <c r="G47" s="585"/>
      <c r="H47" s="585"/>
      <c r="I47" s="585"/>
      <c r="J47" s="614"/>
    </row>
    <row r="48" spans="2:11" ht="21" customHeight="1" thickTop="1" thickBot="1">
      <c r="B48" s="853"/>
      <c r="C48" s="853"/>
      <c r="D48" s="853"/>
      <c r="E48" s="1454" t="s">
        <v>201</v>
      </c>
      <c r="F48" s="853"/>
      <c r="G48" s="1049">
        <f>SUM(G28:G47)</f>
        <v>0</v>
      </c>
      <c r="H48" s="968">
        <f>SUM(H28:H47)</f>
        <v>0</v>
      </c>
      <c r="I48" s="968">
        <f>SUM(I28:I47)</f>
        <v>0</v>
      </c>
      <c r="J48" s="1050">
        <f>SUM(J28:J47)</f>
        <v>0</v>
      </c>
    </row>
    <row r="49" spans="2:10" ht="12" customHeight="1" thickTop="1"/>
    <row r="50" spans="2:10">
      <c r="C50" s="38" t="s">
        <v>242</v>
      </c>
      <c r="D50" t="s">
        <v>243</v>
      </c>
    </row>
    <row r="51" spans="2:10">
      <c r="D51" t="s">
        <v>153</v>
      </c>
    </row>
    <row r="52" spans="2:10" ht="10.5" customHeight="1"/>
    <row r="53" spans="2:10" ht="13.8">
      <c r="B53" s="1618" t="s">
        <v>181</v>
      </c>
      <c r="C53" s="1618"/>
      <c r="D53" s="1618"/>
      <c r="E53" s="1618"/>
      <c r="F53" s="1618"/>
      <c r="G53" s="1618"/>
      <c r="H53" s="1618"/>
      <c r="I53" s="1618"/>
      <c r="J53" s="1618"/>
    </row>
    <row r="54" spans="2:10">
      <c r="J54" s="238"/>
    </row>
  </sheetData>
  <sheetProtection algorithmName="SHA-512" hashValue="H391uS6WEycj4TgX2PaG+v4lxlOAv3fXscRsSkNN5K3TRx6bNgNm9afm9wwf8BGUQqwoNn3hRnwrHmiJTeYLdQ==" saltValue="o6GSA86+c/45/2Oo+gcQeQ==" spinCount="100000" sheet="1" objects="1" scenarios="1"/>
  <mergeCells count="6">
    <mergeCell ref="B3:J3"/>
    <mergeCell ref="B5:J5"/>
    <mergeCell ref="B53:J53"/>
    <mergeCell ref="B21:J21"/>
    <mergeCell ref="B22:J22"/>
    <mergeCell ref="C25:E25"/>
  </mergeCells>
  <phoneticPr fontId="0" type="noConversion"/>
  <pageMargins left="0.25" right="0.25" top="0.5" bottom="0.5" header="0.25" footer="0.25"/>
  <pageSetup paperSize="5" orientation="portrait" r:id="rId1"/>
  <headerFooter alignWithMargins="0"/>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7"/>
  <dimension ref="B1:K53"/>
  <sheetViews>
    <sheetView topLeftCell="B1" zoomScaleNormal="100" workbookViewId="0">
      <selection activeCell="Q15" sqref="Q15"/>
    </sheetView>
  </sheetViews>
  <sheetFormatPr defaultColWidth="9.109375" defaultRowHeight="13.2"/>
  <cols>
    <col min="1" max="1" width="4.6640625" style="309" customWidth="1"/>
    <col min="2" max="2" width="6.6640625" style="309" customWidth="1"/>
    <col min="3" max="4" width="4.6640625" style="309" customWidth="1"/>
    <col min="5" max="5" width="9.109375" style="309"/>
    <col min="6" max="6" width="6.6640625" style="309" customWidth="1"/>
    <col min="7" max="10" width="16.6640625" style="309" customWidth="1"/>
    <col min="11" max="16384" width="9.109375" style="309"/>
  </cols>
  <sheetData>
    <row r="1" spans="2:11" ht="10.5" customHeight="1"/>
    <row r="2" spans="2:11" ht="7.5" customHeight="1"/>
    <row r="3" spans="2:11" ht="22.8">
      <c r="B3" s="1665" t="s">
        <v>525</v>
      </c>
      <c r="C3" s="1665"/>
      <c r="D3" s="1665"/>
      <c r="E3" s="1665"/>
      <c r="F3" s="1665"/>
      <c r="G3" s="1665"/>
      <c r="H3" s="1665"/>
      <c r="I3" s="1665"/>
      <c r="J3" s="1665"/>
    </row>
    <row r="4" spans="2:11" ht="6.75" customHeight="1"/>
    <row r="5" spans="2:11" ht="17.399999999999999">
      <c r="B5" s="1675" t="str">
        <f>"CAPITAL  IMPROVEMENTS  AUTHORIZED  IN  "&amp;IF('KEY INPUTS'!C42="State Fiscal Year","FISCAL  YEAR  "&amp;'KEY INPUTS'!D33&amp;"",'KEY INPUTS'!D34)&amp;""</f>
        <v>CAPITAL  IMPROVEMENTS  AUTHORIZED  IN  2021</v>
      </c>
      <c r="C5" s="1675"/>
      <c r="D5" s="1675"/>
      <c r="E5" s="1675"/>
      <c r="F5" s="1675"/>
      <c r="G5" s="1675"/>
      <c r="H5" s="1675"/>
      <c r="I5" s="1675"/>
      <c r="J5" s="1675"/>
    </row>
    <row r="6" spans="2:11" ht="17.399999999999999">
      <c r="B6" s="1675" t="s">
        <v>3606</v>
      </c>
      <c r="C6" s="1675"/>
      <c r="D6" s="1675"/>
      <c r="E6" s="1675"/>
      <c r="F6" s="1675"/>
      <c r="G6" s="1675"/>
      <c r="H6" s="1675"/>
      <c r="I6" s="1675"/>
      <c r="J6" s="1675"/>
    </row>
    <row r="7" spans="2:11" ht="11.25" customHeight="1" thickBot="1"/>
    <row r="8" spans="2:11" ht="11.25" customHeight="1" thickTop="1">
      <c r="B8" s="844"/>
      <c r="C8" s="844"/>
      <c r="D8" s="844"/>
      <c r="E8" s="844"/>
      <c r="F8" s="844"/>
      <c r="G8" s="845"/>
      <c r="H8" s="845"/>
      <c r="I8" s="845"/>
      <c r="J8" s="1021"/>
    </row>
    <row r="9" spans="2:11">
      <c r="B9" s="811"/>
      <c r="C9" s="1717" t="s">
        <v>413</v>
      </c>
      <c r="D9" s="1717"/>
      <c r="E9" s="1717"/>
      <c r="F9" s="811"/>
      <c r="G9" s="847" t="s">
        <v>414</v>
      </c>
      <c r="H9" s="847" t="s">
        <v>201</v>
      </c>
      <c r="I9" s="847" t="s">
        <v>204</v>
      </c>
      <c r="J9" s="1575" t="s">
        <v>3578</v>
      </c>
    </row>
    <row r="10" spans="2:11">
      <c r="B10" s="811"/>
      <c r="C10" s="811"/>
      <c r="D10" s="811"/>
      <c r="E10" s="811"/>
      <c r="F10" s="811"/>
      <c r="G10" s="847" t="s">
        <v>202</v>
      </c>
      <c r="H10" s="847" t="s">
        <v>203</v>
      </c>
      <c r="I10" s="847" t="s">
        <v>205</v>
      </c>
      <c r="J10" s="1575" t="s">
        <v>3577</v>
      </c>
    </row>
    <row r="11" spans="2:11" ht="13.8" thickBot="1">
      <c r="B11" s="853"/>
      <c r="C11" s="853"/>
      <c r="D11" s="853"/>
      <c r="E11" s="853"/>
      <c r="F11" s="853"/>
      <c r="G11" s="855"/>
      <c r="H11" s="855" t="s">
        <v>441</v>
      </c>
      <c r="I11" s="855" t="s">
        <v>239</v>
      </c>
      <c r="J11" s="1543"/>
    </row>
    <row r="12" spans="2:11" ht="21" customHeight="1" thickTop="1">
      <c r="B12" s="610"/>
      <c r="C12" s="610"/>
      <c r="D12" s="541"/>
      <c r="E12" s="541"/>
      <c r="F12" s="541"/>
      <c r="G12" s="543"/>
      <c r="H12" s="543"/>
      <c r="I12" s="543"/>
      <c r="J12" s="606"/>
      <c r="K12" s="700"/>
    </row>
    <row r="13" spans="2:11" ht="21" customHeight="1">
      <c r="B13" s="611"/>
      <c r="C13" s="612"/>
      <c r="D13" s="612"/>
      <c r="E13" s="612"/>
      <c r="F13" s="612"/>
      <c r="G13" s="353"/>
      <c r="H13" s="353"/>
      <c r="I13" s="353"/>
      <c r="J13" s="550"/>
      <c r="K13" s="715"/>
    </row>
    <row r="14" spans="2:11" ht="21" customHeight="1">
      <c r="B14" s="538"/>
      <c r="C14" s="538"/>
      <c r="D14" s="538"/>
      <c r="E14" s="538"/>
      <c r="F14" s="538"/>
      <c r="G14" s="353"/>
      <c r="H14" s="353"/>
      <c r="I14" s="353"/>
      <c r="J14" s="550"/>
    </row>
    <row r="15" spans="2:11" ht="21" customHeight="1">
      <c r="B15" s="538"/>
      <c r="C15" s="538"/>
      <c r="D15" s="538"/>
      <c r="E15" s="538"/>
      <c r="F15" s="538"/>
      <c r="G15" s="353"/>
      <c r="H15" s="353"/>
      <c r="I15" s="353"/>
      <c r="J15" s="550"/>
    </row>
    <row r="16" spans="2:11" ht="21" customHeight="1">
      <c r="B16" s="538"/>
      <c r="C16" s="538"/>
      <c r="D16" s="538"/>
      <c r="E16" s="538"/>
      <c r="F16" s="538"/>
      <c r="G16" s="353"/>
      <c r="H16" s="353"/>
      <c r="I16" s="353"/>
      <c r="J16" s="550"/>
    </row>
    <row r="17" spans="2:10" ht="21" customHeight="1">
      <c r="B17" s="538"/>
      <c r="C17" s="538"/>
      <c r="D17" s="538"/>
      <c r="E17" s="538"/>
      <c r="F17" s="538"/>
      <c r="G17" s="353"/>
      <c r="H17" s="353"/>
      <c r="I17" s="353"/>
      <c r="J17" s="550"/>
    </row>
    <row r="18" spans="2:10" ht="21" customHeight="1">
      <c r="B18" s="538"/>
      <c r="C18" s="538"/>
      <c r="D18" s="538"/>
      <c r="E18" s="538"/>
      <c r="F18" s="538"/>
      <c r="G18" s="353"/>
      <c r="H18" s="353"/>
      <c r="I18" s="353"/>
      <c r="J18" s="550"/>
    </row>
    <row r="19" spans="2:10" ht="21" customHeight="1">
      <c r="B19" s="538"/>
      <c r="C19" s="538"/>
      <c r="D19" s="538"/>
      <c r="E19" s="538"/>
      <c r="F19" s="538"/>
      <c r="G19" s="353"/>
      <c r="H19" s="353"/>
      <c r="I19" s="353"/>
      <c r="J19" s="550"/>
    </row>
    <row r="20" spans="2:10" ht="21" customHeight="1">
      <c r="B20" s="538"/>
      <c r="C20" s="538"/>
      <c r="D20" s="538"/>
      <c r="E20" s="538"/>
      <c r="F20" s="538"/>
      <c r="G20" s="353"/>
      <c r="H20" s="353"/>
      <c r="I20" s="353"/>
      <c r="J20" s="550"/>
    </row>
    <row r="21" spans="2:10" ht="21" customHeight="1">
      <c r="B21" s="538"/>
      <c r="C21" s="538"/>
      <c r="D21" s="538"/>
      <c r="E21" s="538"/>
      <c r="F21" s="538"/>
      <c r="G21" s="353"/>
      <c r="H21" s="353"/>
      <c r="I21" s="353"/>
      <c r="J21" s="550"/>
    </row>
    <row r="22" spans="2:10" ht="21" customHeight="1">
      <c r="B22" s="538"/>
      <c r="C22" s="538"/>
      <c r="D22" s="538"/>
      <c r="E22" s="538"/>
      <c r="F22" s="538"/>
      <c r="G22" s="353"/>
      <c r="H22" s="353"/>
      <c r="I22" s="353"/>
      <c r="J22" s="550"/>
    </row>
    <row r="23" spans="2:10" ht="21" customHeight="1">
      <c r="B23" s="538"/>
      <c r="C23" s="538"/>
      <c r="D23" s="538"/>
      <c r="E23" s="538"/>
      <c r="F23" s="538"/>
      <c r="G23" s="353"/>
      <c r="H23" s="353"/>
      <c r="I23" s="353"/>
      <c r="J23" s="550"/>
    </row>
    <row r="24" spans="2:10" ht="21" customHeight="1">
      <c r="B24" s="538"/>
      <c r="C24" s="538"/>
      <c r="D24" s="538"/>
      <c r="E24" s="538"/>
      <c r="F24" s="538"/>
      <c r="G24" s="353"/>
      <c r="H24" s="353"/>
      <c r="I24" s="353"/>
      <c r="J24" s="550"/>
    </row>
    <row r="25" spans="2:10" ht="21" customHeight="1">
      <c r="B25" s="538"/>
      <c r="C25" s="538"/>
      <c r="D25" s="538"/>
      <c r="E25" s="538"/>
      <c r="F25" s="538"/>
      <c r="G25" s="353"/>
      <c r="H25" s="353"/>
      <c r="I25" s="353"/>
      <c r="J25" s="550"/>
    </row>
    <row r="26" spans="2:10" ht="21" customHeight="1">
      <c r="B26" s="538"/>
      <c r="C26" s="538"/>
      <c r="D26" s="538"/>
      <c r="E26" s="538"/>
      <c r="F26" s="538"/>
      <c r="G26" s="353"/>
      <c r="H26" s="353"/>
      <c r="I26" s="353"/>
      <c r="J26" s="550"/>
    </row>
    <row r="27" spans="2:10" ht="21" customHeight="1">
      <c r="B27" s="538"/>
      <c r="C27" s="538"/>
      <c r="D27" s="538"/>
      <c r="E27" s="538"/>
      <c r="F27" s="538"/>
      <c r="G27" s="353"/>
      <c r="H27" s="353"/>
      <c r="I27" s="353"/>
      <c r="J27" s="550"/>
    </row>
    <row r="28" spans="2:10" ht="21" customHeight="1">
      <c r="B28" s="538"/>
      <c r="C28" s="538"/>
      <c r="D28" s="538"/>
      <c r="E28" s="538"/>
      <c r="F28" s="538"/>
      <c r="G28" s="353"/>
      <c r="H28" s="353"/>
      <c r="I28" s="353"/>
      <c r="J28" s="550"/>
    </row>
    <row r="29" spans="2:10" ht="21" customHeight="1">
      <c r="B29" s="538"/>
      <c r="C29" s="538"/>
      <c r="D29" s="538"/>
      <c r="E29" s="538"/>
      <c r="F29" s="538"/>
      <c r="G29" s="353"/>
      <c r="H29" s="353"/>
      <c r="I29" s="353"/>
      <c r="J29" s="550"/>
    </row>
    <row r="30" spans="2:10" ht="21" customHeight="1">
      <c r="B30" s="538"/>
      <c r="C30" s="538"/>
      <c r="D30" s="538"/>
      <c r="E30" s="538"/>
      <c r="F30" s="538"/>
      <c r="G30" s="353"/>
      <c r="H30" s="353"/>
      <c r="I30" s="353"/>
      <c r="J30" s="550"/>
    </row>
    <row r="31" spans="2:10" ht="21" customHeight="1">
      <c r="B31" s="538"/>
      <c r="C31" s="538"/>
      <c r="D31" s="538"/>
      <c r="E31" s="538"/>
      <c r="F31" s="538"/>
      <c r="G31" s="353"/>
      <c r="H31" s="353"/>
      <c r="I31" s="353"/>
      <c r="J31" s="550"/>
    </row>
    <row r="32" spans="2:10" ht="21" customHeight="1">
      <c r="B32" s="538"/>
      <c r="C32" s="538"/>
      <c r="D32" s="538"/>
      <c r="E32" s="538"/>
      <c r="F32" s="538"/>
      <c r="G32" s="353"/>
      <c r="H32" s="353"/>
      <c r="I32" s="353"/>
      <c r="J32" s="550"/>
    </row>
    <row r="33" spans="2:11" ht="21" customHeight="1">
      <c r="B33" s="538"/>
      <c r="C33" s="538"/>
      <c r="D33" s="538"/>
      <c r="E33" s="538"/>
      <c r="F33" s="538"/>
      <c r="G33" s="353"/>
      <c r="H33" s="353"/>
      <c r="I33" s="353"/>
      <c r="J33" s="550"/>
    </row>
    <row r="34" spans="2:11" ht="21" customHeight="1">
      <c r="B34" s="538"/>
      <c r="C34" s="538"/>
      <c r="D34" s="538"/>
      <c r="E34" s="538"/>
      <c r="F34" s="538"/>
      <c r="G34" s="353"/>
      <c r="H34" s="353"/>
      <c r="I34" s="353"/>
      <c r="J34" s="550"/>
    </row>
    <row r="35" spans="2:11" ht="21" customHeight="1">
      <c r="B35" s="538"/>
      <c r="C35" s="538"/>
      <c r="D35" s="538"/>
      <c r="E35" s="538"/>
      <c r="F35" s="538"/>
      <c r="G35" s="353"/>
      <c r="H35" s="353"/>
      <c r="I35" s="353"/>
      <c r="J35" s="550"/>
    </row>
    <row r="36" spans="2:11" ht="21" customHeight="1">
      <c r="B36" s="538"/>
      <c r="C36" s="538"/>
      <c r="D36" s="538"/>
      <c r="E36" s="538"/>
      <c r="F36" s="538"/>
      <c r="G36" s="353"/>
      <c r="H36" s="353"/>
      <c r="I36" s="353"/>
      <c r="J36" s="550"/>
    </row>
    <row r="37" spans="2:11" ht="21" customHeight="1">
      <c r="B37" s="538"/>
      <c r="C37" s="538"/>
      <c r="D37" s="538"/>
      <c r="E37" s="538"/>
      <c r="F37" s="538"/>
      <c r="G37" s="353"/>
      <c r="H37" s="353"/>
      <c r="I37" s="353"/>
      <c r="J37" s="550"/>
    </row>
    <row r="38" spans="2:11" ht="21" customHeight="1">
      <c r="B38" s="538"/>
      <c r="C38" s="538"/>
      <c r="D38" s="538"/>
      <c r="E38" s="538"/>
      <c r="F38" s="538"/>
      <c r="G38" s="353"/>
      <c r="H38" s="353"/>
      <c r="I38" s="353"/>
      <c r="J38" s="550"/>
    </row>
    <row r="39" spans="2:11" ht="21" customHeight="1">
      <c r="B39" s="538"/>
      <c r="C39" s="538"/>
      <c r="D39" s="538"/>
      <c r="E39" s="538"/>
      <c r="F39" s="538"/>
      <c r="G39" s="353"/>
      <c r="H39" s="353"/>
      <c r="I39" s="353"/>
      <c r="J39" s="550"/>
    </row>
    <row r="40" spans="2:11" ht="21" customHeight="1">
      <c r="B40" s="613"/>
      <c r="C40" s="538"/>
      <c r="D40" s="538"/>
      <c r="E40" s="538"/>
      <c r="F40" s="538"/>
      <c r="G40" s="353"/>
      <c r="H40" s="353"/>
      <c r="I40" s="353"/>
      <c r="J40" s="550"/>
      <c r="K40" s="238"/>
    </row>
    <row r="41" spans="2:11" ht="21" customHeight="1">
      <c r="B41" s="538"/>
      <c r="C41" s="538"/>
      <c r="D41" s="538"/>
      <c r="E41" s="538"/>
      <c r="F41" s="538"/>
      <c r="G41" s="353"/>
      <c r="H41" s="353"/>
      <c r="I41" s="353"/>
      <c r="J41" s="550"/>
    </row>
    <row r="42" spans="2:11" ht="21" customHeight="1">
      <c r="B42" s="538"/>
      <c r="C42" s="538"/>
      <c r="D42" s="538"/>
      <c r="E42" s="538"/>
      <c r="F42" s="538"/>
      <c r="G42" s="353"/>
      <c r="H42" s="353"/>
      <c r="I42" s="353"/>
      <c r="J42" s="550"/>
      <c r="K42" s="238"/>
    </row>
    <row r="43" spans="2:11" ht="21" customHeight="1">
      <c r="B43" s="538"/>
      <c r="C43" s="538"/>
      <c r="D43" s="538"/>
      <c r="E43" s="538"/>
      <c r="F43" s="538"/>
      <c r="G43" s="353"/>
      <c r="H43" s="353"/>
      <c r="I43" s="353"/>
      <c r="J43" s="550"/>
    </row>
    <row r="44" spans="2:11" ht="21" customHeight="1">
      <c r="B44" s="538"/>
      <c r="C44" s="538"/>
      <c r="D44" s="538"/>
      <c r="E44" s="538"/>
      <c r="F44" s="538"/>
      <c r="G44" s="353"/>
      <c r="H44" s="353"/>
      <c r="I44" s="353"/>
      <c r="J44" s="550"/>
    </row>
    <row r="45" spans="2:11" ht="21" customHeight="1">
      <c r="B45" s="538"/>
      <c r="C45" s="538"/>
      <c r="D45" s="538"/>
      <c r="E45" s="538"/>
      <c r="F45" s="538"/>
      <c r="G45" s="353"/>
      <c r="H45" s="353"/>
      <c r="I45" s="353"/>
      <c r="J45" s="550"/>
    </row>
    <row r="46" spans="2:11" ht="21" customHeight="1" thickBot="1">
      <c r="B46" s="538"/>
      <c r="C46" s="538"/>
      <c r="D46" s="538"/>
      <c r="E46" s="538"/>
      <c r="F46" s="538"/>
      <c r="G46" s="585"/>
      <c r="H46" s="585"/>
      <c r="I46" s="585"/>
      <c r="J46" s="614"/>
    </row>
    <row r="47" spans="2:11" ht="21" customHeight="1" thickTop="1" thickBot="1">
      <c r="B47" s="853"/>
      <c r="C47" s="853"/>
      <c r="D47" s="853"/>
      <c r="E47" s="1454" t="s">
        <v>3605</v>
      </c>
      <c r="F47" s="853"/>
      <c r="G47" s="1049">
        <f>SUM(G12:G46)+'37- Cap Fund Down Pymts'!G48</f>
        <v>0</v>
      </c>
      <c r="H47" s="968">
        <f>SUM(H12:H46)+'37- Cap Fund Down Pymts'!H48</f>
        <v>0</v>
      </c>
      <c r="I47" s="968">
        <f>SUM(I12:I46)+'37- Cap Fund Down Pymts'!I48</f>
        <v>0</v>
      </c>
      <c r="J47" s="1050">
        <f>SUM(J12:J46)+'37- Cap Fund Down Pymts'!J48</f>
        <v>0</v>
      </c>
    </row>
    <row r="48" spans="2:11" ht="9.75" customHeight="1" thickTop="1"/>
    <row r="49" spans="2:10">
      <c r="C49" s="38" t="s">
        <v>242</v>
      </c>
      <c r="D49" s="309" t="s">
        <v>243</v>
      </c>
    </row>
    <row r="50" spans="2:10">
      <c r="D50" s="309" t="s">
        <v>153</v>
      </c>
    </row>
    <row r="51" spans="2:10" ht="10.5" customHeight="1"/>
    <row r="52" spans="2:10" ht="13.8">
      <c r="B52" s="1618" t="s">
        <v>3645</v>
      </c>
      <c r="C52" s="1618"/>
      <c r="D52" s="1618"/>
      <c r="E52" s="1618"/>
      <c r="F52" s="1618"/>
      <c r="G52" s="1618"/>
      <c r="H52" s="1618"/>
      <c r="I52" s="1618"/>
      <c r="J52" s="1618"/>
    </row>
    <row r="53" spans="2:10">
      <c r="J53" s="238"/>
    </row>
  </sheetData>
  <sheetProtection algorithmName="SHA-512" hashValue="JOHQ6m4UlgkDqHgqNFemW9UxjMrlzMtem5J/aufzc/11fg4UW9SnxP/NDX27lR2VF1ghJ9xXteDrC/UlthKjUQ==" saltValue="dxp5Dblgt2Fq+o4XTuBzYw==" spinCount="100000" sheet="1" objects="1" scenarios="1"/>
  <mergeCells count="5">
    <mergeCell ref="B3:J3"/>
    <mergeCell ref="B5:J5"/>
    <mergeCell ref="B6:J6"/>
    <mergeCell ref="C9:E9"/>
    <mergeCell ref="B52:J52"/>
  </mergeCells>
  <pageMargins left="0.25" right="0.25" top="0.5" bottom="0.5" header="0.25" footer="0.25"/>
  <pageSetup paperSize="5" orientation="portrait" r:id="rId1"/>
  <headerFooter alignWithMargins="0"/>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2"/>
  <dimension ref="B3:T62"/>
  <sheetViews>
    <sheetView zoomScaleNormal="100" workbookViewId="0">
      <selection activeCell="I17" sqref="I17"/>
    </sheetView>
  </sheetViews>
  <sheetFormatPr defaultRowHeight="13.2"/>
  <cols>
    <col min="1" max="1" width="4.6640625" customWidth="1"/>
    <col min="2" max="2" width="3.44140625" customWidth="1"/>
    <col min="3" max="4" width="4.6640625" customWidth="1"/>
    <col min="6" max="6" width="9" customWidth="1"/>
    <col min="7" max="10" width="16.6640625" customWidth="1"/>
    <col min="11" max="11" width="4.6640625" bestFit="1" customWidth="1"/>
    <col min="13" max="13" width="10.109375" style="63" bestFit="1" customWidth="1"/>
  </cols>
  <sheetData>
    <row r="3" spans="2:20" ht="22.8">
      <c r="B3" s="1665" t="s">
        <v>525</v>
      </c>
      <c r="C3" s="1665"/>
      <c r="D3" s="1665"/>
      <c r="E3" s="1665"/>
      <c r="F3" s="1665"/>
      <c r="G3" s="1665"/>
      <c r="H3" s="1665"/>
      <c r="I3" s="1665"/>
      <c r="J3" s="1665"/>
    </row>
    <row r="5" spans="2:20" ht="15.6">
      <c r="B5" s="1620" t="s">
        <v>154</v>
      </c>
      <c r="C5" s="1620"/>
      <c r="D5" s="1620"/>
      <c r="E5" s="1620"/>
      <c r="F5" s="1620"/>
      <c r="G5" s="1620"/>
      <c r="H5" s="1620"/>
      <c r="I5" s="1620"/>
      <c r="J5" s="1620"/>
    </row>
    <row r="6" spans="2:20" ht="15.6">
      <c r="B6" s="1872" t="str">
        <f>IF('KEY INPUTS'!C42="State Fiscal Year","FISCAL YEAR  -  "&amp;'KEY INPUTS'!D33&amp;"","YEAR  -  "&amp;'KEY INPUTS'!D34&amp;"")&amp;""</f>
        <v>YEAR  -  2021</v>
      </c>
      <c r="C6" s="1620"/>
      <c r="D6" s="1620"/>
      <c r="E6" s="1620"/>
      <c r="F6" s="1620"/>
      <c r="G6" s="1620"/>
      <c r="H6" s="1620"/>
      <c r="I6" s="1620"/>
      <c r="J6" s="1620"/>
      <c r="N6" s="309"/>
      <c r="O6" s="309"/>
      <c r="P6" s="309"/>
      <c r="Q6" s="309"/>
      <c r="R6" s="309"/>
      <c r="S6" s="309"/>
      <c r="T6" s="309"/>
    </row>
    <row r="7" spans="2:20" ht="13.8" thickBot="1">
      <c r="N7" s="309"/>
      <c r="O7" s="309"/>
      <c r="P7" s="309"/>
      <c r="Q7" s="309"/>
      <c r="R7" s="309"/>
      <c r="S7" s="309"/>
      <c r="T7" s="309"/>
    </row>
    <row r="8" spans="2:20" ht="28.5" customHeight="1" thickTop="1" thickBot="1">
      <c r="B8" s="60"/>
      <c r="C8" s="60"/>
      <c r="D8" s="60"/>
      <c r="E8" s="60"/>
      <c r="F8" s="60"/>
      <c r="G8" s="60"/>
      <c r="H8" s="60"/>
      <c r="I8" s="4" t="s">
        <v>96</v>
      </c>
      <c r="J8" s="3" t="s">
        <v>97</v>
      </c>
      <c r="N8" s="356"/>
      <c r="O8" s="309"/>
      <c r="P8" s="309"/>
      <c r="Q8" s="309"/>
      <c r="R8" s="309"/>
      <c r="S8" s="309"/>
      <c r="T8" s="309"/>
    </row>
    <row r="9" spans="2:20" ht="21" customHeight="1" thickTop="1">
      <c r="B9" s="271" t="str">
        <f>'37- Cap Fund Down Pymts'!B8</f>
        <v>Balance - January 1, 2021</v>
      </c>
      <c r="C9" s="271"/>
      <c r="D9" s="271"/>
      <c r="E9" s="271"/>
      <c r="F9" s="271"/>
      <c r="G9" s="271"/>
      <c r="H9" s="49"/>
      <c r="I9" s="141" t="s">
        <v>628</v>
      </c>
      <c r="J9" s="609">
        <v>1526.98</v>
      </c>
      <c r="K9" s="218"/>
      <c r="L9" s="312"/>
      <c r="N9" s="309"/>
      <c r="O9" s="309"/>
      <c r="P9" s="309"/>
      <c r="Q9" s="309"/>
      <c r="R9" s="309"/>
      <c r="S9" s="309"/>
      <c r="T9" s="309"/>
    </row>
    <row r="10" spans="2:20" ht="21" customHeight="1">
      <c r="B10" s="310" t="s">
        <v>155</v>
      </c>
      <c r="C10" s="310"/>
      <c r="D10" s="310"/>
      <c r="E10" s="310"/>
      <c r="F10" s="310"/>
      <c r="G10" s="310"/>
      <c r="H10" s="48"/>
      <c r="I10" s="142" t="s">
        <v>628</v>
      </c>
      <c r="J10" s="600"/>
      <c r="N10" s="309"/>
      <c r="O10" s="309"/>
      <c r="P10" s="309"/>
      <c r="Q10" s="309"/>
      <c r="R10" s="309"/>
      <c r="S10" s="309"/>
      <c r="T10" s="309"/>
    </row>
    <row r="11" spans="2:20" ht="21" customHeight="1">
      <c r="B11" s="310" t="s">
        <v>156</v>
      </c>
      <c r="C11" s="310"/>
      <c r="D11" s="310"/>
      <c r="E11" s="310"/>
      <c r="F11" s="310"/>
      <c r="G11" s="310"/>
      <c r="H11" s="48"/>
      <c r="I11" s="142" t="s">
        <v>628</v>
      </c>
      <c r="J11" s="600"/>
      <c r="N11" s="309"/>
      <c r="O11" s="309"/>
      <c r="P11" s="309"/>
      <c r="Q11" s="309"/>
      <c r="R11" s="309"/>
      <c r="S11" s="309"/>
      <c r="T11" s="309"/>
    </row>
    <row r="12" spans="2:20" ht="21" customHeight="1">
      <c r="B12" s="354"/>
      <c r="C12" s="1041"/>
      <c r="D12" s="354"/>
      <c r="E12" s="354"/>
      <c r="F12" s="354"/>
      <c r="G12" s="354"/>
      <c r="H12" s="354"/>
      <c r="I12" s="652"/>
      <c r="J12" s="355"/>
      <c r="N12" s="309"/>
      <c r="O12" s="309"/>
      <c r="P12" s="309"/>
      <c r="Q12" s="309"/>
      <c r="R12" s="309"/>
      <c r="S12" s="309"/>
      <c r="T12" s="309"/>
    </row>
    <row r="13" spans="2:20" ht="21" customHeight="1">
      <c r="B13" s="354"/>
      <c r="C13" s="1041"/>
      <c r="D13" s="354"/>
      <c r="E13" s="354"/>
      <c r="F13" s="354"/>
      <c r="G13" s="354"/>
      <c r="H13" s="354"/>
      <c r="I13" s="652"/>
      <c r="J13" s="355"/>
      <c r="N13" s="309"/>
      <c r="O13" s="309"/>
      <c r="P13" s="309"/>
      <c r="Q13" s="309"/>
      <c r="R13" s="309"/>
      <c r="S13" s="309"/>
      <c r="T13" s="309"/>
    </row>
    <row r="14" spans="2:20" ht="21" customHeight="1">
      <c r="B14" s="538"/>
      <c r="C14" s="538"/>
      <c r="D14" s="538"/>
      <c r="E14" s="538"/>
      <c r="F14" s="538"/>
      <c r="G14" s="538"/>
      <c r="H14" s="538"/>
      <c r="I14" s="571"/>
      <c r="J14" s="1393"/>
      <c r="N14" s="309"/>
      <c r="O14" s="309"/>
      <c r="P14" s="309"/>
      <c r="Q14" s="309"/>
      <c r="R14" s="309"/>
      <c r="S14" s="309"/>
      <c r="T14" s="309"/>
    </row>
    <row r="15" spans="2:20" ht="21" customHeight="1">
      <c r="B15" s="310" t="s">
        <v>179</v>
      </c>
      <c r="C15" s="310"/>
      <c r="D15" s="310"/>
      <c r="E15" s="310"/>
      <c r="F15" s="310"/>
      <c r="G15" s="310"/>
      <c r="H15" s="48"/>
      <c r="I15" s="571"/>
      <c r="J15" s="123" t="s">
        <v>628</v>
      </c>
      <c r="N15" s="309"/>
      <c r="O15" s="309"/>
      <c r="P15" s="309"/>
      <c r="Q15" s="309"/>
      <c r="R15" s="309"/>
      <c r="S15" s="309"/>
      <c r="T15" s="309"/>
    </row>
    <row r="16" spans="2:20" ht="21" customHeight="1">
      <c r="B16" s="310" t="str">
        <f>"Appropriated to "&amp;IF('KEY INPUTS'!C42="State Fiscal Year","Fiscal Year "&amp;'KEY INPUTS'!D33&amp;"",'KEY INPUTS'!D34)&amp;" Budget Revenue"</f>
        <v>Appropriated to 2021 Budget Revenue</v>
      </c>
      <c r="C16" s="310"/>
      <c r="D16" s="310"/>
      <c r="E16" s="310"/>
      <c r="F16" s="310"/>
      <c r="G16" s="310"/>
      <c r="H16" s="48"/>
      <c r="I16" s="571">
        <v>1526.98</v>
      </c>
      <c r="J16" s="123" t="s">
        <v>628</v>
      </c>
      <c r="N16" s="309"/>
      <c r="O16" s="309"/>
      <c r="P16" s="309"/>
      <c r="Q16" s="309"/>
      <c r="R16" s="309"/>
      <c r="S16" s="309"/>
      <c r="T16" s="309"/>
    </row>
    <row r="17" spans="2:20" ht="21" customHeight="1" thickBot="1">
      <c r="B17" s="310" t="str">
        <f>'37- Cap Fund Down Pymts'!B15</f>
        <v>Balance - December 31, 2021</v>
      </c>
      <c r="C17" s="310"/>
      <c r="D17" s="310"/>
      <c r="E17" s="310"/>
      <c r="F17" s="310"/>
      <c r="G17" s="310"/>
      <c r="H17" s="48"/>
      <c r="I17" s="149">
        <f>SUM(J9:J14)-SUM(I12:I16)</f>
        <v>0</v>
      </c>
      <c r="J17" s="155" t="s">
        <v>628</v>
      </c>
      <c r="K17" s="218"/>
      <c r="L17" s="218"/>
      <c r="N17" s="309"/>
      <c r="O17" s="309"/>
      <c r="P17" s="309"/>
      <c r="Q17" s="309"/>
      <c r="R17" s="309"/>
      <c r="S17" s="309"/>
      <c r="T17" s="309"/>
    </row>
    <row r="18" spans="2:20" ht="21" customHeight="1" thickTop="1" thickBot="1">
      <c r="I18" s="120">
        <f>SUM(I9:I17)</f>
        <v>1526.98</v>
      </c>
      <c r="J18" s="157">
        <f>SUM(J9:J17)</f>
        <v>1526.98</v>
      </c>
      <c r="N18" s="309"/>
      <c r="O18" s="309"/>
      <c r="P18" s="309"/>
      <c r="Q18" s="309"/>
      <c r="R18" s="309"/>
      <c r="S18" s="309"/>
      <c r="T18" s="309"/>
    </row>
    <row r="19" spans="2:20" ht="13.8" thickTop="1">
      <c r="N19" s="309"/>
      <c r="O19" s="309"/>
      <c r="P19" s="309"/>
      <c r="Q19" s="309"/>
      <c r="R19" s="309"/>
      <c r="S19" s="309"/>
      <c r="T19" s="309"/>
    </row>
    <row r="20" spans="2:20">
      <c r="N20" s="309"/>
      <c r="O20" s="309"/>
      <c r="P20" s="309"/>
      <c r="Q20" s="309"/>
      <c r="R20" s="309"/>
      <c r="S20" s="309"/>
      <c r="T20" s="309"/>
    </row>
    <row r="21" spans="2:20">
      <c r="N21" s="309"/>
      <c r="O21" s="309"/>
      <c r="P21" s="309"/>
      <c r="Q21" s="309"/>
      <c r="R21" s="309"/>
      <c r="S21" s="309"/>
      <c r="T21" s="309"/>
    </row>
    <row r="22" spans="2:20">
      <c r="N22" s="309"/>
      <c r="O22" s="309"/>
      <c r="P22" s="309"/>
      <c r="Q22" s="309"/>
      <c r="R22" s="309"/>
      <c r="S22" s="309"/>
      <c r="T22" s="309"/>
    </row>
    <row r="26" spans="2:20" ht="15.6">
      <c r="B26" s="898"/>
      <c r="C26" s="898"/>
      <c r="D26" s="898"/>
      <c r="E26" s="898"/>
      <c r="F26" s="898"/>
      <c r="G26" s="898"/>
      <c r="H26" s="898"/>
      <c r="I26" s="898"/>
      <c r="J26" s="898"/>
    </row>
    <row r="27" spans="2:20">
      <c r="B27" s="248"/>
      <c r="C27" s="248"/>
      <c r="D27" s="248"/>
      <c r="E27" s="248"/>
      <c r="F27" s="248"/>
      <c r="G27" s="248"/>
      <c r="H27" s="248"/>
      <c r="I27" s="248"/>
      <c r="J27" s="248"/>
    </row>
    <row r="28" spans="2:20">
      <c r="B28" s="248"/>
      <c r="C28" s="248"/>
      <c r="D28" s="248"/>
      <c r="E28" s="248"/>
      <c r="F28" s="248"/>
      <c r="G28" s="248"/>
      <c r="H28" s="248"/>
      <c r="I28" s="248"/>
      <c r="J28" s="248"/>
    </row>
    <row r="29" spans="2:20">
      <c r="B29" s="899"/>
      <c r="C29" s="248"/>
      <c r="D29" s="248"/>
      <c r="E29" s="248"/>
      <c r="F29" s="248"/>
      <c r="G29" s="248"/>
      <c r="H29" s="248"/>
      <c r="I29" s="248"/>
      <c r="J29" s="248"/>
    </row>
    <row r="30" spans="2:20">
      <c r="B30" s="899"/>
      <c r="C30" s="248"/>
      <c r="D30" s="248"/>
      <c r="E30" s="248"/>
      <c r="F30" s="248"/>
      <c r="G30" s="248"/>
      <c r="H30" s="248"/>
      <c r="I30" s="248"/>
      <c r="J30" s="248"/>
    </row>
    <row r="31" spans="2:20">
      <c r="B31" s="899"/>
      <c r="C31" s="248"/>
      <c r="D31" s="248"/>
      <c r="E31" s="248"/>
      <c r="F31" s="248"/>
      <c r="G31" s="248"/>
      <c r="H31" s="248"/>
      <c r="I31" s="248"/>
      <c r="J31" s="248"/>
    </row>
    <row r="32" spans="2:20">
      <c r="B32" s="899"/>
      <c r="C32" s="248"/>
      <c r="D32" s="248"/>
      <c r="E32" s="248"/>
      <c r="F32" s="248"/>
      <c r="G32" s="248"/>
      <c r="H32" s="248"/>
      <c r="I32" s="900"/>
      <c r="J32" s="901"/>
    </row>
    <row r="33" spans="2:10">
      <c r="B33" s="899"/>
      <c r="C33" s="248"/>
      <c r="D33" s="248"/>
      <c r="E33" s="248"/>
      <c r="F33" s="248"/>
      <c r="G33" s="248"/>
      <c r="H33" s="248"/>
      <c r="I33" s="248"/>
      <c r="J33" s="248"/>
    </row>
    <row r="34" spans="2:10">
      <c r="B34" s="899"/>
      <c r="C34" s="248"/>
      <c r="D34" s="248"/>
      <c r="E34" s="248"/>
      <c r="F34" s="248"/>
      <c r="G34" s="248"/>
      <c r="H34" s="248"/>
      <c r="I34" s="900"/>
      <c r="J34" s="901"/>
    </row>
    <row r="35" spans="2:10">
      <c r="B35" s="899"/>
      <c r="C35" s="248"/>
      <c r="D35" s="248"/>
      <c r="E35" s="248"/>
      <c r="F35" s="248"/>
      <c r="G35" s="248"/>
      <c r="H35" s="248"/>
      <c r="I35" s="248"/>
      <c r="J35" s="248"/>
    </row>
    <row r="36" spans="2:10">
      <c r="B36" s="899"/>
      <c r="C36" s="248"/>
      <c r="D36" s="248"/>
      <c r="E36" s="248"/>
      <c r="F36" s="248"/>
      <c r="G36" s="248"/>
      <c r="H36" s="248"/>
      <c r="I36" s="248"/>
      <c r="J36" s="248"/>
    </row>
    <row r="37" spans="2:10">
      <c r="B37" s="899"/>
      <c r="C37" s="248"/>
      <c r="D37" s="248"/>
      <c r="E37" s="248"/>
      <c r="F37" s="248"/>
      <c r="G37" s="248"/>
      <c r="H37" s="900"/>
      <c r="I37" s="901"/>
      <c r="J37" s="248"/>
    </row>
    <row r="38" spans="2:10">
      <c r="B38" s="899"/>
      <c r="C38" s="248"/>
      <c r="D38" s="248"/>
      <c r="E38" s="248"/>
      <c r="F38" s="248"/>
      <c r="G38" s="248"/>
      <c r="H38" s="248"/>
      <c r="I38" s="248"/>
      <c r="J38" s="248"/>
    </row>
    <row r="39" spans="2:10">
      <c r="B39" s="899"/>
      <c r="C39" s="248"/>
      <c r="D39" s="248"/>
      <c r="E39" s="248"/>
      <c r="F39" s="248"/>
      <c r="G39" s="248"/>
      <c r="H39" s="248"/>
      <c r="I39" s="248"/>
      <c r="J39" s="248"/>
    </row>
    <row r="40" spans="2:10">
      <c r="B40" s="899"/>
      <c r="C40" s="248"/>
      <c r="D40" s="248"/>
      <c r="E40" s="248"/>
      <c r="F40" s="248"/>
      <c r="G40" s="248"/>
      <c r="H40" s="900"/>
      <c r="I40" s="901"/>
      <c r="J40" s="248"/>
    </row>
    <row r="41" spans="2:10">
      <c r="B41" s="899"/>
      <c r="C41" s="248"/>
      <c r="D41" s="248"/>
      <c r="E41" s="248"/>
      <c r="F41" s="248"/>
      <c r="G41" s="248"/>
      <c r="H41" s="248"/>
      <c r="I41" s="248"/>
      <c r="J41" s="248"/>
    </row>
    <row r="42" spans="2:10">
      <c r="B42" s="899"/>
      <c r="C42" s="248"/>
      <c r="D42" s="248"/>
      <c r="E42" s="248"/>
      <c r="F42" s="248"/>
      <c r="G42" s="248"/>
      <c r="H42" s="900"/>
      <c r="I42" s="901"/>
      <c r="J42" s="248"/>
    </row>
    <row r="43" spans="2:10">
      <c r="B43" s="899"/>
      <c r="C43" s="248"/>
      <c r="D43" s="248"/>
      <c r="E43" s="248"/>
      <c r="F43" s="248"/>
      <c r="G43" s="248"/>
      <c r="H43" s="248"/>
      <c r="I43" s="248"/>
      <c r="J43" s="248"/>
    </row>
    <row r="44" spans="2:10">
      <c r="B44" s="899"/>
      <c r="C44" s="248"/>
      <c r="D44" s="248"/>
      <c r="E44" s="248"/>
      <c r="F44" s="248"/>
      <c r="G44" s="248"/>
      <c r="H44" s="900"/>
      <c r="I44" s="901"/>
      <c r="J44" s="248"/>
    </row>
    <row r="45" spans="2:10">
      <c r="B45" s="899"/>
      <c r="C45" s="248"/>
      <c r="D45" s="248"/>
      <c r="E45" s="248"/>
      <c r="F45" s="248"/>
      <c r="G45" s="248"/>
      <c r="H45" s="248"/>
      <c r="I45" s="248"/>
      <c r="J45" s="248"/>
    </row>
    <row r="46" spans="2:10">
      <c r="B46" s="899"/>
      <c r="C46" s="248"/>
      <c r="D46" s="248"/>
      <c r="E46" s="248"/>
      <c r="F46" s="248"/>
      <c r="G46" s="248"/>
      <c r="H46" s="248"/>
      <c r="I46" s="900"/>
      <c r="J46" s="901"/>
    </row>
    <row r="47" spans="2:10">
      <c r="B47" s="899"/>
      <c r="C47" s="248"/>
      <c r="D47" s="248"/>
      <c r="E47" s="248"/>
      <c r="F47" s="248"/>
      <c r="G47" s="248"/>
      <c r="H47" s="248"/>
      <c r="I47" s="248"/>
      <c r="J47" s="248"/>
    </row>
    <row r="48" spans="2:10">
      <c r="B48" s="899"/>
      <c r="C48" s="248"/>
      <c r="D48" s="248"/>
      <c r="E48" s="248"/>
      <c r="F48" s="248"/>
      <c r="G48" s="248"/>
      <c r="H48" s="248"/>
      <c r="I48" s="248"/>
      <c r="J48" s="248"/>
    </row>
    <row r="49" spans="2:10">
      <c r="B49" s="899"/>
      <c r="C49" s="248"/>
      <c r="D49" s="248"/>
      <c r="E49" s="248"/>
      <c r="F49" s="248"/>
      <c r="G49" s="248"/>
      <c r="H49" s="248"/>
      <c r="I49" s="248"/>
      <c r="J49" s="248"/>
    </row>
    <row r="50" spans="2:10">
      <c r="B50" s="902"/>
      <c r="C50" s="248"/>
      <c r="D50" s="248"/>
      <c r="E50" s="248"/>
      <c r="F50" s="248"/>
      <c r="G50" s="248"/>
      <c r="H50" s="248"/>
      <c r="I50" s="248"/>
      <c r="J50" s="248"/>
    </row>
    <row r="51" spans="2:10">
      <c r="B51" s="902"/>
      <c r="C51" s="248"/>
      <c r="D51" s="248"/>
      <c r="E51" s="248"/>
      <c r="F51" s="248"/>
      <c r="G51" s="248"/>
      <c r="H51" s="248"/>
      <c r="I51" s="248"/>
      <c r="J51" s="248"/>
    </row>
    <row r="52" spans="2:10">
      <c r="B52" s="903"/>
      <c r="C52" s="248"/>
      <c r="D52" s="248"/>
      <c r="E52" s="248"/>
      <c r="F52" s="248"/>
      <c r="G52" s="248"/>
      <c r="H52" s="248"/>
      <c r="I52" s="248"/>
      <c r="J52" s="248"/>
    </row>
    <row r="53" spans="2:10">
      <c r="B53" s="95"/>
    </row>
    <row r="54" spans="2:10">
      <c r="B54" s="158"/>
    </row>
    <row r="55" spans="2:10">
      <c r="B55" s="294"/>
    </row>
    <row r="56" spans="2:10">
      <c r="B56" s="83"/>
    </row>
    <row r="57" spans="2:10">
      <c r="B57" s="83"/>
    </row>
    <row r="58" spans="2:10">
      <c r="B58" s="83"/>
    </row>
    <row r="59" spans="2:10">
      <c r="B59" s="83"/>
    </row>
    <row r="60" spans="2:10">
      <c r="B60" s="83"/>
    </row>
    <row r="61" spans="2:10">
      <c r="B61" s="83"/>
    </row>
    <row r="62" spans="2:10" ht="13.8">
      <c r="B62" s="1618" t="s">
        <v>157</v>
      </c>
      <c r="C62" s="1618"/>
      <c r="D62" s="1618"/>
      <c r="E62" s="1618"/>
      <c r="F62" s="1618"/>
      <c r="G62" s="1618"/>
      <c r="H62" s="1618"/>
      <c r="I62" s="1618"/>
      <c r="J62" s="1618"/>
    </row>
  </sheetData>
  <sheetProtection algorithmName="SHA-512" hashValue="lBbjoxjqUImcUOVsOMr1+Gxwz1YV1/axu3MDTeXpR365Ki+NHBx3OGrcc7mIfmmiqtVLy5jsQrK0DM64vcoB+g==" saltValue="EXav/0jBZOziNk6Gs+ysJg==" spinCount="100000" sheet="1" objects="1" scenarios="1"/>
  <mergeCells count="4">
    <mergeCell ref="B3:J3"/>
    <mergeCell ref="B5:J5"/>
    <mergeCell ref="B62:J62"/>
    <mergeCell ref="B6:J6"/>
  </mergeCells>
  <phoneticPr fontId="0" type="noConversion"/>
  <pageMargins left="0.25" right="0.25" top="0.5" bottom="0.5" header="0.25" footer="0.25"/>
  <pageSetup paperSize="5" orientation="portrait" r:id="rId1"/>
  <headerFooter alignWithMargins="0"/>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3"/>
  <dimension ref="B2:R62"/>
  <sheetViews>
    <sheetView topLeftCell="A22" zoomScaleNormal="100" workbookViewId="0">
      <selection activeCell="J49" sqref="J49"/>
    </sheetView>
  </sheetViews>
  <sheetFormatPr defaultRowHeight="13.2"/>
  <cols>
    <col min="1" max="4" width="4.6640625" customWidth="1"/>
    <col min="7" max="7" width="10.109375" customWidth="1"/>
    <col min="8" max="8" width="8.33203125" customWidth="1"/>
    <col min="9" max="9" width="4.33203125" customWidth="1"/>
    <col min="10" max="10" width="4.6640625" customWidth="1"/>
    <col min="11" max="11" width="1.6640625" customWidth="1"/>
    <col min="12" max="12" width="7.6640625" customWidth="1"/>
    <col min="13" max="13" width="1.6640625" customWidth="1"/>
    <col min="14" max="14" width="8.6640625" customWidth="1"/>
    <col min="15" max="15" width="1.5546875" customWidth="1"/>
    <col min="16" max="16" width="7.6640625" customWidth="1"/>
    <col min="17" max="17" width="8.6640625" customWidth="1"/>
  </cols>
  <sheetData>
    <row r="2" spans="2:17" ht="17.399999999999999">
      <c r="B2" s="1675" t="s">
        <v>482</v>
      </c>
      <c r="C2" s="1675"/>
      <c r="D2" s="1675"/>
      <c r="E2" s="1675"/>
      <c r="F2" s="1675"/>
      <c r="G2" s="1675"/>
      <c r="H2" s="1675"/>
      <c r="I2" s="1675"/>
      <c r="J2" s="1675"/>
      <c r="K2" s="1675"/>
      <c r="L2" s="1675"/>
      <c r="M2" s="1675"/>
      <c r="N2" s="1675"/>
      <c r="O2" s="1675"/>
      <c r="P2" s="1675"/>
      <c r="Q2" s="1675"/>
    </row>
    <row r="4" spans="2:17" ht="22.8">
      <c r="B4" s="1665" t="s">
        <v>611</v>
      </c>
      <c r="C4" s="1665"/>
      <c r="D4" s="1665"/>
      <c r="E4" s="1665"/>
      <c r="F4" s="1665"/>
      <c r="G4" s="1665"/>
      <c r="H4" s="1665"/>
      <c r="I4" s="1665"/>
      <c r="J4" s="1665"/>
      <c r="K4" s="1665"/>
      <c r="L4" s="1665"/>
      <c r="M4" s="1665"/>
      <c r="N4" s="1665"/>
      <c r="O4" s="1665"/>
      <c r="P4" s="1665"/>
      <c r="Q4" s="1665"/>
    </row>
    <row r="6" spans="2:17">
      <c r="B6" s="1873" t="s">
        <v>142</v>
      </c>
      <c r="C6" s="1873"/>
      <c r="D6" s="1873"/>
      <c r="E6" s="1873"/>
      <c r="F6" s="1873"/>
      <c r="G6" s="1873"/>
      <c r="H6" s="1873"/>
      <c r="I6" s="1873"/>
      <c r="J6" s="1873"/>
      <c r="K6" s="1873"/>
      <c r="L6" s="1873"/>
      <c r="M6" s="1873"/>
      <c r="N6" s="1873"/>
      <c r="O6" s="1873"/>
      <c r="P6" s="1873"/>
      <c r="Q6" s="1873"/>
    </row>
    <row r="8" spans="2:17">
      <c r="B8" s="1874" t="s">
        <v>273</v>
      </c>
      <c r="C8" s="1874"/>
      <c r="D8" s="1874"/>
      <c r="E8" s="1874"/>
      <c r="F8" s="1874"/>
      <c r="G8" s="1874"/>
      <c r="H8" s="1874"/>
      <c r="I8" s="1874"/>
      <c r="J8" s="1874"/>
      <c r="K8" s="1874"/>
      <c r="L8" s="1874"/>
      <c r="M8" s="1874"/>
      <c r="N8" s="1874"/>
      <c r="O8" s="1874"/>
      <c r="P8" s="1874"/>
      <c r="Q8" s="1874"/>
    </row>
    <row r="9" spans="2:17" ht="13.8" thickBot="1">
      <c r="B9" s="10"/>
      <c r="C9" s="10"/>
      <c r="D9" s="10"/>
      <c r="E9" s="10"/>
      <c r="F9" s="10"/>
      <c r="G9" s="10"/>
      <c r="H9" s="10"/>
      <c r="I9" s="10"/>
      <c r="J9" s="10"/>
      <c r="K9" s="10"/>
      <c r="L9" s="10"/>
      <c r="M9" s="10"/>
      <c r="N9" s="10"/>
      <c r="O9" s="10"/>
      <c r="P9" s="10"/>
      <c r="Q9" s="10"/>
    </row>
    <row r="10" spans="2:17" ht="13.8" thickTop="1">
      <c r="B10" s="42"/>
      <c r="C10" s="42"/>
      <c r="D10" s="42"/>
      <c r="E10" s="42"/>
      <c r="F10" s="42"/>
      <c r="G10" s="42"/>
      <c r="H10" s="42"/>
      <c r="I10" s="42"/>
    </row>
    <row r="11" spans="2:17" ht="13.8">
      <c r="B11" s="91" t="s">
        <v>59</v>
      </c>
    </row>
    <row r="12" spans="2:17" ht="21.9" customHeight="1">
      <c r="C12" s="83" t="s">
        <v>292</v>
      </c>
      <c r="D12" s="268" t="str">
        <f>"Total Tax Levy for "&amp;IF('KEY INPUTS'!C42="State Fiscal Year","Fiscal Year "&amp;'KEY INPUTS'!D33&amp;"","Year "&amp;'KEY INPUTS'!D34&amp;"")&amp;" was"</f>
        <v>Total Tax Levy for Year 2021 was</v>
      </c>
      <c r="M12" t="s">
        <v>373</v>
      </c>
      <c r="N12" s="1875">
        <f>+'22-CY Levy'!J17</f>
        <v>9232187.9400000013</v>
      </c>
      <c r="O12" s="1875"/>
      <c r="P12" s="1875"/>
    </row>
    <row r="13" spans="2:17" ht="21.9" customHeight="1">
      <c r="C13" s="83" t="s">
        <v>293</v>
      </c>
      <c r="D13" s="268" t="str">
        <f>"Amount of Item 1 Collected in "&amp;IF('KEY INPUTS'!C42="State Fiscal Year","Fiscal Year "&amp;'KEY INPUTS'!D33&amp;"",'KEY INPUTS'!D34)&amp;" (*)"</f>
        <v>Amount of Item 1 Collected in 2021 (*)</v>
      </c>
      <c r="K13" s="42" t="s">
        <v>373</v>
      </c>
      <c r="L13" s="1875">
        <f>+'22-CY Levy'!L32</f>
        <v>9156977.9400000013</v>
      </c>
      <c r="M13" s="1875"/>
      <c r="N13" s="1875"/>
    </row>
    <row r="14" spans="2:17" ht="21.9" customHeight="1">
      <c r="C14" s="83" t="s">
        <v>294</v>
      </c>
      <c r="D14" t="s">
        <v>274</v>
      </c>
      <c r="M14" t="s">
        <v>373</v>
      </c>
      <c r="N14" s="1875">
        <f>+N12*0.7</f>
        <v>6462531.5580000002</v>
      </c>
      <c r="O14" s="1875"/>
      <c r="P14" s="1875"/>
    </row>
    <row r="15" spans="2:17" ht="21.9" customHeight="1">
      <c r="C15" t="s">
        <v>275</v>
      </c>
    </row>
    <row r="17" spans="2:17" ht="13.8" thickBot="1">
      <c r="B17" s="10"/>
      <c r="C17" s="10"/>
      <c r="D17" s="10"/>
      <c r="E17" s="10"/>
      <c r="F17" s="10"/>
      <c r="G17" s="10"/>
      <c r="H17" s="10"/>
      <c r="I17" s="10"/>
      <c r="J17" s="10"/>
      <c r="K17" s="10"/>
      <c r="L17" s="10"/>
      <c r="M17" s="10"/>
      <c r="N17" s="10"/>
      <c r="O17" s="10"/>
      <c r="P17" s="10"/>
      <c r="Q17" s="10"/>
    </row>
    <row r="18" spans="2:17" ht="13.8" thickTop="1"/>
    <row r="19" spans="2:17" ht="13.8">
      <c r="B19" s="91" t="s">
        <v>61</v>
      </c>
    </row>
    <row r="20" spans="2:17">
      <c r="C20" s="83" t="s">
        <v>292</v>
      </c>
      <c r="D20" s="268" t="str">
        <f>"Did any maturities of bonded obligations or notes fall due during the year "&amp;IF('KEY INPUTS'!C42="State Fiscal Year","Fiscal Year "&amp;'KEY INPUTS'!D33&amp;"",'KEY INPUTS'!D34)&amp;"?"</f>
        <v>Did any maturities of bonded obligations or notes fall due during the year 2021?</v>
      </c>
    </row>
    <row r="22" spans="2:17">
      <c r="D22" s="1663" t="s">
        <v>276</v>
      </c>
      <c r="E22" s="1663"/>
      <c r="F22" s="1663"/>
      <c r="G22" s="615" t="s">
        <v>3733</v>
      </c>
      <c r="H22" s="159"/>
    </row>
    <row r="24" spans="2:17">
      <c r="C24" s="83" t="s">
        <v>293</v>
      </c>
      <c r="D24" t="s">
        <v>601</v>
      </c>
    </row>
    <row r="25" spans="2:17">
      <c r="E25" s="268" t="str">
        <f>IF('KEY INPUTS'!C42="State Fiscal Year","June 30, "&amp;'KEY INPUTS'!D33&amp;"","December 31, "&amp;'KEY INPUTS'!D34&amp;"")&amp;"?"</f>
        <v>December 31, 2021?</v>
      </c>
    </row>
    <row r="27" spans="2:17">
      <c r="D27" s="1663" t="s">
        <v>276</v>
      </c>
      <c r="E27" s="1663"/>
      <c r="F27" s="1663"/>
      <c r="G27" s="615" t="s">
        <v>3733</v>
      </c>
      <c r="H27" t="s">
        <v>602</v>
      </c>
    </row>
    <row r="30" spans="2:17">
      <c r="D30" s="114" t="s">
        <v>612</v>
      </c>
    </row>
    <row r="31" spans="2:17" ht="13.8" thickBot="1">
      <c r="B31" s="10"/>
      <c r="C31" s="10"/>
      <c r="D31" s="10"/>
      <c r="E31" s="10"/>
      <c r="F31" s="10"/>
      <c r="G31" s="10"/>
      <c r="H31" s="10"/>
      <c r="I31" s="10"/>
      <c r="J31" s="10"/>
      <c r="K31" s="10"/>
      <c r="L31" s="10"/>
      <c r="M31" s="10"/>
      <c r="N31" s="10"/>
      <c r="O31" s="10"/>
      <c r="P31" s="10"/>
      <c r="Q31" s="10"/>
    </row>
    <row r="32" spans="2:17" ht="13.8" thickTop="1"/>
    <row r="33" spans="2:17" ht="13.8">
      <c r="B33" s="91" t="s">
        <v>845</v>
      </c>
      <c r="C33" s="268" t="str">
        <f>"Does the appropriation required to be included in the "&amp;IF('KEY INPUTS'!C42="State Fiscal Year","Fiscal Year "&amp;'KEY INPUTS'!D33+1&amp;"","Calendar Year "&amp;'KEY INPUTS'!D33&amp;"")&amp;" budget for the liquidation of all bonded"</f>
        <v>Does the appropriation required to be included in the Calendar Year 2022 budget for the liquidation of all bonded</v>
      </c>
    </row>
    <row r="34" spans="2:17">
      <c r="B34" t="s">
        <v>613</v>
      </c>
    </row>
    <row r="35" spans="2:17">
      <c r="B35" t="s">
        <v>603</v>
      </c>
      <c r="E35" s="1663"/>
      <c r="F35" s="1663"/>
      <c r="G35" s="1663"/>
      <c r="H35" s="1644"/>
      <c r="I35" s="1644"/>
    </row>
    <row r="36" spans="2:17">
      <c r="E36" s="1663" t="s">
        <v>276</v>
      </c>
      <c r="F36" s="1663"/>
      <c r="G36" s="1663"/>
      <c r="H36" s="615" t="s">
        <v>3734</v>
      </c>
    </row>
    <row r="37" spans="2:17" ht="13.8" thickBot="1">
      <c r="B37" s="10"/>
      <c r="C37" s="10"/>
      <c r="D37" s="10"/>
      <c r="E37" s="10"/>
      <c r="F37" s="10"/>
      <c r="G37" s="10"/>
      <c r="H37" s="10"/>
      <c r="I37" s="10"/>
      <c r="J37" s="10"/>
      <c r="K37" s="10"/>
      <c r="L37" s="10"/>
      <c r="M37" s="10"/>
      <c r="N37" s="10"/>
      <c r="O37" s="10"/>
      <c r="P37" s="10"/>
      <c r="Q37" s="10"/>
    </row>
    <row r="38" spans="2:17" ht="13.8" thickTop="1"/>
    <row r="39" spans="2:17" ht="13.8">
      <c r="B39" s="91" t="s">
        <v>846</v>
      </c>
    </row>
    <row r="40" spans="2:17">
      <c r="C40" s="83" t="s">
        <v>292</v>
      </c>
      <c r="D40" s="268" t="str">
        <f>"Cash Deficit "&amp;IF('KEY INPUTS'!C42 = "State Fiscal Year", "Fiscal Year "&amp;'KEY INPUTS'!D34&amp;"", 'KEY INPUTS'!D35)</f>
        <v>Cash Deficit 2020</v>
      </c>
      <c r="O40" t="s">
        <v>373</v>
      </c>
      <c r="P40" s="1667">
        <v>0</v>
      </c>
      <c r="Q40" s="1667"/>
    </row>
    <row r="42" spans="2:17">
      <c r="C42" s="83" t="s">
        <v>293</v>
      </c>
      <c r="D42" s="268" t="str">
        <f>"4% of "&amp;IF('KEY INPUTS'!C42 = "State Fiscal Year", "FY "&amp;'KEY INPUTS'!D34&amp;"", 'KEY INPUTS'!D35)&amp;" Tax Levy for all purposes:"</f>
        <v>4% of 2020 Tax Levy for all purposes:</v>
      </c>
    </row>
    <row r="43" spans="2:17">
      <c r="H43" t="s">
        <v>606</v>
      </c>
      <c r="I43" s="38" t="s">
        <v>605</v>
      </c>
      <c r="J43" s="1667">
        <v>0</v>
      </c>
      <c r="K43" s="1667"/>
      <c r="L43" s="1667"/>
      <c r="M43" s="1667"/>
      <c r="N43" s="1" t="s">
        <v>604</v>
      </c>
      <c r="O43" t="s">
        <v>373</v>
      </c>
      <c r="P43" s="1667">
        <v>0</v>
      </c>
      <c r="Q43" s="1667"/>
    </row>
    <row r="45" spans="2:17">
      <c r="C45" s="83" t="s">
        <v>294</v>
      </c>
      <c r="D45" s="268" t="str">
        <f>"Cash Deficit "&amp;IF('KEY INPUTS'!C42 = "State Fiscal Year", "Fiscal Year "&amp;'KEY INPUTS'!D33&amp;"", 'KEY INPUTS'!D34)</f>
        <v>Cash Deficit 2021</v>
      </c>
      <c r="O45" t="s">
        <v>373</v>
      </c>
      <c r="P45" s="1667">
        <v>0</v>
      </c>
      <c r="Q45" s="1667"/>
    </row>
    <row r="47" spans="2:17">
      <c r="C47" s="83" t="s">
        <v>295</v>
      </c>
      <c r="D47" s="268" t="str">
        <f>"4% of "&amp;IF('KEY INPUTS'!C42 = "State Fiscal Year", "FY "&amp;'KEY INPUTS'!D33&amp;"", 'KEY INPUTS'!D34)&amp;" Tax Levy for all purposes:"</f>
        <v>4% of 2021 Tax Levy for all purposes:</v>
      </c>
    </row>
    <row r="48" spans="2:17">
      <c r="H48" t="s">
        <v>606</v>
      </c>
      <c r="I48" s="38" t="s">
        <v>605</v>
      </c>
      <c r="J48" s="1667">
        <v>0</v>
      </c>
      <c r="K48" s="1667"/>
      <c r="L48" s="1667"/>
      <c r="M48" s="1667"/>
      <c r="N48" s="1" t="s">
        <v>604</v>
      </c>
      <c r="O48" t="s">
        <v>373</v>
      </c>
      <c r="P48" s="1667">
        <v>0</v>
      </c>
      <c r="Q48" s="1667"/>
    </row>
    <row r="50" spans="2:18" ht="13.8" thickBot="1">
      <c r="B50" s="10"/>
      <c r="C50" s="10"/>
      <c r="D50" s="10"/>
      <c r="E50" s="10"/>
      <c r="F50" s="10"/>
      <c r="G50" s="10"/>
      <c r="H50" s="10"/>
      <c r="I50" s="10"/>
      <c r="J50" s="10"/>
      <c r="K50" s="10"/>
      <c r="L50" s="10"/>
      <c r="M50" s="10"/>
      <c r="N50" s="10"/>
      <c r="O50" s="10"/>
      <c r="P50" s="10"/>
      <c r="Q50" s="10"/>
    </row>
    <row r="51" spans="2:18" ht="13.8" thickTop="1"/>
    <row r="52" spans="2:18" ht="13.8">
      <c r="B52" s="91" t="s">
        <v>847</v>
      </c>
      <c r="D52" s="1687" t="s">
        <v>610</v>
      </c>
      <c r="E52" s="1687"/>
      <c r="F52" s="1687"/>
      <c r="H52" s="1687">
        <f>IF('KEY INPUTS'!C42 = "State Fiscal Year", "Fiscal Year "&amp;'KEY INPUTS'!D34&amp;"", 'KEY INPUTS'!D35)</f>
        <v>2020</v>
      </c>
      <c r="I52" s="1687"/>
      <c r="J52" s="1687"/>
      <c r="L52" s="1687">
        <f>IF('KEY INPUTS'!C42 = "State Fiscal Year", "Fiscal Year "&amp;'KEY INPUTS'!D33&amp;"", 'KEY INPUTS'!D34)</f>
        <v>2021</v>
      </c>
      <c r="M52" s="1687"/>
      <c r="N52" s="1687"/>
      <c r="O52" s="1687" t="s">
        <v>201</v>
      </c>
      <c r="P52" s="1687"/>
      <c r="Q52" s="1687"/>
    </row>
    <row r="54" spans="2:18" ht="21" customHeight="1">
      <c r="C54" s="83" t="s">
        <v>292</v>
      </c>
      <c r="D54" t="s">
        <v>607</v>
      </c>
      <c r="G54" s="38" t="s">
        <v>605</v>
      </c>
      <c r="H54" s="1667"/>
      <c r="I54" s="1667"/>
      <c r="J54" s="1667"/>
      <c r="K54" t="s">
        <v>373</v>
      </c>
      <c r="L54" s="1667"/>
      <c r="M54" s="1667"/>
      <c r="N54" s="1667"/>
      <c r="O54" t="s">
        <v>373</v>
      </c>
      <c r="P54" s="1875">
        <f>+L54+H54</f>
        <v>0</v>
      </c>
      <c r="Q54" s="1875"/>
    </row>
    <row r="55" spans="2:18" ht="21" customHeight="1">
      <c r="C55" s="83" t="s">
        <v>293</v>
      </c>
      <c r="D55" t="s">
        <v>696</v>
      </c>
      <c r="G55" s="38" t="s">
        <v>605</v>
      </c>
      <c r="H55" s="1667"/>
      <c r="I55" s="1667"/>
      <c r="J55" s="1667"/>
      <c r="K55" t="s">
        <v>373</v>
      </c>
      <c r="L55" s="1876">
        <f>+'15-Other Taxes'!I19+'15-Other Taxes'!I18</f>
        <v>1201.3500000000931</v>
      </c>
      <c r="M55" s="1876"/>
      <c r="N55" s="1876"/>
      <c r="O55" t="s">
        <v>373</v>
      </c>
      <c r="P55" s="1875">
        <f>+L55+H55</f>
        <v>1201.3500000000931</v>
      </c>
      <c r="Q55" s="1875"/>
      <c r="R55" s="707"/>
    </row>
    <row r="56" spans="2:18" ht="21" customHeight="1">
      <c r="C56" s="83" t="s">
        <v>294</v>
      </c>
      <c r="D56" t="s">
        <v>608</v>
      </c>
    </row>
    <row r="57" spans="2:18" ht="21" customHeight="1">
      <c r="C57" s="83"/>
      <c r="G57" s="38" t="s">
        <v>605</v>
      </c>
      <c r="H57" s="1667"/>
      <c r="I57" s="1667"/>
      <c r="J57" s="1667"/>
      <c r="K57" t="s">
        <v>373</v>
      </c>
      <c r="L57" s="1877">
        <f>'15-Other Taxes'!I38</f>
        <v>0</v>
      </c>
      <c r="M57" s="1877"/>
      <c r="N57" s="1877"/>
      <c r="O57" t="s">
        <v>373</v>
      </c>
      <c r="P57" s="1875">
        <f>+L57+H57</f>
        <v>0</v>
      </c>
      <c r="Q57" s="1875"/>
      <c r="R57" s="707"/>
    </row>
    <row r="58" spans="2:18" ht="21" customHeight="1">
      <c r="C58" s="83" t="s">
        <v>295</v>
      </c>
      <c r="D58" s="311" t="s">
        <v>3396</v>
      </c>
    </row>
    <row r="59" spans="2:18" ht="21" customHeight="1">
      <c r="C59" s="83"/>
      <c r="G59" s="38" t="s">
        <v>605</v>
      </c>
      <c r="H59" s="1667"/>
      <c r="I59" s="1667"/>
      <c r="J59" s="1667"/>
      <c r="K59" t="s">
        <v>373</v>
      </c>
      <c r="L59" s="1875">
        <f>+'13-Other Taxes'!G16+'14-Other Taxes'!G38+'14-Other Taxes'!G17</f>
        <v>1313346.3000000003</v>
      </c>
      <c r="M59" s="1875"/>
      <c r="N59" s="1875"/>
      <c r="O59" t="s">
        <v>373</v>
      </c>
      <c r="P59" s="1875">
        <f>+L59+H59</f>
        <v>1313346.3000000003</v>
      </c>
      <c r="Q59" s="1875"/>
      <c r="R59" s="707"/>
    </row>
    <row r="62" spans="2:18" ht="13.8">
      <c r="B62" s="1618" t="s">
        <v>609</v>
      </c>
      <c r="C62" s="1618"/>
      <c r="D62" s="1618"/>
      <c r="E62" s="1618"/>
      <c r="F62" s="1618"/>
      <c r="G62" s="1618"/>
      <c r="H62" s="1618"/>
      <c r="I62" s="1618"/>
      <c r="J62" s="1618"/>
      <c r="K62" s="1618"/>
      <c r="L62" s="1618"/>
      <c r="M62" s="1618"/>
      <c r="N62" s="1618"/>
      <c r="O62" s="1618"/>
      <c r="P62" s="1618"/>
      <c r="Q62" s="1618"/>
    </row>
  </sheetData>
  <sheetProtection algorithmName="SHA-512" hashValue="SomJ3t1ysjLAHGzbqMWKGOH9Z3RyxxsTFu96IVEW0m7UHVOOukgcKUBeDPu5IJd/IrM2pjsJPRsfbbQJuUjKjA==" saltValue="AD+t8H7UevgI35fIUxCb9Q==" spinCount="100000" sheet="1" objects="1" scenarios="1"/>
  <mergeCells count="35">
    <mergeCell ref="B62:Q62"/>
    <mergeCell ref="P43:Q43"/>
    <mergeCell ref="H52:J52"/>
    <mergeCell ref="H59:J59"/>
    <mergeCell ref="P59:Q59"/>
    <mergeCell ref="L54:N54"/>
    <mergeCell ref="L55:N55"/>
    <mergeCell ref="P57:Q57"/>
    <mergeCell ref="P54:Q54"/>
    <mergeCell ref="L57:N57"/>
    <mergeCell ref="D22:F22"/>
    <mergeCell ref="D27:F27"/>
    <mergeCell ref="H35:I35"/>
    <mergeCell ref="D52:F52"/>
    <mergeCell ref="O52:Q52"/>
    <mergeCell ref="L52:N52"/>
    <mergeCell ref="P40:Q40"/>
    <mergeCell ref="E36:G36"/>
    <mergeCell ref="E35:G35"/>
    <mergeCell ref="B2:Q2"/>
    <mergeCell ref="B4:Q4"/>
    <mergeCell ref="B6:Q6"/>
    <mergeCell ref="B8:Q8"/>
    <mergeCell ref="L59:N59"/>
    <mergeCell ref="P55:Q55"/>
    <mergeCell ref="P48:Q48"/>
    <mergeCell ref="J43:M43"/>
    <mergeCell ref="J48:M48"/>
    <mergeCell ref="P45:Q45"/>
    <mergeCell ref="H54:J54"/>
    <mergeCell ref="H55:J55"/>
    <mergeCell ref="H57:J57"/>
    <mergeCell ref="N12:P12"/>
    <mergeCell ref="N14:P14"/>
    <mergeCell ref="L13:N13"/>
  </mergeCells>
  <phoneticPr fontId="0" type="noConversion"/>
  <pageMargins left="0.25" right="0.25" top="0.5" bottom="0.5" header="0.25" footer="0.25"/>
  <pageSetup paperSize="5" orientation="portrait" r:id="rId1"/>
  <headerFooter alignWithMargins="0"/>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4">
    <tabColor theme="6" tint="0.39997558519241921"/>
  </sheetPr>
  <dimension ref="B12:V68"/>
  <sheetViews>
    <sheetView zoomScaleNormal="100" workbookViewId="0">
      <selection activeCell="C43" sqref="C43"/>
    </sheetView>
  </sheetViews>
  <sheetFormatPr defaultRowHeight="13.2"/>
  <cols>
    <col min="1" max="1" width="4.6640625" customWidth="1"/>
    <col min="3" max="3" width="5.88671875" customWidth="1"/>
  </cols>
  <sheetData>
    <row r="12" spans="16:22">
      <c r="P12" s="309"/>
      <c r="Q12" s="309"/>
      <c r="R12" s="309"/>
      <c r="S12" s="309"/>
      <c r="T12" s="309"/>
      <c r="U12" s="309"/>
      <c r="V12" s="309"/>
    </row>
    <row r="13" spans="16:22">
      <c r="P13" s="309"/>
      <c r="Q13" s="309"/>
      <c r="R13" s="309"/>
      <c r="S13" s="309"/>
      <c r="T13" s="309"/>
      <c r="U13" s="309"/>
      <c r="V13" s="309"/>
    </row>
    <row r="14" spans="16:22">
      <c r="P14" s="356"/>
      <c r="Q14" s="309"/>
      <c r="R14" s="309"/>
      <c r="S14" s="309"/>
      <c r="T14" s="309"/>
      <c r="U14" s="309"/>
      <c r="V14" s="309"/>
    </row>
    <row r="15" spans="16:22">
      <c r="P15" s="309"/>
      <c r="Q15" s="309"/>
      <c r="R15" s="309"/>
      <c r="S15" s="309"/>
      <c r="T15" s="309"/>
      <c r="U15" s="309"/>
      <c r="V15" s="309"/>
    </row>
    <row r="16" spans="16:22">
      <c r="P16" s="309"/>
      <c r="Q16" s="309"/>
      <c r="R16" s="309"/>
      <c r="S16" s="309"/>
      <c r="T16" s="309"/>
      <c r="U16" s="309"/>
      <c r="V16" s="309"/>
    </row>
    <row r="17" spans="2:22">
      <c r="P17" s="309"/>
      <c r="Q17" s="309"/>
      <c r="R17" s="309"/>
      <c r="S17" s="309"/>
      <c r="T17" s="309"/>
      <c r="U17" s="309"/>
      <c r="V17" s="309"/>
    </row>
    <row r="18" spans="2:22">
      <c r="P18" s="309"/>
      <c r="Q18" s="309"/>
      <c r="R18" s="309"/>
      <c r="S18" s="309"/>
      <c r="T18" s="309"/>
      <c r="U18" s="309"/>
      <c r="V18" s="309"/>
    </row>
    <row r="19" spans="2:22">
      <c r="P19" s="309"/>
      <c r="Q19" s="309"/>
      <c r="R19" s="309"/>
      <c r="S19" s="309"/>
      <c r="T19" s="309"/>
      <c r="U19" s="309"/>
      <c r="V19" s="309"/>
    </row>
    <row r="20" spans="2:22">
      <c r="P20" s="309"/>
      <c r="Q20" s="309"/>
      <c r="R20" s="309"/>
      <c r="S20" s="309"/>
      <c r="T20" s="309"/>
      <c r="U20" s="309"/>
      <c r="V20" s="309"/>
    </row>
    <row r="21" spans="2:22">
      <c r="P21" s="309"/>
      <c r="Q21" s="309"/>
      <c r="R21" s="309"/>
      <c r="S21" s="309"/>
      <c r="T21" s="309"/>
      <c r="U21" s="309"/>
      <c r="V21" s="309"/>
    </row>
    <row r="22" spans="2:22" ht="31.8">
      <c r="B22" s="1878" t="s">
        <v>31</v>
      </c>
      <c r="C22" s="1878"/>
      <c r="D22" s="1878"/>
      <c r="E22" s="1878"/>
      <c r="F22" s="1878"/>
      <c r="G22" s="1878"/>
      <c r="H22" s="1878"/>
      <c r="I22" s="1878"/>
      <c r="J22" s="1878"/>
      <c r="K22" s="1878"/>
      <c r="P22" s="309"/>
      <c r="Q22" s="309"/>
      <c r="R22" s="309"/>
      <c r="S22" s="309"/>
      <c r="T22" s="309"/>
      <c r="U22" s="309"/>
      <c r="V22" s="309"/>
    </row>
    <row r="23" spans="2:22">
      <c r="P23" s="309"/>
      <c r="Q23" s="309"/>
      <c r="R23" s="309"/>
      <c r="S23" s="309"/>
      <c r="T23" s="309"/>
      <c r="U23" s="309"/>
      <c r="V23" s="309"/>
    </row>
    <row r="24" spans="2:22">
      <c r="P24" s="309"/>
      <c r="Q24" s="309"/>
      <c r="R24" s="309"/>
      <c r="S24" s="309"/>
      <c r="T24" s="309"/>
      <c r="U24" s="309"/>
      <c r="V24" s="309"/>
    </row>
    <row r="25" spans="2:22">
      <c r="P25" s="309"/>
      <c r="Q25" s="309"/>
      <c r="R25" s="309"/>
      <c r="S25" s="309"/>
      <c r="T25" s="309"/>
      <c r="U25" s="309"/>
      <c r="V25" s="309"/>
    </row>
    <row r="40" spans="3:4">
      <c r="C40" s="167" t="s">
        <v>721</v>
      </c>
    </row>
    <row r="41" spans="3:4">
      <c r="D41" t="s">
        <v>32</v>
      </c>
    </row>
    <row r="42" spans="3:4">
      <c r="C42" t="str">
        <f>"owned and operated by the municipality during the year "&amp;IF('KEY INPUTS'!C42="State Fiscal Year","Fiscal Year "&amp;'KEY INPUTS'!D33&amp;"","Year "&amp;'KEY INPUTS'!D34&amp;"")&amp;", please observe"</f>
        <v>owned and operated by the municipality during the year Year 2021, please observe</v>
      </c>
    </row>
    <row r="43" spans="3:4">
      <c r="C43" t="s">
        <v>33</v>
      </c>
    </row>
    <row r="68" spans="2:11" ht="13.8">
      <c r="B68" s="1618" t="s">
        <v>34</v>
      </c>
      <c r="C68" s="1618"/>
      <c r="D68" s="1618"/>
      <c r="E68" s="1618"/>
      <c r="F68" s="1618"/>
      <c r="G68" s="1618"/>
      <c r="H68" s="1618"/>
      <c r="I68" s="1618"/>
      <c r="J68" s="1618"/>
      <c r="K68" s="1618"/>
    </row>
  </sheetData>
  <sheetProtection algorithmName="SHA-512" hashValue="LXj1q08U9IGrgHsX7FllguXhy3SrIscoEw5skmA2JSl6jh7MXb92/5QmwgDQYp+DQcrM9ZctL4An7t16GNoq9g==" saltValue="QVtDhEitIinINBV8laYUqA==" spinCount="100000" sheet="1" objects="1" scenarios="1"/>
  <mergeCells count="2">
    <mergeCell ref="B22:K22"/>
    <mergeCell ref="B68:K68"/>
  </mergeCells>
  <phoneticPr fontId="0" type="noConversion"/>
  <pageMargins left="0.25" right="0.25" top="0.5" bottom="0.5" header="0.25" footer="0.25"/>
  <pageSetup paperSize="5" orientation="portrait" r:id="rId1"/>
  <headerFooter alignWithMargins="0"/>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5">
    <tabColor theme="6" tint="0.39997558519241921"/>
  </sheetPr>
  <dimension ref="B2:R57"/>
  <sheetViews>
    <sheetView zoomScaleNormal="100" zoomScaleSheetLayoutView="80" workbookViewId="0">
      <selection activeCell="H41" sqref="H41"/>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INPUTS'!D54)&amp;"  UTILITY  FUND"</f>
        <v>TRIAL  BALANCE - WATER/SEWER UTILITY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v>531122.41</v>
      </c>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880"/>
      <c r="H15" s="879"/>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'47-Utility1'!L24</f>
        <v>25321.580000000075</v>
      </c>
      <c r="H20" s="1063"/>
      <c r="L20" s="309"/>
      <c r="M20" s="309"/>
      <c r="N20" s="309"/>
      <c r="O20" s="309"/>
      <c r="P20" s="309"/>
      <c r="Q20" s="309"/>
      <c r="R20" s="309"/>
    </row>
    <row r="21" spans="2:18" ht="21" customHeight="1">
      <c r="B21" s="659" t="s">
        <v>3207</v>
      </c>
      <c r="C21" s="659"/>
      <c r="D21" s="659"/>
      <c r="E21" s="659"/>
      <c r="F21" s="659"/>
      <c r="G21" s="658">
        <f>'47-Utility1'!L54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+'44-Utility1'!I37</f>
        <v>96007.43</v>
      </c>
      <c r="J31" s="708"/>
    </row>
    <row r="32" spans="2:18" ht="21" customHeight="1">
      <c r="B32" s="659" t="s">
        <v>3136</v>
      </c>
      <c r="C32" s="659"/>
      <c r="D32" s="659"/>
      <c r="E32" s="659"/>
      <c r="F32" s="659"/>
      <c r="G32" s="571"/>
      <c r="H32" s="578">
        <v>6441.73</v>
      </c>
    </row>
    <row r="33" spans="2:10" ht="21" customHeight="1">
      <c r="B33" s="659" t="s">
        <v>3135</v>
      </c>
      <c r="C33" s="659"/>
      <c r="D33" s="659"/>
      <c r="E33" s="659"/>
      <c r="F33" s="659"/>
      <c r="G33" s="571"/>
      <c r="H33" s="1066">
        <f>+'49-Utility1'!I29+'49a-Utility1'!I29+'50.1-Utility1'!M24+'49a.1-Utility1'!I29</f>
        <v>29070.31</v>
      </c>
      <c r="J33" s="708"/>
    </row>
    <row r="34" spans="2:10" ht="21" customHeight="1">
      <c r="B34" s="617" t="s">
        <v>3217</v>
      </c>
      <c r="C34" s="617"/>
      <c r="D34" s="617"/>
      <c r="E34" s="617"/>
      <c r="F34" s="621"/>
      <c r="G34" s="571"/>
      <c r="H34" s="578"/>
    </row>
    <row r="35" spans="2:10" ht="21" customHeight="1">
      <c r="B35" s="618" t="s">
        <v>3732</v>
      </c>
      <c r="C35" s="618"/>
      <c r="D35" s="618"/>
      <c r="E35" s="618"/>
      <c r="F35" s="618"/>
      <c r="G35" s="1052"/>
      <c r="H35" s="1051">
        <v>1198.5899999999999</v>
      </c>
    </row>
    <row r="36" spans="2:10" ht="21" customHeight="1">
      <c r="B36" s="617"/>
      <c r="C36" s="617"/>
      <c r="D36" s="617"/>
      <c r="E36" s="617"/>
      <c r="F36" s="617"/>
      <c r="G36" s="571"/>
      <c r="H36" s="578"/>
    </row>
    <row r="37" spans="2:10" ht="21" customHeight="1">
      <c r="B37" s="617"/>
      <c r="C37" s="618"/>
      <c r="D37" s="617"/>
      <c r="E37" s="617"/>
      <c r="F37" s="641"/>
      <c r="G37" s="1053"/>
      <c r="H37" s="600"/>
    </row>
    <row r="38" spans="2:10" ht="21" customHeight="1" thickBot="1">
      <c r="B38" s="617"/>
      <c r="C38" s="617"/>
      <c r="D38" s="617"/>
      <c r="E38" s="617"/>
      <c r="F38" s="617"/>
      <c r="G38" s="600"/>
      <c r="H38" s="602"/>
    </row>
    <row r="39" spans="2:10" ht="21" customHeight="1" thickTop="1">
      <c r="B39" s="659"/>
      <c r="C39" s="659" t="s">
        <v>3134</v>
      </c>
      <c r="D39" s="659"/>
      <c r="E39" s="659"/>
      <c r="F39" s="659"/>
      <c r="G39" s="1061"/>
      <c r="H39" s="1156">
        <f>SUM(H30:H38)</f>
        <v>132718.06</v>
      </c>
      <c r="I39" s="370" t="s">
        <v>796</v>
      </c>
    </row>
    <row r="40" spans="2:10" ht="21" customHeight="1">
      <c r="B40" s="1068" t="s">
        <v>3218</v>
      </c>
      <c r="C40" s="1068"/>
      <c r="D40" s="1068"/>
      <c r="E40" s="1068"/>
      <c r="F40" s="1068"/>
      <c r="G40" s="1063"/>
      <c r="H40" s="600">
        <v>25321.58</v>
      </c>
    </row>
    <row r="41" spans="2:10" ht="21" customHeight="1">
      <c r="B41" s="617"/>
      <c r="C41" s="617"/>
      <c r="D41" s="617"/>
      <c r="E41" s="617"/>
      <c r="F41" s="617"/>
      <c r="G41" s="571"/>
      <c r="H41" s="578"/>
    </row>
    <row r="42" spans="2:10" ht="21" customHeight="1">
      <c r="B42" s="659" t="s">
        <v>618</v>
      </c>
      <c r="C42" s="659"/>
      <c r="D42" s="659"/>
      <c r="E42" s="659"/>
      <c r="F42" s="659"/>
      <c r="G42" s="658"/>
      <c r="H42" s="1064">
        <f>+'46-Utility1'!K27</f>
        <v>398404.35000000009</v>
      </c>
    </row>
    <row r="43" spans="2:10" ht="21" customHeight="1" thickBot="1">
      <c r="B43" s="659"/>
      <c r="C43" s="659"/>
      <c r="D43" s="659"/>
      <c r="E43" s="659"/>
      <c r="F43" s="659"/>
      <c r="G43" s="1069"/>
      <c r="H43" s="1070"/>
    </row>
    <row r="44" spans="2:10" ht="21" customHeight="1" thickBot="1">
      <c r="B44" s="659" t="s">
        <v>3219</v>
      </c>
      <c r="C44" s="659"/>
      <c r="D44" s="659"/>
      <c r="E44" s="659"/>
      <c r="F44" s="659"/>
      <c r="G44" s="1071">
        <f>SUM(G12:G43)</f>
        <v>556443.99000000011</v>
      </c>
      <c r="H44" s="1072">
        <f>SUM(H39:H43)</f>
        <v>556443.99000000011</v>
      </c>
      <c r="J44" s="371">
        <f>G44-H44</f>
        <v>0</v>
      </c>
    </row>
    <row r="45" spans="2:10" ht="13.8" thickTop="1">
      <c r="B45" s="1881" t="s">
        <v>98</v>
      </c>
      <c r="C45" s="1881"/>
      <c r="D45" s="1881"/>
      <c r="E45" s="1881"/>
      <c r="F45" s="1881"/>
      <c r="G45" s="1881"/>
      <c r="H45" s="1881"/>
    </row>
    <row r="46" spans="2:10">
      <c r="B46" s="372"/>
      <c r="C46" s="372"/>
      <c r="D46" s="372"/>
      <c r="E46" s="372"/>
      <c r="F46" s="372"/>
      <c r="G46" s="372"/>
      <c r="H46" s="372"/>
    </row>
    <row r="47" spans="2:10">
      <c r="B47" s="372"/>
      <c r="C47" s="372"/>
      <c r="D47" s="372"/>
      <c r="E47" s="372"/>
      <c r="F47" s="372"/>
      <c r="G47" s="372"/>
      <c r="H47" s="372"/>
    </row>
    <row r="48" spans="2:10">
      <c r="B48" s="372"/>
      <c r="C48" s="372"/>
      <c r="D48" s="372"/>
      <c r="E48" s="372"/>
      <c r="F48" s="372"/>
      <c r="G48" s="372"/>
      <c r="H48" s="372"/>
    </row>
    <row r="49" spans="2:8">
      <c r="B49" s="372"/>
      <c r="C49" s="372"/>
      <c r="D49" s="372"/>
      <c r="E49" s="372"/>
      <c r="F49" s="372"/>
      <c r="G49" s="372"/>
      <c r="H49" s="372"/>
    </row>
    <row r="50" spans="2:8" ht="13.8">
      <c r="B50" s="1882" t="s">
        <v>3132</v>
      </c>
      <c r="C50" s="1882"/>
      <c r="D50" s="1882"/>
      <c r="E50" s="1882"/>
      <c r="F50" s="1882"/>
      <c r="G50" s="1882"/>
      <c r="H50" s="1882"/>
    </row>
    <row r="54" spans="2:8">
      <c r="H54" s="371"/>
    </row>
    <row r="57" spans="2:8">
      <c r="H57" s="371">
        <f>+H44-G44</f>
        <v>0</v>
      </c>
    </row>
  </sheetData>
  <sheetProtection algorithmName="SHA-512" hashValue="hL9Ugn6IshwVBmAwxlqhxbEYDq9PhLM85gfp+gODkCblbIL+7/bynnKUo++rZz+eZ3WrrZX3WtvBvyu8beesDg==" saltValue="K9yQ11YEmeo40lYJFf4hYw==" spinCount="100000" sheet="1" objects="1" scenarios="1"/>
  <mergeCells count="11">
    <mergeCell ref="B2:H2"/>
    <mergeCell ref="B5:H5"/>
    <mergeCell ref="B6:H6"/>
    <mergeCell ref="B7:H7"/>
    <mergeCell ref="B3:H3"/>
    <mergeCell ref="B11:F11"/>
    <mergeCell ref="B45:H45"/>
    <mergeCell ref="B50:H50"/>
    <mergeCell ref="B8:H8"/>
    <mergeCell ref="B9:H9"/>
    <mergeCell ref="B10:H10"/>
  </mergeCells>
  <pageMargins left="0.25" right="0.25" top="0.5" bottom="0.5" header="0.25" footer="0.25"/>
  <pageSetup paperSize="5" orientation="portrait" r:id="rId1"/>
  <headerFooter alignWithMargins="0"/>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6">
    <tabColor theme="6" tint="0.39997558519241921"/>
  </sheetPr>
  <dimension ref="B2:Q55"/>
  <sheetViews>
    <sheetView topLeftCell="A19" zoomScaleNormal="100" zoomScaleSheetLayoutView="80" workbookViewId="0">
      <selection activeCell="G24" sqref="G24"/>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2" spans="2:17">
      <c r="B2" s="1897" t="s">
        <v>35</v>
      </c>
      <c r="C2" s="1897"/>
      <c r="D2" s="1897"/>
      <c r="E2" s="1897"/>
      <c r="F2" s="1897"/>
      <c r="G2" s="1897"/>
      <c r="H2" s="1897"/>
    </row>
    <row r="3" spans="2:17">
      <c r="B3" s="1897" t="s">
        <v>449</v>
      </c>
      <c r="C3" s="1897"/>
      <c r="D3" s="1897"/>
      <c r="E3" s="1897"/>
      <c r="F3" s="1897"/>
      <c r="G3" s="1897"/>
      <c r="H3" s="1897"/>
    </row>
    <row r="5" spans="2:17" ht="22.8">
      <c r="B5" s="1898" t="s">
        <v>424</v>
      </c>
      <c r="C5" s="1898"/>
      <c r="D5" s="1898"/>
      <c r="E5" s="1898"/>
      <c r="F5" s="1898"/>
      <c r="G5" s="1898"/>
      <c r="H5" s="1898"/>
    </row>
    <row r="6" spans="2:17" ht="22.8">
      <c r="B6" s="1887" t="str">
        <f>"TRIAL  BALANCE - "&amp;UPPER('KEY INPUTS'!D54)&amp;"  UTILITY  FUND (cont'd)"</f>
        <v>TRIAL  BALANCE - WATER/SEWER UTILITY  UTILITY  FUND (cont'd)</v>
      </c>
      <c r="C6" s="1887"/>
      <c r="D6" s="1887"/>
      <c r="E6" s="1887"/>
      <c r="F6" s="1887"/>
      <c r="G6" s="1887"/>
      <c r="H6" s="1887"/>
    </row>
    <row r="7" spans="2:17" ht="15.6">
      <c r="B7" s="1899" t="str">
        <f>IF('KEY INPUTS'!C42 = "State Fiscal Year", 'KEY INPUTS'!F45,'KEY INPUTS'!D45)</f>
        <v>AS  AT  DECEMBER  31, 2021</v>
      </c>
      <c r="C7" s="1900"/>
      <c r="D7" s="1900"/>
      <c r="E7" s="1900"/>
      <c r="F7" s="1900"/>
      <c r="G7" s="1900"/>
      <c r="H7" s="1900"/>
    </row>
    <row r="8" spans="2:17" ht="15.6">
      <c r="B8" s="1890" t="s">
        <v>450</v>
      </c>
      <c r="C8" s="1890"/>
      <c r="D8" s="1890"/>
      <c r="E8" s="1890"/>
      <c r="F8" s="1890"/>
      <c r="G8" s="1890"/>
      <c r="H8" s="1890"/>
    </row>
    <row r="9" spans="2:17">
      <c r="B9" s="1891" t="s">
        <v>70</v>
      </c>
      <c r="C9" s="1891"/>
      <c r="D9" s="1891"/>
      <c r="E9" s="1891"/>
      <c r="F9" s="1891"/>
      <c r="G9" s="1891"/>
      <c r="H9" s="1891"/>
    </row>
    <row r="10" spans="2:17" ht="15" customHeight="1" thickBot="1">
      <c r="B10" s="1892" t="s">
        <v>71</v>
      </c>
      <c r="C10" s="1892"/>
      <c r="D10" s="1892"/>
      <c r="E10" s="1892"/>
      <c r="F10" s="1892"/>
      <c r="G10" s="1892"/>
      <c r="H10" s="1892"/>
    </row>
    <row r="11" spans="2:17" ht="36" customHeight="1" thickTop="1" thickBot="1">
      <c r="B11" s="1893" t="s">
        <v>95</v>
      </c>
      <c r="C11" s="1893"/>
      <c r="D11" s="1893"/>
      <c r="E11" s="1893"/>
      <c r="F11" s="1894"/>
      <c r="G11" s="375" t="s">
        <v>96</v>
      </c>
      <c r="H11" s="960" t="s">
        <v>97</v>
      </c>
    </row>
    <row r="12" spans="2:17" ht="21" customHeight="1" thickTop="1">
      <c r="G12" s="251"/>
      <c r="H12" s="252"/>
    </row>
    <row r="13" spans="2:17" ht="21" customHeight="1">
      <c r="B13" s="379" t="s">
        <v>643</v>
      </c>
      <c r="C13" s="374"/>
      <c r="D13" s="374"/>
      <c r="E13" s="374"/>
      <c r="F13" s="374"/>
      <c r="G13" s="280"/>
      <c r="H13" s="253"/>
      <c r="K13" s="309"/>
      <c r="L13" s="309"/>
      <c r="M13" s="309"/>
      <c r="N13" s="309"/>
      <c r="O13" s="309"/>
      <c r="P13" s="309"/>
      <c r="Q13" s="309"/>
    </row>
    <row r="14" spans="2:17" ht="21" customHeight="1">
      <c r="B14" s="374"/>
      <c r="C14" s="374"/>
      <c r="D14" s="374"/>
      <c r="E14" s="374"/>
      <c r="F14" s="374"/>
      <c r="G14" s="280"/>
      <c r="H14" s="253"/>
      <c r="K14" s="309"/>
      <c r="L14" s="309"/>
      <c r="M14" s="309"/>
      <c r="N14" s="309"/>
      <c r="O14" s="309"/>
      <c r="P14" s="309"/>
      <c r="Q14" s="309"/>
    </row>
    <row r="15" spans="2:17" ht="21" customHeight="1">
      <c r="B15" s="370" t="s">
        <v>192</v>
      </c>
      <c r="C15" s="374"/>
      <c r="D15" s="374"/>
      <c r="E15" s="374"/>
      <c r="F15" s="374"/>
      <c r="G15" s="351">
        <v>950300</v>
      </c>
      <c r="H15" s="254" t="s">
        <v>628</v>
      </c>
      <c r="K15" s="356"/>
      <c r="L15" s="309"/>
      <c r="M15" s="309"/>
      <c r="N15" s="309"/>
      <c r="O15" s="309"/>
      <c r="P15" s="309"/>
      <c r="Q15" s="309"/>
    </row>
    <row r="16" spans="2:17" ht="21" customHeight="1">
      <c r="B16" s="374" t="s">
        <v>193</v>
      </c>
      <c r="C16" s="374"/>
      <c r="D16" s="374"/>
      <c r="E16" s="374"/>
      <c r="F16" s="374"/>
      <c r="G16" s="297" t="s">
        <v>628</v>
      </c>
      <c r="H16" s="298">
        <f>+G15</f>
        <v>950300</v>
      </c>
      <c r="K16" s="309"/>
      <c r="L16" s="309"/>
      <c r="M16" s="309"/>
      <c r="N16" s="309"/>
      <c r="O16" s="309"/>
      <c r="P16" s="309"/>
      <c r="Q16" s="309"/>
    </row>
    <row r="17" spans="2:17" ht="21" customHeight="1">
      <c r="B17" s="374"/>
      <c r="C17" s="374"/>
      <c r="D17" s="374"/>
      <c r="E17" s="374"/>
      <c r="F17" s="374"/>
      <c r="G17" s="324"/>
      <c r="H17" s="298"/>
      <c r="K17" s="309"/>
      <c r="L17" s="309"/>
      <c r="M17" s="309"/>
      <c r="N17" s="309"/>
      <c r="O17" s="309"/>
      <c r="P17" s="309"/>
      <c r="Q17" s="309"/>
    </row>
    <row r="18" spans="2:17" ht="21" customHeight="1">
      <c r="B18" s="374"/>
      <c r="C18" s="374" t="s">
        <v>351</v>
      </c>
      <c r="D18" s="374"/>
      <c r="E18" s="374"/>
      <c r="F18" s="374"/>
      <c r="G18" s="351">
        <v>3383799.65</v>
      </c>
      <c r="H18" s="540"/>
      <c r="K18" s="309"/>
      <c r="L18" s="309"/>
      <c r="M18" s="309"/>
      <c r="N18" s="309"/>
      <c r="O18" s="309"/>
      <c r="P18" s="309"/>
      <c r="Q18" s="309"/>
    </row>
    <row r="19" spans="2:17" ht="21" customHeight="1">
      <c r="B19" s="374"/>
      <c r="C19" s="617"/>
      <c r="D19" s="617"/>
      <c r="E19" s="617"/>
      <c r="F19" s="617"/>
      <c r="G19" s="351"/>
      <c r="H19" s="540"/>
      <c r="K19" s="309"/>
      <c r="L19" s="309"/>
      <c r="M19" s="309"/>
      <c r="N19" s="309"/>
      <c r="O19" s="309"/>
      <c r="P19" s="309"/>
      <c r="Q19" s="309"/>
    </row>
    <row r="20" spans="2:17" ht="21" customHeight="1">
      <c r="B20" s="374"/>
      <c r="C20" s="374" t="s">
        <v>889</v>
      </c>
      <c r="D20" s="374"/>
      <c r="E20" s="374"/>
      <c r="F20" s="374"/>
      <c r="G20" s="351"/>
      <c r="H20" s="540"/>
      <c r="K20" s="309"/>
      <c r="L20" s="309"/>
      <c r="M20" s="309"/>
      <c r="N20" s="309"/>
      <c r="O20" s="309"/>
      <c r="P20" s="309"/>
      <c r="Q20" s="309"/>
    </row>
    <row r="21" spans="2:17" ht="21" customHeight="1">
      <c r="B21" s="374"/>
      <c r="C21" s="374" t="s">
        <v>644</v>
      </c>
      <c r="D21" s="374"/>
      <c r="E21" s="374"/>
      <c r="F21" s="374"/>
      <c r="G21" s="324"/>
      <c r="H21" s="337"/>
      <c r="K21" s="309"/>
      <c r="L21" s="309"/>
      <c r="M21" s="309"/>
      <c r="N21" s="309"/>
      <c r="O21" s="309"/>
      <c r="P21" s="309"/>
      <c r="Q21" s="309"/>
    </row>
    <row r="22" spans="2:17" ht="21" customHeight="1">
      <c r="B22" s="374"/>
      <c r="C22" s="374"/>
      <c r="D22" s="374" t="s">
        <v>87</v>
      </c>
      <c r="E22" s="374"/>
      <c r="F22" s="374"/>
      <c r="G22" s="351">
        <v>5126263.25</v>
      </c>
      <c r="H22" s="540"/>
      <c r="K22" s="309"/>
      <c r="L22" s="309"/>
      <c r="M22" s="309"/>
      <c r="N22" s="309"/>
      <c r="O22" s="309"/>
      <c r="P22" s="309"/>
      <c r="Q22" s="309"/>
    </row>
    <row r="23" spans="2:17" ht="21" customHeight="1">
      <c r="B23" s="374"/>
      <c r="C23" s="374"/>
      <c r="D23" s="374" t="s">
        <v>672</v>
      </c>
      <c r="E23" s="374"/>
      <c r="F23" s="374"/>
      <c r="G23" s="351">
        <v>5717636.4500000002</v>
      </c>
      <c r="H23" s="540"/>
      <c r="K23" s="309"/>
      <c r="L23" s="309"/>
      <c r="M23" s="309"/>
      <c r="N23" s="309"/>
      <c r="O23" s="309"/>
      <c r="P23" s="309"/>
      <c r="Q23" s="309"/>
    </row>
    <row r="24" spans="2:17" ht="21" customHeight="1">
      <c r="B24" s="374"/>
      <c r="C24" s="617"/>
      <c r="D24" s="617"/>
      <c r="E24" s="617"/>
      <c r="F24" s="617"/>
      <c r="G24" s="351"/>
      <c r="H24" s="559"/>
      <c r="K24" s="309"/>
      <c r="L24" s="309"/>
      <c r="M24" s="309"/>
      <c r="N24" s="309"/>
      <c r="O24" s="309"/>
      <c r="P24" s="309"/>
      <c r="Q24" s="309"/>
    </row>
    <row r="25" spans="2:17" ht="21" customHeight="1">
      <c r="B25" s="374"/>
      <c r="C25" s="617"/>
      <c r="D25" s="617"/>
      <c r="E25" s="617"/>
      <c r="F25" s="617"/>
      <c r="G25" s="351"/>
      <c r="H25" s="559" t="s">
        <v>3133</v>
      </c>
    </row>
    <row r="26" spans="2:17" ht="21" customHeight="1">
      <c r="B26" s="374"/>
      <c r="C26" s="618"/>
      <c r="D26" s="617"/>
      <c r="E26" s="617"/>
      <c r="F26" s="617"/>
      <c r="G26" s="351"/>
      <c r="H26" s="620"/>
    </row>
    <row r="27" spans="2:17" ht="21" customHeight="1">
      <c r="B27" s="374"/>
      <c r="C27" s="617"/>
      <c r="D27" s="617"/>
      <c r="E27" s="617"/>
      <c r="F27" s="617"/>
      <c r="G27" s="351"/>
      <c r="H27" s="559" t="s">
        <v>3133</v>
      </c>
    </row>
    <row r="28" spans="2:17" ht="21" customHeight="1">
      <c r="B28" s="374"/>
      <c r="C28" s="617"/>
      <c r="D28" s="617"/>
      <c r="E28" s="617"/>
      <c r="F28" s="617"/>
      <c r="G28" s="351"/>
      <c r="H28" s="559"/>
    </row>
    <row r="29" spans="2:17" ht="21" customHeight="1">
      <c r="B29" s="374"/>
      <c r="C29" s="617"/>
      <c r="D29" s="617"/>
      <c r="E29" s="617"/>
      <c r="F29" s="617"/>
      <c r="G29" s="351"/>
      <c r="H29" s="559"/>
      <c r="K29" s="309"/>
      <c r="L29" s="309"/>
      <c r="M29" s="309"/>
      <c r="N29" s="309"/>
      <c r="O29" s="309"/>
      <c r="P29" s="309"/>
      <c r="Q29" s="309"/>
    </row>
    <row r="30" spans="2:17" ht="21" customHeight="1">
      <c r="B30" s="374"/>
      <c r="C30" s="617"/>
      <c r="D30" s="617"/>
      <c r="E30" s="617"/>
      <c r="F30" s="617"/>
      <c r="G30" s="351"/>
      <c r="H30" s="559"/>
      <c r="K30" s="309"/>
      <c r="L30" s="309"/>
      <c r="M30" s="309"/>
      <c r="N30" s="309"/>
      <c r="O30" s="309"/>
      <c r="P30" s="309"/>
      <c r="Q30" s="309"/>
    </row>
    <row r="31" spans="2:17" ht="21" customHeight="1">
      <c r="B31" s="374"/>
      <c r="C31" s="617"/>
      <c r="D31" s="617"/>
      <c r="E31" s="617"/>
      <c r="F31" s="617"/>
      <c r="G31" s="351"/>
      <c r="H31" s="559" t="s">
        <v>3133</v>
      </c>
    </row>
    <row r="32" spans="2:17" ht="21" customHeight="1">
      <c r="B32" s="374"/>
      <c r="C32" s="618"/>
      <c r="D32" s="617"/>
      <c r="E32" s="617"/>
      <c r="F32" s="617"/>
      <c r="G32" s="351"/>
      <c r="H32" s="620"/>
    </row>
    <row r="33" spans="2:17" ht="21" customHeight="1">
      <c r="B33" s="374"/>
      <c r="C33" s="617"/>
      <c r="D33" s="617"/>
      <c r="E33" s="617"/>
      <c r="F33" s="617"/>
      <c r="G33" s="351"/>
      <c r="H33" s="559" t="s">
        <v>3133</v>
      </c>
    </row>
    <row r="34" spans="2:17" ht="21" customHeight="1">
      <c r="B34" s="374"/>
      <c r="C34" s="617"/>
      <c r="D34" s="617"/>
      <c r="E34" s="617"/>
      <c r="F34" s="617"/>
      <c r="G34" s="351"/>
      <c r="H34" s="559"/>
    </row>
    <row r="35" spans="2:17" ht="21" customHeight="1">
      <c r="B35" s="374"/>
      <c r="C35" s="617"/>
      <c r="D35" s="617"/>
      <c r="E35" s="617"/>
      <c r="F35" s="617"/>
      <c r="G35" s="351"/>
      <c r="H35" s="559"/>
      <c r="K35" s="309"/>
      <c r="L35" s="309"/>
      <c r="M35" s="309"/>
      <c r="N35" s="309"/>
      <c r="O35" s="309"/>
      <c r="P35" s="309"/>
      <c r="Q35" s="309"/>
    </row>
    <row r="36" spans="2:17" ht="21" customHeight="1">
      <c r="B36" s="374"/>
      <c r="C36" s="617"/>
      <c r="D36" s="617"/>
      <c r="E36" s="617"/>
      <c r="F36" s="617"/>
      <c r="G36" s="351"/>
      <c r="H36" s="559" t="s">
        <v>3133</v>
      </c>
    </row>
    <row r="37" spans="2:17" ht="21" customHeight="1">
      <c r="B37" s="374"/>
      <c r="C37" s="618"/>
      <c r="D37" s="617"/>
      <c r="E37" s="617"/>
      <c r="F37" s="617"/>
      <c r="G37" s="351"/>
      <c r="H37" s="620"/>
    </row>
    <row r="38" spans="2:17" ht="21" customHeight="1">
      <c r="B38" s="374"/>
      <c r="C38" s="617"/>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c r="D41" s="617"/>
      <c r="E41" s="617"/>
      <c r="F41" s="617"/>
      <c r="G41" s="351"/>
      <c r="H41" s="559" t="s">
        <v>3133</v>
      </c>
    </row>
    <row r="42" spans="2:17" ht="21" customHeight="1">
      <c r="B42" s="374"/>
      <c r="C42" s="617"/>
      <c r="D42" s="617"/>
      <c r="E42" s="617"/>
      <c r="F42" s="617"/>
      <c r="G42" s="351"/>
      <c r="H42" s="559" t="s">
        <v>3133</v>
      </c>
    </row>
    <row r="43" spans="2:17" ht="21" customHeight="1" thickBot="1">
      <c r="B43" s="374"/>
      <c r="C43" s="374"/>
      <c r="D43" s="374"/>
      <c r="E43" s="374"/>
      <c r="F43" s="374"/>
      <c r="G43" s="301"/>
      <c r="H43" s="377"/>
      <c r="I43" s="371"/>
      <c r="M43" s="371"/>
    </row>
    <row r="44" spans="2:17" ht="21" customHeight="1" thickBot="1">
      <c r="B44" s="374"/>
      <c r="C44" s="374" t="s">
        <v>3265</v>
      </c>
      <c r="D44" s="374"/>
      <c r="E44" s="374"/>
      <c r="F44" s="374"/>
      <c r="G44" s="330">
        <f>SUM(G15:G42)</f>
        <v>15177999.350000001</v>
      </c>
      <c r="H44" s="376">
        <f>SUM(H15:H43)</f>
        <v>950300</v>
      </c>
      <c r="I44" s="371"/>
      <c r="K44" s="371"/>
    </row>
    <row r="45" spans="2:17" ht="13.8" thickTop="1">
      <c r="B45" s="1895" t="s">
        <v>98</v>
      </c>
      <c r="C45" s="1895"/>
      <c r="D45" s="1895"/>
      <c r="E45" s="1895"/>
      <c r="F45" s="1895"/>
      <c r="G45" s="1896"/>
      <c r="H45" s="1896"/>
    </row>
    <row r="46" spans="2:17">
      <c r="B46" s="372"/>
      <c r="C46" s="372"/>
      <c r="D46" s="372"/>
      <c r="E46" s="372"/>
      <c r="F46" s="372"/>
      <c r="G46" s="372"/>
      <c r="H46" s="372"/>
    </row>
    <row r="47" spans="2:17">
      <c r="B47" s="372"/>
      <c r="C47" s="372"/>
      <c r="D47" s="372"/>
      <c r="E47" s="372"/>
      <c r="F47" s="372"/>
      <c r="G47" s="372"/>
      <c r="H47" s="372"/>
    </row>
    <row r="48" spans="2:17">
      <c r="B48" s="372"/>
      <c r="C48" s="372"/>
      <c r="D48" s="372"/>
      <c r="E48" s="372"/>
      <c r="F48" s="372"/>
      <c r="G48" s="372"/>
      <c r="H48" s="372"/>
    </row>
    <row r="49" spans="2:8">
      <c r="B49" s="372"/>
      <c r="C49" s="372"/>
      <c r="D49" s="372"/>
      <c r="E49" s="372"/>
      <c r="F49" s="372"/>
      <c r="G49" s="372"/>
      <c r="H49" s="372"/>
    </row>
    <row r="50" spans="2:8" ht="13.8">
      <c r="B50" s="1882" t="s">
        <v>3138</v>
      </c>
      <c r="C50" s="1882"/>
      <c r="D50" s="1882"/>
      <c r="E50" s="1882"/>
      <c r="F50" s="1882"/>
      <c r="G50" s="1882"/>
      <c r="H50" s="1882"/>
    </row>
    <row r="55" spans="2:8">
      <c r="H55" s="371"/>
    </row>
  </sheetData>
  <sheetProtection algorithmName="SHA-512" hashValue="Nwc/0K9MfSVMSFhb97kZNOEKY288dj/WS1/hb7fd8ouQ4vf/5FOWy5yYAnhmAuxM7lDWhI07blXFHccqYKtW/A==" saltValue="jri+8NgxECEQBUG3Q0kIng==" spinCount="100000" sheet="1" objects="1" scenarios="1"/>
  <mergeCells count="11">
    <mergeCell ref="B2:H2"/>
    <mergeCell ref="B5:H5"/>
    <mergeCell ref="B6:H6"/>
    <mergeCell ref="B7:H7"/>
    <mergeCell ref="B3:H3"/>
    <mergeCell ref="B50:H50"/>
    <mergeCell ref="B8:H8"/>
    <mergeCell ref="B9:H9"/>
    <mergeCell ref="B10:H10"/>
    <mergeCell ref="B11:F11"/>
    <mergeCell ref="B45:H45"/>
  </mergeCells>
  <pageMargins left="0.25" right="0.25" top="0.5" bottom="0.5" header="0.25" footer="0.25"/>
  <pageSetup paperSize="5" orientation="portrait" r:id="rId1"/>
  <headerFooter alignWithMargins="0"/>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7">
    <tabColor theme="6" tint="0.39997558519241921"/>
  </sheetPr>
  <dimension ref="B2:Q55"/>
  <sheetViews>
    <sheetView topLeftCell="B16" zoomScaleNormal="100" zoomScaleSheetLayoutView="80" workbookViewId="0">
      <selection activeCell="H28" sqref="H2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2" spans="2:17">
      <c r="B2" s="1897" t="s">
        <v>35</v>
      </c>
      <c r="C2" s="1897"/>
      <c r="D2" s="1897"/>
      <c r="E2" s="1897"/>
      <c r="F2" s="1897"/>
      <c r="G2" s="1897"/>
      <c r="H2" s="1897"/>
    </row>
    <row r="3" spans="2:17">
      <c r="B3" s="1897" t="s">
        <v>449</v>
      </c>
      <c r="C3" s="1897"/>
      <c r="D3" s="1897"/>
      <c r="E3" s="1897"/>
      <c r="F3" s="1897"/>
      <c r="G3" s="1897"/>
      <c r="H3" s="1897"/>
    </row>
    <row r="5" spans="2:17" ht="22.8">
      <c r="B5" s="1898" t="s">
        <v>424</v>
      </c>
      <c r="C5" s="1898"/>
      <c r="D5" s="1898"/>
      <c r="E5" s="1898"/>
      <c r="F5" s="1898"/>
      <c r="G5" s="1898"/>
      <c r="H5" s="1898"/>
    </row>
    <row r="6" spans="2:17" ht="22.8">
      <c r="B6" s="1887" t="str">
        <f>"TRIAL  BALANCE - "&amp;UPPER('KEY INPUTS'!D54)&amp;"  UTILITY  FUND (cont'd)"</f>
        <v>TRIAL  BALANCE - WATER/SEWER UTILITY  UTILITY  FUND (cont'd)</v>
      </c>
      <c r="C6" s="1887"/>
      <c r="D6" s="1887"/>
      <c r="E6" s="1887"/>
      <c r="F6" s="1887"/>
      <c r="G6" s="1887"/>
      <c r="H6" s="1887"/>
    </row>
    <row r="7" spans="2:17" ht="15.6">
      <c r="B7" s="1899" t="str">
        <f>IF('KEY INPUTS'!C42 = "State Fiscal Year", 'KEY INPUTS'!F45,'KEY INPUTS'!D45)</f>
        <v>AS  AT  DECEMBER  31, 2021</v>
      </c>
      <c r="C7" s="1900"/>
      <c r="D7" s="1900"/>
      <c r="E7" s="1900"/>
      <c r="F7" s="1900"/>
      <c r="G7" s="1900"/>
      <c r="H7" s="1900"/>
    </row>
    <row r="8" spans="2:17" ht="15.6">
      <c r="B8" s="1890" t="s">
        <v>450</v>
      </c>
      <c r="C8" s="1890"/>
      <c r="D8" s="1890"/>
      <c r="E8" s="1890"/>
      <c r="F8" s="1890"/>
      <c r="G8" s="1890"/>
      <c r="H8" s="1890"/>
    </row>
    <row r="9" spans="2:17">
      <c r="B9" s="1891" t="s">
        <v>70</v>
      </c>
      <c r="C9" s="1891"/>
      <c r="D9" s="1891"/>
      <c r="E9" s="1891"/>
      <c r="F9" s="1891"/>
      <c r="G9" s="1891"/>
      <c r="H9" s="1891"/>
    </row>
    <row r="10" spans="2:17" ht="15" customHeight="1" thickBot="1">
      <c r="B10" s="1892" t="s">
        <v>71</v>
      </c>
      <c r="C10" s="1892"/>
      <c r="D10" s="1892"/>
      <c r="E10" s="1892"/>
      <c r="F10" s="1892"/>
      <c r="G10" s="1892"/>
      <c r="H10" s="1892"/>
    </row>
    <row r="11" spans="2:17" ht="36" customHeight="1" thickTop="1" thickBot="1">
      <c r="B11" s="1893" t="s">
        <v>95</v>
      </c>
      <c r="C11" s="1893"/>
      <c r="D11" s="1893"/>
      <c r="E11" s="1893"/>
      <c r="F11" s="1894"/>
      <c r="G11" s="375" t="s">
        <v>96</v>
      </c>
      <c r="H11" s="960" t="s">
        <v>97</v>
      </c>
    </row>
    <row r="12" spans="2:17" ht="21" customHeight="1" thickTop="1">
      <c r="B12" s="374"/>
      <c r="C12" s="374" t="s">
        <v>3266</v>
      </c>
      <c r="D12" s="374"/>
      <c r="E12" s="374"/>
      <c r="F12" s="374"/>
      <c r="G12" s="324">
        <f>'41a-Utility1'!G44</f>
        <v>15177999.350000001</v>
      </c>
      <c r="H12" s="298">
        <f>'41a-Utility1'!H44</f>
        <v>950300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+'49-Utility1'!G22</f>
        <v>5220000</v>
      </c>
      <c r="K17" s="309"/>
      <c r="L17" s="309"/>
      <c r="M17" s="309"/>
      <c r="N17" s="309"/>
      <c r="O17" s="309"/>
      <c r="P17" s="309"/>
      <c r="Q17" s="309"/>
    </row>
    <row r="18" spans="2:17" ht="21" customHeight="1">
      <c r="B18" s="659"/>
      <c r="C18" s="659" t="s">
        <v>3386</v>
      </c>
      <c r="D18" s="659"/>
      <c r="E18" s="659"/>
      <c r="F18" s="659"/>
      <c r="G18" s="864"/>
      <c r="H18" s="870">
        <f>+'49a-Utility1'!G11+'49a-Utility1'!G22+'49a.1-Utility1'!G11+'49a.1-Utility1'!G22</f>
        <v>0</v>
      </c>
    </row>
    <row r="19" spans="2:17" ht="21" customHeight="1">
      <c r="B19" s="659"/>
      <c r="C19" s="659" t="s">
        <v>3395</v>
      </c>
      <c r="D19" s="659"/>
      <c r="E19" s="659"/>
      <c r="F19" s="659"/>
      <c r="G19" s="864"/>
      <c r="H19" s="870">
        <f>+'51a-Utility1'!G23</f>
        <v>0</v>
      </c>
      <c r="K19" s="309"/>
      <c r="L19" s="309"/>
      <c r="M19" s="309"/>
      <c r="N19" s="309"/>
      <c r="O19" s="309"/>
      <c r="P19" s="309"/>
      <c r="Q19" s="309"/>
    </row>
    <row r="20" spans="2:17" ht="21" customHeight="1">
      <c r="B20" s="659"/>
      <c r="C20" s="871" t="s">
        <v>3140</v>
      </c>
      <c r="D20" s="659"/>
      <c r="E20" s="659"/>
      <c r="F20" s="659"/>
      <c r="G20" s="864"/>
      <c r="H20" s="870">
        <f>+'50.1-Utility1'!G18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+'52-Totals-Utility1'!K27</f>
        <v>2477913.7200000002</v>
      </c>
      <c r="J22" s="371"/>
      <c r="K22" s="309"/>
      <c r="L22" s="309"/>
      <c r="M22" s="309"/>
      <c r="N22" s="309"/>
      <c r="O22" s="309"/>
      <c r="P22" s="309"/>
      <c r="Q22" s="309"/>
    </row>
    <row r="23" spans="2:17" ht="21" customHeight="1">
      <c r="B23" s="659"/>
      <c r="C23" s="659"/>
      <c r="D23" s="659" t="s">
        <v>801</v>
      </c>
      <c r="E23" s="659"/>
      <c r="F23" s="659"/>
      <c r="G23" s="864"/>
      <c r="H23" s="870">
        <f>+'52-Totals-Utility1'!L27</f>
        <v>950300</v>
      </c>
      <c r="J23" s="371"/>
      <c r="K23" s="309"/>
      <c r="L23" s="309"/>
      <c r="M23" s="309"/>
      <c r="N23" s="309"/>
      <c r="O23" s="309"/>
      <c r="P23" s="309"/>
      <c r="Q23" s="309"/>
    </row>
    <row r="24" spans="2:17" ht="21" customHeight="1">
      <c r="B24" s="374"/>
      <c r="C24" s="617" t="s">
        <v>3139</v>
      </c>
      <c r="D24" s="617"/>
      <c r="E24" s="617"/>
      <c r="F24" s="617"/>
      <c r="G24" s="351"/>
      <c r="H24" s="540">
        <v>888381.68</v>
      </c>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v>4673599.7</v>
      </c>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374"/>
      <c r="C40" s="374" t="s">
        <v>3202</v>
      </c>
      <c r="D40" s="374"/>
      <c r="E40" s="374"/>
      <c r="F40" s="374"/>
      <c r="G40" s="324"/>
      <c r="H40" s="298">
        <f>+'53-Utility1'!I41</f>
        <v>0</v>
      </c>
    </row>
    <row r="41" spans="2:13" ht="21" customHeight="1">
      <c r="B41" s="374"/>
      <c r="C41" s="374" t="s">
        <v>804</v>
      </c>
      <c r="D41" s="374"/>
      <c r="E41" s="374"/>
      <c r="F41" s="374"/>
      <c r="G41" s="324"/>
      <c r="H41" s="298">
        <f>+'53-Utility1'!I24</f>
        <v>17504.25</v>
      </c>
    </row>
    <row r="42" spans="2:13" ht="21" customHeight="1">
      <c r="B42" s="374"/>
      <c r="C42" s="374" t="s">
        <v>642</v>
      </c>
      <c r="D42" s="374"/>
      <c r="E42" s="374"/>
      <c r="F42" s="374"/>
      <c r="G42" s="324"/>
      <c r="H42" s="298">
        <f>+'54-Utility1'!I42</f>
        <v>0</v>
      </c>
    </row>
    <row r="43" spans="2:13" ht="21" customHeight="1" thickBot="1">
      <c r="B43" s="374"/>
      <c r="C43" s="374"/>
      <c r="D43" s="374"/>
      <c r="E43" s="374"/>
      <c r="F43" s="374"/>
      <c r="G43" s="301"/>
      <c r="H43" s="377"/>
      <c r="I43" s="371"/>
      <c r="M43" s="371"/>
    </row>
    <row r="44" spans="2:13" ht="21" customHeight="1" thickBot="1">
      <c r="B44" s="374"/>
      <c r="C44" s="374" t="s">
        <v>799</v>
      </c>
      <c r="D44" s="374"/>
      <c r="E44" s="374"/>
      <c r="F44" s="374"/>
      <c r="G44" s="330">
        <f>SUM(G12:G42)</f>
        <v>15177999.350000001</v>
      </c>
      <c r="H44" s="376">
        <f>SUM(H12:H43)</f>
        <v>15177999.350000001</v>
      </c>
      <c r="I44" s="371"/>
      <c r="K44" s="371"/>
    </row>
    <row r="45" spans="2:13" ht="13.8" thickTop="1">
      <c r="B45" s="1895" t="s">
        <v>98</v>
      </c>
      <c r="C45" s="1895"/>
      <c r="D45" s="1895"/>
      <c r="E45" s="1895"/>
      <c r="F45" s="1895"/>
      <c r="G45" s="1896"/>
      <c r="H45" s="1896"/>
    </row>
    <row r="46" spans="2:13">
      <c r="B46" s="866"/>
      <c r="C46" s="866"/>
      <c r="D46" s="866"/>
      <c r="E46" s="866"/>
      <c r="F46" s="866"/>
      <c r="G46" s="866"/>
      <c r="H46" s="866"/>
    </row>
    <row r="47" spans="2:13">
      <c r="B47" s="866"/>
      <c r="C47" s="866"/>
      <c r="D47" s="866"/>
      <c r="E47" s="866"/>
      <c r="F47" s="866"/>
      <c r="G47" s="866"/>
      <c r="H47" s="866"/>
    </row>
    <row r="48" spans="2:13">
      <c r="B48" s="866"/>
      <c r="C48" s="866"/>
      <c r="D48" s="866"/>
      <c r="E48" s="866"/>
      <c r="F48" s="866"/>
      <c r="G48" s="866"/>
      <c r="H48" s="866"/>
    </row>
    <row r="49" spans="2:8">
      <c r="B49" s="866"/>
      <c r="C49" s="866"/>
      <c r="D49" s="866"/>
      <c r="E49" s="866"/>
      <c r="F49" s="866"/>
      <c r="G49" s="866"/>
      <c r="H49" s="866"/>
    </row>
    <row r="50" spans="2:8" ht="13.8">
      <c r="B50" s="1882" t="s">
        <v>3397</v>
      </c>
      <c r="C50" s="1882"/>
      <c r="D50" s="1882"/>
      <c r="E50" s="1882"/>
      <c r="F50" s="1882"/>
      <c r="G50" s="1882"/>
      <c r="H50" s="1882"/>
    </row>
    <row r="55" spans="2:8">
      <c r="H55" s="371"/>
    </row>
  </sheetData>
  <sheetProtection algorithmName="SHA-512" hashValue="0LinqSQmDmfL8lRJpywY2wf/tDDMz3u9jg6NkFQJEKYcUJHVTAcMHxxXsZWGajHRpPPzM6SIo3UfeHO0hPo27A==" saltValue="Mbk2DsjNExT4fX8/I+Afc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8">
    <tabColor theme="6" tint="0.39997558519241921"/>
  </sheetPr>
  <dimension ref="B3:R49"/>
  <sheetViews>
    <sheetView topLeftCell="A16" zoomScaleNormal="100" zoomScaleSheetLayoutView="80" workbookViewId="0">
      <selection activeCell="B4" sqref="B4:H4"/>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1078"/>
      <c r="H38" s="1066">
        <f>+'51-Utility1'!G23</f>
        <v>0</v>
      </c>
    </row>
    <row r="39" spans="2:8" ht="21" customHeight="1">
      <c r="B39" s="1077" t="s">
        <v>3204</v>
      </c>
      <c r="C39" s="1077"/>
      <c r="D39" s="1077"/>
      <c r="E39" s="1077"/>
      <c r="F39" s="1077"/>
      <c r="G39" s="1078"/>
      <c r="H39" s="1066">
        <f>+'49-Utility1'!G11</f>
        <v>0</v>
      </c>
    </row>
    <row r="40" spans="2:8" ht="21" customHeight="1">
      <c r="B40" s="1077" t="s">
        <v>798</v>
      </c>
      <c r="C40" s="1077"/>
      <c r="D40" s="1077"/>
      <c r="E40" s="1077"/>
      <c r="F40" s="1077"/>
      <c r="G40" s="1078"/>
      <c r="H40" s="1066">
        <f>'43-Utility1'!L20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t="s">
        <v>799</v>
      </c>
      <c r="C43" s="1079"/>
      <c r="D43" s="1079"/>
      <c r="E43" s="1079"/>
      <c r="F43" s="1079"/>
      <c r="G43" s="1046">
        <f>SUM(G11:G42)</f>
        <v>0</v>
      </c>
      <c r="H43" s="1080">
        <f>SUM(H11:H42)</f>
        <v>0</v>
      </c>
    </row>
    <row r="44" spans="2:8">
      <c r="B44" s="1908" t="s">
        <v>98</v>
      </c>
      <c r="C44" s="1908"/>
      <c r="D44" s="1908"/>
      <c r="E44" s="1908"/>
      <c r="F44" s="1908"/>
      <c r="G44" s="1908"/>
      <c r="H44" s="1908"/>
    </row>
    <row r="45" spans="2:8">
      <c r="B45" s="1081"/>
      <c r="C45" s="1081"/>
      <c r="D45" s="1081"/>
      <c r="E45" s="1081"/>
      <c r="F45" s="1081"/>
      <c r="G45" s="1081"/>
      <c r="H45" s="1081"/>
    </row>
    <row r="46" spans="2:8">
      <c r="B46" s="1081"/>
      <c r="C46" s="1081"/>
      <c r="D46" s="1081"/>
      <c r="E46" s="1081"/>
      <c r="F46" s="1081"/>
      <c r="G46" s="1081"/>
      <c r="H46" s="1081"/>
    </row>
    <row r="47" spans="2:8">
      <c r="B47" s="1081"/>
      <c r="C47" s="1081"/>
      <c r="D47" s="1081"/>
      <c r="E47" s="1081"/>
      <c r="F47" s="1081"/>
      <c r="G47" s="1081"/>
      <c r="H47" s="1081"/>
    </row>
    <row r="48" spans="2:8">
      <c r="B48" s="1081"/>
      <c r="C48" s="1081"/>
      <c r="D48" s="1081"/>
      <c r="E48" s="1081"/>
      <c r="F48" s="1081"/>
      <c r="G48" s="1081"/>
      <c r="H48" s="1081"/>
    </row>
    <row r="49" spans="2:8" ht="13.8">
      <c r="B49" s="1901" t="s">
        <v>3142</v>
      </c>
      <c r="C49" s="1901"/>
      <c r="D49" s="1901"/>
      <c r="E49" s="1901"/>
      <c r="F49" s="1901"/>
      <c r="G49" s="1901"/>
      <c r="H49" s="1901"/>
    </row>
  </sheetData>
  <sheetProtection algorithmName="SHA-512" hashValue="1a3VYNUxRN/RtRBMB3Aw0O7fqG7eA5q/kxSrMuD0Vh31lv4IboHNXzQG4j9uGmULaoEf2buX90ljBnibtgmOpg==" saltValue="xYLqpv5Eu3AB6nrmwagIsQ==" spinCount="100000" sheet="1" objects="1" scenarios="1"/>
  <mergeCells count="9">
    <mergeCell ref="B49:H49"/>
    <mergeCell ref="B6:H6"/>
    <mergeCell ref="B7:H7"/>
    <mergeCell ref="B3:H3"/>
    <mergeCell ref="B4:H4"/>
    <mergeCell ref="B5:H5"/>
    <mergeCell ref="B9:H9"/>
    <mergeCell ref="B10:F10"/>
    <mergeCell ref="B44:H44"/>
  </mergeCells>
  <pageMargins left="0.25" right="0.25" top="0.5" bottom="0.5" header="0.25" footer="0.25"/>
  <pageSetup paperSize="5" orientation="portrait" r:id="rId1"/>
  <headerFooter alignWithMargins="0"/>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9">
    <tabColor theme="6" tint="0.39997558519241921"/>
  </sheetPr>
  <dimension ref="A2:V27"/>
  <sheetViews>
    <sheetView zoomScaleNormal="100" zoomScaleSheetLayoutView="80" workbookViewId="0">
      <selection activeCell="B10" sqref="B10"/>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INPUTS'!D54)&amp;" UTILITY  ASSESSMENT  TRUST  CASH  AND  INVESTMENTS"</f>
        <v>ANALYSIS  OF WATER/SEWER UTILITY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t="s">
        <v>3730</v>
      </c>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9N434MiEmAM0BnSAm7lB6i4lPCSXWdUsm0agz9xOPJ10UB4Vb15GwwZsKmfzM3d6h0W7c5oA0Is00rAHPNiUDg==" saltValue="LssjEeHTgLRvI8cUYpHppw=="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0">
    <tabColor theme="6" tint="0.39997558519241921"/>
  </sheetPr>
  <dimension ref="B2:T55"/>
  <sheetViews>
    <sheetView topLeftCell="A4" zoomScaleNormal="100" zoomScaleSheetLayoutView="80" workbookViewId="0">
      <selection activeCell="I39" sqref="I39"/>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2" spans="2:20" ht="22.8">
      <c r="B2" s="1887" t="str">
        <f>"SCHEDULE OF "&amp;UPPER('KEY INPUTS'!D54)&amp;" UTILITY BUDGET  -  "&amp;IF('KEY INPUTS'!C42="State Fiscal Year","FY "&amp;'KEY INPUTS'!D33&amp;"",'KEY INPUTS'!D34)&amp;""</f>
        <v>SCHEDULE OF WATER/SEWER UTILITY UTILITY BUDGET  -  2021</v>
      </c>
      <c r="C2" s="1887"/>
      <c r="D2" s="1887"/>
      <c r="E2" s="1887"/>
      <c r="F2" s="1887"/>
      <c r="G2" s="1887"/>
      <c r="H2" s="1887"/>
      <c r="I2" s="1887"/>
      <c r="J2" s="1887"/>
    </row>
    <row r="3" spans="2:20" ht="12" customHeight="1">
      <c r="B3" s="434"/>
      <c r="C3" s="434"/>
      <c r="D3" s="434"/>
      <c r="E3" s="434"/>
      <c r="F3" s="434"/>
      <c r="G3" s="434"/>
      <c r="H3" s="434"/>
      <c r="I3" s="434"/>
      <c r="J3" s="434"/>
    </row>
    <row r="4" spans="2:20" ht="17.25" customHeight="1" thickBot="1">
      <c r="B4" s="1918" t="s">
        <v>832</v>
      </c>
      <c r="C4" s="1918"/>
      <c r="D4" s="1918"/>
      <c r="E4" s="1918"/>
      <c r="F4" s="1918"/>
      <c r="G4" s="1918"/>
      <c r="H4" s="1918"/>
      <c r="I4" s="1918"/>
      <c r="J4" s="1918"/>
    </row>
    <row r="5" spans="2:20" ht="13.8" thickTop="1">
      <c r="B5" s="1914" t="s">
        <v>165</v>
      </c>
      <c r="C5" s="1914"/>
      <c r="D5" s="1914"/>
      <c r="E5" s="1914"/>
      <c r="F5" s="1914"/>
      <c r="G5" s="1915"/>
      <c r="H5" s="433" t="s">
        <v>535</v>
      </c>
      <c r="I5" s="433" t="s">
        <v>638</v>
      </c>
      <c r="J5" s="432" t="s">
        <v>319</v>
      </c>
    </row>
    <row r="6" spans="2:20" ht="13.8" thickBot="1">
      <c r="B6" s="1916"/>
      <c r="C6" s="1916"/>
      <c r="D6" s="1916"/>
      <c r="E6" s="1916"/>
      <c r="F6" s="1916"/>
      <c r="G6" s="1917"/>
      <c r="H6" s="431"/>
      <c r="I6" s="431" t="s">
        <v>318</v>
      </c>
      <c r="J6" s="430" t="s">
        <v>320</v>
      </c>
    </row>
    <row r="7" spans="2:20" ht="21" customHeight="1" thickTop="1">
      <c r="B7" s="429" t="s">
        <v>3156</v>
      </c>
      <c r="C7" s="429"/>
      <c r="D7" s="429"/>
      <c r="E7" s="429"/>
      <c r="F7" s="429"/>
      <c r="G7" s="428"/>
      <c r="H7" s="575">
        <v>200000</v>
      </c>
      <c r="I7" s="427">
        <f>H7</f>
        <v>200000</v>
      </c>
      <c r="J7" s="426">
        <f>+I7-H7</f>
        <v>0</v>
      </c>
    </row>
    <row r="8" spans="2:20" ht="10.5" customHeight="1">
      <c r="B8" s="399" t="s">
        <v>3155</v>
      </c>
      <c r="G8" s="962"/>
      <c r="H8" s="424"/>
      <c r="I8" s="424"/>
      <c r="J8" s="252"/>
    </row>
    <row r="9" spans="2:20">
      <c r="B9" s="423" t="s">
        <v>168</v>
      </c>
      <c r="C9" s="423"/>
      <c r="D9" s="423"/>
      <c r="E9" s="423"/>
      <c r="F9" s="423"/>
      <c r="G9" s="418"/>
      <c r="H9" s="622"/>
      <c r="I9" s="622"/>
      <c r="J9" s="241">
        <f t="shared" ref="J9:J15" si="0">+I9-H9</f>
        <v>0</v>
      </c>
    </row>
    <row r="10" spans="2:20" ht="21" customHeight="1">
      <c r="B10" s="617" t="s">
        <v>3718</v>
      </c>
      <c r="C10" s="617"/>
      <c r="D10" s="617"/>
      <c r="E10" s="617"/>
      <c r="F10" s="617"/>
      <c r="G10" s="1106"/>
      <c r="H10" s="742">
        <v>799300</v>
      </c>
      <c r="I10" s="742">
        <v>875081.3</v>
      </c>
      <c r="J10" s="422">
        <f t="shared" si="0"/>
        <v>75781.300000000047</v>
      </c>
      <c r="N10" s="309"/>
      <c r="O10" s="309"/>
      <c r="P10" s="309"/>
      <c r="Q10" s="309"/>
      <c r="R10" s="309"/>
      <c r="S10" s="309"/>
      <c r="T10" s="309"/>
    </row>
    <row r="11" spans="2:20" ht="21" customHeight="1">
      <c r="B11" s="617" t="s">
        <v>3719</v>
      </c>
      <c r="C11" s="617"/>
      <c r="D11" s="617"/>
      <c r="E11" s="617"/>
      <c r="F11" s="617"/>
      <c r="G11" s="1106"/>
      <c r="H11" s="742">
        <v>100742</v>
      </c>
      <c r="I11" s="742">
        <v>100742</v>
      </c>
      <c r="J11" s="253">
        <f t="shared" si="0"/>
        <v>0</v>
      </c>
      <c r="N11" s="309"/>
      <c r="O11" s="309"/>
      <c r="P11" s="309"/>
      <c r="Q11" s="309"/>
      <c r="R11" s="309"/>
      <c r="S11" s="309"/>
      <c r="T11" s="309"/>
    </row>
    <row r="12" spans="2:20" ht="21" customHeight="1">
      <c r="B12" s="617"/>
      <c r="C12" s="617"/>
      <c r="D12" s="617"/>
      <c r="E12" s="617"/>
      <c r="F12" s="617"/>
      <c r="G12" s="1106"/>
      <c r="H12" s="742"/>
      <c r="I12" s="742"/>
      <c r="J12" s="253">
        <f t="shared" si="0"/>
        <v>0</v>
      </c>
      <c r="N12" s="356"/>
      <c r="O12" s="309"/>
      <c r="P12" s="309"/>
      <c r="Q12" s="309"/>
      <c r="R12" s="309"/>
      <c r="S12" s="309"/>
      <c r="T12" s="309"/>
    </row>
    <row r="13" spans="2:20" ht="21" customHeight="1">
      <c r="B13" s="617"/>
      <c r="C13" s="617"/>
      <c r="D13" s="617"/>
      <c r="E13" s="617"/>
      <c r="F13" s="617"/>
      <c r="G13" s="1106"/>
      <c r="H13" s="742"/>
      <c r="I13" s="742"/>
      <c r="J13" s="253">
        <f t="shared" si="0"/>
        <v>0</v>
      </c>
      <c r="N13" s="309"/>
      <c r="O13" s="309"/>
      <c r="P13" s="309"/>
      <c r="Q13" s="309"/>
      <c r="R13" s="309"/>
      <c r="S13" s="309"/>
      <c r="T13" s="309"/>
    </row>
    <row r="14" spans="2:20" ht="21" customHeight="1">
      <c r="B14" s="617"/>
      <c r="C14" s="617"/>
      <c r="D14" s="617"/>
      <c r="E14" s="617"/>
      <c r="F14" s="617"/>
      <c r="G14" s="1106"/>
      <c r="H14" s="742"/>
      <c r="I14" s="742"/>
      <c r="J14" s="253">
        <f t="shared" si="0"/>
        <v>0</v>
      </c>
      <c r="N14" s="309"/>
      <c r="O14" s="309"/>
      <c r="P14" s="309"/>
      <c r="Q14" s="309"/>
      <c r="R14" s="309"/>
      <c r="S14" s="309"/>
      <c r="T14" s="309"/>
    </row>
    <row r="15" spans="2:20" ht="21" customHeight="1">
      <c r="B15" s="374" t="s">
        <v>3154</v>
      </c>
      <c r="C15" s="374"/>
      <c r="D15" s="374"/>
      <c r="E15" s="374"/>
      <c r="F15" s="374"/>
      <c r="G15" s="418"/>
      <c r="H15" s="742"/>
      <c r="I15" s="742"/>
      <c r="J15" s="253">
        <f t="shared" si="0"/>
        <v>0</v>
      </c>
      <c r="N15" s="309"/>
      <c r="O15" s="309"/>
      <c r="P15" s="309"/>
      <c r="Q15" s="309"/>
      <c r="R15" s="309"/>
      <c r="S15" s="309"/>
      <c r="T15" s="309"/>
    </row>
    <row r="16" spans="2:20" ht="21" customHeight="1">
      <c r="B16" s="374" t="s">
        <v>3153</v>
      </c>
      <c r="C16" s="374"/>
      <c r="D16" s="374"/>
      <c r="E16" s="374"/>
      <c r="F16" s="374"/>
      <c r="G16" s="418"/>
      <c r="H16" s="742">
        <v>4219.04</v>
      </c>
      <c r="I16" s="742">
        <v>4219.04</v>
      </c>
      <c r="J16" s="253"/>
      <c r="N16" s="309"/>
      <c r="O16" s="309"/>
      <c r="P16" s="309"/>
      <c r="Q16" s="309"/>
      <c r="R16" s="309"/>
      <c r="S16" s="309"/>
      <c r="T16" s="309"/>
    </row>
    <row r="17" spans="2:20" ht="21" customHeight="1">
      <c r="B17" s="374" t="s">
        <v>3573</v>
      </c>
      <c r="C17" s="374"/>
      <c r="D17" s="374"/>
      <c r="E17" s="374"/>
      <c r="F17" s="374"/>
      <c r="G17" s="418"/>
      <c r="H17" s="297" t="s">
        <v>628</v>
      </c>
      <c r="I17" s="297" t="s">
        <v>628</v>
      </c>
      <c r="J17" s="254" t="s">
        <v>628</v>
      </c>
      <c r="N17" s="309"/>
      <c r="O17" s="309"/>
      <c r="P17" s="309"/>
      <c r="Q17" s="309"/>
      <c r="R17" s="309"/>
      <c r="S17" s="309"/>
      <c r="T17" s="309"/>
    </row>
    <row r="18" spans="2:20" ht="21" customHeight="1">
      <c r="B18" s="617"/>
      <c r="C18" s="617"/>
      <c r="D18" s="617"/>
      <c r="E18" s="617"/>
      <c r="F18" s="617"/>
      <c r="G18" s="617"/>
      <c r="H18" s="571"/>
      <c r="I18" s="571"/>
      <c r="J18" s="253">
        <f t="shared" ref="J18:J19" si="1">+I18-H18</f>
        <v>0</v>
      </c>
      <c r="N18" s="309"/>
      <c r="O18" s="309"/>
      <c r="P18" s="309"/>
      <c r="Q18" s="309"/>
      <c r="R18" s="309"/>
      <c r="S18" s="309"/>
      <c r="T18" s="309"/>
    </row>
    <row r="19" spans="2:20" ht="21" customHeight="1" thickBot="1">
      <c r="B19" s="617"/>
      <c r="C19" s="617"/>
      <c r="D19" s="617"/>
      <c r="E19" s="617"/>
      <c r="F19" s="617"/>
      <c r="G19" s="617"/>
      <c r="H19" s="596"/>
      <c r="I19" s="596"/>
      <c r="J19" s="445">
        <f t="shared" si="1"/>
        <v>0</v>
      </c>
      <c r="N19" s="309"/>
      <c r="O19" s="309"/>
      <c r="P19" s="309"/>
      <c r="Q19" s="309"/>
      <c r="R19" s="309"/>
      <c r="S19" s="309"/>
      <c r="T19" s="309"/>
    </row>
    <row r="20" spans="2:20" ht="21" customHeight="1" thickTop="1">
      <c r="B20" s="374"/>
      <c r="C20" s="374"/>
      <c r="D20" s="374" t="s">
        <v>317</v>
      </c>
      <c r="E20" s="374"/>
      <c r="F20" s="374"/>
      <c r="G20" s="421"/>
      <c r="H20" s="420">
        <f>SUM(H7:H19)</f>
        <v>1104261.04</v>
      </c>
      <c r="I20" s="420">
        <f>SUM(I7:I19)</f>
        <v>1180042.3400000001</v>
      </c>
      <c r="J20" s="241">
        <f>SUM(J7:J19)</f>
        <v>75781.300000000047</v>
      </c>
      <c r="N20" s="309"/>
      <c r="O20" s="309"/>
      <c r="P20" s="309"/>
      <c r="Q20" s="309"/>
      <c r="R20" s="309"/>
      <c r="S20" s="309"/>
      <c r="T20" s="309"/>
    </row>
    <row r="21" spans="2:20" ht="21" customHeight="1" thickBot="1">
      <c r="B21" s="374" t="s">
        <v>3152</v>
      </c>
      <c r="C21" s="419"/>
      <c r="D21" s="419"/>
      <c r="E21" s="374"/>
      <c r="F21" s="374"/>
      <c r="G21" s="418"/>
      <c r="H21" s="623"/>
      <c r="I21" s="623"/>
      <c r="J21" s="252">
        <f>I21-H21</f>
        <v>0</v>
      </c>
      <c r="N21" s="309"/>
      <c r="O21" s="309"/>
      <c r="P21" s="309"/>
      <c r="Q21" s="309"/>
      <c r="R21" s="309"/>
      <c r="S21" s="309"/>
      <c r="T21" s="309"/>
    </row>
    <row r="22" spans="2:20" ht="21" customHeight="1" thickTop="1" thickBot="1">
      <c r="G22" s="417"/>
      <c r="H22" s="416">
        <f>+H20+H21</f>
        <v>1104261.04</v>
      </c>
      <c r="I22" s="416">
        <f>+I20+I21</f>
        <v>1180042.3400000001</v>
      </c>
      <c r="J22" s="415">
        <f>+J20+J21</f>
        <v>75781.300000000047</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1918" t="s">
        <v>321</v>
      </c>
      <c r="C27" s="1918"/>
      <c r="D27" s="1918"/>
      <c r="E27" s="1918"/>
      <c r="F27" s="1918"/>
      <c r="G27" s="1918"/>
      <c r="H27" s="1918"/>
      <c r="I27" s="1918"/>
      <c r="J27" s="1918"/>
    </row>
    <row r="28" spans="2:20" ht="21" customHeight="1" thickTop="1">
      <c r="B28" s="414" t="s">
        <v>322</v>
      </c>
      <c r="C28" s="413"/>
      <c r="D28" s="413"/>
      <c r="E28" s="413"/>
      <c r="F28" s="413"/>
      <c r="G28" s="413"/>
      <c r="H28" s="413"/>
      <c r="I28" s="412"/>
      <c r="J28" s="328" t="s">
        <v>628</v>
      </c>
    </row>
    <row r="29" spans="2:20" ht="21" customHeight="1">
      <c r="B29" s="410"/>
      <c r="C29" s="409" t="s">
        <v>174</v>
      </c>
      <c r="D29" s="409"/>
      <c r="E29" s="409"/>
      <c r="F29" s="409"/>
      <c r="G29" s="409"/>
      <c r="H29" s="409"/>
      <c r="I29" s="411"/>
      <c r="J29" s="624">
        <v>1104261.04</v>
      </c>
    </row>
    <row r="30" spans="2:20" ht="21" customHeight="1">
      <c r="B30" s="410"/>
      <c r="C30" s="409" t="s">
        <v>3574</v>
      </c>
      <c r="D30" s="409"/>
      <c r="E30" s="409"/>
      <c r="F30" s="409"/>
      <c r="G30" s="409"/>
      <c r="H30" s="409"/>
      <c r="I30" s="411"/>
      <c r="J30" s="624">
        <v>0</v>
      </c>
    </row>
    <row r="31" spans="2:20" ht="21" customHeight="1" thickBot="1">
      <c r="B31" s="410"/>
      <c r="C31" s="409" t="s">
        <v>323</v>
      </c>
      <c r="D31" s="409"/>
      <c r="E31" s="409"/>
      <c r="F31" s="409"/>
      <c r="G31" s="409"/>
      <c r="H31" s="409"/>
      <c r="I31" s="411"/>
      <c r="J31" s="626">
        <v>0</v>
      </c>
    </row>
    <row r="32" spans="2:20" ht="21" customHeight="1" thickTop="1">
      <c r="B32" s="410" t="s">
        <v>324</v>
      </c>
      <c r="C32" s="409"/>
      <c r="D32" s="409"/>
      <c r="E32" s="409"/>
      <c r="F32" s="409"/>
      <c r="G32" s="409"/>
      <c r="H32" s="409"/>
      <c r="I32" s="408"/>
      <c r="J32" s="405">
        <f>SUM(J29:J31)</f>
        <v>1104261.04</v>
      </c>
    </row>
    <row r="33" spans="2:13" ht="21" customHeight="1" thickBot="1">
      <c r="B33" s="410" t="s">
        <v>325</v>
      </c>
      <c r="C33" s="409"/>
      <c r="D33" s="409"/>
      <c r="E33" s="409"/>
      <c r="F33" s="409"/>
      <c r="G33" s="409"/>
      <c r="H33" s="409"/>
      <c r="I33" s="408"/>
      <c r="J33" s="626">
        <v>0</v>
      </c>
    </row>
    <row r="34" spans="2:13" ht="21" customHeight="1" thickTop="1">
      <c r="B34" s="410" t="s">
        <v>727</v>
      </c>
      <c r="C34" s="409"/>
      <c r="D34" s="409"/>
      <c r="E34" s="409"/>
      <c r="F34" s="409"/>
      <c r="G34" s="409"/>
      <c r="H34" s="409"/>
      <c r="I34" s="408"/>
      <c r="J34" s="405">
        <f>+J32+J33</f>
        <v>1104261.04</v>
      </c>
    </row>
    <row r="35" spans="2:13" ht="21" customHeight="1">
      <c r="B35" s="410" t="s">
        <v>326</v>
      </c>
      <c r="C35" s="409"/>
      <c r="D35" s="409"/>
      <c r="E35" s="409"/>
      <c r="F35" s="409"/>
      <c r="G35" s="409"/>
      <c r="H35" s="409"/>
      <c r="I35" s="408"/>
      <c r="J35" s="407"/>
    </row>
    <row r="36" spans="2:13" ht="21" customHeight="1">
      <c r="B36" s="402"/>
      <c r="C36" s="402" t="s">
        <v>594</v>
      </c>
      <c r="D36" s="402"/>
      <c r="E36" s="402"/>
      <c r="F36" s="402"/>
      <c r="G36" s="402"/>
      <c r="H36" s="402"/>
      <c r="I36" s="627">
        <f>996402.59+6441.73</f>
        <v>1002844.32</v>
      </c>
      <c r="J36" s="406"/>
    </row>
    <row r="37" spans="2:13" ht="21" customHeight="1">
      <c r="B37" s="402"/>
      <c r="C37" s="402" t="s">
        <v>731</v>
      </c>
      <c r="D37" s="402"/>
      <c r="E37" s="402"/>
      <c r="F37" s="402"/>
      <c r="G37" s="402"/>
      <c r="H37" s="402"/>
      <c r="I37" s="627">
        <v>96007.43</v>
      </c>
      <c r="J37" s="406"/>
    </row>
    <row r="38" spans="2:13" ht="21" customHeight="1" thickBot="1">
      <c r="B38" s="402" t="s">
        <v>327</v>
      </c>
      <c r="C38" s="402"/>
      <c r="D38" s="402"/>
      <c r="E38" s="402"/>
      <c r="F38" s="402"/>
      <c r="G38" s="402"/>
      <c r="H38" s="402"/>
      <c r="I38" s="628">
        <v>0</v>
      </c>
      <c r="J38" s="624"/>
      <c r="M38" s="371"/>
    </row>
    <row r="39" spans="2:13" ht="21" customHeight="1" thickTop="1" thickBot="1">
      <c r="B39" s="402" t="s">
        <v>732</v>
      </c>
      <c r="C39" s="402"/>
      <c r="D39" s="402"/>
      <c r="E39" s="402"/>
      <c r="F39" s="402"/>
      <c r="G39" s="402"/>
      <c r="H39" s="402"/>
      <c r="I39" s="404"/>
      <c r="J39" s="403">
        <f>SUM(I36:I38)</f>
        <v>1098851.75</v>
      </c>
    </row>
    <row r="40" spans="2:13" ht="21" customHeight="1" thickTop="1" thickBot="1">
      <c r="B40" s="402" t="s">
        <v>328</v>
      </c>
      <c r="C40" s="402"/>
      <c r="D40" s="402"/>
      <c r="E40" s="402"/>
      <c r="F40" s="402"/>
      <c r="G40" s="402"/>
      <c r="H40" s="402"/>
      <c r="I40" s="401"/>
      <c r="J40" s="400">
        <f>+J34-J39</f>
        <v>5409.2900000000373</v>
      </c>
      <c r="K40" s="371"/>
    </row>
    <row r="41" spans="2:13" ht="13.8" thickTop="1"/>
    <row r="42" spans="2:13">
      <c r="B42" s="399" t="s">
        <v>3149</v>
      </c>
      <c r="C42" s="399"/>
      <c r="D42" s="399"/>
      <c r="E42" s="399"/>
      <c r="F42" s="399"/>
    </row>
    <row r="43" spans="2:13">
      <c r="B43" s="399"/>
      <c r="C43" s="399" t="s">
        <v>3148</v>
      </c>
      <c r="D43" s="399"/>
      <c r="E43" s="399"/>
      <c r="F43" s="399"/>
    </row>
    <row r="44" spans="2:13">
      <c r="B44" s="399"/>
      <c r="C44" s="399"/>
      <c r="D44" s="399" t="s">
        <v>3147</v>
      </c>
      <c r="E44" s="399"/>
      <c r="F44" s="399"/>
      <c r="M44" s="371"/>
    </row>
    <row r="45" spans="2:13">
      <c r="B45" s="399"/>
      <c r="C45" s="399" t="s">
        <v>39</v>
      </c>
      <c r="D45" s="399"/>
      <c r="E45" s="399"/>
      <c r="F45" s="399"/>
    </row>
    <row r="46" spans="2:13">
      <c r="B46" s="399"/>
      <c r="C46" s="399" t="s">
        <v>3146</v>
      </c>
      <c r="D46" s="399"/>
      <c r="E46" s="399"/>
      <c r="F46" s="399"/>
    </row>
    <row r="47" spans="2:13">
      <c r="B47" s="399"/>
      <c r="C47" s="399"/>
      <c r="D47" s="399" t="s">
        <v>3145</v>
      </c>
      <c r="E47" s="399"/>
      <c r="F47" s="399"/>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OQDbsfnrkiaAFXwLBXA66XINhUDEvLuwJU76pyoyt6zYnklPYYJlQCVFHfXh3HFRxYvmvKKliCHlwfahzvfFog==" saltValue="vzROxzAPjfprWzWVm4d7eQ==" spinCount="100000" sheet="1" objects="1" scenarios="1"/>
  <mergeCells count="5">
    <mergeCell ref="B5:G6"/>
    <mergeCell ref="B2:J2"/>
    <mergeCell ref="B55:J55"/>
    <mergeCell ref="B4:J4"/>
    <mergeCell ref="B27:J27"/>
  </mergeCells>
  <pageMargins left="0.25" right="0.25" top="0.5" bottom="0.5" header="0.25" footer="0.25"/>
  <pageSetup paperSize="5" orientation="portrait" r:id="rId1"/>
  <headerFooter alignWithMargins="0"/>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1">
    <tabColor theme="6" tint="0.39997558519241921"/>
  </sheetPr>
  <dimension ref="B3:T57"/>
  <sheetViews>
    <sheetView topLeftCell="A22" zoomScaleNormal="100" zoomScaleSheetLayoutView="80" workbookViewId="0">
      <selection activeCell="J49" sqref="J49"/>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3" spans="2:20" ht="22.8">
      <c r="B3" s="1898" t="str">
        <f>"STATEMENT  OF  "&amp;IF('KEY INPUTS'!C42="State Fiscal Year","FISCAL  YEAR  "&amp;'KEY INPUTS'!D33&amp;"",'KEY INPUTS'!D34)&amp;"  OPERATION"</f>
        <v>STATEMENT  OF  2021  OPERATION</v>
      </c>
      <c r="C3" s="1898"/>
      <c r="D3" s="1898"/>
      <c r="E3" s="1898"/>
      <c r="F3" s="1898"/>
      <c r="G3" s="1898"/>
      <c r="H3" s="1898"/>
      <c r="I3" s="1898"/>
      <c r="J3" s="1898"/>
      <c r="K3" s="1898"/>
    </row>
    <row r="5" spans="2:20" ht="20.399999999999999">
      <c r="B5" s="1909" t="str">
        <f>UPPER('KEY INPUTS'!D54)&amp;" UTILITY"</f>
        <v>WATER/SEWER UTILITY UTILITY</v>
      </c>
      <c r="C5" s="1909"/>
      <c r="D5" s="1909"/>
      <c r="E5" s="1909"/>
      <c r="F5" s="1909"/>
      <c r="G5" s="1909"/>
      <c r="H5" s="1909"/>
      <c r="I5" s="1909"/>
      <c r="J5" s="1909"/>
      <c r="K5" s="1909"/>
    </row>
    <row r="8" spans="2:20">
      <c r="B8" s="1054" t="s">
        <v>313</v>
      </c>
      <c r="C8" s="1129" t="str">
        <f>"Section 1 of this sheet is required to be filled out ONLY IF the "&amp;IF('KEY INPUTS'!C42="State Fiscal Year","Fiscal Year "&amp;'KEY INPUTS'!D33&amp;"",'KEY INPUTS'!D34)&amp;" "&amp;PROPER('KEY INPUTS'!D54)&amp;" Utility Budget contained"</f>
        <v>Section 1 of this sheet is required to be filled out ONLY IF the 2021 Water/Sewer Utility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436"/>
      <c r="N15" s="309"/>
      <c r="O15" s="309"/>
      <c r="P15" s="309"/>
      <c r="Q15" s="309"/>
      <c r="R15" s="309"/>
      <c r="S15" s="309"/>
      <c r="T15" s="309"/>
    </row>
    <row r="16" spans="2:20" ht="21" customHeight="1">
      <c r="B16" s="659"/>
      <c r="C16" s="659" t="s">
        <v>333</v>
      </c>
      <c r="D16" s="659"/>
      <c r="E16" s="659"/>
      <c r="F16" s="659"/>
      <c r="G16" s="659"/>
      <c r="H16" s="659"/>
      <c r="I16" s="659"/>
      <c r="J16" s="800">
        <f>+'44-Utility1'!I20</f>
        <v>1180042.3400000001</v>
      </c>
      <c r="K16" s="436"/>
      <c r="N16" s="309"/>
      <c r="O16" s="309"/>
      <c r="P16" s="309"/>
      <c r="Q16" s="309"/>
      <c r="R16" s="309"/>
      <c r="S16" s="309"/>
      <c r="T16" s="309"/>
    </row>
    <row r="17" spans="2:20" ht="21" customHeight="1">
      <c r="B17" s="659"/>
      <c r="C17" s="659" t="s">
        <v>334</v>
      </c>
      <c r="D17" s="659"/>
      <c r="E17" s="659"/>
      <c r="F17" s="659"/>
      <c r="G17" s="659"/>
      <c r="H17" s="659"/>
      <c r="I17" s="659"/>
      <c r="J17" s="547">
        <v>118161.32</v>
      </c>
      <c r="K17" s="436"/>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v>89698.22</v>
      </c>
      <c r="K18" s="436"/>
      <c r="N18" s="309"/>
      <c r="O18" s="309"/>
      <c r="P18" s="309"/>
      <c r="Q18" s="309"/>
      <c r="R18" s="309"/>
      <c r="S18" s="309"/>
      <c r="T18" s="309"/>
    </row>
    <row r="19" spans="2:20" ht="21" customHeight="1">
      <c r="B19" s="374"/>
      <c r="C19" s="617"/>
      <c r="D19" s="617"/>
      <c r="E19" s="617"/>
      <c r="F19" s="617"/>
      <c r="G19" s="617"/>
      <c r="H19" s="617"/>
      <c r="I19" s="617"/>
      <c r="J19" s="353"/>
      <c r="K19" s="436"/>
      <c r="N19" s="309"/>
      <c r="O19" s="309"/>
      <c r="P19" s="309"/>
      <c r="Q19" s="309"/>
      <c r="R19" s="309"/>
      <c r="S19" s="309"/>
      <c r="T19" s="309"/>
    </row>
    <row r="20" spans="2:20" ht="21" customHeight="1">
      <c r="B20" s="374"/>
      <c r="C20" s="617"/>
      <c r="D20" s="617"/>
      <c r="E20" s="617"/>
      <c r="F20" s="617"/>
      <c r="G20" s="617"/>
      <c r="H20" s="617"/>
      <c r="I20" s="617"/>
      <c r="J20" s="353"/>
      <c r="K20" s="436"/>
      <c r="N20" s="309"/>
      <c r="O20" s="309"/>
      <c r="P20" s="309"/>
      <c r="Q20" s="309"/>
      <c r="R20" s="309"/>
      <c r="S20" s="309"/>
      <c r="T20" s="309"/>
    </row>
    <row r="21" spans="2:20" ht="21" customHeight="1">
      <c r="B21" s="659"/>
      <c r="C21" s="659" t="s">
        <v>335</v>
      </c>
      <c r="D21" s="659"/>
      <c r="E21" s="659"/>
      <c r="F21" s="659"/>
      <c r="G21" s="659"/>
      <c r="H21" s="659"/>
      <c r="I21" s="659"/>
      <c r="J21" s="1113"/>
      <c r="K21" s="809">
        <f>SUM(J16:J20)</f>
        <v>1387901.8800000001</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+'44-Utility1'!I36</f>
        <v>1002844.32</v>
      </c>
      <c r="K24" s="799"/>
      <c r="N24" s="309"/>
      <c r="O24" s="309"/>
      <c r="P24" s="309"/>
      <c r="Q24" s="309"/>
      <c r="R24" s="309"/>
      <c r="S24" s="309"/>
      <c r="T24" s="309"/>
    </row>
    <row r="25" spans="2:20" ht="21" customHeight="1">
      <c r="B25" s="659"/>
      <c r="C25" s="659"/>
      <c r="D25" s="659" t="s">
        <v>731</v>
      </c>
      <c r="E25" s="659"/>
      <c r="F25" s="659"/>
      <c r="G25" s="659"/>
      <c r="H25" s="659"/>
      <c r="I25" s="659"/>
      <c r="J25" s="800">
        <f>+'44-Utility1'!I37</f>
        <v>96007.43</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6"/>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1098851.75</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1098851.75</v>
      </c>
    </row>
    <row r="33" spans="2:15" ht="21" customHeight="1" thickTop="1" thickBot="1">
      <c r="B33" s="1122" t="s">
        <v>760</v>
      </c>
      <c r="C33" s="1122"/>
      <c r="D33" s="1122"/>
      <c r="E33" s="1122"/>
      <c r="F33" s="1122"/>
      <c r="G33" s="1122"/>
      <c r="H33" s="1122"/>
      <c r="I33" s="1122"/>
      <c r="J33" s="1123"/>
      <c r="K33" s="1124">
        <f>IF(M33&gt;0,M33,0)</f>
        <v>289050.13000000012</v>
      </c>
      <c r="M33" s="371">
        <f>+K21-K32</f>
        <v>289050.13000000012</v>
      </c>
      <c r="N33" s="679" t="s">
        <v>3372</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1117"/>
      <c r="K35" s="799"/>
    </row>
    <row r="36" spans="2:15" ht="12.75" customHeight="1" thickBot="1">
      <c r="B36" s="1922"/>
      <c r="C36" s="1922"/>
      <c r="D36" s="1922"/>
      <c r="E36" s="1068" t="s">
        <v>3484</v>
      </c>
      <c r="F36" s="1068"/>
      <c r="G36" s="1068"/>
      <c r="H36" s="1068"/>
      <c r="I36" s="1068"/>
      <c r="J36" s="1119">
        <f>+K33-J34</f>
        <v>289050.13000000012</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+'44-Utility1'!I21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J42" s="436"/>
      <c r="K42" s="436"/>
    </row>
    <row r="43" spans="2:15" ht="17.399999999999999">
      <c r="B43" s="1108" t="s">
        <v>765</v>
      </c>
      <c r="C43" s="1054"/>
      <c r="D43" s="1054"/>
      <c r="E43" s="1054"/>
      <c r="J43" s="436"/>
      <c r="K43" s="436"/>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INPUTS'!D54)&amp;" Utility for "&amp;IF('KEY INPUTS'!C42="State Fiscal Year","Fiscal Year "&amp;'KEY INPUTS'!D33-1&amp;"",'KEY INPUTS'!D34-1)&amp;""</f>
        <v>Anticipated Deficit in the Water/Sewer Utility Utility for 2020</v>
      </c>
      <c r="C46" s="1054"/>
      <c r="D46" s="1054"/>
      <c r="E46" s="1054"/>
      <c r="F46" s="1054"/>
      <c r="G46" s="1054"/>
      <c r="H46" s="1054"/>
      <c r="I46" s="1054"/>
      <c r="J46" s="799"/>
      <c r="K46" s="799"/>
      <c r="O46"/>
    </row>
    <row r="47" spans="2:15">
      <c r="J47" s="436"/>
      <c r="K47" s="436"/>
      <c r="O47"/>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v>89698.22</v>
      </c>
      <c r="K48" s="799"/>
      <c r="O48"/>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row>
    <row r="50" spans="2:15" ht="21" customHeight="1">
      <c r="B50" s="659" t="s">
        <v>766</v>
      </c>
      <c r="C50" s="659"/>
      <c r="D50" s="659"/>
      <c r="E50" s="659"/>
      <c r="F50" s="659"/>
      <c r="G50" s="659"/>
      <c r="H50" s="659"/>
      <c r="I50" s="659"/>
      <c r="J50" s="632"/>
      <c r="K50" s="809">
        <f>+MAX(0,J48-J49)</f>
        <v>89698.22</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LV7gg8Xvj13KTsPsD6sHNpXWGllLxpKroXfPVWaRkDa9dhZS9X8jYItUP86wRvT5PZkeeVTUeXGYuYBRsb/UbA==" saltValue="QJHFHFV2pRxGUsbHYxGP1A==" spinCount="100000" sheet="1" objects="1" scenarios="1"/>
  <mergeCells count="6">
    <mergeCell ref="B57:K57"/>
    <mergeCell ref="E49:I49"/>
    <mergeCell ref="B3:K3"/>
    <mergeCell ref="B5:K5"/>
    <mergeCell ref="B35:D36"/>
    <mergeCell ref="B40:D41"/>
  </mergeCells>
  <pageMargins left="0.25" right="0.25" top="0.5" bottom="0.5" header="0.25" footer="0.25"/>
  <pageSetup paperSize="5" orientation="portrait" r:id="rId1"/>
  <headerFooter alignWithMargins="0"/>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2">
    <tabColor theme="6" tint="0.39997558519241921"/>
  </sheetPr>
  <dimension ref="B2:Z52"/>
  <sheetViews>
    <sheetView topLeftCell="A19" zoomScaleNormal="100" zoomScaleSheetLayoutView="80" workbookViewId="0">
      <selection activeCell="L39" sqref="L39"/>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2" spans="2:26" ht="20.399999999999999">
      <c r="B2" s="1909" t="str">
        <f>"RESULTS  OF  "&amp;IF('KEY INPUTS'!C42="State Fiscal Year","FY  "&amp;'KEY INPUTS'!D33&amp;"",'KEY INPUTS'!D34)&amp;"  OPERATIONS  - "&amp;UPPER('KEY INPUTS'!D54)&amp;" UTILITY"</f>
        <v>RESULTS  OF  2021  OPERATIONS  - WATER/SEWER UTILITY UTILITY</v>
      </c>
      <c r="C2" s="1909"/>
      <c r="D2" s="1909"/>
      <c r="E2" s="1909"/>
      <c r="F2" s="1909"/>
      <c r="G2" s="1909"/>
      <c r="H2" s="1909"/>
      <c r="I2" s="1909"/>
      <c r="J2" s="1909"/>
      <c r="K2" s="1909"/>
      <c r="L2" s="1909"/>
    </row>
    <row r="3" spans="2:26" ht="13.8" thickBot="1"/>
    <row r="4" spans="2:26" ht="21" customHeight="1" thickTop="1" thickBot="1">
      <c r="B4" s="447"/>
      <c r="C4" s="447"/>
      <c r="D4" s="447"/>
      <c r="E4" s="447"/>
      <c r="F4" s="447"/>
      <c r="G4" s="447"/>
      <c r="H4" s="447"/>
      <c r="I4" s="447"/>
      <c r="J4" s="447"/>
      <c r="K4" s="1055" t="s">
        <v>96</v>
      </c>
      <c r="L4" s="1056" t="s">
        <v>97</v>
      </c>
    </row>
    <row r="5" spans="2:26" ht="21" customHeight="1" thickTop="1">
      <c r="B5" s="1150" t="s">
        <v>209</v>
      </c>
      <c r="C5" s="1110"/>
      <c r="D5" s="1110"/>
      <c r="E5" s="1110"/>
      <c r="F5" s="1110"/>
      <c r="G5" s="1110"/>
      <c r="H5" s="1110"/>
      <c r="I5" s="429"/>
      <c r="J5" s="429"/>
      <c r="K5" s="1142" t="s">
        <v>628</v>
      </c>
      <c r="L5" s="1143">
        <f>IF(+'44-Utility1'!J22&gt;0,+'44-Utility1'!J22,0)</f>
        <v>75781.300000000047</v>
      </c>
      <c r="N5" s="309"/>
      <c r="O5" s="309"/>
      <c r="P5" s="309"/>
      <c r="Q5" s="309"/>
      <c r="R5" s="309"/>
      <c r="S5" s="309"/>
      <c r="T5" s="309"/>
    </row>
    <row r="6" spans="2:26" ht="21" customHeight="1">
      <c r="B6" s="1572" t="s">
        <v>3604</v>
      </c>
      <c r="C6" s="659"/>
      <c r="D6" s="659"/>
      <c r="E6" s="659"/>
      <c r="F6" s="659"/>
      <c r="G6" s="659"/>
      <c r="H6" s="659"/>
      <c r="I6" s="374"/>
      <c r="J6" s="374"/>
      <c r="K6" s="1144" t="s">
        <v>628</v>
      </c>
      <c r="L6" s="1145">
        <f>+'44-Utility1'!J40</f>
        <v>5409.2900000000373</v>
      </c>
      <c r="M6" s="708"/>
      <c r="N6" s="309"/>
      <c r="O6" s="309"/>
      <c r="P6" s="309"/>
      <c r="Q6" s="309"/>
      <c r="R6" s="309"/>
      <c r="S6" s="309"/>
      <c r="T6" s="309"/>
    </row>
    <row r="7" spans="2:26" ht="21" customHeight="1">
      <c r="B7" s="1572" t="s">
        <v>210</v>
      </c>
      <c r="C7" s="659"/>
      <c r="D7" s="659"/>
      <c r="E7" s="659"/>
      <c r="F7" s="659"/>
      <c r="G7" s="659"/>
      <c r="H7" s="659"/>
      <c r="I7" s="374"/>
      <c r="J7" s="374"/>
      <c r="K7" s="1144" t="s">
        <v>628</v>
      </c>
      <c r="L7" s="1064">
        <f>'45-Utility1'!J17</f>
        <v>118161.32</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374"/>
      <c r="J8" s="374"/>
      <c r="K8" s="1144" t="s">
        <v>628</v>
      </c>
      <c r="L8" s="1064">
        <f>+'45-Utility1'!K50</f>
        <v>89698.22</v>
      </c>
      <c r="N8" s="309"/>
      <c r="O8" s="309"/>
      <c r="P8" s="309"/>
      <c r="Q8" s="309"/>
      <c r="R8" s="309"/>
      <c r="S8" s="309"/>
      <c r="T8" s="309"/>
    </row>
    <row r="9" spans="2:26" ht="21" customHeight="1">
      <c r="B9" s="674"/>
      <c r="C9" s="617"/>
      <c r="D9" s="617"/>
      <c r="E9" s="617"/>
      <c r="F9" s="617"/>
      <c r="G9" s="617"/>
      <c r="H9" s="617"/>
      <c r="I9" s="374"/>
      <c r="J9" s="374"/>
      <c r="K9" s="627"/>
      <c r="L9" s="578"/>
      <c r="N9" s="309"/>
      <c r="O9" s="309"/>
      <c r="P9" s="309"/>
      <c r="Q9" s="309"/>
      <c r="R9" s="309"/>
      <c r="S9" s="309"/>
      <c r="T9" s="309"/>
      <c r="V9" s="439"/>
    </row>
    <row r="10" spans="2:26" ht="21" customHeight="1">
      <c r="B10" s="370" t="s">
        <v>3164</v>
      </c>
      <c r="K10" s="658">
        <f>IF(+'44-Utility1'!J22&lt;0,-'44-Utility1'!J22,0)</f>
        <v>0</v>
      </c>
      <c r="L10" s="1146" t="s">
        <v>628</v>
      </c>
      <c r="M10" s="1148">
        <f>+L9+L8+L7+L6+L5-K11-K10-K9</f>
        <v>289050.13000000012</v>
      </c>
      <c r="N10" s="679" t="s">
        <v>3373</v>
      </c>
      <c r="O10" s="309"/>
      <c r="P10" s="309"/>
      <c r="Q10" s="309"/>
      <c r="R10" s="309"/>
      <c r="S10" s="309"/>
      <c r="T10" s="309"/>
      <c r="V10" s="784"/>
    </row>
    <row r="11" spans="2:26" ht="21" customHeight="1">
      <c r="B11" s="671"/>
      <c r="C11" s="1139"/>
      <c r="D11" s="617"/>
      <c r="E11" s="617"/>
      <c r="F11" s="617"/>
      <c r="G11" s="617"/>
      <c r="H11" s="617"/>
      <c r="I11" s="374"/>
      <c r="J11" s="374"/>
      <c r="K11" s="571"/>
      <c r="L11" s="1146" t="s">
        <v>628</v>
      </c>
      <c r="N11" s="309"/>
      <c r="O11" s="309"/>
      <c r="P11" s="309"/>
      <c r="Q11" s="309"/>
      <c r="R11" s="309"/>
      <c r="S11" s="309"/>
      <c r="T11" s="309"/>
      <c r="U11"/>
      <c r="V11" s="274"/>
      <c r="W11"/>
      <c r="X11"/>
      <c r="Y11"/>
      <c r="Z11"/>
    </row>
    <row r="12" spans="2:26" ht="21" customHeight="1">
      <c r="B12" s="665" t="s">
        <v>211</v>
      </c>
      <c r="C12" s="1112"/>
      <c r="D12" s="659"/>
      <c r="E12" s="659"/>
      <c r="F12" s="659"/>
      <c r="G12" s="659"/>
      <c r="H12" s="659"/>
      <c r="I12" s="659"/>
      <c r="J12" s="374"/>
      <c r="K12" s="1144" t="s">
        <v>628</v>
      </c>
      <c r="L12" s="1145">
        <f>IF(M10&gt;0,0,M10*-1)</f>
        <v>0</v>
      </c>
      <c r="N12" s="309"/>
      <c r="O12" s="309"/>
      <c r="P12" s="309"/>
      <c r="Q12" s="309"/>
      <c r="R12" s="309"/>
      <c r="S12" s="309"/>
      <c r="T12" s="309"/>
      <c r="U12"/>
      <c r="V12" s="274"/>
      <c r="W12"/>
      <c r="X12"/>
      <c r="Y12"/>
      <c r="Z12"/>
    </row>
    <row r="13" spans="2:26" ht="21" customHeight="1" thickBot="1">
      <c r="B13" s="665" t="s">
        <v>212</v>
      </c>
      <c r="C13" s="1112"/>
      <c r="D13" s="659"/>
      <c r="E13" s="659"/>
      <c r="F13" s="659"/>
      <c r="G13" s="659"/>
      <c r="H13" s="659"/>
      <c r="I13" s="659"/>
      <c r="J13" s="374"/>
      <c r="K13" s="658">
        <f>IF(M10&gt;0,M10,0)</f>
        <v>289050.13000000012</v>
      </c>
      <c r="L13" s="1147" t="s">
        <v>628</v>
      </c>
      <c r="M13" s="371"/>
      <c r="N13" s="309"/>
      <c r="O13" s="309"/>
      <c r="P13" s="309"/>
      <c r="Q13" s="309"/>
      <c r="R13" s="309"/>
      <c r="S13" s="309"/>
      <c r="T13" s="309"/>
      <c r="U13"/>
      <c r="V13" s="785"/>
      <c r="W13"/>
      <c r="X13"/>
      <c r="Y13"/>
      <c r="Z13"/>
    </row>
    <row r="14" spans="2:26" ht="21" customHeight="1" thickBot="1">
      <c r="B14" s="1149" t="s">
        <v>3163</v>
      </c>
      <c r="C14" s="1054"/>
      <c r="D14" s="1054"/>
      <c r="E14" s="1054"/>
      <c r="F14" s="1054"/>
      <c r="G14" s="1054"/>
      <c r="H14" s="1054"/>
      <c r="I14" s="1054"/>
      <c r="K14" s="1071">
        <f>SUM(K5:K13)</f>
        <v>289050.13000000012</v>
      </c>
      <c r="L14" s="1072">
        <f>SUM(L5:L13)</f>
        <v>289050.13000000012</v>
      </c>
      <c r="M14" s="1148">
        <f>L14-K14</f>
        <v>0</v>
      </c>
      <c r="N14" s="309"/>
      <c r="O14" s="309"/>
      <c r="P14" s="309"/>
      <c r="Q14" s="309"/>
      <c r="R14" s="309"/>
      <c r="S14" s="309"/>
      <c r="T14" s="309"/>
      <c r="U14"/>
      <c r="V14"/>
      <c r="W14"/>
      <c r="X14"/>
      <c r="Y14"/>
      <c r="Z14"/>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INPUTS'!D54)&amp;" UTILITY"</f>
        <v>OPERATING  SURPLUS  - WATER/SEWER UTILITY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N18" s="309"/>
      <c r="O18" s="309"/>
      <c r="P18" s="309"/>
      <c r="Q18" s="309"/>
      <c r="R18" s="309"/>
      <c r="S18" s="309"/>
      <c r="T18" s="309"/>
    </row>
    <row r="19" spans="2:20" ht="25.5" customHeight="1" thickTop="1" thickBot="1">
      <c r="B19" s="447"/>
      <c r="C19" s="447"/>
      <c r="D19" s="447"/>
      <c r="E19" s="447"/>
      <c r="F19" s="447"/>
      <c r="G19" s="447"/>
      <c r="H19" s="447"/>
      <c r="I19" s="447"/>
      <c r="J19" s="447"/>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142" t="s">
        <v>628</v>
      </c>
      <c r="L20" s="607">
        <v>309354.21999999997</v>
      </c>
      <c r="N20" s="309"/>
      <c r="O20" s="309"/>
      <c r="P20" s="309"/>
      <c r="Q20" s="309"/>
      <c r="R20" s="309"/>
      <c r="S20" s="309"/>
      <c r="T20" s="309"/>
    </row>
    <row r="21" spans="2:20" ht="21" customHeight="1">
      <c r="B21" s="1140"/>
      <c r="C21" s="617"/>
      <c r="D21" s="617"/>
      <c r="E21" s="617"/>
      <c r="F21" s="617"/>
      <c r="G21" s="617"/>
      <c r="H21" s="617"/>
      <c r="I21" s="617"/>
      <c r="J21" s="617"/>
      <c r="K21" s="1138"/>
      <c r="L21" s="600"/>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144" t="s">
        <v>628</v>
      </c>
      <c r="L22" s="1152">
        <f>+K13</f>
        <v>289050.13000000012</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658">
        <f>'44-Utility1'!I7</f>
        <v>200000</v>
      </c>
      <c r="L23" s="1146"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1928"/>
      <c r="L24" s="1930" t="s">
        <v>628</v>
      </c>
    </row>
    <row r="25" spans="2:20" ht="12.75" customHeight="1">
      <c r="B25" s="1068" t="s">
        <v>842</v>
      </c>
      <c r="C25" s="1068"/>
      <c r="D25" s="1068"/>
      <c r="E25" s="1068"/>
      <c r="F25" s="1068"/>
      <c r="G25" s="1068"/>
      <c r="H25" s="1068"/>
      <c r="I25" s="1068"/>
      <c r="J25" s="1068"/>
      <c r="K25" s="1929"/>
      <c r="L25" s="1931"/>
    </row>
    <row r="26" spans="2:20" ht="21" customHeight="1">
      <c r="B26" s="1140"/>
      <c r="C26" s="617"/>
      <c r="D26" s="617"/>
      <c r="E26" s="617"/>
      <c r="F26" s="617"/>
      <c r="G26" s="617"/>
      <c r="H26" s="617"/>
      <c r="I26" s="617"/>
      <c r="J26" s="617"/>
      <c r="K26" s="571"/>
      <c r="L26" s="1141"/>
    </row>
    <row r="27" spans="2:20" ht="21" customHeight="1" thickBot="1">
      <c r="B27" s="659" t="str">
        <f>IF('KEY INPUTS'!C42 = "State Fiscal Year", 'KEY INPUTS'!F26,'KEY INPUTS'!D26)</f>
        <v>Balance - December 31, 2021</v>
      </c>
      <c r="C27" s="659"/>
      <c r="D27" s="659"/>
      <c r="E27" s="659"/>
      <c r="F27" s="659"/>
      <c r="G27" s="659"/>
      <c r="H27" s="659"/>
      <c r="I27" s="659"/>
      <c r="J27" s="659"/>
      <c r="K27" s="1069">
        <f>+SUM(L20:L26)-SUM(K21:K26)</f>
        <v>398404.35000000009</v>
      </c>
      <c r="L27" s="1147" t="s">
        <v>628</v>
      </c>
      <c r="N27" s="738" t="s">
        <v>3249</v>
      </c>
    </row>
    <row r="28" spans="2:20" ht="21" customHeight="1" thickBot="1">
      <c r="K28" s="1071">
        <f>SUM(K21:K27)</f>
        <v>598404.35000000009</v>
      </c>
      <c r="L28" s="1072">
        <f>SUM(L20:L27)</f>
        <v>598404.35000000009</v>
      </c>
    </row>
    <row r="29" spans="2:20" ht="13.8" thickTop="1">
      <c r="K29" s="1054"/>
      <c r="L29" s="1054"/>
    </row>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7" t="str">
        <f>"(FROM "&amp;UPPER('KEY INPUTS'!D54)&amp;" UTILITY  -  TRIAL  BALANCE)"</f>
        <v>(FROM WATER/SEWER UTILITY UTILITY  -  TRIAL  BALANCE)</v>
      </c>
      <c r="C33" s="1927"/>
      <c r="D33" s="1927"/>
      <c r="E33" s="1927"/>
      <c r="F33" s="1927"/>
      <c r="G33" s="1927"/>
      <c r="H33" s="1927"/>
      <c r="I33" s="1927"/>
      <c r="J33" s="1927"/>
      <c r="K33" s="1927"/>
      <c r="L33" s="1927"/>
    </row>
    <row r="34" spans="2:14" ht="13.8" thickBot="1"/>
    <row r="35" spans="2:14" ht="21" customHeight="1" thickTop="1">
      <c r="B35" s="1110" t="s">
        <v>194</v>
      </c>
      <c r="C35" s="1110"/>
      <c r="D35" s="1110"/>
      <c r="E35" s="1110"/>
      <c r="F35" s="1110"/>
      <c r="G35" s="1110"/>
      <c r="H35" s="1110"/>
      <c r="I35" s="1110"/>
      <c r="J35" s="1110"/>
      <c r="K35" s="1154"/>
      <c r="L35" s="1153">
        <f>+'41-Utility1'!G13</f>
        <v>531122.41</v>
      </c>
    </row>
    <row r="36" spans="2:14" ht="21" customHeight="1">
      <c r="B36" s="659" t="s">
        <v>315</v>
      </c>
      <c r="C36" s="659"/>
      <c r="D36" s="659"/>
      <c r="E36" s="659"/>
      <c r="F36" s="659"/>
      <c r="G36" s="659"/>
      <c r="H36" s="659"/>
      <c r="I36" s="659"/>
      <c r="J36" s="659"/>
      <c r="K36" s="1155"/>
      <c r="L36" s="600">
        <v>0</v>
      </c>
    </row>
    <row r="37" spans="2:14" ht="21" customHeight="1" thickBot="1">
      <c r="B37" s="659" t="s">
        <v>664</v>
      </c>
      <c r="C37" s="659"/>
      <c r="D37" s="659"/>
      <c r="E37" s="659"/>
      <c r="F37" s="659"/>
      <c r="G37" s="659"/>
      <c r="H37" s="659"/>
      <c r="I37" s="659"/>
      <c r="J37" s="659"/>
      <c r="K37" s="1155"/>
      <c r="L37" s="602">
        <v>0</v>
      </c>
    </row>
    <row r="38" spans="2:14" ht="21" customHeight="1" thickTop="1">
      <c r="B38" s="659"/>
      <c r="C38" s="659"/>
      <c r="D38" s="659" t="s">
        <v>317</v>
      </c>
      <c r="E38" s="659"/>
      <c r="F38" s="659"/>
      <c r="G38" s="659"/>
      <c r="H38" s="659"/>
      <c r="I38" s="659"/>
      <c r="J38" s="659"/>
      <c r="K38" s="1155"/>
      <c r="L38" s="1156">
        <f>SUM(L35:L37)</f>
        <v>531122.41</v>
      </c>
    </row>
    <row r="39" spans="2:14" ht="21" customHeight="1" thickBot="1">
      <c r="B39" s="659" t="s">
        <v>362</v>
      </c>
      <c r="C39" s="659"/>
      <c r="D39" s="659"/>
      <c r="E39" s="659"/>
      <c r="F39" s="659"/>
      <c r="G39" s="659"/>
      <c r="H39" s="659"/>
      <c r="I39" s="659"/>
      <c r="J39" s="659"/>
      <c r="K39" s="1155"/>
      <c r="L39" s="1157">
        <f>+'41-Utility1'!H39</f>
        <v>132718.06</v>
      </c>
    </row>
    <row r="40" spans="2:14" ht="21" customHeight="1" thickTop="1">
      <c r="B40" s="659"/>
      <c r="C40" s="659"/>
      <c r="D40" s="659" t="s">
        <v>207</v>
      </c>
      <c r="E40" s="659"/>
      <c r="F40" s="659"/>
      <c r="G40" s="659"/>
      <c r="H40" s="659"/>
      <c r="I40" s="659"/>
      <c r="J40" s="659"/>
      <c r="K40" s="1155"/>
      <c r="L40" s="1156">
        <f>+L38-L39</f>
        <v>398404.35000000003</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v>0</v>
      </c>
      <c r="L42" s="1060"/>
    </row>
    <row r="43" spans="2:14" ht="21" customHeight="1">
      <c r="B43" s="659"/>
      <c r="C43" s="659" t="s">
        <v>208</v>
      </c>
      <c r="D43" s="659"/>
      <c r="E43" s="659"/>
      <c r="F43" s="659"/>
      <c r="G43" s="659"/>
      <c r="H43" s="659"/>
      <c r="I43" s="659"/>
      <c r="J43" s="659"/>
      <c r="K43" s="571">
        <v>0</v>
      </c>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1160" t="str">
        <f>"# MAY NOT BE ANTICIPATED AS NON-CASH SURPLUS IN "&amp;TEXT('KEY INPUTS'!D34,"0")&amp;" BUDGET."</f>
        <v># MAY NOT BE ANTICIPATED AS NON-CASH SURPLUS IN 2021 BUDGET.</v>
      </c>
      <c r="C45" s="1054"/>
      <c r="D45" s="1054"/>
      <c r="E45" s="1054"/>
      <c r="F45" s="1054"/>
      <c r="G45" s="1054"/>
      <c r="H45" s="1054"/>
      <c r="I45" s="1054"/>
      <c r="J45" s="1054"/>
      <c r="K45" s="1161"/>
      <c r="L45" s="1158">
        <f>+L40+L44</f>
        <v>398404.35000000003</v>
      </c>
      <c r="M45" s="371"/>
      <c r="N45" s="738" t="s">
        <v>3249</v>
      </c>
    </row>
    <row r="46" spans="2:14" ht="13.8" thickTop="1">
      <c r="B46" s="1162" t="s">
        <v>213</v>
      </c>
      <c r="C46" s="1162"/>
      <c r="D46" s="1054"/>
      <c r="E46" s="1054"/>
      <c r="F46" s="1054"/>
      <c r="G46" s="1054"/>
      <c r="H46" s="1054"/>
      <c r="I46" s="1054"/>
      <c r="J46" s="1054"/>
      <c r="K46" s="1054"/>
    </row>
    <row r="47" spans="2:14">
      <c r="B47" s="1162"/>
      <c r="C47" s="1162" t="s">
        <v>3162</v>
      </c>
      <c r="D47" s="1054"/>
      <c r="E47" s="1054"/>
      <c r="F47" s="1054"/>
      <c r="G47" s="1054"/>
      <c r="H47" s="1054"/>
      <c r="I47" s="1054"/>
      <c r="J47" s="1054"/>
      <c r="K47" s="1054"/>
    </row>
    <row r="52" spans="2:12" ht="13.8">
      <c r="B52" s="1882" t="s">
        <v>3161</v>
      </c>
      <c r="C52" s="1882"/>
      <c r="D52" s="1882"/>
      <c r="E52" s="1882"/>
      <c r="F52" s="1882"/>
      <c r="G52" s="1882"/>
      <c r="H52" s="1882"/>
      <c r="I52" s="1882"/>
      <c r="J52" s="1882"/>
      <c r="K52" s="1882"/>
      <c r="L52" s="1882"/>
    </row>
  </sheetData>
  <sheetProtection algorithmName="SHA-512" hashValue="52yhDrpsj2HqMBlQrXTRKt1WHzqCrehcUHxRaE7S1DV860Yl3d4VyNyLVkhpkL7CIulZr2lsKVB/c8CMK2z/hA==" saltValue="vH0A8c4y3ccwJFn76f3O+A==" spinCount="100000" sheet="1" objects="1" scenarios="1"/>
  <mergeCells count="8">
    <mergeCell ref="B2:L2"/>
    <mergeCell ref="C42:G42"/>
    <mergeCell ref="B52:L52"/>
    <mergeCell ref="B17:L17"/>
    <mergeCell ref="B32:L32"/>
    <mergeCell ref="B33:L33"/>
    <mergeCell ref="K24:K25"/>
    <mergeCell ref="L24:L25"/>
  </mergeCells>
  <pageMargins left="0.25" right="0.25" top="0.5" bottom="0.5" header="0.25" footer="0.25"/>
  <pageSetup paperSize="5" orientation="portrait" r:id="rId1"/>
  <headerFooter alignWithMargins="0"/>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3">
    <tabColor theme="6" tint="0.39997558519241921"/>
  </sheetPr>
  <dimension ref="B3:T69"/>
  <sheetViews>
    <sheetView zoomScaleNormal="100" zoomScaleSheetLayoutView="80" workbookViewId="0">
      <selection activeCell="J20" sqref="J20"/>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INPUTS'!D54&amp;"  UTILITY  ACCOUNTS  RECEIVABLE")</f>
        <v>SCHEDULE  OF WATER/SEWER UTILITY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v>17487.41</v>
      </c>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132" t="s">
        <v>3482</v>
      </c>
      <c r="E11" s="1132"/>
      <c r="F11" s="1132"/>
      <c r="G11" s="1054"/>
      <c r="J11" s="275"/>
      <c r="K11" s="318" t="s">
        <v>373</v>
      </c>
      <c r="L11" s="552">
        <v>882915.47</v>
      </c>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v>875067.22</v>
      </c>
      <c r="K16" s="275"/>
      <c r="L16" s="275"/>
      <c r="N16" s="309"/>
      <c r="O16" s="309"/>
      <c r="P16" s="309"/>
      <c r="Q16" s="309"/>
      <c r="R16" s="309"/>
      <c r="S16" s="309"/>
      <c r="T16" s="309"/>
    </row>
    <row r="17" spans="2:20" ht="21" customHeight="1">
      <c r="D17" s="318" t="s">
        <v>217</v>
      </c>
      <c r="I17" s="318" t="s">
        <v>373</v>
      </c>
      <c r="J17" s="552">
        <v>14.08</v>
      </c>
      <c r="K17" s="275"/>
      <c r="L17" s="275"/>
      <c r="N17" s="309"/>
      <c r="O17" s="309"/>
      <c r="P17" s="309"/>
      <c r="Q17" s="309"/>
      <c r="R17" s="309"/>
      <c r="S17" s="309"/>
      <c r="T17" s="309"/>
    </row>
    <row r="18" spans="2:20" ht="21" customHeight="1">
      <c r="D18" s="1054" t="s">
        <v>3486</v>
      </c>
      <c r="E18" s="1054"/>
      <c r="F18" s="1132"/>
      <c r="G18" s="1132"/>
      <c r="I18" s="318" t="s">
        <v>373</v>
      </c>
      <c r="J18" s="552">
        <v>0</v>
      </c>
      <c r="K18" s="275"/>
      <c r="L18" s="275"/>
      <c r="N18" s="309"/>
      <c r="O18" s="309"/>
      <c r="P18" s="309"/>
      <c r="Q18" s="309"/>
      <c r="R18" s="309"/>
      <c r="S18" s="309"/>
      <c r="T18" s="309"/>
    </row>
    <row r="19" spans="2:20" ht="21" customHeight="1">
      <c r="D19" s="318" t="s">
        <v>218</v>
      </c>
      <c r="I19" s="318" t="s">
        <v>373</v>
      </c>
      <c r="J19" s="552">
        <v>0</v>
      </c>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875081.29999999993</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25321.580000000075</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INPUTS'!D54)&amp;" UTILITY  LIENS"</f>
        <v>SCHEDULE  OF WATER/SEWER UTILITY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v>0</v>
      </c>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v>0</v>
      </c>
      <c r="K41" s="275"/>
      <c r="L41" s="275"/>
    </row>
    <row r="42" spans="2:12" ht="21" customHeight="1">
      <c r="D42" s="318" t="s">
        <v>220</v>
      </c>
      <c r="I42" s="318" t="s">
        <v>373</v>
      </c>
      <c r="J42" s="552">
        <v>0</v>
      </c>
      <c r="K42" s="275"/>
      <c r="L42" s="275"/>
    </row>
    <row r="43" spans="2:12" ht="21" customHeight="1">
      <c r="D43" s="318" t="s">
        <v>218</v>
      </c>
      <c r="I43" s="318" t="s">
        <v>373</v>
      </c>
      <c r="J43" s="552">
        <v>0</v>
      </c>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v>0</v>
      </c>
      <c r="K48" s="275"/>
      <c r="L48" s="275"/>
    </row>
    <row r="49" spans="2:12" ht="21" customHeight="1">
      <c r="D49" s="318" t="s">
        <v>218</v>
      </c>
      <c r="I49" s="318" t="s">
        <v>373</v>
      </c>
      <c r="J49" s="552">
        <v>0</v>
      </c>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GO5f7eGOO4tXZj4/q5DQN1qZDsEj0ZKv2fH20VxfVXX4Za0O4nRM6ac9plUrAxL5Mmw1JHE2kFAkD0Az3v0ldg==" saltValue="yXJ6dwsnSyTTLdqNnZLqYA=="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4">
    <tabColor theme="6" tint="0.39997558519241921"/>
  </sheetPr>
  <dimension ref="B3:W69"/>
  <sheetViews>
    <sheetView topLeftCell="A19" zoomScaleNormal="100" zoomScaleSheetLayoutView="80" workbookViewId="0">
      <selection activeCell="D47" sqref="D47"/>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3" spans="2:23" ht="20.399999999999999">
      <c r="B3" s="1937" t="s">
        <v>869</v>
      </c>
      <c r="C3" s="1937"/>
      <c r="D3" s="1937"/>
      <c r="E3" s="1937"/>
      <c r="F3" s="1937"/>
      <c r="G3" s="1937"/>
      <c r="H3" s="1937"/>
      <c r="I3" s="1937"/>
      <c r="J3" s="1937"/>
      <c r="K3" s="1937"/>
      <c r="L3" s="1937"/>
      <c r="M3" s="1937"/>
      <c r="N3" s="1937"/>
    </row>
    <row r="4" spans="2:23" ht="15.6">
      <c r="B4" s="1939" t="s">
        <v>421</v>
      </c>
      <c r="C4" s="1939"/>
      <c r="D4" s="1939"/>
      <c r="E4" s="1939"/>
      <c r="F4" s="1939"/>
      <c r="G4" s="1939"/>
      <c r="H4" s="1939"/>
      <c r="I4" s="1939"/>
      <c r="J4" s="1939"/>
      <c r="K4" s="1939"/>
      <c r="L4" s="1939"/>
      <c r="M4" s="1939"/>
      <c r="N4" s="1939"/>
    </row>
    <row r="5" spans="2:23" ht="20.399999999999999">
      <c r="B5" s="1909" t="str">
        <f>UPPER('KEY INPUTS'!D54)&amp;" UTILITY  FUND"</f>
        <v>WATER/SEWER UTILITY UTILITY  FUND</v>
      </c>
      <c r="C5" s="1909"/>
      <c r="D5" s="1909"/>
      <c r="E5" s="1909"/>
      <c r="F5" s="1909"/>
      <c r="G5" s="1909"/>
      <c r="H5" s="1909"/>
      <c r="I5" s="1909"/>
      <c r="J5" s="1909"/>
      <c r="K5" s="1909"/>
      <c r="L5" s="1909"/>
      <c r="M5" s="1909"/>
      <c r="N5" s="1909"/>
    </row>
    <row r="6" spans="2:23">
      <c r="B6" s="1940" t="s">
        <v>3575</v>
      </c>
      <c r="C6" s="1940"/>
      <c r="D6" s="1940"/>
      <c r="E6" s="1940"/>
      <c r="F6" s="1940"/>
      <c r="G6" s="1940"/>
      <c r="H6" s="1940"/>
      <c r="I6" s="1940"/>
      <c r="J6" s="1940"/>
      <c r="K6" s="1940"/>
      <c r="L6" s="1940"/>
      <c r="M6" s="1940"/>
      <c r="N6" s="1940"/>
    </row>
    <row r="8" spans="2:23">
      <c r="H8" s="380" t="s">
        <v>414</v>
      </c>
    </row>
    <row r="9" spans="2:23">
      <c r="C9" s="1936" t="s">
        <v>434</v>
      </c>
      <c r="D9" s="1936"/>
      <c r="E9" s="1936"/>
      <c r="H9" s="459" t="str">
        <f>IF('KEY INPUTS'!C42 = "State Fiscal Year", 'KEY INPUTS'!F46,'KEY INPUTS'!D46)</f>
        <v>Dec. 31, 2020</v>
      </c>
      <c r="J9" s="380" t="s">
        <v>435</v>
      </c>
      <c r="L9" s="380" t="s">
        <v>414</v>
      </c>
      <c r="N9" s="380" t="s">
        <v>530</v>
      </c>
    </row>
    <row r="10" spans="2:23">
      <c r="H10" s="380" t="s">
        <v>433</v>
      </c>
      <c r="J10" s="380" t="str">
        <f>IF('KEY INPUTS'!C42="State Fiscal Year","Fiscal Year "&amp;'KEY INPUTS'!D33&amp;"",'KEY INPUTS'!D34)&amp;""</f>
        <v>2021</v>
      </c>
      <c r="L10" s="380" t="s">
        <v>436</v>
      </c>
      <c r="N10" s="380" t="s">
        <v>437</v>
      </c>
    </row>
    <row r="11" spans="2:23">
      <c r="H11" s="454" t="s">
        <v>432</v>
      </c>
      <c r="J11" s="454" t="s">
        <v>535</v>
      </c>
      <c r="L11" s="454" t="str">
        <f>IF('KEY INPUTS'!C42="State Fiscal Year","Fiscal Year "&amp;'KEY INPUTS'!D33&amp;"",'KEY INPUTS'!D34)&amp;""</f>
        <v>2021</v>
      </c>
      <c r="N11" s="458" t="str">
        <f>IF('KEY INPUTS'!C42 = "State Fiscal Year", 'KEY INPUTS'!F47,'KEY INPUTS'!D47)</f>
        <v>Dec. 31, 2021</v>
      </c>
      <c r="Q11" s="309"/>
      <c r="R11" s="309"/>
      <c r="S11" s="309"/>
      <c r="T11" s="309"/>
      <c r="U11" s="309"/>
      <c r="V11" s="309"/>
      <c r="W11" s="309"/>
    </row>
    <row r="12" spans="2:23">
      <c r="B12" s="453" t="s">
        <v>292</v>
      </c>
      <c r="C12" s="318" t="s">
        <v>870</v>
      </c>
      <c r="Q12" s="309"/>
      <c r="R12" s="309"/>
      <c r="S12" s="309"/>
      <c r="T12" s="309"/>
      <c r="U12" s="309"/>
      <c r="V12" s="309"/>
      <c r="W12" s="309"/>
    </row>
    <row r="13" spans="2:23">
      <c r="B13" s="453"/>
      <c r="D13" s="318" t="s">
        <v>871</v>
      </c>
      <c r="G13" s="318" t="s">
        <v>373</v>
      </c>
      <c r="H13" s="552"/>
      <c r="I13" s="318" t="s">
        <v>373</v>
      </c>
      <c r="J13" s="552"/>
      <c r="K13" s="318" t="s">
        <v>373</v>
      </c>
      <c r="L13" s="552"/>
      <c r="M13" s="318" t="s">
        <v>373</v>
      </c>
      <c r="N13" s="639">
        <f>+H13-J13+L13</f>
        <v>0</v>
      </c>
      <c r="Q13" s="356"/>
      <c r="R13" s="309"/>
      <c r="S13" s="309"/>
      <c r="T13" s="309"/>
      <c r="U13" s="309"/>
      <c r="V13" s="309"/>
      <c r="W13" s="309"/>
    </row>
    <row r="14" spans="2:23">
      <c r="B14" s="453"/>
      <c r="H14" s="275"/>
      <c r="J14" s="275"/>
      <c r="L14" s="275"/>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167" t="s">
        <v>3211</v>
      </c>
      <c r="D20" s="1068"/>
      <c r="E20" s="1166"/>
      <c r="F20" s="1166"/>
      <c r="G20" s="709" t="s">
        <v>373</v>
      </c>
      <c r="H20" s="1165">
        <f>H13+H15+H16+H17+H18+H19</f>
        <v>0</v>
      </c>
      <c r="I20" s="709" t="s">
        <v>373</v>
      </c>
      <c r="J20" s="1165">
        <f>J13+J15+J16+J17+J18+J19</f>
        <v>0</v>
      </c>
      <c r="K20" s="709"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709" t="s">
        <v>373</v>
      </c>
      <c r="H23" s="1165">
        <f>H21+H22</f>
        <v>0</v>
      </c>
      <c r="I23" s="709" t="s">
        <v>373</v>
      </c>
      <c r="J23" s="1165">
        <f>J21+J22</f>
        <v>0</v>
      </c>
      <c r="K23" s="709" t="s">
        <v>373</v>
      </c>
      <c r="L23" s="1165">
        <f>L21+L22</f>
        <v>0</v>
      </c>
      <c r="M23" s="318" t="s">
        <v>373</v>
      </c>
      <c r="N23" s="1164">
        <f t="shared" si="0"/>
        <v>0</v>
      </c>
      <c r="Q23" s="309"/>
      <c r="R23" s="309"/>
      <c r="S23" s="309"/>
      <c r="T23" s="309"/>
      <c r="U23" s="309"/>
      <c r="V23" s="309"/>
      <c r="W23" s="309"/>
    </row>
    <row r="24" spans="2:23">
      <c r="B24" s="453"/>
      <c r="Q24" s="309"/>
      <c r="R24" s="309"/>
      <c r="S24" s="309"/>
      <c r="T24" s="309"/>
      <c r="U24" s="309"/>
      <c r="V24" s="309"/>
      <c r="W24" s="309"/>
    </row>
    <row r="25" spans="2:23">
      <c r="B25" s="453"/>
      <c r="C25" s="318" t="s">
        <v>873</v>
      </c>
      <c r="Q25" s="309"/>
      <c r="R25" s="309"/>
      <c r="S25" s="309"/>
      <c r="T25" s="309"/>
      <c r="U25" s="309"/>
      <c r="V25" s="309"/>
      <c r="W25" s="309"/>
    </row>
    <row r="26" spans="2:23">
      <c r="B26" s="453"/>
      <c r="Q26" s="309"/>
      <c r="R26" s="309"/>
      <c r="S26" s="309"/>
      <c r="T26" s="309"/>
      <c r="U26" s="309"/>
      <c r="V26" s="309"/>
      <c r="W26" s="309"/>
    </row>
    <row r="27" spans="2:23">
      <c r="B27" s="453"/>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457"/>
      <c r="C30" s="457"/>
      <c r="D30" s="457"/>
      <c r="E30" s="457"/>
      <c r="F30" s="457"/>
      <c r="G30" s="457"/>
      <c r="H30" s="457"/>
      <c r="I30" s="457"/>
      <c r="J30" s="457"/>
      <c r="K30" s="457"/>
      <c r="L30" s="457"/>
      <c r="M30" s="457"/>
      <c r="N30" s="457"/>
    </row>
    <row r="31" spans="2:23" ht="18" customHeight="1">
      <c r="B31" s="453"/>
      <c r="D31" s="1938" t="s">
        <v>17</v>
      </c>
      <c r="E31" s="1938"/>
      <c r="F31" s="456"/>
      <c r="G31" s="1938" t="s">
        <v>413</v>
      </c>
      <c r="H31" s="1938"/>
      <c r="I31" s="1938"/>
      <c r="J31" s="1938"/>
      <c r="K31" s="1938"/>
      <c r="L31" s="1938"/>
      <c r="M31" s="456"/>
      <c r="N31" s="455" t="s">
        <v>414</v>
      </c>
    </row>
    <row r="32" spans="2:23" ht="21" customHeight="1">
      <c r="B32" s="453"/>
      <c r="C32" s="453" t="s">
        <v>292</v>
      </c>
      <c r="D32" s="637"/>
      <c r="E32" s="637"/>
      <c r="G32" s="637" t="s">
        <v>3730</v>
      </c>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453"/>
    </row>
    <row r="38" spans="2:14">
      <c r="B38" s="453"/>
    </row>
    <row r="39" spans="2:14">
      <c r="B39" s="453"/>
    </row>
    <row r="40" spans="2:14" ht="15.6">
      <c r="B40" s="1935" t="s">
        <v>250</v>
      </c>
      <c r="C40" s="1935"/>
      <c r="D40" s="1935"/>
      <c r="E40" s="1935"/>
      <c r="F40" s="1935"/>
      <c r="G40" s="1935"/>
      <c r="H40" s="1935"/>
      <c r="I40" s="1935"/>
      <c r="J40" s="1935"/>
      <c r="K40" s="1935"/>
      <c r="L40" s="1935"/>
      <c r="M40" s="1935"/>
      <c r="N40" s="1935"/>
    </row>
    <row r="41" spans="2:14">
      <c r="B41" s="453"/>
    </row>
    <row r="42" spans="2:14">
      <c r="B42" s="453"/>
      <c r="N42" s="380" t="s">
        <v>419</v>
      </c>
    </row>
    <row r="43" spans="2:14">
      <c r="B43" s="453"/>
      <c r="N43" s="380" t="s">
        <v>420</v>
      </c>
    </row>
    <row r="44" spans="2:14">
      <c r="B44" s="453"/>
      <c r="D44" s="1936" t="s">
        <v>416</v>
      </c>
      <c r="E44" s="1936"/>
      <c r="H44" s="1936" t="s">
        <v>417</v>
      </c>
      <c r="I44" s="1936"/>
      <c r="J44" s="454" t="s">
        <v>418</v>
      </c>
      <c r="L44" s="454" t="s">
        <v>414</v>
      </c>
      <c r="N44" s="454" t="str">
        <f>IF('KEY INPUTS'!C42="State Fiscal Year","Fiscal Year "&amp;'KEY INPUTS'!D33&amp;"",'KEY INPUTS'!D34)&amp;""</f>
        <v>2021</v>
      </c>
    </row>
    <row r="45" spans="2:14">
      <c r="B45" s="453"/>
      <c r="D45" s="636"/>
      <c r="E45" s="636"/>
      <c r="F45" s="636"/>
      <c r="G45" s="636"/>
      <c r="H45" s="636"/>
      <c r="I45" s="636"/>
      <c r="J45" s="636"/>
    </row>
    <row r="46" spans="2:14" ht="21" customHeight="1">
      <c r="B46" s="453"/>
      <c r="C46" s="453" t="s">
        <v>292</v>
      </c>
      <c r="D46" s="637" t="s">
        <v>3730</v>
      </c>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ccXVFkuTLI4crCVTF8Pdu73xs9m6ka/1N9nuxYi9s9lHXLPOnGa1PYeaFYyU0739EKcB0D7xZ3/QZmkGhAHKbw==" saltValue="Pc3/BkcU2RZkdyxDKTrKzQ==" spinCount="100000" sheet="1" objects="1" scenarios="1"/>
  <mergeCells count="13">
    <mergeCell ref="B61:N61"/>
    <mergeCell ref="B40:N40"/>
    <mergeCell ref="D44:E44"/>
    <mergeCell ref="H44:I44"/>
    <mergeCell ref="B3:N3"/>
    <mergeCell ref="B28:N28"/>
    <mergeCell ref="B29:N29"/>
    <mergeCell ref="D31:E31"/>
    <mergeCell ref="G31:L31"/>
    <mergeCell ref="B4:N4"/>
    <mergeCell ref="B5:N5"/>
    <mergeCell ref="B6:N6"/>
    <mergeCell ref="C9:E9"/>
  </mergeCells>
  <pageMargins left="0.25" right="0.25" top="0.5" bottom="0.5" header="0.25" footer="0.25"/>
  <pageSetup paperSize="5" orientation="portrait" r:id="rId1"/>
  <headerFooter alignWithMargins="0"/>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0">
    <tabColor theme="6" tint="0.39997558519241921"/>
  </sheetPr>
  <dimension ref="A1:O36"/>
  <sheetViews>
    <sheetView zoomScaleNormal="100" workbookViewId="0">
      <selection activeCell="E11" sqref="E11"/>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t="s">
        <v>3730</v>
      </c>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4" t="s">
        <v>3658</v>
      </c>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4p2Ey8Ot+N0gNIQ6uIzuNqqw3X67xOZjZi0t7iAtZzDE4TWL/nNSApheflCaUJDlUwoR0t9zQ2N24Ib2snzx1Q==" saltValue="EbeCYwgOqgkkj0RomA4joQ==" spinCount="100000" sheet="1" objects="1" scenarios="1"/>
  <mergeCells count="18">
    <mergeCell ref="A16:A18"/>
    <mergeCell ref="B16:D16"/>
    <mergeCell ref="B17:D17"/>
    <mergeCell ref="B18:D18"/>
    <mergeCell ref="B7:D7"/>
    <mergeCell ref="B10:D10"/>
    <mergeCell ref="B11:D11"/>
    <mergeCell ref="B12:D12"/>
    <mergeCell ref="B21:D21"/>
    <mergeCell ref="B23:D23"/>
    <mergeCell ref="J28:K28"/>
    <mergeCell ref="J29:K29"/>
    <mergeCell ref="B2:L2"/>
    <mergeCell ref="B13:D13"/>
    <mergeCell ref="B14:D14"/>
    <mergeCell ref="B15:D15"/>
    <mergeCell ref="E7:F7"/>
    <mergeCell ref="J7:K7"/>
  </mergeCells>
  <pageMargins left="0.25" right="0.25" top="0.5" bottom="0.5" header="0.25" footer="0.25"/>
  <pageSetup paperSize="5" orientation="landscape" r:id="rId1"/>
  <headerFooter alignWithMargins="0"/>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5">
    <tabColor theme="6" tint="0.39997558519241921"/>
  </sheetPr>
  <dimension ref="B2:U50"/>
  <sheetViews>
    <sheetView topLeftCell="A17" zoomScaleNormal="100" zoomScaleSheetLayoutView="80" workbookViewId="0">
      <selection activeCell="B38" sqref="B38"/>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INPUTS'!D54)&amp;"  UTILITY  ASSESSMENT  BONDS"</f>
        <v>WATER/SEWER UTILITY  UTILITY  ASSESSMENT  BONDS</v>
      </c>
      <c r="C4" s="1889"/>
      <c r="D4" s="1889"/>
      <c r="E4" s="1889"/>
      <c r="F4" s="1889"/>
      <c r="G4" s="1889"/>
      <c r="H4" s="1889"/>
      <c r="I4" s="1889"/>
      <c r="J4" s="1889"/>
      <c r="K4" s="1889"/>
      <c r="L4" s="1889"/>
    </row>
    <row r="5" spans="2:21" ht="9.75" customHeight="1" thickBot="1">
      <c r="B5" s="475"/>
      <c r="C5" s="475"/>
      <c r="D5" s="475"/>
      <c r="E5" s="475"/>
      <c r="F5" s="475"/>
      <c r="G5" s="475"/>
      <c r="H5" s="475"/>
      <c r="I5" s="475"/>
      <c r="J5" s="475"/>
      <c r="K5" s="475"/>
      <c r="L5" s="475"/>
    </row>
    <row r="6" spans="2:21" ht="27.75" customHeight="1" thickTop="1" thickBot="1">
      <c r="B6" s="447"/>
      <c r="C6" s="447"/>
      <c r="D6" s="447"/>
      <c r="E6" s="447"/>
      <c r="F6" s="447"/>
      <c r="G6" s="375" t="s">
        <v>96</v>
      </c>
      <c r="H6" s="1949" t="s">
        <v>97</v>
      </c>
      <c r="I6" s="1894"/>
      <c r="J6" s="1955" t="str">
        <f>IF('KEY INPUTS'!C42="State Fiscal Year","Fiscal Year "&amp;'KEY INPUTS'!D33+1&amp;"",'KEY INPUTS'!D34+1)&amp;"  Debt Service"</f>
        <v>2022  Debt Service</v>
      </c>
      <c r="K6" s="1956"/>
      <c r="L6" s="1956"/>
      <c r="O6" s="309"/>
      <c r="P6" s="309"/>
      <c r="Q6" s="309"/>
      <c r="R6" s="309"/>
      <c r="S6" s="309"/>
      <c r="T6" s="309"/>
      <c r="U6" s="309"/>
    </row>
    <row r="7" spans="2:21" ht="21" customHeight="1" thickTop="1">
      <c r="B7" s="446" t="str">
        <f>'32-Bond Schedule'!B7</f>
        <v>Outstanding - January 1, 2021</v>
      </c>
      <c r="C7" s="429"/>
      <c r="D7" s="429"/>
      <c r="E7" s="429"/>
      <c r="F7" s="429"/>
      <c r="G7" s="1111" t="s">
        <v>628</v>
      </c>
      <c r="H7" s="1809">
        <v>0</v>
      </c>
      <c r="I7" s="1810"/>
      <c r="O7" s="309"/>
      <c r="P7" s="309"/>
      <c r="Q7" s="309"/>
      <c r="R7" s="309"/>
      <c r="S7" s="309"/>
      <c r="T7" s="309"/>
      <c r="U7" s="309"/>
    </row>
    <row r="8" spans="2:21" ht="21" customHeight="1">
      <c r="B8" s="374" t="s">
        <v>92</v>
      </c>
      <c r="C8" s="374"/>
      <c r="D8" s="374"/>
      <c r="E8" s="374"/>
      <c r="F8" s="374"/>
      <c r="G8" s="1114" t="s">
        <v>628</v>
      </c>
      <c r="H8" s="1807"/>
      <c r="I8" s="1808"/>
      <c r="O8" s="356"/>
      <c r="P8" s="309"/>
      <c r="Q8" s="309"/>
      <c r="R8" s="309"/>
      <c r="S8" s="309"/>
      <c r="T8" s="309"/>
      <c r="U8" s="309"/>
    </row>
    <row r="9" spans="2:21" ht="21" customHeight="1">
      <c r="B9" s="374"/>
      <c r="C9" s="374"/>
      <c r="D9" s="374"/>
      <c r="E9" s="374"/>
      <c r="F9" s="374"/>
      <c r="G9" s="1114"/>
      <c r="H9" s="474"/>
      <c r="I9" s="1168"/>
      <c r="O9" s="309"/>
      <c r="P9" s="309"/>
      <c r="Q9" s="309"/>
      <c r="R9" s="309"/>
      <c r="S9" s="309"/>
      <c r="T9" s="309"/>
      <c r="U9" s="309"/>
    </row>
    <row r="10" spans="2:21" ht="21" customHeight="1">
      <c r="B10" s="374" t="s">
        <v>254</v>
      </c>
      <c r="C10" s="374"/>
      <c r="D10" s="374"/>
      <c r="E10" s="374"/>
      <c r="F10" s="374"/>
      <c r="G10" s="571"/>
      <c r="H10" s="1957" t="s">
        <v>628</v>
      </c>
      <c r="I10" s="1958"/>
      <c r="O10" s="309"/>
      <c r="P10" s="309"/>
      <c r="Q10" s="309"/>
      <c r="R10" s="309"/>
      <c r="S10" s="309"/>
      <c r="T10" s="309"/>
      <c r="U10" s="309"/>
    </row>
    <row r="11" spans="2:21" ht="21" customHeight="1" thickBot="1">
      <c r="B11" s="374" t="str">
        <f>'32-Bond Schedule'!B11</f>
        <v>Outstanding - December 31, 2021</v>
      </c>
      <c r="C11" s="374"/>
      <c r="D11" s="374"/>
      <c r="E11" s="374"/>
      <c r="F11" s="374"/>
      <c r="G11" s="1069">
        <f>+H7+H8-G10</f>
        <v>0</v>
      </c>
      <c r="H11" s="1953" t="s">
        <v>628</v>
      </c>
      <c r="I11" s="1954"/>
      <c r="O11" s="309"/>
      <c r="P11" s="309"/>
      <c r="Q11" s="309"/>
      <c r="R11" s="309"/>
      <c r="S11" s="309"/>
      <c r="T11" s="309"/>
      <c r="U11" s="309"/>
    </row>
    <row r="12" spans="2:21" ht="21" customHeight="1" thickBot="1">
      <c r="G12" s="1071">
        <f>SUM(G7:G11)</f>
        <v>0</v>
      </c>
      <c r="H12" s="1941">
        <f>SUM(H7:I11)</f>
        <v>0</v>
      </c>
      <c r="I12" s="1942"/>
      <c r="O12" s="309"/>
      <c r="P12" s="309"/>
      <c r="Q12" s="309"/>
      <c r="R12" s="309"/>
      <c r="S12" s="309"/>
      <c r="T12" s="309"/>
      <c r="U12" s="309"/>
    </row>
    <row r="13" spans="2:21" ht="21" customHeight="1" thickTop="1">
      <c r="B13" s="473" t="str">
        <f>IF('KEY INPUTS'!C42="State Fiscal Year","Fiscal Year "&amp;'KEY INPUTS'!D33+1&amp;"",'KEY INPUTS'!D34+1)&amp;" Bond Maturities - Assessment Bonds"</f>
        <v>2022 Bond Maturities - Assessment Bonds</v>
      </c>
      <c r="C13" s="423"/>
      <c r="D13" s="423"/>
      <c r="E13" s="423"/>
      <c r="F13" s="423"/>
      <c r="G13" s="423"/>
      <c r="H13" s="423"/>
      <c r="I13" s="472"/>
      <c r="J13" s="423" t="s">
        <v>373</v>
      </c>
      <c r="K13" s="1834">
        <v>0</v>
      </c>
      <c r="L13" s="1834"/>
      <c r="O13" s="309"/>
      <c r="P13" s="309"/>
      <c r="Q13" s="309"/>
      <c r="R13" s="309"/>
      <c r="S13" s="309"/>
      <c r="T13" s="309"/>
      <c r="U13" s="309"/>
    </row>
    <row r="14" spans="2:21" ht="21" customHeight="1" thickBot="1">
      <c r="B14" s="470" t="str">
        <f>IF('KEY INPUTS'!C42="State Fiscal Year","Fiscal Year "&amp;'KEY INPUTS'!D33+1&amp;"",'KEY INPUTS'!D34+1)&amp;" Interest on Bonds"</f>
        <v>2022 Interest on Bonds</v>
      </c>
      <c r="C14" s="460"/>
      <c r="D14" s="460"/>
      <c r="E14" s="460"/>
      <c r="F14" s="460"/>
      <c r="G14" s="471"/>
      <c r="H14" s="460" t="s">
        <v>373</v>
      </c>
      <c r="I14" s="577">
        <v>0</v>
      </c>
      <c r="O14" s="309"/>
      <c r="P14" s="309"/>
      <c r="Q14" s="309"/>
      <c r="R14" s="309"/>
      <c r="S14" s="309"/>
      <c r="T14" s="309"/>
      <c r="U14" s="309"/>
    </row>
    <row r="15" spans="2:21" ht="16.5" customHeight="1" thickTop="1">
      <c r="B15" s="1950"/>
      <c r="C15" s="1950"/>
      <c r="D15" s="1950"/>
      <c r="E15" s="1950"/>
      <c r="F15" s="1950"/>
      <c r="G15" s="1950"/>
      <c r="H15" s="1950"/>
      <c r="I15" s="1951"/>
      <c r="O15" s="309"/>
      <c r="P15" s="309"/>
      <c r="Q15" s="309"/>
      <c r="R15" s="309"/>
      <c r="S15" s="309"/>
      <c r="T15" s="309"/>
      <c r="U15" s="309"/>
    </row>
    <row r="16" spans="2:21" ht="26.25" customHeight="1" thickBot="1">
      <c r="B16" s="1961" t="str">
        <f>UPPER('KEY INPUTS'!D54) &amp;"  UTILITY  CAPITAL  BONDS"</f>
        <v>WATER/SEWER UTILITY  UTILITY  CAPITAL  BONDS</v>
      </c>
      <c r="C16" s="1961"/>
      <c r="D16" s="1961"/>
      <c r="E16" s="1961"/>
      <c r="F16" s="1961"/>
      <c r="G16" s="1961"/>
      <c r="H16" s="1961"/>
      <c r="I16" s="1962"/>
      <c r="O16" s="309"/>
      <c r="P16" s="309"/>
      <c r="Q16" s="309"/>
      <c r="R16" s="309"/>
      <c r="S16" s="309"/>
      <c r="T16" s="309"/>
      <c r="U16" s="309"/>
    </row>
    <row r="17" spans="2:21" ht="21" customHeight="1" thickTop="1">
      <c r="B17" s="446" t="str">
        <f>B7</f>
        <v>Outstanding - January 1, 2021</v>
      </c>
      <c r="C17" s="429"/>
      <c r="D17" s="429"/>
      <c r="E17" s="429"/>
      <c r="F17" s="429"/>
      <c r="G17" s="1111" t="s">
        <v>628</v>
      </c>
      <c r="H17" s="1809">
        <v>5395000</v>
      </c>
      <c r="I17" s="1810"/>
      <c r="O17" s="309"/>
      <c r="P17" s="309"/>
      <c r="Q17" s="309"/>
      <c r="R17" s="309"/>
      <c r="S17" s="309"/>
      <c r="T17" s="309"/>
      <c r="U17" s="309"/>
    </row>
    <row r="18" spans="2:21" ht="21" customHeight="1">
      <c r="B18" s="374" t="s">
        <v>92</v>
      </c>
      <c r="C18" s="374"/>
      <c r="D18" s="374"/>
      <c r="E18" s="374"/>
      <c r="F18" s="374"/>
      <c r="G18" s="1114" t="s">
        <v>628</v>
      </c>
      <c r="H18" s="1807"/>
      <c r="I18" s="1808"/>
      <c r="O18" s="309"/>
      <c r="P18" s="309"/>
      <c r="Q18" s="309"/>
      <c r="R18" s="309"/>
      <c r="S18" s="309"/>
      <c r="T18" s="309"/>
      <c r="U18" s="309"/>
    </row>
    <row r="19" spans="2:21" ht="21" customHeight="1">
      <c r="B19" s="374" t="s">
        <v>254</v>
      </c>
      <c r="C19" s="374"/>
      <c r="D19" s="374"/>
      <c r="E19" s="374"/>
      <c r="F19" s="374"/>
      <c r="G19" s="571">
        <v>175000</v>
      </c>
      <c r="H19" s="1957" t="s">
        <v>628</v>
      </c>
      <c r="I19" s="1958"/>
      <c r="O19" s="309"/>
      <c r="P19" s="309"/>
      <c r="Q19" s="309"/>
      <c r="R19" s="309"/>
      <c r="S19" s="309"/>
      <c r="T19" s="309"/>
      <c r="U19" s="309"/>
    </row>
    <row r="20" spans="2:21" ht="21" customHeight="1">
      <c r="B20" s="374"/>
      <c r="C20" s="374"/>
      <c r="D20" s="374"/>
      <c r="E20" s="374"/>
      <c r="F20" s="374"/>
      <c r="G20" s="658"/>
      <c r="H20" s="1943"/>
      <c r="I20" s="1944"/>
      <c r="O20" s="309"/>
      <c r="P20" s="309"/>
      <c r="Q20" s="309"/>
      <c r="R20" s="309"/>
      <c r="S20" s="309"/>
      <c r="T20" s="309"/>
      <c r="U20" s="309"/>
    </row>
    <row r="21" spans="2:21" ht="21" customHeight="1">
      <c r="B21" s="374"/>
      <c r="C21" s="374"/>
      <c r="D21" s="374"/>
      <c r="E21" s="374"/>
      <c r="F21" s="374"/>
      <c r="G21" s="658"/>
      <c r="H21" s="1943"/>
      <c r="I21" s="1944"/>
      <c r="O21" s="309"/>
      <c r="P21" s="309"/>
      <c r="Q21" s="309"/>
      <c r="R21" s="309"/>
      <c r="S21" s="309"/>
      <c r="T21" s="309"/>
      <c r="U21" s="309"/>
    </row>
    <row r="22" spans="2:21" ht="21" customHeight="1" thickBot="1">
      <c r="B22" s="374" t="str">
        <f>B11</f>
        <v>Outstanding - December 31, 2021</v>
      </c>
      <c r="C22" s="374"/>
      <c r="D22" s="374"/>
      <c r="E22" s="374"/>
      <c r="F22" s="374"/>
      <c r="G22" s="1069">
        <f>+H17+H18-G19-G20-G21+H20+H21</f>
        <v>5220000</v>
      </c>
      <c r="H22" s="1953" t="s">
        <v>628</v>
      </c>
      <c r="I22" s="1954"/>
      <c r="O22" s="309"/>
      <c r="P22" s="309"/>
      <c r="Q22" s="309"/>
      <c r="R22" s="309"/>
      <c r="S22" s="309"/>
      <c r="T22" s="309"/>
      <c r="U22" s="309"/>
    </row>
    <row r="23" spans="2:21" ht="21" customHeight="1" thickBot="1">
      <c r="G23" s="1071">
        <f>SUM(G17:G22)</f>
        <v>5395000</v>
      </c>
      <c r="H23" s="1941">
        <f>SUM(H17:I22)</f>
        <v>5395000</v>
      </c>
      <c r="I23" s="1942"/>
    </row>
    <row r="24" spans="2:21" ht="21" customHeight="1" thickTop="1">
      <c r="B24" s="473" t="str">
        <f>IF('KEY INPUTS'!C42="State Fiscal Year","Fiscal Year "&amp;'KEY INPUTS'!D33+1&amp;"",'KEY INPUTS'!D34+1)&amp;" Bond Maturities - Capital Bonds"</f>
        <v>2022 Bond Maturities - Capital Bonds</v>
      </c>
      <c r="C24" s="423"/>
      <c r="D24" s="423"/>
      <c r="E24" s="423"/>
      <c r="F24" s="423"/>
      <c r="G24" s="423"/>
      <c r="H24" s="423"/>
      <c r="I24" s="876"/>
      <c r="J24" s="423" t="s">
        <v>373</v>
      </c>
      <c r="K24" s="1834">
        <v>210000</v>
      </c>
      <c r="L24" s="1834"/>
    </row>
    <row r="25" spans="2:21" ht="21" customHeight="1" thickBot="1">
      <c r="B25" s="470" t="str">
        <f>B14</f>
        <v>2022 Interest on Bonds</v>
      </c>
      <c r="C25" s="460"/>
      <c r="D25" s="460"/>
      <c r="E25" s="460"/>
      <c r="F25" s="460"/>
      <c r="G25" s="471"/>
      <c r="H25" s="460" t="s">
        <v>373</v>
      </c>
      <c r="I25" s="577">
        <v>139537.5</v>
      </c>
      <c r="J25" s="461"/>
      <c r="K25" s="460"/>
      <c r="L25" s="470" t="s">
        <v>3133</v>
      </c>
    </row>
    <row r="26" spans="2:21" ht="21" customHeight="1" thickTop="1"/>
    <row r="27" spans="2:21" ht="19.5" customHeight="1" thickBot="1">
      <c r="B27" s="1961" t="str">
        <f>"INTEREST  ON  BONDS  -  "&amp;UPPER('KEY INPUTS'!D54)&amp;"  UTILITY  BUDGET"</f>
        <v>INTEREST  ON  BONDS  -  WATER/SEWER UTILITY  UTILITY  BUDGET</v>
      </c>
      <c r="C27" s="1961"/>
      <c r="D27" s="1961"/>
      <c r="E27" s="1961"/>
      <c r="F27" s="1961"/>
      <c r="G27" s="1961"/>
      <c r="H27" s="1961"/>
      <c r="I27" s="1961"/>
      <c r="J27" s="1961"/>
      <c r="K27" s="1961"/>
      <c r="L27" s="1961"/>
    </row>
    <row r="28" spans="2:21" ht="21" customHeight="1" thickTop="1">
      <c r="B28" s="469" t="str">
        <f>IF('KEY INPUTS'!C42="State Fiscal Year","Fiscal Year "&amp;'KEY INPUTS'!D33+1&amp;"",'KEY INPUTS'!D34+1)&amp;" Interest on Bonds (*Items)"</f>
        <v>2022 Interest on Bonds (*Items)</v>
      </c>
      <c r="C28" s="429"/>
      <c r="D28" s="429"/>
      <c r="E28" s="429"/>
      <c r="F28" s="429"/>
      <c r="G28" s="429"/>
      <c r="H28" s="429" t="s">
        <v>373</v>
      </c>
      <c r="I28" s="1170">
        <f>+I14+I25</f>
        <v>139537.5</v>
      </c>
      <c r="O28" s="436"/>
      <c r="P28" s="436"/>
      <c r="Q28" s="436"/>
      <c r="R28" s="436"/>
    </row>
    <row r="29" spans="2:21" ht="21" customHeight="1">
      <c r="B29" s="378" t="str">
        <f>"Less: Interest Accrued to "&amp;IF('KEY INPUTS'!C42="State Fiscal Year",(TEXT('KEY INPUTS'!F29,"mm/dd/yyy")),(TEXT('KEY INPUTS'!D29,"mm/dd/yyy")))&amp;" (Trial Balance)"</f>
        <v>Less: Interest Accrued to 12/31/2021 (Trial Balance)</v>
      </c>
      <c r="C29" s="374"/>
      <c r="D29" s="374"/>
      <c r="E29" s="374"/>
      <c r="F29" s="374"/>
      <c r="G29" s="374"/>
      <c r="H29" s="374" t="s">
        <v>373</v>
      </c>
      <c r="I29" s="641">
        <v>29070.31</v>
      </c>
      <c r="O29" s="436"/>
      <c r="P29" s="436"/>
      <c r="Q29" s="436"/>
      <c r="R29" s="436"/>
    </row>
    <row r="30" spans="2:21" ht="21" customHeight="1">
      <c r="B30" s="374"/>
      <c r="C30" s="374" t="s">
        <v>317</v>
      </c>
      <c r="D30" s="374"/>
      <c r="E30" s="374"/>
      <c r="F30" s="374"/>
      <c r="G30" s="374"/>
      <c r="H30" s="374" t="s">
        <v>373</v>
      </c>
      <c r="I30" s="1171">
        <f>+I28-I29</f>
        <v>110467.19</v>
      </c>
      <c r="O30" s="436"/>
      <c r="P30" s="436"/>
      <c r="Q30" s="436"/>
      <c r="R30" s="436"/>
    </row>
    <row r="31" spans="2:21" ht="21" customHeight="1">
      <c r="B31" s="378" t="str">
        <f>"Add: Interest to be Accrued as of "&amp;IF('KEY INPUTS'!C42="State Fiscal Year",(TEXT('KEY INPUTS'!F30,"mm/dd/yyy")),(TEXT('KEY INPUTS'!D30,"mm/dd/yyy")))&amp;""</f>
        <v>Add: Interest to be Accrued as of 12/31/2022</v>
      </c>
      <c r="C31" s="374"/>
      <c r="D31" s="374"/>
      <c r="E31" s="374"/>
      <c r="F31" s="374"/>
      <c r="G31" s="374"/>
      <c r="H31" s="374" t="s">
        <v>373</v>
      </c>
      <c r="I31" s="641">
        <v>27320.31</v>
      </c>
      <c r="O31" s="436"/>
      <c r="P31" s="436"/>
      <c r="Q31" s="436"/>
      <c r="R31" s="436"/>
    </row>
    <row r="32" spans="2:21" ht="21" customHeight="1">
      <c r="B32" s="378" t="str">
        <f>"Required Appropriation "&amp;IF('KEY INPUTS'!C42="State Fiscal Year","Fiscal Year "&amp;'KEY INPUTS'!D33+1&amp;"",'KEY INPUTS'!D34+1)&amp;""</f>
        <v>Required Appropriation 2022</v>
      </c>
      <c r="C32" s="374"/>
      <c r="D32" s="374"/>
      <c r="E32" s="374"/>
      <c r="F32" s="374"/>
      <c r="G32" s="374"/>
      <c r="H32" s="374"/>
      <c r="I32" s="877"/>
      <c r="J32" s="463" t="s">
        <v>373</v>
      </c>
      <c r="K32" s="1963">
        <f>+I30+I31</f>
        <v>137787.5</v>
      </c>
      <c r="L32" s="1964"/>
      <c r="O32" s="436"/>
      <c r="P32" s="436"/>
      <c r="Q32" s="436"/>
      <c r="R32" s="436"/>
    </row>
    <row r="33" spans="2:12" ht="13.5" customHeight="1">
      <c r="B33" s="439"/>
      <c r="C33" s="439"/>
      <c r="D33" s="439"/>
      <c r="E33" s="439"/>
      <c r="F33" s="439"/>
      <c r="G33" s="439"/>
      <c r="H33" s="439"/>
      <c r="I33" s="439"/>
      <c r="J33" s="439"/>
      <c r="K33" s="467"/>
      <c r="L33" s="466"/>
    </row>
    <row r="34" spans="2:12" ht="13.5" customHeight="1">
      <c r="B34" s="439"/>
      <c r="C34" s="439"/>
      <c r="D34" s="439"/>
      <c r="E34" s="439"/>
      <c r="F34" s="439"/>
      <c r="G34" s="439"/>
      <c r="H34" s="439"/>
      <c r="I34" s="439"/>
      <c r="J34" s="439"/>
      <c r="K34" s="467"/>
      <c r="L34" s="466"/>
    </row>
    <row r="35" spans="2:12" ht="21" customHeight="1" thickBot="1">
      <c r="B35" s="1952" t="str">
        <f>"LIST  OF  BONDS  ISSUED  DURING  "&amp;IF('KEY INPUTS'!C42="State Fiscal Year","FISCAL  YEAR  "&amp;'KEY INPUTS'!D33&amp;"",'KEY INPUTS'!D34)&amp;""</f>
        <v>LIST  OF  BONDS  ISSUED  DURING  2021</v>
      </c>
      <c r="C35" s="1952"/>
      <c r="D35" s="1952"/>
      <c r="E35" s="1952"/>
      <c r="F35" s="1952"/>
      <c r="G35" s="1952"/>
      <c r="H35" s="1952"/>
      <c r="I35" s="1952"/>
      <c r="J35" s="1952"/>
      <c r="K35" s="1952"/>
      <c r="L35" s="1952"/>
    </row>
    <row r="36" spans="2:12" ht="27" customHeight="1" thickTop="1" thickBot="1">
      <c r="B36" s="1893" t="s">
        <v>413</v>
      </c>
      <c r="C36" s="1893"/>
      <c r="D36" s="1893"/>
      <c r="E36" s="1893"/>
      <c r="F36" s="1893"/>
      <c r="G36" s="465" t="str">
        <f>IF('KEY INPUTS'!C42="State Fiscal Year","FY "&amp;'KEY INPUTS'!D33+1&amp;"",'KEY INPUTS'!D34+1)&amp;" Maturity"</f>
        <v>2022 Maturity</v>
      </c>
      <c r="H36" s="1949" t="s">
        <v>91</v>
      </c>
      <c r="I36" s="1894"/>
      <c r="J36" s="1947" t="s">
        <v>89</v>
      </c>
      <c r="K36" s="1948"/>
      <c r="L36" s="464" t="s">
        <v>90</v>
      </c>
    </row>
    <row r="37" spans="2:12" ht="21" customHeight="1" thickTop="1">
      <c r="B37" s="642" t="s">
        <v>3730</v>
      </c>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460"/>
      <c r="C41" s="460"/>
      <c r="D41" s="460"/>
      <c r="E41" s="460"/>
      <c r="F41" s="462"/>
      <c r="G41" s="1071">
        <f>SUM(G37:G40)</f>
        <v>0</v>
      </c>
      <c r="H41" s="1959">
        <f>SUM(H37:I40)</f>
        <v>0</v>
      </c>
      <c r="I41" s="1960"/>
      <c r="J41" s="461"/>
      <c r="K41" s="1172"/>
      <c r="L41" s="1173"/>
    </row>
    <row r="42" spans="2:12" ht="13.8" thickTop="1">
      <c r="G42" s="425"/>
      <c r="H42" s="425"/>
      <c r="I42" s="425"/>
    </row>
    <row r="50" spans="2:12" ht="13.8">
      <c r="B50" s="1882" t="s">
        <v>3167</v>
      </c>
      <c r="C50" s="1882"/>
      <c r="D50" s="1882"/>
      <c r="E50" s="1882"/>
      <c r="F50" s="1882"/>
      <c r="G50" s="1882"/>
      <c r="H50" s="1882"/>
      <c r="I50" s="1882"/>
      <c r="J50" s="1882"/>
      <c r="K50" s="1882"/>
      <c r="L50" s="1882"/>
    </row>
  </sheetData>
  <sheetProtection algorithmName="SHA-512" hashValue="iXC5b4mXaATF1H6nwfZoDrf+oxhj93Yo5+vzBFkaSukUjwjieYJkv6O2jq0tsLUgnzTpv6EyRn9pXa+2UfA/6g==" saltValue="+Br9CjKu+d297Q5ASEzlzQ==" spinCount="100000" sheet="1" objects="1" scenarios="1"/>
  <mergeCells count="37">
    <mergeCell ref="H41:I41"/>
    <mergeCell ref="H39:I39"/>
    <mergeCell ref="H40:I40"/>
    <mergeCell ref="B16:I16"/>
    <mergeCell ref="B27:L27"/>
    <mergeCell ref="K32:L32"/>
    <mergeCell ref="J40:K40"/>
    <mergeCell ref="J37:K37"/>
    <mergeCell ref="J38:K38"/>
    <mergeCell ref="H37:I37"/>
    <mergeCell ref="K24:L24"/>
    <mergeCell ref="H10:I10"/>
    <mergeCell ref="H11:I11"/>
    <mergeCell ref="H17:I17"/>
    <mergeCell ref="H19:I19"/>
    <mergeCell ref="H18:I18"/>
    <mergeCell ref="B2:L2"/>
    <mergeCell ref="B3:L3"/>
    <mergeCell ref="B4:L4"/>
    <mergeCell ref="J6:L6"/>
    <mergeCell ref="H6:I6"/>
    <mergeCell ref="B50:L50"/>
    <mergeCell ref="H7:I7"/>
    <mergeCell ref="H8:I8"/>
    <mergeCell ref="H12:I12"/>
    <mergeCell ref="B36:F36"/>
    <mergeCell ref="K13:L13"/>
    <mergeCell ref="H23:I23"/>
    <mergeCell ref="H20:I20"/>
    <mergeCell ref="H21:I21"/>
    <mergeCell ref="J39:K39"/>
    <mergeCell ref="J36:K36"/>
    <mergeCell ref="H36:I36"/>
    <mergeCell ref="B15:I15"/>
    <mergeCell ref="B35:L35"/>
    <mergeCell ref="H38:I38"/>
    <mergeCell ref="H22:I22"/>
  </mergeCells>
  <pageMargins left="0.25" right="0.25" top="0.5" bottom="0.5" header="0.25" footer="0.25"/>
  <pageSetup paperSize="5" orientation="portrait" r:id="rId1"/>
  <headerFooter alignWithMargins="0"/>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6">
    <tabColor theme="6" tint="0.39997558519241921"/>
  </sheetPr>
  <dimension ref="B2:U51"/>
  <sheetViews>
    <sheetView zoomScaleNormal="100" zoomScaleSheetLayoutView="80" workbookViewId="0">
      <selection activeCell="B38" sqref="B38"/>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1937" t="s">
        <v>481</v>
      </c>
      <c r="C2" s="1937"/>
      <c r="D2" s="1937"/>
      <c r="E2" s="1937"/>
      <c r="F2" s="1937"/>
      <c r="G2" s="1937"/>
      <c r="H2" s="1937"/>
      <c r="I2" s="1937"/>
      <c r="J2" s="1937"/>
      <c r="K2" s="1937"/>
      <c r="L2" s="1937"/>
    </row>
    <row r="3" spans="2:21" ht="21" thickBot="1">
      <c r="B3" s="1976" t="str">
        <f>" AND  "&amp;IF('KEY INPUTS'!C42="State Fiscal Year","FISCAL  YEAR  "&amp;'KEY INPUTS'!D33+1&amp;"",'KEY INPUTS'!D34+1)&amp;"  DEBT  SERVICE  FOR  LOANS"</f>
        <v xml:space="preserve"> AND  2022  DEBT  SERVICE  FOR  LOANS</v>
      </c>
      <c r="C3" s="1976"/>
      <c r="D3" s="1976"/>
      <c r="E3" s="1976"/>
      <c r="F3" s="1976"/>
      <c r="G3" s="1976"/>
      <c r="H3" s="1976"/>
      <c r="I3" s="1976"/>
      <c r="J3" s="1976"/>
      <c r="K3" s="1976"/>
      <c r="L3" s="1976"/>
    </row>
    <row r="4" spans="2:21" ht="16.2" thickBot="1">
      <c r="B4" s="1889" t="str">
        <f>UPPER('KEY INPUTS'!D$54)&amp;" UTILITY "&amp;IF(R4&lt;&gt;"",(UPPER(R4)),"")&amp;" LOAN"</f>
        <v>WATER/SEWER UTILITY UTILITY  LOAN</v>
      </c>
      <c r="C4" s="1889"/>
      <c r="D4" s="1889"/>
      <c r="E4" s="1889"/>
      <c r="F4" s="1889"/>
      <c r="G4" s="1889"/>
      <c r="H4" s="1889"/>
      <c r="I4" s="1889"/>
      <c r="J4" s="1889"/>
      <c r="K4" s="1889"/>
      <c r="L4" s="1889"/>
      <c r="Q4" s="1554" t="s">
        <v>3579</v>
      </c>
      <c r="R4" s="1555"/>
    </row>
    <row r="5" spans="2:21" ht="9.75" customHeight="1" thickBot="1">
      <c r="B5" s="489"/>
      <c r="C5" s="489"/>
      <c r="D5" s="489"/>
      <c r="E5" s="489"/>
      <c r="F5" s="489"/>
      <c r="G5" s="489"/>
      <c r="H5" s="489"/>
      <c r="I5" s="489"/>
      <c r="J5" s="489"/>
      <c r="K5" s="489"/>
      <c r="L5" s="489"/>
    </row>
    <row r="6" spans="2:21" ht="27.75" customHeight="1" thickTop="1" thickBot="1">
      <c r="B6" s="488"/>
      <c r="C6" s="488"/>
      <c r="D6" s="488"/>
      <c r="E6" s="488"/>
      <c r="F6" s="488"/>
      <c r="G6" s="382" t="s">
        <v>96</v>
      </c>
      <c r="H6" s="1972" t="s">
        <v>97</v>
      </c>
      <c r="I6" s="1973"/>
      <c r="J6" s="1955" t="str">
        <f>IF('KEY INPUTS'!C42="State Fiscal Year","Fiscal Year "&amp;'KEY INPUTS'!D33+1&amp;"",'KEY INPUTS'!D34+1)&amp;"  Debt Service"</f>
        <v>2022  Debt Service</v>
      </c>
      <c r="K6" s="1956"/>
      <c r="L6" s="1956"/>
      <c r="O6" s="309"/>
      <c r="P6" s="309"/>
      <c r="Q6" s="309"/>
      <c r="R6" s="309"/>
      <c r="S6" s="309"/>
      <c r="T6" s="309"/>
      <c r="U6" s="309"/>
    </row>
    <row r="7" spans="2:21" ht="21" customHeight="1" thickTop="1">
      <c r="B7" s="446" t="str">
        <f>'49-Utility1'!B7</f>
        <v>Outstanding - January 1, 2021</v>
      </c>
      <c r="C7" s="387"/>
      <c r="D7" s="387"/>
      <c r="E7" s="387"/>
      <c r="F7" s="387"/>
      <c r="G7" s="141" t="s">
        <v>628</v>
      </c>
      <c r="H7" s="1809">
        <v>0</v>
      </c>
      <c r="I7" s="1810"/>
      <c r="O7" s="309"/>
      <c r="P7" s="309"/>
      <c r="Q7" s="309"/>
      <c r="R7" s="309"/>
      <c r="S7" s="309"/>
      <c r="T7" s="309"/>
      <c r="U7" s="309"/>
    </row>
    <row r="8" spans="2:21" ht="21" customHeight="1">
      <c r="B8" s="374" t="s">
        <v>92</v>
      </c>
      <c r="C8" s="321"/>
      <c r="D8" s="321"/>
      <c r="E8" s="321"/>
      <c r="F8" s="321"/>
      <c r="G8" s="142" t="s">
        <v>628</v>
      </c>
      <c r="H8" s="1807"/>
      <c r="I8" s="1808"/>
      <c r="O8" s="356"/>
      <c r="P8" s="309"/>
      <c r="Q8" s="309"/>
      <c r="R8" s="309"/>
      <c r="S8" s="309"/>
      <c r="T8" s="309"/>
      <c r="U8" s="309"/>
    </row>
    <row r="9" spans="2:21" ht="21" customHeight="1">
      <c r="B9" s="617"/>
      <c r="C9" s="617"/>
      <c r="D9" s="617"/>
      <c r="E9" s="617"/>
      <c r="F9" s="617"/>
      <c r="G9" s="652"/>
      <c r="H9" s="1807"/>
      <c r="I9" s="1808"/>
      <c r="O9" s="309"/>
      <c r="P9" s="309"/>
      <c r="Q9" s="309"/>
      <c r="R9" s="309"/>
      <c r="S9" s="309"/>
      <c r="T9" s="309"/>
      <c r="U9" s="309"/>
    </row>
    <row r="10" spans="2:21" ht="21" customHeight="1">
      <c r="B10" s="374" t="s">
        <v>254</v>
      </c>
      <c r="C10" s="321"/>
      <c r="D10" s="321"/>
      <c r="E10" s="321"/>
      <c r="F10" s="321"/>
      <c r="G10" s="571"/>
      <c r="H10" s="1782" t="s">
        <v>628</v>
      </c>
      <c r="I10" s="1783"/>
      <c r="O10" s="309"/>
      <c r="P10" s="309"/>
      <c r="Q10" s="309"/>
      <c r="R10" s="309"/>
      <c r="S10" s="309"/>
      <c r="T10" s="309"/>
      <c r="U10" s="309"/>
    </row>
    <row r="11" spans="2:21" ht="21" customHeight="1" thickBot="1">
      <c r="B11" s="374" t="str">
        <f>'49-Utility1'!B11</f>
        <v>Outstanding - December 31, 2021</v>
      </c>
      <c r="C11" s="321"/>
      <c r="D11" s="321"/>
      <c r="E11" s="321"/>
      <c r="F11" s="321"/>
      <c r="G11" s="137">
        <f>+H7+H8-G10+H9-G9</f>
        <v>0</v>
      </c>
      <c r="H11" s="1786" t="s">
        <v>628</v>
      </c>
      <c r="I11" s="1787"/>
      <c r="O11" s="309"/>
      <c r="P11" s="309"/>
      <c r="Q11" s="309"/>
      <c r="R11" s="309"/>
      <c r="S11" s="309"/>
      <c r="T11" s="309"/>
      <c r="U11" s="309"/>
    </row>
    <row r="12" spans="2:21" ht="21" customHeight="1" thickBot="1">
      <c r="B12" s="370"/>
      <c r="G12" s="133">
        <f>SUM(G7:G11)</f>
        <v>0</v>
      </c>
      <c r="H12" s="1838">
        <f>SUM(H7:I11)</f>
        <v>0</v>
      </c>
      <c r="I12" s="1839"/>
      <c r="O12" s="309"/>
      <c r="P12" s="309"/>
      <c r="Q12" s="309"/>
      <c r="R12" s="309"/>
      <c r="S12" s="309"/>
      <c r="T12" s="309"/>
      <c r="U12" s="309"/>
    </row>
    <row r="13" spans="2:21" ht="21" customHeight="1" thickTop="1">
      <c r="B13" s="473" t="str">
        <f>IF('KEY INPUTS'!C42="State Fiscal Year","Fiscal Year "&amp;'KEY INPUTS'!D33+1&amp;"",'KEY INPUTS'!D34+1)&amp;" Loan Maturities"</f>
        <v>2022 Loan Maturities</v>
      </c>
      <c r="C13" s="451"/>
      <c r="D13" s="451"/>
      <c r="E13" s="451"/>
      <c r="F13" s="451"/>
      <c r="G13" s="451"/>
      <c r="H13" s="451"/>
      <c r="I13" s="487"/>
      <c r="J13" s="451" t="s">
        <v>373</v>
      </c>
      <c r="K13" s="1834">
        <v>0</v>
      </c>
      <c r="L13" s="1834"/>
      <c r="O13" s="309"/>
      <c r="P13" s="309"/>
      <c r="Q13" s="309"/>
      <c r="R13" s="309"/>
      <c r="S13" s="309"/>
      <c r="T13" s="309"/>
      <c r="U13" s="309"/>
    </row>
    <row r="14" spans="2:21" ht="21" customHeight="1" thickBot="1">
      <c r="B14" s="470" t="str">
        <f>IF('KEY INPUTS'!C42="State Fiscal Year","Fiscal Year "&amp;'KEY INPUTS'!D33+1&amp;"",'KEY INPUTS'!D34+1)&amp;" Interest on Loans"</f>
        <v>2022 Interest on Loans</v>
      </c>
      <c r="C14" s="385"/>
      <c r="D14" s="385"/>
      <c r="E14" s="385"/>
      <c r="F14" s="385"/>
      <c r="G14" s="486"/>
      <c r="H14" s="385" t="s">
        <v>373</v>
      </c>
      <c r="I14" s="643">
        <v>0</v>
      </c>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ht="16.2" thickBot="1">
      <c r="B16" s="1977" t="str">
        <f>UPPER('KEY INPUTS'!D$54)&amp;" UTILITY "&amp;IF(R16&lt;&gt;"",(UPPER(R16)),"")&amp;" LOAN"</f>
        <v>WATER/SEWER UTILITY UTILITY  LOAN</v>
      </c>
      <c r="C16" s="1977"/>
      <c r="D16" s="1977"/>
      <c r="E16" s="1977"/>
      <c r="F16" s="1977"/>
      <c r="G16" s="1977"/>
      <c r="H16" s="1977"/>
      <c r="I16" s="1978"/>
      <c r="O16" s="309"/>
      <c r="P16" s="309"/>
      <c r="Q16" s="1554" t="s">
        <v>3579</v>
      </c>
      <c r="R16" s="1555"/>
      <c r="S16" s="309"/>
      <c r="T16" s="309"/>
      <c r="U16" s="309"/>
    </row>
    <row r="17" spans="2:21" ht="21" customHeight="1" thickTop="1">
      <c r="B17" s="446" t="str">
        <f>B7</f>
        <v>Outstanding - January 1, 2021</v>
      </c>
      <c r="C17" s="387"/>
      <c r="D17" s="387"/>
      <c r="E17" s="387"/>
      <c r="F17" s="387"/>
      <c r="G17" s="141" t="s">
        <v>628</v>
      </c>
      <c r="H17" s="1809">
        <v>0</v>
      </c>
      <c r="I17" s="1810"/>
      <c r="O17" s="309"/>
      <c r="P17" s="309"/>
      <c r="Q17" s="309"/>
      <c r="R17" s="309"/>
      <c r="S17" s="309"/>
      <c r="T17" s="309"/>
      <c r="U17" s="309"/>
    </row>
    <row r="18" spans="2:21" ht="21" customHeight="1">
      <c r="B18" s="374" t="s">
        <v>92</v>
      </c>
      <c r="C18" s="321"/>
      <c r="D18" s="321"/>
      <c r="E18" s="321"/>
      <c r="F18" s="321"/>
      <c r="G18" s="142" t="s">
        <v>628</v>
      </c>
      <c r="H18" s="1807"/>
      <c r="I18" s="1808"/>
      <c r="O18" s="309"/>
      <c r="P18" s="309"/>
      <c r="Q18" s="309"/>
      <c r="R18" s="309"/>
      <c r="S18" s="309"/>
      <c r="T18" s="309"/>
      <c r="U18" s="309"/>
    </row>
    <row r="19" spans="2:21" ht="21" customHeight="1">
      <c r="B19" s="374" t="s">
        <v>254</v>
      </c>
      <c r="C19" s="321"/>
      <c r="D19" s="321"/>
      <c r="E19" s="321"/>
      <c r="F19" s="321"/>
      <c r="G19" s="571"/>
      <c r="H19" s="1782" t="s">
        <v>628</v>
      </c>
      <c r="I19" s="1783"/>
      <c r="O19" s="309"/>
      <c r="P19" s="309"/>
      <c r="Q19" s="309"/>
      <c r="R19" s="309"/>
      <c r="S19" s="309"/>
      <c r="T19" s="309"/>
      <c r="U19" s="309"/>
    </row>
    <row r="20" spans="2:21" ht="21" customHeight="1">
      <c r="B20" s="374"/>
      <c r="C20" s="321"/>
      <c r="D20" s="321"/>
      <c r="E20" s="321"/>
      <c r="F20" s="321"/>
      <c r="G20" s="116"/>
      <c r="H20" s="1968"/>
      <c r="I20" s="1969"/>
      <c r="O20" s="309"/>
      <c r="P20" s="309"/>
      <c r="Q20" s="309"/>
      <c r="R20" s="309"/>
      <c r="S20" s="309"/>
      <c r="T20" s="309"/>
      <c r="U20" s="309"/>
    </row>
    <row r="21" spans="2:21" ht="21" customHeight="1">
      <c r="B21" s="374"/>
      <c r="C21" s="321"/>
      <c r="D21" s="321"/>
      <c r="E21" s="321"/>
      <c r="F21" s="321"/>
      <c r="G21" s="116"/>
      <c r="H21" s="1968"/>
      <c r="I21" s="1969"/>
      <c r="O21" s="309"/>
      <c r="P21" s="309"/>
      <c r="Q21" s="309"/>
      <c r="R21" s="309"/>
      <c r="S21" s="309"/>
      <c r="T21" s="309"/>
      <c r="U21" s="309"/>
    </row>
    <row r="22" spans="2:21" ht="21" customHeight="1" thickBot="1">
      <c r="B22" s="374" t="str">
        <f>B11</f>
        <v>Outstanding - December 31, 2021</v>
      </c>
      <c r="C22" s="321"/>
      <c r="D22" s="321"/>
      <c r="E22" s="321"/>
      <c r="F22" s="321"/>
      <c r="G22" s="137">
        <f>+H17+H18-G19-G20-G21+H20+H21</f>
        <v>0</v>
      </c>
      <c r="H22" s="1786" t="s">
        <v>628</v>
      </c>
      <c r="I22" s="1787"/>
      <c r="O22" s="309"/>
      <c r="P22" s="309"/>
      <c r="Q22" s="309"/>
      <c r="R22" s="309"/>
      <c r="S22" s="309"/>
      <c r="T22" s="309"/>
      <c r="U22" s="309"/>
    </row>
    <row r="23" spans="2:21" ht="21" customHeight="1" thickBot="1">
      <c r="B23" s="370"/>
      <c r="G23" s="133">
        <f>SUM(G17:G22)</f>
        <v>0</v>
      </c>
      <c r="H23" s="1838">
        <f>SUM(H17:I22)</f>
        <v>0</v>
      </c>
      <c r="I23" s="1839"/>
    </row>
    <row r="24" spans="2:21" ht="21" customHeight="1" thickTop="1">
      <c r="B24" s="473" t="str">
        <f>B13</f>
        <v>2022 Loan Maturities</v>
      </c>
      <c r="C24" s="451"/>
      <c r="D24" s="451"/>
      <c r="E24" s="451"/>
      <c r="F24" s="451"/>
      <c r="G24" s="451"/>
      <c r="H24" s="451"/>
      <c r="I24" s="487"/>
      <c r="J24" s="451" t="s">
        <v>373</v>
      </c>
      <c r="K24" s="1834">
        <v>0</v>
      </c>
      <c r="L24" s="1834"/>
    </row>
    <row r="25" spans="2:21" ht="21" customHeight="1" thickBot="1">
      <c r="B25" s="470" t="str">
        <f>B14</f>
        <v>2022 Interest on Loans</v>
      </c>
      <c r="C25" s="385"/>
      <c r="D25" s="385"/>
      <c r="E25" s="385"/>
      <c r="F25" s="385"/>
      <c r="G25" s="486"/>
      <c r="H25" s="385" t="s">
        <v>373</v>
      </c>
      <c r="I25" s="577">
        <v>0</v>
      </c>
      <c r="J25" s="477"/>
      <c r="K25" s="385"/>
      <c r="L25" s="385"/>
    </row>
    <row r="26" spans="2:21" ht="21" customHeight="1" thickTop="1"/>
    <row r="27" spans="2:21" ht="19.5" customHeight="1" thickBot="1">
      <c r="B27" s="1977" t="str">
        <f>"INTEREST  ON  LOANS  - "&amp;UPPER('KEY INPUTS'!D54)&amp;"  UTILITY  BUDGET"</f>
        <v>INTEREST  ON  LOANS  - WATER/SEWER UTILITY  UTILITY  BUDGET</v>
      </c>
      <c r="C27" s="1977"/>
      <c r="D27" s="1977"/>
      <c r="E27" s="1977"/>
      <c r="F27" s="1977"/>
      <c r="G27" s="1977"/>
      <c r="H27" s="1977"/>
      <c r="I27" s="1977"/>
      <c r="J27" s="1977"/>
      <c r="K27" s="1977"/>
      <c r="L27" s="1977"/>
    </row>
    <row r="28" spans="2:21" ht="21" customHeight="1" thickTop="1">
      <c r="B28" s="469" t="str">
        <f>IF('KEY INPUTS'!C42="State Fiscal Year","Fiscal Year "&amp;'KEY INPUTS'!D33+1&amp;"",'KEY INPUTS'!D34+1)&amp;" Interest on Loans (*Items)"</f>
        <v>2022 Interest on Loans (*Items)</v>
      </c>
      <c r="C28" s="429"/>
      <c r="D28" s="387"/>
      <c r="E28" s="387"/>
      <c r="F28" s="387"/>
      <c r="G28" s="387"/>
      <c r="H28" s="387" t="s">
        <v>373</v>
      </c>
      <c r="I28" s="485">
        <f>+I25+I14</f>
        <v>0</v>
      </c>
    </row>
    <row r="29" spans="2:21" ht="21" customHeight="1">
      <c r="B29" s="378" t="str">
        <f>'49-Utility1'!B29</f>
        <v>Less: Interest Accrued to 12/31/2021 (Trial Balance)</v>
      </c>
      <c r="C29" s="374"/>
      <c r="D29" s="321"/>
      <c r="E29" s="321"/>
      <c r="F29" s="321"/>
      <c r="G29" s="321"/>
      <c r="H29" s="321" t="s">
        <v>373</v>
      </c>
      <c r="I29" s="570"/>
    </row>
    <row r="30" spans="2:21" ht="21" customHeight="1">
      <c r="B30" s="374"/>
      <c r="C30" s="374" t="s">
        <v>317</v>
      </c>
      <c r="D30" s="321"/>
      <c r="E30" s="321"/>
      <c r="F30" s="321"/>
      <c r="G30" s="321"/>
      <c r="H30" s="321" t="s">
        <v>373</v>
      </c>
      <c r="I30" s="484">
        <f>+I28-I29</f>
        <v>0</v>
      </c>
    </row>
    <row r="31" spans="2:21" ht="21" customHeight="1">
      <c r="B31" s="378" t="str">
        <f>'49-Utility1'!B31</f>
        <v>Add: Interest to be Accrued as of 12/31/2022</v>
      </c>
      <c r="C31" s="374"/>
      <c r="D31" s="321"/>
      <c r="E31" s="321"/>
      <c r="F31" s="321"/>
      <c r="G31" s="321"/>
      <c r="H31" s="321" t="s">
        <v>373</v>
      </c>
      <c r="I31" s="570"/>
    </row>
    <row r="32" spans="2:21" ht="21" customHeight="1">
      <c r="B32" s="378" t="str">
        <f>'49-Utility1'!B32</f>
        <v>Required Appropriation 2022</v>
      </c>
      <c r="C32" s="374"/>
      <c r="D32" s="321"/>
      <c r="E32" s="321"/>
      <c r="F32" s="321"/>
      <c r="G32" s="321"/>
      <c r="H32" s="321"/>
      <c r="I32" s="386"/>
      <c r="J32" s="478" t="s">
        <v>373</v>
      </c>
      <c r="K32" s="1979">
        <f>+I30+I31</f>
        <v>0</v>
      </c>
      <c r="L32" s="1980"/>
    </row>
    <row r="33" spans="2:12" ht="13.5" customHeight="1">
      <c r="B33" s="482"/>
      <c r="C33" s="482"/>
      <c r="D33" s="482"/>
      <c r="E33" s="482"/>
      <c r="F33" s="482"/>
      <c r="G33" s="482"/>
      <c r="H33" s="482"/>
      <c r="I33" s="482"/>
      <c r="J33" s="482"/>
      <c r="K33" s="481"/>
      <c r="L33" s="480"/>
    </row>
    <row r="34" spans="2:12" ht="13.5" customHeight="1">
      <c r="B34" s="482"/>
      <c r="C34" s="482"/>
      <c r="D34" s="482"/>
      <c r="E34" s="482"/>
      <c r="F34" s="482"/>
      <c r="G34" s="482"/>
      <c r="H34" s="482"/>
      <c r="I34" s="482"/>
      <c r="J34" s="482"/>
      <c r="K34" s="481"/>
      <c r="L34" s="480"/>
    </row>
    <row r="35" spans="2:12" ht="21" customHeight="1" thickBot="1">
      <c r="B35" s="1952" t="str">
        <f>"LIST  OF  LOANS  ISSUED  DURING  "&amp;IF('KEY INPUTS'!C42="State Fiscal Year","FISCAL  YEAR  "&amp;'KEY INPUTS'!D33&amp;"",'KEY INPUTS'!D34)&amp;""</f>
        <v>LIST  OF  LOANS  ISSUED  DURING  2021</v>
      </c>
      <c r="C35" s="1952"/>
      <c r="D35" s="1952"/>
      <c r="E35" s="1952"/>
      <c r="F35" s="1952"/>
      <c r="G35" s="1952"/>
      <c r="H35" s="1952"/>
      <c r="I35" s="1952"/>
      <c r="J35" s="1952"/>
      <c r="K35" s="1952"/>
      <c r="L35" s="1952"/>
    </row>
    <row r="36" spans="2:12" ht="27" customHeight="1" thickTop="1" thickBot="1">
      <c r="B36" s="1967" t="s">
        <v>413</v>
      </c>
      <c r="C36" s="1967"/>
      <c r="D36" s="1967"/>
      <c r="E36" s="1967"/>
      <c r="F36" s="1967"/>
      <c r="G36" s="465" t="str">
        <f>'49-Utility1'!G36</f>
        <v>2022 Maturity</v>
      </c>
      <c r="H36" s="1972" t="s">
        <v>91</v>
      </c>
      <c r="I36" s="1973"/>
      <c r="J36" s="1970" t="s">
        <v>89</v>
      </c>
      <c r="K36" s="1971"/>
      <c r="L36" s="479" t="s">
        <v>90</v>
      </c>
    </row>
    <row r="37" spans="2:12" ht="21" customHeight="1" thickTop="1">
      <c r="B37" s="642" t="s">
        <v>3730</v>
      </c>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385"/>
      <c r="C41" s="385"/>
      <c r="D41" s="385"/>
      <c r="E41" s="385"/>
      <c r="F41" s="384"/>
      <c r="G41" s="133">
        <f>SUM(G37:G40)</f>
        <v>0</v>
      </c>
      <c r="H41" s="1835">
        <f>SUM(H37:I40)</f>
        <v>0</v>
      </c>
      <c r="I41" s="1836"/>
      <c r="J41" s="477"/>
      <c r="K41" s="385"/>
      <c r="L41" s="389"/>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JN/XeQgffnxcaBvB36WUF1BtLwo2VdmkThMbV1kJWVw+koaid4wLgwtIwJByocEE5leBAyTViYEVqb1uPbdu9g==" saltValue="Z0UE5wNAvs7etd0yvUDW0g==" spinCount="100000" sheet="1" objects="1" scenarios="1"/>
  <mergeCells count="38">
    <mergeCell ref="H41:I41"/>
    <mergeCell ref="H39:I39"/>
    <mergeCell ref="H40:I40"/>
    <mergeCell ref="B16:I16"/>
    <mergeCell ref="B27:L27"/>
    <mergeCell ref="K32:L32"/>
    <mergeCell ref="J40:K40"/>
    <mergeCell ref="J37:K37"/>
    <mergeCell ref="J38:K38"/>
    <mergeCell ref="H37:I37"/>
    <mergeCell ref="K24:L24"/>
    <mergeCell ref="H22:I22"/>
    <mergeCell ref="B2:L2"/>
    <mergeCell ref="B3:L3"/>
    <mergeCell ref="B4:L4"/>
    <mergeCell ref="J6:L6"/>
    <mergeCell ref="H6:I6"/>
    <mergeCell ref="H10:I10"/>
    <mergeCell ref="H11:I11"/>
    <mergeCell ref="H17:I17"/>
    <mergeCell ref="H19:I19"/>
    <mergeCell ref="H18:I18"/>
    <mergeCell ref="H9:I9"/>
    <mergeCell ref="B51:L51"/>
    <mergeCell ref="H7:I7"/>
    <mergeCell ref="H8:I8"/>
    <mergeCell ref="H12:I12"/>
    <mergeCell ref="B36:F36"/>
    <mergeCell ref="K13:L13"/>
    <mergeCell ref="H23:I23"/>
    <mergeCell ref="H20:I20"/>
    <mergeCell ref="H21:I21"/>
    <mergeCell ref="J39:K39"/>
    <mergeCell ref="J36:K36"/>
    <mergeCell ref="H36:I36"/>
    <mergeCell ref="B15:I15"/>
    <mergeCell ref="B35:L35"/>
    <mergeCell ref="H38:I38"/>
  </mergeCells>
  <pageMargins left="0.25" right="0.25" top="0.5" bottom="0.5" header="0.25" footer="0.25"/>
  <pageSetup paperSize="5" orientation="portrait" r:id="rId1"/>
  <headerFooter alignWithMargins="0"/>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7">
    <tabColor theme="6" tint="0.39997558519241921"/>
  </sheetPr>
  <dimension ref="B2:U51"/>
  <sheetViews>
    <sheetView topLeftCell="A10" zoomScaleNormal="100" zoomScaleSheetLayoutView="80" workbookViewId="0">
      <selection activeCell="B38" sqref="B38"/>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5.109375" style="318" customWidth="1"/>
    <col min="19" max="16384" width="9.109375" style="318"/>
  </cols>
  <sheetData>
    <row r="2" spans="2:21" ht="20.399999999999999">
      <c r="B2" s="1937" t="s">
        <v>481</v>
      </c>
      <c r="C2" s="1937"/>
      <c r="D2" s="1937"/>
      <c r="E2" s="1937"/>
      <c r="F2" s="1937"/>
      <c r="G2" s="1937"/>
      <c r="H2" s="1937"/>
      <c r="I2" s="1937"/>
      <c r="J2" s="1937"/>
      <c r="K2" s="1937"/>
      <c r="L2" s="1937"/>
    </row>
    <row r="3" spans="2:21" ht="21" thickBot="1">
      <c r="B3" s="1976" t="str">
        <f>" AND  "&amp;IF('KEY INPUTS'!C42="State Fiscal Year","FISCAL  YEAR  "&amp;'KEY INPUTS'!D33+1&amp;"",'KEY INPUTS'!D34+1)&amp;"  DEBT  SERVICE  FOR  LOANS"</f>
        <v xml:space="preserve"> AND  2022  DEBT  SERVICE  FOR  LOANS</v>
      </c>
      <c r="C3" s="1976"/>
      <c r="D3" s="1976"/>
      <c r="E3" s="1976"/>
      <c r="F3" s="1976"/>
      <c r="G3" s="1976"/>
      <c r="H3" s="1976"/>
      <c r="I3" s="1976"/>
      <c r="J3" s="1976"/>
      <c r="K3" s="1976"/>
      <c r="L3" s="1976"/>
    </row>
    <row r="4" spans="2:21" ht="16.2" thickBot="1">
      <c r="B4" s="1889" t="str">
        <f>UPPER('KEY INPUTS'!D$54)&amp;" UTILITY "&amp;IF(R4&lt;&gt;"",(UPPER(R4)),"")&amp;" LOAN"</f>
        <v>WATER/SEWER UTILITY UTILITY  LOAN</v>
      </c>
      <c r="C4" s="1889"/>
      <c r="D4" s="1889"/>
      <c r="E4" s="1889"/>
      <c r="F4" s="1889"/>
      <c r="G4" s="1889"/>
      <c r="H4" s="1889"/>
      <c r="I4" s="1889"/>
      <c r="J4" s="1889"/>
      <c r="K4" s="1889"/>
      <c r="L4" s="1889"/>
      <c r="Q4" s="1554" t="s">
        <v>3579</v>
      </c>
      <c r="R4" s="1555"/>
    </row>
    <row r="5" spans="2:21" ht="9.75" customHeight="1" thickBot="1">
      <c r="B5" s="769"/>
      <c r="C5" s="769"/>
      <c r="D5" s="769"/>
      <c r="E5" s="769"/>
      <c r="F5" s="769"/>
      <c r="G5" s="769"/>
      <c r="H5" s="769"/>
      <c r="I5" s="769"/>
      <c r="J5" s="769"/>
      <c r="K5" s="769"/>
      <c r="L5" s="769"/>
    </row>
    <row r="6" spans="2:21" ht="27.75" customHeight="1" thickTop="1" thickBot="1">
      <c r="B6" s="488"/>
      <c r="C6" s="488"/>
      <c r="D6" s="488"/>
      <c r="E6" s="488"/>
      <c r="F6" s="488"/>
      <c r="G6" s="382" t="s">
        <v>96</v>
      </c>
      <c r="H6" s="1972" t="s">
        <v>97</v>
      </c>
      <c r="I6" s="1973"/>
      <c r="J6" s="1955" t="str">
        <f>IF('KEY INPUTS'!C42="State Fiscal Year","Fiscal Year "&amp;'KEY INPUTS'!D33+1&amp;"",'KEY INPUTS'!D34+1)&amp;"  Debt Service"</f>
        <v>2022  Debt Service</v>
      </c>
      <c r="K6" s="1956"/>
      <c r="L6" s="1956"/>
      <c r="O6" s="309"/>
      <c r="P6" s="309"/>
      <c r="Q6" s="309"/>
      <c r="R6" s="309"/>
      <c r="S6" s="309"/>
      <c r="T6" s="309"/>
      <c r="U6" s="309"/>
    </row>
    <row r="7" spans="2:21" ht="21" customHeight="1" thickTop="1">
      <c r="B7" s="446" t="str">
        <f>'49a-Utility1'!B7</f>
        <v>Outstanding - January 1, 2021</v>
      </c>
      <c r="C7" s="387"/>
      <c r="D7" s="387"/>
      <c r="E7" s="387"/>
      <c r="F7" s="387"/>
      <c r="G7" s="141" t="s">
        <v>628</v>
      </c>
      <c r="H7" s="1809">
        <v>0</v>
      </c>
      <c r="I7" s="1810"/>
      <c r="O7" s="309"/>
      <c r="P7" s="309"/>
      <c r="Q7" s="309"/>
      <c r="R7" s="309"/>
      <c r="S7" s="309"/>
      <c r="T7" s="309"/>
      <c r="U7" s="309"/>
    </row>
    <row r="8" spans="2:21" ht="21" customHeight="1">
      <c r="B8" s="374" t="s">
        <v>92</v>
      </c>
      <c r="C8" s="321"/>
      <c r="D8" s="321"/>
      <c r="E8" s="321"/>
      <c r="F8" s="321"/>
      <c r="G8" s="142" t="s">
        <v>628</v>
      </c>
      <c r="H8" s="1807"/>
      <c r="I8" s="1808"/>
      <c r="O8" s="356"/>
      <c r="P8" s="309"/>
      <c r="Q8" s="309"/>
      <c r="R8" s="309"/>
      <c r="S8" s="309"/>
      <c r="T8" s="309"/>
      <c r="U8" s="309"/>
    </row>
    <row r="9" spans="2:21" ht="21" customHeight="1">
      <c r="B9" s="374"/>
      <c r="C9" s="321"/>
      <c r="D9" s="321"/>
      <c r="E9" s="321"/>
      <c r="F9" s="321"/>
      <c r="G9" s="142"/>
      <c r="H9" s="768"/>
      <c r="I9" s="955"/>
      <c r="O9" s="309"/>
      <c r="P9" s="309"/>
      <c r="Q9" s="309"/>
      <c r="R9" s="309"/>
      <c r="S9" s="309"/>
      <c r="T9" s="309"/>
      <c r="U9" s="309"/>
    </row>
    <row r="10" spans="2:21" ht="21" customHeight="1">
      <c r="B10" s="374" t="s">
        <v>254</v>
      </c>
      <c r="C10" s="321"/>
      <c r="D10" s="321"/>
      <c r="E10" s="321"/>
      <c r="F10" s="321"/>
      <c r="G10" s="571"/>
      <c r="H10" s="1782" t="s">
        <v>628</v>
      </c>
      <c r="I10" s="1783"/>
      <c r="O10" s="309"/>
      <c r="P10" s="309"/>
      <c r="Q10" s="309"/>
      <c r="R10" s="309"/>
      <c r="S10" s="309"/>
      <c r="T10" s="309"/>
      <c r="U10" s="309"/>
    </row>
    <row r="11" spans="2:21" ht="21" customHeight="1" thickBot="1">
      <c r="B11" s="374" t="str">
        <f>'49a-Utility1'!B11</f>
        <v>Outstanding - December 31, 2021</v>
      </c>
      <c r="C11" s="321"/>
      <c r="D11" s="321"/>
      <c r="E11" s="321"/>
      <c r="F11" s="321"/>
      <c r="G11" s="137">
        <f>+H7+H8-G10</f>
        <v>0</v>
      </c>
      <c r="H11" s="1786" t="s">
        <v>628</v>
      </c>
      <c r="I11" s="1787"/>
      <c r="O11" s="309"/>
      <c r="P11" s="309"/>
      <c r="Q11" s="309"/>
      <c r="R11" s="309"/>
      <c r="S11" s="309"/>
      <c r="T11" s="309"/>
      <c r="U11" s="309"/>
    </row>
    <row r="12" spans="2:21" ht="21" customHeight="1" thickBot="1">
      <c r="B12" s="370"/>
      <c r="G12" s="133">
        <f>SUM(G7:G11)</f>
        <v>0</v>
      </c>
      <c r="H12" s="1838">
        <f>SUM(H7:I11)</f>
        <v>0</v>
      </c>
      <c r="I12" s="1839"/>
      <c r="O12" s="309"/>
      <c r="P12" s="309"/>
      <c r="Q12" s="309"/>
      <c r="R12" s="309"/>
      <c r="S12" s="309"/>
      <c r="T12" s="309"/>
      <c r="U12" s="309"/>
    </row>
    <row r="13" spans="2:21" ht="21" customHeight="1" thickTop="1">
      <c r="B13" s="473" t="str">
        <f>'49a-Utility1'!B13</f>
        <v>2022 Loan Maturities</v>
      </c>
      <c r="C13" s="451"/>
      <c r="D13" s="451"/>
      <c r="E13" s="451"/>
      <c r="F13" s="451"/>
      <c r="G13" s="451"/>
      <c r="H13" s="451"/>
      <c r="I13" s="487"/>
      <c r="J13" s="451" t="s">
        <v>373</v>
      </c>
      <c r="K13" s="1834">
        <v>0</v>
      </c>
      <c r="L13" s="1834"/>
      <c r="O13" s="309"/>
      <c r="P13" s="309"/>
      <c r="Q13" s="309"/>
      <c r="R13" s="309"/>
      <c r="S13" s="309"/>
      <c r="T13" s="309"/>
      <c r="U13" s="309"/>
    </row>
    <row r="14" spans="2:21" ht="21" customHeight="1" thickBot="1">
      <c r="B14" s="470" t="str">
        <f>'49a-Utility1'!B14</f>
        <v>2022 Interest on Loans</v>
      </c>
      <c r="C14" s="385"/>
      <c r="D14" s="385"/>
      <c r="E14" s="385"/>
      <c r="F14" s="385"/>
      <c r="G14" s="486"/>
      <c r="H14" s="385" t="s">
        <v>373</v>
      </c>
      <c r="I14" s="643"/>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s="1086" customFormat="1" ht="16.2" thickBot="1">
      <c r="B16" s="1977" t="str">
        <f>UPPER('KEY INPUTS'!D$54)&amp;" UTILITY "&amp;IF(R16&lt;&gt;"",(UPPER(R16)),"")&amp;" LOAN"</f>
        <v>WATER/SEWER UTILITY UTILITY  LOAN</v>
      </c>
      <c r="C16" s="1977"/>
      <c r="D16" s="1977"/>
      <c r="E16" s="1977"/>
      <c r="F16" s="1977"/>
      <c r="G16" s="1977"/>
      <c r="H16" s="1977"/>
      <c r="I16" s="1978"/>
      <c r="O16" s="811"/>
      <c r="P16" s="811"/>
      <c r="Q16" s="1554" t="s">
        <v>3579</v>
      </c>
      <c r="R16" s="1555"/>
      <c r="S16" s="811"/>
      <c r="T16" s="811"/>
      <c r="U16" s="811"/>
    </row>
    <row r="17" spans="2:21" ht="21" customHeight="1" thickTop="1">
      <c r="B17" s="446" t="str">
        <f>B7</f>
        <v>Outstanding - January 1, 2021</v>
      </c>
      <c r="C17" s="387"/>
      <c r="D17" s="387"/>
      <c r="E17" s="387"/>
      <c r="F17" s="387"/>
      <c r="G17" s="141" t="s">
        <v>628</v>
      </c>
      <c r="H17" s="1809">
        <v>0</v>
      </c>
      <c r="I17" s="1810"/>
      <c r="O17" s="309"/>
      <c r="P17" s="309"/>
      <c r="Q17" s="309"/>
      <c r="R17" s="309"/>
      <c r="S17" s="309"/>
      <c r="T17" s="309"/>
      <c r="U17" s="309"/>
    </row>
    <row r="18" spans="2:21" ht="21" customHeight="1">
      <c r="B18" s="374" t="s">
        <v>92</v>
      </c>
      <c r="C18" s="321"/>
      <c r="D18" s="321"/>
      <c r="E18" s="321"/>
      <c r="F18" s="321"/>
      <c r="G18" s="142" t="s">
        <v>628</v>
      </c>
      <c r="H18" s="1807"/>
      <c r="I18" s="1808"/>
      <c r="O18" s="309"/>
      <c r="P18" s="309"/>
      <c r="Q18" s="309"/>
      <c r="R18" s="309"/>
      <c r="S18" s="309"/>
      <c r="T18" s="309"/>
      <c r="U18" s="309"/>
    </row>
    <row r="19" spans="2:21" ht="21" customHeight="1">
      <c r="B19" s="374" t="s">
        <v>254</v>
      </c>
      <c r="C19" s="321"/>
      <c r="D19" s="321"/>
      <c r="E19" s="321"/>
      <c r="F19" s="321"/>
      <c r="G19" s="571"/>
      <c r="H19" s="1782" t="s">
        <v>628</v>
      </c>
      <c r="I19" s="1783"/>
      <c r="O19" s="309"/>
      <c r="P19" s="309"/>
      <c r="Q19" s="309"/>
      <c r="R19" s="309"/>
      <c r="S19" s="309"/>
      <c r="T19" s="309"/>
      <c r="U19" s="309"/>
    </row>
    <row r="20" spans="2:21" ht="21" customHeight="1">
      <c r="B20" s="374"/>
      <c r="C20" s="321"/>
      <c r="D20" s="321"/>
      <c r="E20" s="321"/>
      <c r="F20" s="321"/>
      <c r="G20" s="116"/>
      <c r="H20" s="1968"/>
      <c r="I20" s="1969"/>
      <c r="O20" s="309"/>
      <c r="P20" s="309"/>
      <c r="Q20" s="309"/>
      <c r="R20" s="309"/>
      <c r="S20" s="309"/>
      <c r="T20" s="309"/>
      <c r="U20" s="309"/>
    </row>
    <row r="21" spans="2:21" ht="21" customHeight="1">
      <c r="B21" s="374"/>
      <c r="C21" s="321"/>
      <c r="D21" s="321"/>
      <c r="E21" s="321"/>
      <c r="F21" s="321"/>
      <c r="G21" s="116"/>
      <c r="H21" s="1968"/>
      <c r="I21" s="1969"/>
      <c r="O21" s="309"/>
      <c r="P21" s="309"/>
      <c r="Q21" s="309"/>
      <c r="R21" s="309"/>
      <c r="S21" s="309"/>
      <c r="T21" s="309"/>
      <c r="U21" s="309"/>
    </row>
    <row r="22" spans="2:21" ht="21" customHeight="1" thickBot="1">
      <c r="B22" s="374" t="str">
        <f>B11</f>
        <v>Outstanding - December 31, 2021</v>
      </c>
      <c r="C22" s="321"/>
      <c r="D22" s="321"/>
      <c r="E22" s="321"/>
      <c r="F22" s="321"/>
      <c r="G22" s="137">
        <f>+H17+H18-G19-G20-G21+H20+H21</f>
        <v>0</v>
      </c>
      <c r="H22" s="1786" t="s">
        <v>628</v>
      </c>
      <c r="I22" s="1787"/>
      <c r="O22" s="309"/>
      <c r="P22" s="309"/>
      <c r="Q22" s="309"/>
      <c r="R22" s="309"/>
      <c r="S22" s="309"/>
      <c r="T22" s="309"/>
      <c r="U22" s="309"/>
    </row>
    <row r="23" spans="2:21" ht="21" customHeight="1" thickBot="1">
      <c r="B23" s="370"/>
      <c r="G23" s="133">
        <f>SUM(G17:G22)</f>
        <v>0</v>
      </c>
      <c r="H23" s="1838">
        <f>SUM(H17:I22)</f>
        <v>0</v>
      </c>
      <c r="I23" s="1839"/>
    </row>
    <row r="24" spans="2:21" ht="21" customHeight="1" thickTop="1">
      <c r="B24" s="473" t="str">
        <f>B13</f>
        <v>2022 Loan Maturities</v>
      </c>
      <c r="C24" s="451"/>
      <c r="D24" s="451"/>
      <c r="E24" s="451"/>
      <c r="F24" s="451"/>
      <c r="G24" s="451"/>
      <c r="H24" s="451"/>
      <c r="I24" s="487"/>
      <c r="J24" s="451" t="s">
        <v>373</v>
      </c>
      <c r="K24" s="1834">
        <v>0</v>
      </c>
      <c r="L24" s="1834"/>
    </row>
    <row r="25" spans="2:21" ht="21" customHeight="1" thickBot="1">
      <c r="B25" s="470" t="str">
        <f>B14</f>
        <v>2022 Interest on Loans</v>
      </c>
      <c r="C25" s="385"/>
      <c r="D25" s="385"/>
      <c r="E25" s="385"/>
      <c r="F25" s="385"/>
      <c r="G25" s="486"/>
      <c r="H25" s="385" t="s">
        <v>373</v>
      </c>
      <c r="I25" s="577">
        <v>0</v>
      </c>
      <c r="J25" s="477"/>
      <c r="K25" s="385"/>
      <c r="L25" s="385"/>
    </row>
    <row r="26" spans="2:21" ht="21" customHeight="1" thickTop="1"/>
    <row r="27" spans="2:21" ht="19.5" customHeight="1" thickBot="1">
      <c r="B27" s="1977" t="str">
        <f>"INTEREST  ON  LOANS  - "&amp;UPPER('KEY INPUTS'!D54)&amp;"  UTILITY  BUDGET"</f>
        <v>INTEREST  ON  LOANS  - WATER/SEWER UTILITY  UTILITY  BUDGET</v>
      </c>
      <c r="C27" s="1977"/>
      <c r="D27" s="1977"/>
      <c r="E27" s="1977"/>
      <c r="F27" s="1977"/>
      <c r="G27" s="1977"/>
      <c r="H27" s="1977"/>
      <c r="I27" s="1977"/>
      <c r="J27" s="1977"/>
      <c r="K27" s="1977"/>
      <c r="L27" s="1977"/>
    </row>
    <row r="28" spans="2:21" ht="21" customHeight="1" thickTop="1">
      <c r="B28" s="469" t="str">
        <f>'49a-Utility1'!B28</f>
        <v>2022 Interest on Loans (*Items)</v>
      </c>
      <c r="C28" s="429"/>
      <c r="D28" s="387"/>
      <c r="E28" s="387"/>
      <c r="F28" s="387"/>
      <c r="G28" s="387"/>
      <c r="H28" s="387" t="s">
        <v>373</v>
      </c>
      <c r="I28" s="485">
        <f>+I25+I14</f>
        <v>0</v>
      </c>
    </row>
    <row r="29" spans="2:21" ht="21" customHeight="1">
      <c r="B29" s="378" t="str">
        <f>'49a-Utility1'!B29</f>
        <v>Less: Interest Accrued to 12/31/2021 (Trial Balance)</v>
      </c>
      <c r="C29" s="374"/>
      <c r="D29" s="321"/>
      <c r="E29" s="321"/>
      <c r="F29" s="321"/>
      <c r="G29" s="321"/>
      <c r="H29" s="321" t="s">
        <v>373</v>
      </c>
      <c r="I29" s="570"/>
    </row>
    <row r="30" spans="2:21" ht="21" customHeight="1">
      <c r="B30" s="374"/>
      <c r="C30" s="374" t="s">
        <v>317</v>
      </c>
      <c r="D30" s="321"/>
      <c r="E30" s="321"/>
      <c r="F30" s="321"/>
      <c r="G30" s="321"/>
      <c r="H30" s="321" t="s">
        <v>373</v>
      </c>
      <c r="I30" s="484">
        <f>+I28-I29</f>
        <v>0</v>
      </c>
    </row>
    <row r="31" spans="2:21" ht="21" customHeight="1">
      <c r="B31" s="378" t="str">
        <f>'49a-Utility1'!B31</f>
        <v>Add: Interest to be Accrued as of 12/31/2022</v>
      </c>
      <c r="C31" s="374"/>
      <c r="D31" s="321"/>
      <c r="E31" s="321"/>
      <c r="F31" s="321"/>
      <c r="G31" s="321"/>
      <c r="H31" s="321" t="s">
        <v>373</v>
      </c>
      <c r="I31" s="570"/>
    </row>
    <row r="32" spans="2:21" ht="21" customHeight="1">
      <c r="B32" s="378" t="str">
        <f>'49a-Utility1'!B32</f>
        <v>Required Appropriation 2022</v>
      </c>
      <c r="C32" s="374"/>
      <c r="D32" s="321"/>
      <c r="E32" s="321"/>
      <c r="F32" s="321"/>
      <c r="G32" s="321"/>
      <c r="H32" s="321"/>
      <c r="I32" s="386"/>
      <c r="J32" s="478" t="s">
        <v>373</v>
      </c>
      <c r="K32" s="1979">
        <f>+I30+I31</f>
        <v>0</v>
      </c>
      <c r="L32" s="1980"/>
    </row>
    <row r="33" spans="2:12" ht="13.5" customHeight="1">
      <c r="B33" s="482"/>
      <c r="C33" s="482"/>
      <c r="D33" s="482"/>
      <c r="E33" s="482"/>
      <c r="F33" s="482"/>
      <c r="G33" s="482"/>
      <c r="H33" s="482"/>
      <c r="I33" s="482"/>
      <c r="J33" s="482"/>
      <c r="K33" s="481"/>
      <c r="L33" s="771"/>
    </row>
    <row r="34" spans="2:12" ht="13.5" customHeight="1">
      <c r="B34" s="482"/>
      <c r="C34" s="482"/>
      <c r="D34" s="482"/>
      <c r="E34" s="482"/>
      <c r="F34" s="482"/>
      <c r="G34" s="482"/>
      <c r="H34" s="482"/>
      <c r="I34" s="482"/>
      <c r="J34" s="482"/>
      <c r="K34" s="481"/>
      <c r="L34" s="771"/>
    </row>
    <row r="35" spans="2:12" ht="21" customHeight="1" thickBot="1">
      <c r="B35" s="1952" t="str">
        <f>"LIST  OF  LOANS  ISSUED  DURING  "&amp;IF('KEY INPUTS'!C42="State Fiscal Year","FISCAL  YEAR  "&amp;'KEY INPUTS'!D33&amp;"",'KEY INPUTS'!D34)&amp;""</f>
        <v>LIST  OF  LOANS  ISSUED  DURING  2021</v>
      </c>
      <c r="C35" s="1952"/>
      <c r="D35" s="1952"/>
      <c r="E35" s="1952"/>
      <c r="F35" s="1952"/>
      <c r="G35" s="1952"/>
      <c r="H35" s="1952"/>
      <c r="I35" s="1952"/>
      <c r="J35" s="1952"/>
      <c r="K35" s="1952"/>
      <c r="L35" s="1952"/>
    </row>
    <row r="36" spans="2:12" ht="27" customHeight="1" thickTop="1" thickBot="1">
      <c r="B36" s="1967" t="s">
        <v>413</v>
      </c>
      <c r="C36" s="1967"/>
      <c r="D36" s="1967"/>
      <c r="E36" s="1967"/>
      <c r="F36" s="1967"/>
      <c r="G36" s="465" t="str">
        <f>'49a-Utility1'!G36</f>
        <v>2022 Maturity</v>
      </c>
      <c r="H36" s="1972" t="s">
        <v>91</v>
      </c>
      <c r="I36" s="1973"/>
      <c r="J36" s="1970" t="s">
        <v>89</v>
      </c>
      <c r="K36" s="1971"/>
      <c r="L36" s="770" t="s">
        <v>90</v>
      </c>
    </row>
    <row r="37" spans="2:12" ht="21" customHeight="1" thickTop="1">
      <c r="B37" s="642" t="s">
        <v>3730</v>
      </c>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385"/>
      <c r="C41" s="385"/>
      <c r="D41" s="385"/>
      <c r="E41" s="385"/>
      <c r="F41" s="384"/>
      <c r="G41" s="133">
        <f>SUM(G37:G40)</f>
        <v>0</v>
      </c>
      <c r="H41" s="1835">
        <f>SUM(H37:I40)</f>
        <v>0</v>
      </c>
      <c r="I41" s="1836"/>
      <c r="J41" s="477"/>
      <c r="K41" s="385"/>
      <c r="L41" s="389"/>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3/IatIhf1GmfSiOwjr4Sjncvzc7x6psROnqrQwFw72H29mU2Z+S1KFeo5xkk/Do961G4Qmzi81tpm8uZCP2lwQ==" saltValue="ihgXqfjy70c0FITvlMIAt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4">
    <tabColor theme="6" tint="0.39997558519241921"/>
  </sheetPr>
  <dimension ref="A2:V30"/>
  <sheetViews>
    <sheetView zoomScaleNormal="100" zoomScaleSheetLayoutView="80" workbookViewId="0">
      <selection activeCell="C10" sqref="C10"/>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INPUTS'!D54)&amp;"  UTILITY  NOTES  (OTHER  THAN  UTILITY  ASSESSMENT  NOTES)"</f>
        <v>DEBT  SERVICE  FOR  WATER/SEWER UTILITY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t="s">
        <v>3730</v>
      </c>
      <c r="D9" s="645"/>
      <c r="E9" s="575"/>
      <c r="F9" s="1432"/>
      <c r="G9" s="575"/>
      <c r="H9" s="1433"/>
      <c r="I9" s="760"/>
      <c r="J9" s="575"/>
      <c r="K9" s="575"/>
      <c r="L9" s="1434"/>
      <c r="M9" s="1435"/>
      <c r="P9" s="309"/>
      <c r="Q9" s="309"/>
      <c r="R9" s="309"/>
      <c r="S9" s="309"/>
      <c r="T9" s="309"/>
      <c r="U9" s="309"/>
      <c r="V9" s="309"/>
    </row>
    <row r="10" spans="1:22" ht="21" customHeight="1">
      <c r="B10" s="1436" t="s">
        <v>293</v>
      </c>
      <c r="C10" s="1437"/>
      <c r="D10" s="621"/>
      <c r="E10" s="571"/>
      <c r="F10" s="1438"/>
      <c r="G10" s="571"/>
      <c r="H10" s="1439"/>
      <c r="I10" s="592"/>
      <c r="J10" s="1440"/>
      <c r="K10" s="571"/>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h4D7UrdxJ9Vt2LHbSrUe6l4uNBo7psewvtoZzv8smJ5VRZw2nbRKXEouQMDb+YWaFCUm0NuMJJGfzsNM9Y+tTw==" saltValue="FBs3xou2fvoo7zbHF7+Ev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8">
    <tabColor theme="6" tint="0.39997558519241921"/>
  </sheetPr>
  <dimension ref="A2:V30"/>
  <sheetViews>
    <sheetView zoomScaleNormal="100" zoomScaleSheetLayoutView="80" workbookViewId="0">
      <selection activeCell="C10" sqref="C10"/>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2" spans="1:22" ht="20.399999999999999">
      <c r="B2" s="1909" t="str">
        <f>"DEBT  SERVICE  FOR  "&amp;UPPER('KEY INPUTS'!D54)&amp;"  UTILITY  NOTES  (OTHER  THAN  UTILITY  ASSESSMENT  NOTES)"</f>
        <v>DEBT  SERVICE  FOR  WATER/SEWER UTILITY  UTILITY  NOTES  (OTHER  THAN  UTILITY  ASSESSMENT  NOTES)</v>
      </c>
      <c r="C2" s="1909"/>
      <c r="D2" s="1909"/>
      <c r="E2" s="1909"/>
      <c r="F2" s="1909"/>
      <c r="G2" s="1909"/>
      <c r="H2" s="1909"/>
      <c r="I2" s="1909"/>
      <c r="J2" s="1909"/>
      <c r="K2" s="1909"/>
      <c r="L2" s="1909"/>
      <c r="M2" s="1909"/>
    </row>
    <row r="3" spans="1:22" ht="21" thickBot="1">
      <c r="B3" s="1976"/>
      <c r="C3" s="1976"/>
      <c r="D3" s="1976"/>
      <c r="E3" s="1976"/>
      <c r="F3" s="1976"/>
      <c r="G3" s="1976"/>
      <c r="H3" s="1976"/>
      <c r="I3" s="1976"/>
      <c r="J3" s="1976"/>
      <c r="K3" s="1976"/>
      <c r="L3" s="1976"/>
      <c r="M3" s="1976"/>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183"/>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'50-Utility1'!G8</f>
        <v>Dec. 31, 2021</v>
      </c>
      <c r="H8" s="1186"/>
      <c r="I8" s="1186"/>
      <c r="J8" s="1188"/>
      <c r="K8" s="1189"/>
      <c r="L8" s="1190"/>
      <c r="M8" s="1191"/>
      <c r="P8" s="309"/>
      <c r="Q8" s="309"/>
      <c r="R8" s="309"/>
      <c r="S8" s="309"/>
      <c r="T8" s="309"/>
      <c r="U8" s="309"/>
      <c r="V8" s="309"/>
    </row>
    <row r="9" spans="1:22" ht="21" customHeight="1" thickTop="1">
      <c r="B9" s="509" t="s">
        <v>292</v>
      </c>
      <c r="C9" s="644" t="s">
        <v>3730</v>
      </c>
      <c r="D9" s="645"/>
      <c r="E9" s="587"/>
      <c r="F9" s="1402"/>
      <c r="G9" s="587"/>
      <c r="H9" s="647"/>
      <c r="I9" s="589"/>
      <c r="J9" s="587"/>
      <c r="K9" s="587"/>
      <c r="L9" s="598"/>
      <c r="M9" s="648"/>
      <c r="P9" s="309"/>
      <c r="Q9" s="309"/>
      <c r="R9" s="309"/>
      <c r="S9" s="309"/>
      <c r="T9" s="309"/>
      <c r="U9" s="309"/>
      <c r="V9" s="309"/>
    </row>
    <row r="10" spans="1:22" ht="21" customHeight="1">
      <c r="B10" s="508" t="s">
        <v>293</v>
      </c>
      <c r="C10" s="649"/>
      <c r="D10" s="621"/>
      <c r="E10" s="571"/>
      <c r="F10" s="1403"/>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1404"/>
      <c r="G11" s="571"/>
      <c r="H11" s="571"/>
      <c r="I11" s="592"/>
      <c r="J11" s="571"/>
      <c r="K11" s="571"/>
      <c r="L11" s="600"/>
      <c r="M11" s="653"/>
      <c r="P11" s="309"/>
      <c r="Q11" s="309"/>
      <c r="R11" s="309"/>
      <c r="S11" s="309"/>
      <c r="T11" s="309"/>
      <c r="U11" s="309"/>
      <c r="V11" s="309"/>
    </row>
    <row r="12" spans="1:22" ht="21" customHeight="1">
      <c r="B12" s="508" t="s">
        <v>295</v>
      </c>
      <c r="C12" s="617"/>
      <c r="D12" s="621"/>
      <c r="E12" s="571"/>
      <c r="F12" s="1404"/>
      <c r="G12" s="571"/>
      <c r="H12" s="571"/>
      <c r="I12" s="592"/>
      <c r="J12" s="571"/>
      <c r="K12" s="571"/>
      <c r="L12" s="600"/>
      <c r="M12" s="653"/>
      <c r="P12" s="309"/>
      <c r="Q12" s="309"/>
      <c r="R12" s="309"/>
      <c r="S12" s="309"/>
      <c r="T12" s="309"/>
      <c r="U12" s="309"/>
      <c r="V12" s="309"/>
    </row>
    <row r="13" spans="1:22" ht="21" customHeight="1">
      <c r="B13" s="508" t="s">
        <v>296</v>
      </c>
      <c r="C13" s="617"/>
      <c r="D13" s="621"/>
      <c r="E13" s="571"/>
      <c r="F13" s="1404"/>
      <c r="G13" s="571"/>
      <c r="H13" s="571"/>
      <c r="I13" s="592"/>
      <c r="J13" s="571"/>
      <c r="K13" s="571"/>
      <c r="L13" s="600"/>
      <c r="M13" s="653"/>
      <c r="P13" s="309"/>
      <c r="Q13" s="309"/>
      <c r="R13" s="309"/>
      <c r="S13" s="309"/>
      <c r="T13" s="309"/>
      <c r="U13" s="309"/>
      <c r="V13" s="309"/>
    </row>
    <row r="14" spans="1:22" ht="21" customHeight="1">
      <c r="B14" s="508" t="s">
        <v>297</v>
      </c>
      <c r="C14" s="617"/>
      <c r="D14" s="621"/>
      <c r="E14" s="574"/>
      <c r="F14" s="140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140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140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140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SUM(E9:E17)+'50-Utility1'!E18</f>
        <v>0</v>
      </c>
      <c r="F18" s="661"/>
      <c r="G18" s="658">
        <f>SUM(G9:G17)+'50-Utility1'!G18</f>
        <v>0</v>
      </c>
      <c r="H18" s="658"/>
      <c r="I18" s="662"/>
      <c r="J18" s="658">
        <f>SUM(J9:J17)+'50-Utility1'!J18</f>
        <v>0</v>
      </c>
      <c r="K18" s="658">
        <f>SUM(K9:K17)+'50-Utility1'!K18</f>
        <v>0</v>
      </c>
      <c r="L18" s="663"/>
      <c r="M18" s="664"/>
      <c r="P18" s="309"/>
      <c r="Q18" s="309"/>
      <c r="R18" s="309"/>
      <c r="S18" s="309"/>
      <c r="T18" s="309"/>
      <c r="U18" s="309"/>
      <c r="V18" s="309"/>
    </row>
    <row r="19" spans="1:22" ht="21" customHeight="1">
      <c r="A19" s="507"/>
      <c r="B19" s="506"/>
      <c r="C19" s="439"/>
      <c r="D19" s="439"/>
      <c r="E19" s="504"/>
      <c r="F19" s="439"/>
      <c r="G19" s="504"/>
      <c r="H19" s="504"/>
      <c r="I19" s="505"/>
      <c r="J19" s="504"/>
      <c r="K19" s="504"/>
      <c r="L19" s="504"/>
      <c r="M19" s="439"/>
      <c r="P19" s="309"/>
      <c r="Q19" s="309"/>
      <c r="R19" s="309"/>
      <c r="S19" s="309"/>
      <c r="T19" s="309"/>
      <c r="U19" s="309"/>
      <c r="V19" s="309"/>
    </row>
    <row r="20" spans="1:22" ht="21" customHeight="1">
      <c r="A20" s="507"/>
      <c r="B20" s="506"/>
      <c r="C20" s="439"/>
      <c r="D20" s="439"/>
      <c r="E20" s="504"/>
      <c r="F20" s="439"/>
      <c r="G20" s="504"/>
      <c r="H20" s="504"/>
      <c r="I20" s="505"/>
      <c r="J20" s="504"/>
      <c r="K20" s="504"/>
      <c r="L20" s="504"/>
      <c r="M20" s="439"/>
      <c r="P20" s="309"/>
      <c r="Q20" s="309"/>
      <c r="R20" s="309"/>
      <c r="S20" s="309"/>
      <c r="T20" s="309"/>
      <c r="U20" s="309"/>
      <c r="V20" s="309"/>
    </row>
    <row r="21" spans="1:22" ht="13.5" customHeight="1" thickBot="1">
      <c r="B21" s="503"/>
      <c r="C21" s="502"/>
      <c r="D21" s="501"/>
      <c r="E21" s="439"/>
      <c r="F21" s="439"/>
      <c r="G21" s="439"/>
      <c r="H21" s="439"/>
      <c r="I21" s="439"/>
      <c r="J21" s="490"/>
      <c r="K21" s="439"/>
      <c r="L21" s="439"/>
      <c r="M21" s="439"/>
      <c r="P21" s="309"/>
      <c r="Q21" s="309"/>
      <c r="R21" s="309"/>
      <c r="S21" s="309"/>
      <c r="T21" s="309"/>
      <c r="U21" s="309"/>
      <c r="V21" s="309"/>
    </row>
    <row r="22" spans="1:22" ht="14.4" thickTop="1" thickBot="1">
      <c r="B22" s="444" t="s">
        <v>40</v>
      </c>
      <c r="C22" s="491"/>
      <c r="D22" s="500"/>
      <c r="E22" s="491"/>
      <c r="I22" s="1988" t="str">
        <f>"INTEREST  ON  NOTES  -  "&amp;UPPER('KEY INPUTS'!D54)&amp;" UTILITY  BUDGET"</f>
        <v>INTEREST  ON  NOTES  -  WATER/SEWER UTILITY UTILITY  BUDGET</v>
      </c>
      <c r="J22" s="1989"/>
      <c r="K22" s="1989"/>
      <c r="L22" s="1989"/>
      <c r="M22" s="1990"/>
      <c r="P22" s="309"/>
      <c r="Q22" s="309"/>
      <c r="R22" s="309"/>
      <c r="S22" s="309"/>
      <c r="T22" s="309"/>
      <c r="U22" s="309"/>
      <c r="V22" s="309"/>
    </row>
    <row r="23" spans="1:22" ht="15.6" customHeight="1">
      <c r="B23" s="492" t="s">
        <v>41</v>
      </c>
      <c r="C23" s="492"/>
      <c r="D23" s="444" t="s">
        <v>3580</v>
      </c>
      <c r="E23" s="491"/>
      <c r="I23" s="499" t="str">
        <f>IF('KEY INPUTS'!C42="State Fiscal Year","Fiscal Year "&amp;'KEY INPUTS'!D33+1&amp;"",'KEY INPUTS'!D34+1)&amp;" Interest on Notes"</f>
        <v>2022 Interest on Notes</v>
      </c>
      <c r="J23" s="440"/>
      <c r="K23" s="440"/>
      <c r="L23" s="498" t="s">
        <v>373</v>
      </c>
      <c r="M23" s="1174">
        <f>K18</f>
        <v>0</v>
      </c>
      <c r="P23" s="309"/>
      <c r="Q23" s="309"/>
      <c r="R23" s="309"/>
      <c r="S23" s="309"/>
      <c r="T23" s="309"/>
      <c r="U23" s="309"/>
      <c r="V23" s="309"/>
    </row>
    <row r="24" spans="1:22" ht="15.6" customHeight="1">
      <c r="B24" s="444"/>
      <c r="C24" s="444"/>
      <c r="D24" s="492" t="s">
        <v>42</v>
      </c>
      <c r="E24" s="491"/>
      <c r="I24" s="497" t="str">
        <f>"Less: Interest Accrued to "&amp;IF('KEY INPUTS'!C42="State Fiscal Year",(TEXT('KEY INPUTS'!F29,"mm/dd/yyy")),(TEXT('KEY INPUTS'!D29,"mm/dd/yyy")))&amp;" (Trial Balance)"</f>
        <v>Less: Interest Accrued to 12/31/2021 (Trial Balance)</v>
      </c>
      <c r="J24" s="374"/>
      <c r="K24" s="374"/>
      <c r="L24" s="496" t="s">
        <v>373</v>
      </c>
      <c r="M24" s="641"/>
      <c r="P24" s="309"/>
      <c r="Q24" s="309"/>
      <c r="R24" s="309"/>
      <c r="S24" s="309"/>
      <c r="T24" s="309"/>
      <c r="U24" s="309"/>
      <c r="V24" s="309"/>
    </row>
    <row r="25" spans="1:22" ht="15.6" customHeight="1">
      <c r="B25" s="444"/>
      <c r="C25" s="444"/>
      <c r="D25" s="444" t="s">
        <v>43</v>
      </c>
      <c r="E25" s="491"/>
      <c r="I25" s="463"/>
      <c r="J25" s="374" t="s">
        <v>317</v>
      </c>
      <c r="K25" s="374"/>
      <c r="L25" s="496" t="s">
        <v>373</v>
      </c>
      <c r="M25" s="1175">
        <f>+M23-M24</f>
        <v>0</v>
      </c>
    </row>
    <row r="26" spans="1:22" ht="15.6" customHeight="1">
      <c r="B26" s="444"/>
      <c r="C26" s="444"/>
      <c r="D26" s="444" t="str">
        <f>'50-Utility1'!D26</f>
        <v>All notes with an original date of issue of 2019 or prior require one legally payable installment to be budgeted if</v>
      </c>
      <c r="E26" s="491"/>
      <c r="I26" s="497" t="str">
        <f>"Add: Interest to be Accrued as of "&amp;IF('KEY INPUTS'!C42="State Fiscal Year",(TEXT('KEY INPUTS'!F30,"mm/dd/yyy")),(TEXT('KEY INPUTS'!D30,"mm/dd/yyy")))&amp;""</f>
        <v>Add: Interest to be Accrued as of 12/31/2022</v>
      </c>
      <c r="J26" s="374"/>
      <c r="K26" s="374"/>
      <c r="L26" s="496" t="s">
        <v>373</v>
      </c>
      <c r="M26" s="641"/>
    </row>
    <row r="27" spans="1:22" ht="15.6" customHeight="1" thickBot="1">
      <c r="B27" s="444"/>
      <c r="C27" s="444"/>
      <c r="D27" s="444" t="str">
        <f>'50-Utility1'!D27</f>
        <v>it is contemplated that such notes will be renewed in 2022 or written intent of permanent financing submitted.</v>
      </c>
      <c r="E27" s="491"/>
      <c r="I27" s="495" t="str">
        <f>"Required Appropriation "&amp;IF('KEY INPUTS'!C42="State Fiscal Year","Fiscal Year "&amp;'KEY INPUTS'!D33+1&amp;"",'KEY INPUTS'!D34+1)&amp;""</f>
        <v>Required Appropriation 2022</v>
      </c>
      <c r="J27" s="438"/>
      <c r="K27" s="438"/>
      <c r="L27" s="494" t="s">
        <v>373</v>
      </c>
      <c r="M27" s="1176">
        <f>+M25+M26</f>
        <v>0</v>
      </c>
    </row>
    <row r="28" spans="1:22" ht="13.8" thickTop="1">
      <c r="B28" s="444"/>
      <c r="C28" s="444"/>
      <c r="D28" s="444" t="s">
        <v>44</v>
      </c>
      <c r="E28" s="491"/>
    </row>
    <row r="29" spans="1:22">
      <c r="B29" s="491"/>
      <c r="C29" s="491"/>
      <c r="D29" s="492" t="s">
        <v>45</v>
      </c>
      <c r="E29" s="491"/>
    </row>
    <row r="30" spans="1:22">
      <c r="J30" s="490" t="s">
        <v>98</v>
      </c>
    </row>
  </sheetData>
  <mergeCells count="6">
    <mergeCell ref="I22:M22"/>
    <mergeCell ref="B2:M2"/>
    <mergeCell ref="B3:M3"/>
    <mergeCell ref="A15:A17"/>
    <mergeCell ref="C6:D6"/>
    <mergeCell ref="J5:K6"/>
  </mergeCells>
  <pageMargins left="0.25" right="0.25" top="0.5" bottom="0.5" header="0.25" footer="0.25"/>
  <pageSetup paperSize="5" orientation="landscape" r:id="rId1"/>
  <headerFooter alignWithMargins="0"/>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9">
    <tabColor theme="6" tint="0.39997558519241921"/>
  </sheetPr>
  <dimension ref="A1:T29"/>
  <sheetViews>
    <sheetView zoomScaleNormal="100" zoomScaleSheetLayoutView="80" workbookViewId="0">
      <selection activeCell="B10" sqref="B10:D10"/>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1" spans="1:20">
      <c r="B1" s="1086"/>
      <c r="C1" s="1086"/>
      <c r="D1" s="1086"/>
      <c r="E1" s="1086"/>
      <c r="F1" s="1086"/>
      <c r="G1" s="1086"/>
      <c r="H1" s="1086"/>
      <c r="I1" s="1086"/>
      <c r="J1" s="1086"/>
      <c r="K1" s="1086"/>
      <c r="L1" s="1086"/>
    </row>
    <row r="2" spans="1:20" ht="20.399999999999999">
      <c r="B2" s="1909" t="str">
        <f>"DEBT  SERVICE  SCHEDULE  FOR  "&amp;UPPER('KEY INPUTS'!D54) &amp;"  UTILITY  ASSESSMENT  NOTES"</f>
        <v>DEBT  SERVICE  SCHEDULE  FOR  WATER/SEWER UTILITY  UTILITY  ASSESSMENT  NOTES</v>
      </c>
      <c r="C2" s="1909"/>
      <c r="D2" s="1909"/>
      <c r="E2" s="1909"/>
      <c r="F2" s="1909"/>
      <c r="G2" s="1909"/>
      <c r="H2" s="1909"/>
      <c r="I2" s="1909"/>
      <c r="J2" s="1909"/>
      <c r="K2" s="1909"/>
      <c r="L2" s="1909"/>
    </row>
    <row r="3" spans="1:20" ht="21" thickBot="1">
      <c r="B3" s="2000"/>
      <c r="C3" s="2000"/>
      <c r="D3" s="2000"/>
      <c r="E3" s="2000"/>
      <c r="F3" s="2000"/>
      <c r="G3" s="2000"/>
      <c r="H3" s="2000"/>
      <c r="I3" s="2000"/>
      <c r="J3" s="2000"/>
      <c r="K3" s="2000"/>
      <c r="L3" s="2000"/>
    </row>
    <row r="4" spans="1:20" ht="13.5" customHeight="1" thickTop="1">
      <c r="B4" s="2002"/>
      <c r="C4" s="2002"/>
      <c r="D4" s="2003"/>
      <c r="E4" s="1178"/>
      <c r="F4" s="1083"/>
      <c r="G4" s="1083"/>
      <c r="H4" s="1083"/>
      <c r="I4" s="1083"/>
      <c r="J4" s="1082"/>
      <c r="K4" s="1082"/>
      <c r="L4" s="1085"/>
    </row>
    <row r="5" spans="1:20" ht="13.5" customHeight="1">
      <c r="B5" s="1086"/>
      <c r="C5" s="1086"/>
      <c r="D5" s="1086"/>
      <c r="E5" s="1087" t="s">
        <v>139</v>
      </c>
      <c r="F5" s="1091" t="s">
        <v>139</v>
      </c>
      <c r="G5" s="1091" t="s">
        <v>414</v>
      </c>
      <c r="H5" s="1091" t="s">
        <v>17</v>
      </c>
      <c r="I5" s="1091" t="s">
        <v>543</v>
      </c>
      <c r="J5" s="1994" t="str">
        <f>IF('KEY INPUTS'!C42="State Fiscal Year","Fiscal Year "&amp;'KEY INPUTS'!D33+1&amp;"",'KEY INPUTS'!D34+1)&amp;""</f>
        <v>2022</v>
      </c>
      <c r="K5" s="1995"/>
      <c r="L5" s="1089" t="s">
        <v>544</v>
      </c>
    </row>
    <row r="6" spans="1:20" ht="13.5" customHeight="1">
      <c r="B6" s="1086"/>
      <c r="C6" s="1908" t="s">
        <v>138</v>
      </c>
      <c r="D6" s="2001"/>
      <c r="E6" s="1087" t="s">
        <v>414</v>
      </c>
      <c r="F6" s="1091" t="s">
        <v>140</v>
      </c>
      <c r="G6" s="1091" t="s">
        <v>540</v>
      </c>
      <c r="H6" s="1091" t="s">
        <v>541</v>
      </c>
      <c r="I6" s="1091" t="s">
        <v>541</v>
      </c>
      <c r="J6" s="1996"/>
      <c r="K6" s="1997"/>
      <c r="L6" s="1089" t="s">
        <v>547</v>
      </c>
    </row>
    <row r="7" spans="1:20" ht="13.5" customHeight="1">
      <c r="B7" s="1086"/>
      <c r="C7" s="1086"/>
      <c r="D7" s="1086"/>
      <c r="E7" s="1087" t="s">
        <v>92</v>
      </c>
      <c r="F7" s="1087" t="s">
        <v>141</v>
      </c>
      <c r="G7" s="1087" t="s">
        <v>198</v>
      </c>
      <c r="H7" s="1087" t="s">
        <v>542</v>
      </c>
      <c r="I7" s="1087" t="s">
        <v>544</v>
      </c>
      <c r="J7" s="1087" t="s">
        <v>113</v>
      </c>
      <c r="K7" s="1087" t="s">
        <v>545</v>
      </c>
      <c r="L7" s="1089" t="s">
        <v>548</v>
      </c>
      <c r="N7" s="309"/>
      <c r="O7" s="309"/>
      <c r="P7" s="309"/>
      <c r="Q7" s="309"/>
      <c r="R7" s="309"/>
      <c r="S7" s="309"/>
      <c r="T7" s="309"/>
    </row>
    <row r="8" spans="1:20" ht="13.5" customHeight="1" thickBot="1">
      <c r="B8" s="1093"/>
      <c r="C8" s="1093"/>
      <c r="D8" s="1093"/>
      <c r="E8" s="1094"/>
      <c r="F8" s="1094"/>
      <c r="G8" s="1187" t="str">
        <f>'50-Utility1'!G8</f>
        <v>Dec. 31, 2021</v>
      </c>
      <c r="H8" s="1094"/>
      <c r="I8" s="1094"/>
      <c r="J8" s="1095"/>
      <c r="K8" s="1195" t="s">
        <v>546</v>
      </c>
      <c r="L8" s="1097"/>
      <c r="N8" s="309"/>
      <c r="O8" s="309"/>
      <c r="P8" s="309"/>
      <c r="Q8" s="309"/>
      <c r="R8" s="309"/>
      <c r="S8" s="309"/>
      <c r="T8" s="309"/>
    </row>
    <row r="9" spans="1:20" ht="21" customHeight="1" thickTop="1">
      <c r="B9" s="2004" t="s">
        <v>3730</v>
      </c>
      <c r="C9" s="2004"/>
      <c r="D9" s="2005"/>
      <c r="E9" s="587"/>
      <c r="F9" s="666"/>
      <c r="G9" s="587"/>
      <c r="H9" s="587"/>
      <c r="I9" s="589"/>
      <c r="J9" s="587"/>
      <c r="K9" s="587"/>
      <c r="L9" s="667"/>
      <c r="N9" s="356"/>
      <c r="O9" s="309"/>
      <c r="P9" s="309"/>
      <c r="Q9" s="309"/>
      <c r="R9" s="309"/>
      <c r="S9" s="309"/>
      <c r="T9" s="309"/>
    </row>
    <row r="10" spans="1:20" ht="21" customHeight="1">
      <c r="B10" s="1998"/>
      <c r="C10" s="1998"/>
      <c r="D10" s="1999"/>
      <c r="E10" s="571"/>
      <c r="F10" s="654"/>
      <c r="G10" s="571"/>
      <c r="H10" s="571"/>
      <c r="I10" s="592"/>
      <c r="J10" s="571"/>
      <c r="K10" s="571"/>
      <c r="L10" s="668"/>
      <c r="N10" s="309"/>
      <c r="O10" s="309"/>
      <c r="P10" s="309"/>
      <c r="Q10" s="309"/>
      <c r="R10" s="309"/>
      <c r="S10" s="309"/>
      <c r="T10" s="309"/>
    </row>
    <row r="11" spans="1:20" ht="21" customHeight="1">
      <c r="B11" s="1998"/>
      <c r="C11" s="1998"/>
      <c r="D11" s="1999"/>
      <c r="E11" s="571"/>
      <c r="F11" s="654"/>
      <c r="G11" s="571"/>
      <c r="H11" s="571"/>
      <c r="I11" s="592"/>
      <c r="J11" s="571"/>
      <c r="K11" s="571"/>
      <c r="L11" s="668"/>
      <c r="N11" s="309"/>
      <c r="O11" s="309"/>
      <c r="P11" s="309"/>
      <c r="Q11" s="309"/>
      <c r="R11" s="309"/>
      <c r="S11" s="309"/>
      <c r="T11" s="309"/>
    </row>
    <row r="12" spans="1:20" ht="21" customHeight="1">
      <c r="B12" s="1998"/>
      <c r="C12" s="1998"/>
      <c r="D12" s="1999"/>
      <c r="E12" s="571"/>
      <c r="F12" s="654"/>
      <c r="G12" s="571"/>
      <c r="H12" s="571"/>
      <c r="I12" s="592"/>
      <c r="J12" s="571"/>
      <c r="K12" s="571"/>
      <c r="L12" s="668"/>
      <c r="N12" s="309"/>
      <c r="O12" s="309"/>
      <c r="P12" s="309"/>
      <c r="Q12" s="309"/>
      <c r="R12" s="309"/>
      <c r="S12" s="309"/>
      <c r="T12" s="309"/>
    </row>
    <row r="13" spans="1:20" ht="21" customHeight="1">
      <c r="B13" s="1998"/>
      <c r="C13" s="1998"/>
      <c r="D13" s="1999"/>
      <c r="E13" s="571"/>
      <c r="F13" s="654"/>
      <c r="G13" s="571"/>
      <c r="H13" s="571"/>
      <c r="I13" s="592"/>
      <c r="J13" s="571"/>
      <c r="K13" s="571"/>
      <c r="L13" s="668"/>
      <c r="N13" s="309"/>
      <c r="O13" s="309"/>
      <c r="P13" s="309"/>
      <c r="Q13" s="309"/>
      <c r="R13" s="309"/>
      <c r="S13" s="309"/>
      <c r="T13" s="309"/>
    </row>
    <row r="14" spans="1:20" ht="21" customHeight="1">
      <c r="B14" s="1998"/>
      <c r="C14" s="1998"/>
      <c r="D14" s="1999"/>
      <c r="E14" s="574"/>
      <c r="F14" s="655"/>
      <c r="G14" s="574"/>
      <c r="H14" s="574"/>
      <c r="I14" s="595"/>
      <c r="J14" s="571"/>
      <c r="K14" s="571"/>
      <c r="L14" s="668"/>
      <c r="N14" s="309"/>
      <c r="O14" s="309"/>
      <c r="P14" s="309"/>
      <c r="Q14" s="309"/>
      <c r="R14" s="309"/>
      <c r="S14" s="309"/>
      <c r="T14" s="309"/>
    </row>
    <row r="15" spans="1:20" ht="21" customHeight="1">
      <c r="A15" s="1913" t="s">
        <v>3170</v>
      </c>
      <c r="B15" s="1998"/>
      <c r="C15" s="1998"/>
      <c r="D15" s="1999"/>
      <c r="E15" s="571"/>
      <c r="F15" s="654"/>
      <c r="G15" s="571"/>
      <c r="H15" s="571"/>
      <c r="I15" s="592"/>
      <c r="J15" s="571"/>
      <c r="K15" s="571"/>
      <c r="L15" s="668"/>
      <c r="N15" s="309"/>
      <c r="O15" s="309"/>
      <c r="P15" s="309"/>
      <c r="Q15" s="309"/>
      <c r="R15" s="309"/>
      <c r="S15" s="309"/>
      <c r="T15" s="309"/>
    </row>
    <row r="16" spans="1:20" ht="21" customHeight="1">
      <c r="A16" s="1913"/>
      <c r="B16" s="1998"/>
      <c r="C16" s="1998"/>
      <c r="D16" s="1999"/>
      <c r="E16" s="571"/>
      <c r="F16" s="654"/>
      <c r="G16" s="571"/>
      <c r="H16" s="571"/>
      <c r="I16" s="592"/>
      <c r="J16" s="571"/>
      <c r="K16" s="571"/>
      <c r="L16" s="668"/>
      <c r="N16" s="309"/>
      <c r="O16" s="309"/>
      <c r="P16" s="309"/>
      <c r="Q16" s="309"/>
      <c r="R16" s="309"/>
      <c r="S16" s="309"/>
      <c r="T16" s="309"/>
    </row>
    <row r="17" spans="1:20" ht="21" customHeight="1">
      <c r="A17" s="1913"/>
      <c r="B17" s="1998"/>
      <c r="C17" s="1998"/>
      <c r="D17" s="1999"/>
      <c r="E17" s="571"/>
      <c r="F17" s="654"/>
      <c r="G17" s="571"/>
      <c r="H17" s="571"/>
      <c r="I17" s="592"/>
      <c r="J17" s="571"/>
      <c r="K17" s="571"/>
      <c r="L17" s="668"/>
      <c r="N17" s="309"/>
      <c r="O17" s="309"/>
      <c r="P17" s="309"/>
      <c r="Q17" s="309"/>
      <c r="R17" s="309"/>
      <c r="S17" s="309"/>
      <c r="T17" s="309"/>
    </row>
    <row r="18" spans="1:20" ht="21" customHeight="1">
      <c r="A18" s="517"/>
      <c r="B18" s="1998"/>
      <c r="C18" s="1998"/>
      <c r="D18" s="1999"/>
      <c r="E18" s="571"/>
      <c r="F18" s="654"/>
      <c r="G18" s="571"/>
      <c r="H18" s="571"/>
      <c r="I18" s="592"/>
      <c r="J18" s="571"/>
      <c r="K18" s="571"/>
      <c r="L18" s="668"/>
      <c r="N18" s="309"/>
      <c r="O18" s="309"/>
      <c r="P18" s="309"/>
      <c r="Q18" s="309"/>
      <c r="R18" s="309"/>
      <c r="S18" s="309"/>
      <c r="T18" s="309"/>
    </row>
    <row r="19" spans="1:20" ht="21" customHeight="1">
      <c r="B19" s="1998"/>
      <c r="C19" s="1998"/>
      <c r="D19" s="1999"/>
      <c r="E19" s="571"/>
      <c r="F19" s="654"/>
      <c r="G19" s="571"/>
      <c r="H19" s="571"/>
      <c r="I19" s="592"/>
      <c r="J19" s="571"/>
      <c r="K19" s="571"/>
      <c r="L19" s="668"/>
      <c r="N19" s="309"/>
      <c r="O19" s="309"/>
      <c r="P19" s="309"/>
      <c r="Q19" s="309"/>
      <c r="R19" s="309"/>
      <c r="S19" s="309"/>
      <c r="T19" s="309"/>
    </row>
    <row r="20" spans="1:20" ht="21" customHeight="1">
      <c r="B20" s="1998"/>
      <c r="C20" s="1998"/>
      <c r="D20" s="1999"/>
      <c r="E20" s="571"/>
      <c r="F20" s="654"/>
      <c r="G20" s="571"/>
      <c r="H20" s="571"/>
      <c r="I20" s="592"/>
      <c r="J20" s="571"/>
      <c r="K20" s="571"/>
      <c r="L20" s="668"/>
      <c r="N20" s="309"/>
      <c r="O20" s="309"/>
      <c r="P20" s="309"/>
      <c r="Q20" s="309"/>
      <c r="R20" s="309"/>
      <c r="S20" s="309"/>
      <c r="T20" s="309"/>
    </row>
    <row r="21" spans="1:20" ht="21" customHeight="1">
      <c r="B21" s="1998"/>
      <c r="C21" s="1998"/>
      <c r="D21" s="1999"/>
      <c r="E21" s="571"/>
      <c r="F21" s="654"/>
      <c r="G21" s="571"/>
      <c r="H21" s="571"/>
      <c r="I21" s="592"/>
      <c r="J21" s="571"/>
      <c r="K21" s="571"/>
      <c r="L21" s="668"/>
      <c r="N21" s="309"/>
      <c r="O21" s="309"/>
      <c r="P21" s="309"/>
      <c r="Q21" s="309"/>
      <c r="R21" s="309"/>
      <c r="S21" s="309"/>
      <c r="T21" s="309"/>
    </row>
    <row r="22" spans="1:20" ht="21" customHeight="1">
      <c r="B22" s="1998"/>
      <c r="C22" s="1998"/>
      <c r="D22" s="1999"/>
      <c r="E22" s="571"/>
      <c r="F22" s="654"/>
      <c r="G22" s="571"/>
      <c r="H22" s="571"/>
      <c r="I22" s="592"/>
      <c r="J22" s="571"/>
      <c r="K22" s="571"/>
      <c r="L22" s="668"/>
      <c r="N22" s="309"/>
      <c r="O22" s="309"/>
      <c r="P22" s="309"/>
      <c r="Q22" s="309"/>
      <c r="R22" s="309"/>
      <c r="S22" s="309"/>
      <c r="T22" s="309"/>
    </row>
    <row r="23" spans="1:20" ht="21" customHeight="1" thickBot="1">
      <c r="B23" s="1196"/>
      <c r="C23" s="1172"/>
      <c r="D23" s="1197"/>
      <c r="E23" s="1071">
        <f>SUM(E9:E22)</f>
        <v>0</v>
      </c>
      <c r="F23" s="1186"/>
      <c r="G23" s="1071">
        <f>SUM(G9:G22)</f>
        <v>0</v>
      </c>
      <c r="H23" s="1071"/>
      <c r="I23" s="1071"/>
      <c r="J23" s="1071">
        <f>SUM(J9:J22)</f>
        <v>0</v>
      </c>
      <c r="K23" s="1071">
        <f>SUM(K9:K22)</f>
        <v>0</v>
      </c>
      <c r="L23" s="1198"/>
      <c r="N23" s="309"/>
      <c r="O23" s="309"/>
      <c r="P23" s="309"/>
      <c r="Q23" s="309"/>
      <c r="R23" s="309"/>
      <c r="S23" s="309"/>
      <c r="T23" s="309"/>
    </row>
    <row r="24" spans="1:20" ht="13.5" customHeight="1" thickTop="1">
      <c r="B24" s="1199" t="s">
        <v>40</v>
      </c>
      <c r="C24" s="1200"/>
      <c r="D24" s="1201"/>
      <c r="E24" s="1202"/>
      <c r="F24" s="1202"/>
      <c r="G24" s="1202"/>
      <c r="H24" s="1202"/>
      <c r="I24" s="1202"/>
      <c r="J24" s="1203"/>
      <c r="K24" s="1203"/>
      <c r="L24" s="1202"/>
    </row>
    <row r="25" spans="1:20" ht="13.5" customHeight="1">
      <c r="B25" s="1199" t="s">
        <v>550</v>
      </c>
      <c r="C25" s="1200"/>
      <c r="D25" s="1201"/>
      <c r="E25" s="1202"/>
      <c r="F25" s="1202"/>
      <c r="G25" s="1202"/>
      <c r="H25" s="1202"/>
      <c r="I25" s="1202"/>
      <c r="J25" s="1202"/>
      <c r="K25" s="1202"/>
      <c r="L25" s="1202"/>
    </row>
    <row r="26" spans="1:20" ht="13.5" customHeight="1">
      <c r="B26" s="1199"/>
      <c r="C26" s="1200"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201"/>
      <c r="E26" s="1202"/>
      <c r="F26" s="1202"/>
      <c r="G26" s="1202"/>
      <c r="H26" s="1202"/>
      <c r="I26" s="1202"/>
      <c r="J26" s="1202"/>
      <c r="K26" s="1202"/>
      <c r="L26" s="1202"/>
    </row>
    <row r="27" spans="1:20" ht="13.5" customHeight="1">
      <c r="B27" s="1199"/>
      <c r="C27" s="1200"/>
      <c r="D27" s="1204" t="s">
        <v>503</v>
      </c>
      <c r="E27" s="1202"/>
      <c r="F27" s="1202"/>
      <c r="G27" s="1202"/>
      <c r="H27" s="1202"/>
      <c r="I27" s="1202"/>
      <c r="J27" s="1202"/>
      <c r="K27" s="1202"/>
      <c r="L27" s="1202"/>
    </row>
    <row r="28" spans="1:20" ht="13.5" customHeight="1">
      <c r="B28" s="1199"/>
      <c r="C28" s="1200" t="s">
        <v>302</v>
      </c>
      <c r="D28" s="1201"/>
      <c r="E28" s="1202"/>
      <c r="F28" s="1202"/>
      <c r="G28" s="1202"/>
      <c r="H28" s="1202"/>
      <c r="I28" s="1202"/>
      <c r="J28" s="1205"/>
      <c r="K28" s="1202"/>
      <c r="L28" s="1202"/>
    </row>
    <row r="29" spans="1:20">
      <c r="B29" s="513"/>
      <c r="C29" s="383"/>
      <c r="D29" s="383"/>
    </row>
  </sheetData>
  <sheetProtection algorithmName="SHA-512" hashValue="lswUmqgNTPagEsH9jj8pMasRRcM5NewUmfW4ihCDRdcXO/82+jKXI8Liuv+RdlnGha22Cs73HPgwC9l8qC+aWA==" saltValue="A8C2hukGXYkjOlMJ119jdQ==" spinCount="100000" sheet="1" objects="1" scenarios="1"/>
  <mergeCells count="20">
    <mergeCell ref="B2:L2"/>
    <mergeCell ref="B3:L3"/>
    <mergeCell ref="A15:A17"/>
    <mergeCell ref="C6:D6"/>
    <mergeCell ref="J5:K6"/>
    <mergeCell ref="B4:D4"/>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0">
    <tabColor theme="6" tint="0.39997558519241921"/>
  </sheetPr>
  <dimension ref="A1:R27"/>
  <sheetViews>
    <sheetView zoomScaleNormal="100" zoomScaleSheetLayoutView="80" workbookViewId="0">
      <selection activeCell="B10" sqref="B10:F10"/>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1" spans="1:18">
      <c r="B1" s="1086"/>
      <c r="C1" s="1086"/>
      <c r="D1" s="1086"/>
      <c r="E1" s="1086"/>
      <c r="F1" s="1086"/>
      <c r="G1" s="1086"/>
      <c r="H1" s="1086"/>
      <c r="I1" s="1086"/>
    </row>
    <row r="2" spans="1:18" ht="20.399999999999999">
      <c r="B2" s="1909" t="str">
        <f>"SCHEDULE  OF  CAPITAL  LEASE  PROGRAM  OBLIGATIONS  "&amp;UPPER('KEY INPUTS'!D54)&amp;"  UTILITY"</f>
        <v>SCHEDULE  OF  CAPITAL  LEASE  PROGRAM  OBLIGATIONS  WATER/SEWER UTILITY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02"/>
      <c r="C4" s="2002"/>
      <c r="D4" s="2002"/>
      <c r="E4" s="2002"/>
      <c r="F4" s="2003"/>
      <c r="G4" s="1206"/>
      <c r="H4" s="1082"/>
      <c r="I4" s="1207"/>
    </row>
    <row r="5" spans="1:18" ht="13.5" customHeight="1">
      <c r="B5" s="1086"/>
      <c r="C5" s="1086"/>
      <c r="D5" s="1086"/>
      <c r="E5" s="1208"/>
      <c r="F5" s="1208"/>
      <c r="G5" s="1091" t="s">
        <v>414</v>
      </c>
      <c r="H5" s="1994" t="str">
        <f>IF('KEY INPUTS'!C42="State Fiscal Year","Fiscal Year "&amp;'KEY INPUTS'!D33+1&amp;"",'KEY INPUTS'!D34+1)&amp;" Budget Requirements"</f>
        <v>2022 Budget Requirements</v>
      </c>
      <c r="I5" s="2007"/>
      <c r="J5" s="736"/>
    </row>
    <row r="6" spans="1:18" ht="13.5" customHeight="1">
      <c r="B6" s="1086"/>
      <c r="C6" s="1908" t="s">
        <v>413</v>
      </c>
      <c r="D6" s="2006"/>
      <c r="E6" s="1208"/>
      <c r="F6" s="1208"/>
      <c r="G6" s="1091" t="s">
        <v>430</v>
      </c>
      <c r="H6" s="2008"/>
      <c r="I6" s="2009"/>
      <c r="J6" s="736"/>
    </row>
    <row r="7" spans="1:18" ht="13.5" customHeight="1">
      <c r="B7" s="1086"/>
      <c r="C7" s="1086"/>
      <c r="D7" s="1086"/>
      <c r="E7" s="1208"/>
      <c r="F7" s="1211"/>
      <c r="G7" s="1212" t="str">
        <f>'51-Utility1'!G8</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10" t="s">
        <v>3730</v>
      </c>
      <c r="C9" s="2010"/>
      <c r="D9" s="2010"/>
      <c r="E9" s="2010"/>
      <c r="F9" s="2011"/>
      <c r="G9" s="598"/>
      <c r="H9" s="587"/>
      <c r="I9" s="599"/>
      <c r="L9" s="356"/>
      <c r="M9" s="309"/>
      <c r="N9" s="309"/>
      <c r="O9" s="309"/>
      <c r="P9" s="309"/>
      <c r="Q9" s="309"/>
      <c r="R9" s="309"/>
    </row>
    <row r="10" spans="1:18" ht="21" customHeight="1">
      <c r="B10" s="1998"/>
      <c r="C10" s="1998"/>
      <c r="D10" s="1998"/>
      <c r="E10" s="1998"/>
      <c r="F10" s="1999"/>
      <c r="G10" s="600"/>
      <c r="H10" s="571"/>
      <c r="I10" s="572"/>
      <c r="L10" s="309"/>
      <c r="M10" s="309"/>
      <c r="N10" s="309"/>
      <c r="O10" s="309"/>
      <c r="P10" s="309"/>
      <c r="Q10" s="309"/>
      <c r="R10" s="309"/>
    </row>
    <row r="11" spans="1:18" ht="21" customHeight="1">
      <c r="B11" s="1998"/>
      <c r="C11" s="1998"/>
      <c r="D11" s="1998"/>
      <c r="E11" s="1998"/>
      <c r="F11" s="1999"/>
      <c r="G11" s="600"/>
      <c r="H11" s="571"/>
      <c r="I11" s="572"/>
      <c r="L11" s="309"/>
      <c r="M11" s="309"/>
      <c r="N11" s="309"/>
      <c r="O11" s="309"/>
      <c r="P11" s="309"/>
      <c r="Q11" s="309"/>
      <c r="R11" s="309"/>
    </row>
    <row r="12" spans="1:18" ht="21" customHeight="1">
      <c r="B12" s="1998"/>
      <c r="C12" s="1998"/>
      <c r="D12" s="1998"/>
      <c r="E12" s="1998"/>
      <c r="F12" s="1999"/>
      <c r="G12" s="600"/>
      <c r="H12" s="571"/>
      <c r="I12" s="572"/>
      <c r="L12" s="309"/>
      <c r="M12" s="309"/>
      <c r="N12" s="309"/>
      <c r="O12" s="309"/>
      <c r="P12" s="309"/>
      <c r="Q12" s="309"/>
      <c r="R12" s="309"/>
    </row>
    <row r="13" spans="1:18" ht="21" customHeight="1">
      <c r="B13" s="1998"/>
      <c r="C13" s="1998"/>
      <c r="D13" s="1998"/>
      <c r="E13" s="1998"/>
      <c r="F13" s="1999"/>
      <c r="G13" s="600"/>
      <c r="H13" s="571"/>
      <c r="I13" s="572"/>
      <c r="L13" s="309"/>
      <c r="M13" s="309"/>
      <c r="N13" s="309"/>
      <c r="O13" s="309"/>
      <c r="P13" s="309"/>
      <c r="Q13" s="309"/>
      <c r="R13" s="309"/>
    </row>
    <row r="14" spans="1:18" ht="21" customHeight="1">
      <c r="B14" s="1998"/>
      <c r="C14" s="1998"/>
      <c r="D14" s="1998"/>
      <c r="E14" s="1998"/>
      <c r="F14" s="1999"/>
      <c r="G14" s="601"/>
      <c r="H14" s="571"/>
      <c r="I14" s="572"/>
      <c r="L14" s="309"/>
      <c r="M14" s="309"/>
      <c r="N14" s="309"/>
      <c r="O14" s="309"/>
      <c r="P14" s="309"/>
      <c r="Q14" s="309"/>
      <c r="R14" s="309"/>
    </row>
    <row r="15" spans="1:18" ht="21" customHeight="1">
      <c r="A15" s="1913" t="s">
        <v>3171</v>
      </c>
      <c r="B15" s="1998"/>
      <c r="C15" s="1998"/>
      <c r="D15" s="1998"/>
      <c r="E15" s="1998"/>
      <c r="F15" s="1999"/>
      <c r="G15" s="600"/>
      <c r="H15" s="571"/>
      <c r="I15" s="572"/>
      <c r="L15" s="309"/>
      <c r="M15" s="309"/>
      <c r="N15" s="309"/>
      <c r="O15" s="309"/>
      <c r="P15" s="309"/>
      <c r="Q15" s="309"/>
      <c r="R15" s="309"/>
    </row>
    <row r="16" spans="1:18" ht="21" customHeight="1">
      <c r="A16" s="1913"/>
      <c r="B16" s="1998"/>
      <c r="C16" s="1998"/>
      <c r="D16" s="1998"/>
      <c r="E16" s="1998"/>
      <c r="F16" s="1999"/>
      <c r="G16" s="600"/>
      <c r="H16" s="571"/>
      <c r="I16" s="572"/>
      <c r="L16" s="309"/>
      <c r="M16" s="309"/>
      <c r="N16" s="309"/>
      <c r="O16" s="309"/>
      <c r="P16" s="309"/>
      <c r="Q16" s="309"/>
      <c r="R16" s="309"/>
    </row>
    <row r="17" spans="1:18" ht="21" customHeight="1">
      <c r="A17" s="1913"/>
      <c r="B17" s="1998"/>
      <c r="C17" s="1998"/>
      <c r="D17" s="1998"/>
      <c r="E17" s="1998"/>
      <c r="F17" s="1999"/>
      <c r="G17" s="600"/>
      <c r="H17" s="571"/>
      <c r="I17" s="572"/>
      <c r="L17" s="309"/>
      <c r="M17" s="309"/>
      <c r="N17" s="309"/>
      <c r="O17" s="309"/>
      <c r="P17" s="309"/>
      <c r="Q17" s="309"/>
      <c r="R17" s="309"/>
    </row>
    <row r="18" spans="1:18" ht="21" customHeight="1">
      <c r="A18" s="517"/>
      <c r="B18" s="1998"/>
      <c r="C18" s="1998"/>
      <c r="D18" s="1998"/>
      <c r="E18" s="1998"/>
      <c r="F18" s="1999"/>
      <c r="G18" s="600"/>
      <c r="H18" s="571"/>
      <c r="I18" s="572"/>
      <c r="L18" s="309"/>
      <c r="M18" s="309"/>
      <c r="N18" s="309"/>
      <c r="O18" s="309"/>
      <c r="P18" s="309"/>
      <c r="Q18" s="309"/>
      <c r="R18" s="309"/>
    </row>
    <row r="19" spans="1:18" ht="21" customHeight="1">
      <c r="B19" s="1998"/>
      <c r="C19" s="1998"/>
      <c r="D19" s="1998"/>
      <c r="E19" s="1998"/>
      <c r="F19" s="1999"/>
      <c r="G19" s="600"/>
      <c r="H19" s="571"/>
      <c r="I19" s="572"/>
      <c r="L19" s="309"/>
      <c r="M19" s="309"/>
      <c r="N19" s="309"/>
      <c r="O19" s="309"/>
      <c r="P19" s="309"/>
      <c r="Q19" s="309"/>
      <c r="R19" s="309"/>
    </row>
    <row r="20" spans="1:18" ht="21" customHeight="1">
      <c r="B20" s="1998"/>
      <c r="C20" s="1998"/>
      <c r="D20" s="1998"/>
      <c r="E20" s="1998"/>
      <c r="F20" s="1999"/>
      <c r="G20" s="600"/>
      <c r="H20" s="571"/>
      <c r="I20" s="572"/>
      <c r="L20" s="309"/>
      <c r="M20" s="309"/>
      <c r="N20" s="309"/>
      <c r="O20" s="309"/>
      <c r="P20" s="309"/>
      <c r="Q20" s="309"/>
      <c r="R20" s="309"/>
    </row>
    <row r="21" spans="1:18" ht="21" customHeight="1">
      <c r="B21" s="1998"/>
      <c r="C21" s="1998"/>
      <c r="D21" s="1998"/>
      <c r="E21" s="1998"/>
      <c r="F21" s="1999"/>
      <c r="G21" s="600"/>
      <c r="H21" s="571"/>
      <c r="I21" s="572"/>
      <c r="L21" s="309"/>
      <c r="M21" s="309"/>
      <c r="N21" s="309"/>
      <c r="O21" s="309"/>
      <c r="P21" s="309"/>
      <c r="Q21" s="309"/>
      <c r="R21" s="309"/>
    </row>
    <row r="22" spans="1:18" ht="21" customHeight="1" thickBot="1">
      <c r="B22" s="1998"/>
      <c r="C22" s="1998"/>
      <c r="D22" s="1998"/>
      <c r="E22" s="1998"/>
      <c r="F22" s="1999"/>
      <c r="G22" s="602"/>
      <c r="H22" s="596"/>
      <c r="I22" s="603"/>
      <c r="L22" s="309"/>
      <c r="M22" s="309"/>
      <c r="N22" s="309"/>
      <c r="O22" s="309"/>
      <c r="P22" s="309"/>
      <c r="Q22" s="309"/>
      <c r="R22" s="309"/>
    </row>
    <row r="23" spans="1:18" ht="21" customHeight="1" thickTop="1" thickBot="1">
      <c r="B23" s="516"/>
      <c r="C23" s="385"/>
      <c r="D23" s="523" t="s">
        <v>137</v>
      </c>
      <c r="E23" s="119"/>
      <c r="F23" s="522"/>
      <c r="G23" s="235">
        <f>SUM(G9:G22)</f>
        <v>0</v>
      </c>
      <c r="H23" s="133">
        <f>SUM(H9:H22)</f>
        <v>0</v>
      </c>
      <c r="I23" s="153">
        <f>SUM(I9:I22)</f>
        <v>0</v>
      </c>
      <c r="L23" s="309"/>
      <c r="M23" s="309"/>
      <c r="N23" s="309"/>
      <c r="O23" s="309"/>
      <c r="P23" s="309"/>
      <c r="Q23" s="309"/>
      <c r="R23" s="309"/>
    </row>
    <row r="24" spans="1:18" ht="13.5" customHeight="1" thickTop="1">
      <c r="B24" s="521"/>
      <c r="C24" s="520"/>
      <c r="D24" s="519"/>
      <c r="E24" s="482"/>
      <c r="F24" s="482"/>
      <c r="G24" s="482"/>
      <c r="H24" s="515"/>
      <c r="I24" s="515"/>
    </row>
    <row r="25" spans="1:18" ht="13.5" customHeight="1">
      <c r="B25" s="521"/>
      <c r="C25" s="520"/>
      <c r="D25" s="519"/>
      <c r="E25" s="482"/>
      <c r="F25" s="482"/>
      <c r="G25" s="482"/>
      <c r="H25" s="482"/>
      <c r="I25" s="482"/>
    </row>
    <row r="26" spans="1:18" ht="13.5" customHeight="1">
      <c r="B26" s="521"/>
      <c r="C26" s="520"/>
      <c r="D26" s="519"/>
      <c r="E26" s="482"/>
      <c r="F26" s="482"/>
      <c r="G26" s="482"/>
      <c r="H26" s="514"/>
      <c r="I26" s="482"/>
    </row>
    <row r="27" spans="1:18">
      <c r="B27" s="513"/>
      <c r="C27" s="383"/>
      <c r="D27" s="383"/>
    </row>
  </sheetData>
  <sheetProtection algorithmName="SHA-512" hashValue="MDplb5f8jGKZOFmwrpAqr+9Utot8lpZtM3l78BGVgdL7EAOaNrb85LNrKL6d1kgSSRl99206UoPd4r4TQDvx5g==" saltValue="v89czB4ihxXcLYypz64utw==" spinCount="100000" sheet="1" objects="1" scenarios="1"/>
  <mergeCells count="20">
    <mergeCell ref="B2:I2"/>
    <mergeCell ref="B3:I3"/>
    <mergeCell ref="A15:A17"/>
    <mergeCell ref="C6:D6"/>
    <mergeCell ref="H5:I6"/>
    <mergeCell ref="B4:F4"/>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1">
    <tabColor theme="6" tint="0.39997558519241921"/>
  </sheetPr>
  <dimension ref="A1:U42"/>
  <sheetViews>
    <sheetView zoomScaleNormal="100" zoomScaleSheetLayoutView="80" workbookViewId="0">
      <selection activeCell="I20" sqref="I20"/>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c r="B1" s="1086"/>
      <c r="C1" s="1086"/>
      <c r="D1" s="1086"/>
      <c r="E1" s="1086"/>
      <c r="F1" s="1086"/>
      <c r="G1" s="1086"/>
      <c r="H1" s="1086"/>
      <c r="I1" s="1086"/>
      <c r="J1" s="1086"/>
      <c r="K1" s="1086"/>
      <c r="L1" s="1086"/>
    </row>
    <row r="2" spans="2:21" ht="20.399999999999999">
      <c r="B2" s="1909" t="str">
        <f>"SCHEDULE  OF  IMPROVEMENT  AUTHORIZATIONS  "&amp;UPPER('KEY INPUTS'!D54)&amp;"  (UTILITY  CAPITAL  FUND)"</f>
        <v>SCHEDULE  OF  IMPROVEMENT  AUTHORIZATIONS  WATER/SEWER UTILITY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12" t="str">
        <f>IF('KEY INPUTS'!C42 = "State Fiscal Year", 'KEY INPUTS'!F25,'KEY INPUTS'!D25)</f>
        <v>Balance - January 1, 2021</v>
      </c>
      <c r="F4" s="2013"/>
      <c r="G4" s="1083"/>
      <c r="H4" s="1083"/>
      <c r="I4" s="1083"/>
      <c r="J4" s="1083"/>
      <c r="K4" s="2018" t="str">
        <f>IF('KEY INPUTS'!C42 = "State Fiscal Year", 'KEY INPUTS'!F26,'KEY INPUTS'!D26)</f>
        <v>Balance - December 31, 2021</v>
      </c>
      <c r="L4" s="2019"/>
    </row>
    <row r="5" spans="2:21" ht="13.5" customHeight="1">
      <c r="B5" s="1908" t="s">
        <v>515</v>
      </c>
      <c r="C5" s="1908"/>
      <c r="D5" s="2001"/>
      <c r="E5" s="2014"/>
      <c r="F5" s="2015"/>
      <c r="G5" s="1091"/>
      <c r="H5" s="1091"/>
      <c r="I5" s="1091"/>
      <c r="J5" s="1091"/>
      <c r="K5" s="2020"/>
      <c r="L5" s="2021"/>
    </row>
    <row r="6" spans="2:21" ht="13.5" customHeight="1">
      <c r="B6" s="1908" t="s">
        <v>516</v>
      </c>
      <c r="C6" s="1908"/>
      <c r="D6" s="2001"/>
      <c r="E6" s="2016"/>
      <c r="F6" s="2017"/>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thickBot="1">
      <c r="B9" s="1609" t="s">
        <v>3720</v>
      </c>
      <c r="C9" s="642"/>
      <c r="D9" s="645"/>
      <c r="E9" s="587">
        <v>5989.9</v>
      </c>
      <c r="F9" s="587"/>
      <c r="G9" s="587"/>
      <c r="H9" s="587"/>
      <c r="I9" s="587"/>
      <c r="J9" s="587"/>
      <c r="K9" s="587">
        <f>+E9+F9+G9-I9+J9</f>
        <v>5989.9</v>
      </c>
      <c r="L9" s="599"/>
      <c r="O9" s="309"/>
      <c r="P9" s="309"/>
      <c r="Q9" s="309"/>
      <c r="R9" s="309"/>
      <c r="S9" s="309"/>
      <c r="T9" s="309"/>
      <c r="U9" s="309"/>
    </row>
    <row r="10" spans="2:21" ht="21" customHeight="1" thickTop="1" thickBot="1">
      <c r="B10" s="671" t="s">
        <v>3721</v>
      </c>
      <c r="C10" s="672"/>
      <c r="D10" s="621"/>
      <c r="E10" s="571">
        <v>48230.32</v>
      </c>
      <c r="F10" s="571"/>
      <c r="G10" s="571"/>
      <c r="H10" s="571"/>
      <c r="I10" s="547">
        <v>21283.21</v>
      </c>
      <c r="J10" s="571"/>
      <c r="K10" s="587">
        <f>+E10+F10+G10-I10+J10</f>
        <v>26947.11</v>
      </c>
      <c r="L10" s="572"/>
      <c r="O10" s="356"/>
      <c r="P10" s="309"/>
      <c r="Q10" s="309"/>
      <c r="R10" s="309"/>
      <c r="S10" s="309"/>
      <c r="T10" s="309"/>
      <c r="U10" s="309"/>
    </row>
    <row r="11" spans="2:21" ht="21" customHeight="1" thickTop="1" thickBot="1">
      <c r="B11" s="673" t="s">
        <v>3722</v>
      </c>
      <c r="C11" s="672"/>
      <c r="D11" s="621"/>
      <c r="E11" s="571">
        <v>1228.75</v>
      </c>
      <c r="F11" s="571"/>
      <c r="G11" s="571"/>
      <c r="H11" s="571"/>
      <c r="I11" s="571">
        <v>1228.75</v>
      </c>
      <c r="J11" s="571"/>
      <c r="K11" s="587">
        <f t="shared" ref="K11:K19" si="0">+E11+F11+G11-I11+J11</f>
        <v>0</v>
      </c>
      <c r="L11" s="572"/>
      <c r="O11" s="309"/>
      <c r="P11" s="309"/>
      <c r="Q11" s="309"/>
      <c r="R11" s="309"/>
      <c r="S11" s="309"/>
      <c r="T11" s="309"/>
      <c r="U11" s="309"/>
    </row>
    <row r="12" spans="2:21" ht="21" customHeight="1" thickTop="1" thickBot="1">
      <c r="B12" s="673" t="s">
        <v>3723</v>
      </c>
      <c r="C12" s="672"/>
      <c r="D12" s="621"/>
      <c r="E12" s="571">
        <v>289502.49</v>
      </c>
      <c r="F12" s="571">
        <v>950300</v>
      </c>
      <c r="G12" s="571"/>
      <c r="H12" s="571"/>
      <c r="I12" s="353">
        <v>175829.27</v>
      </c>
      <c r="J12" s="571">
        <v>-76700</v>
      </c>
      <c r="K12" s="587">
        <f>+E12+F12+G12-I12+J12-L12</f>
        <v>36973.219999999972</v>
      </c>
      <c r="L12" s="572">
        <v>950300</v>
      </c>
      <c r="O12" s="309"/>
      <c r="P12" s="309"/>
      <c r="Q12" s="309"/>
      <c r="R12" s="309"/>
      <c r="S12" s="309"/>
      <c r="T12" s="309"/>
      <c r="U12" s="309"/>
    </row>
    <row r="13" spans="2:21" ht="21" customHeight="1" thickTop="1" thickBot="1">
      <c r="B13" s="673" t="s">
        <v>3731</v>
      </c>
      <c r="C13" s="672"/>
      <c r="D13" s="621"/>
      <c r="E13" s="571"/>
      <c r="F13" s="571"/>
      <c r="G13" s="571"/>
      <c r="H13" s="571"/>
      <c r="I13" s="547">
        <v>76631.850000000006</v>
      </c>
      <c r="J13" s="571">
        <v>76700</v>
      </c>
      <c r="K13" s="587">
        <f t="shared" si="0"/>
        <v>68.149999999994179</v>
      </c>
      <c r="L13" s="669"/>
      <c r="O13" s="309"/>
      <c r="P13" s="309"/>
      <c r="Q13" s="309"/>
      <c r="R13" s="309"/>
      <c r="S13" s="309"/>
      <c r="T13" s="309"/>
      <c r="U13" s="309"/>
    </row>
    <row r="14" spans="2:21" ht="21" customHeight="1" thickTop="1" thickBot="1">
      <c r="B14" s="673" t="s">
        <v>3724</v>
      </c>
      <c r="C14" s="672"/>
      <c r="D14" s="621"/>
      <c r="E14" s="571">
        <v>156140</v>
      </c>
      <c r="F14" s="571"/>
      <c r="G14" s="571"/>
      <c r="H14" s="571"/>
      <c r="I14" s="571">
        <v>136606</v>
      </c>
      <c r="J14" s="571"/>
      <c r="K14" s="587">
        <f t="shared" si="0"/>
        <v>19534</v>
      </c>
      <c r="L14" s="572"/>
      <c r="O14" s="309"/>
      <c r="P14" s="309"/>
      <c r="Q14" s="309"/>
      <c r="R14" s="309"/>
      <c r="S14" s="309"/>
      <c r="T14" s="309"/>
      <c r="U14" s="309"/>
    </row>
    <row r="15" spans="2:21" ht="21" customHeight="1" thickTop="1" thickBot="1">
      <c r="B15" s="671" t="s">
        <v>3725</v>
      </c>
      <c r="C15" s="672"/>
      <c r="D15" s="621"/>
      <c r="E15" s="571">
        <v>148000</v>
      </c>
      <c r="F15" s="571"/>
      <c r="G15" s="571"/>
      <c r="H15" s="571"/>
      <c r="I15" s="571">
        <v>135812.16</v>
      </c>
      <c r="J15" s="571"/>
      <c r="K15" s="587">
        <f t="shared" si="0"/>
        <v>12187.839999999997</v>
      </c>
      <c r="L15" s="572"/>
      <c r="O15" s="309"/>
      <c r="P15" s="309"/>
      <c r="Q15" s="309"/>
      <c r="R15" s="309"/>
      <c r="S15" s="309"/>
      <c r="T15" s="309"/>
      <c r="U15" s="309"/>
    </row>
    <row r="16" spans="2:21" ht="21" customHeight="1" thickTop="1" thickBot="1">
      <c r="B16" s="1612" t="s">
        <v>3726</v>
      </c>
      <c r="C16" s="617"/>
      <c r="D16" s="621"/>
      <c r="E16" s="574">
        <v>113000</v>
      </c>
      <c r="F16" s="574"/>
      <c r="G16" s="574"/>
      <c r="H16" s="574"/>
      <c r="I16" s="574">
        <v>1100</v>
      </c>
      <c r="J16" s="574"/>
      <c r="K16" s="587">
        <f t="shared" si="0"/>
        <v>111900</v>
      </c>
      <c r="L16" s="572"/>
      <c r="O16" s="309"/>
      <c r="P16" s="309"/>
      <c r="Q16" s="309"/>
      <c r="R16" s="309"/>
      <c r="S16" s="309"/>
      <c r="T16" s="309"/>
      <c r="U16" s="309"/>
    </row>
    <row r="17" spans="1:21" ht="21" customHeight="1" thickTop="1" thickBot="1">
      <c r="A17" s="1913" t="s">
        <v>3173</v>
      </c>
      <c r="B17" s="1612" t="s">
        <v>3727</v>
      </c>
      <c r="C17" s="617"/>
      <c r="D17" s="621"/>
      <c r="E17" s="571">
        <v>75000</v>
      </c>
      <c r="F17" s="571"/>
      <c r="G17" s="571"/>
      <c r="H17" s="571"/>
      <c r="I17" s="571">
        <v>0</v>
      </c>
      <c r="J17" s="571"/>
      <c r="K17" s="587">
        <f t="shared" si="0"/>
        <v>75000</v>
      </c>
      <c r="L17" s="572"/>
      <c r="O17" s="309"/>
      <c r="P17" s="309"/>
      <c r="Q17" s="309"/>
      <c r="R17" s="309"/>
      <c r="S17" s="309"/>
      <c r="T17" s="309"/>
      <c r="U17" s="309"/>
    </row>
    <row r="18" spans="1:21" ht="21" customHeight="1" thickTop="1" thickBot="1">
      <c r="A18" s="1913"/>
      <c r="B18" s="1612" t="s">
        <v>3728</v>
      </c>
      <c r="C18" s="617"/>
      <c r="D18" s="621"/>
      <c r="E18" s="571">
        <v>1138752.5</v>
      </c>
      <c r="F18" s="571"/>
      <c r="G18" s="571"/>
      <c r="H18" s="571"/>
      <c r="I18" s="571">
        <v>153429.81</v>
      </c>
      <c r="J18" s="571"/>
      <c r="K18" s="587">
        <f t="shared" si="0"/>
        <v>985322.69</v>
      </c>
      <c r="L18" s="572"/>
      <c r="O18" s="309"/>
      <c r="P18" s="309"/>
      <c r="Q18" s="309"/>
      <c r="R18" s="309"/>
      <c r="S18" s="309"/>
      <c r="T18" s="309"/>
      <c r="U18" s="309"/>
    </row>
    <row r="19" spans="1:21" ht="21" customHeight="1" thickTop="1">
      <c r="A19" s="1913"/>
      <c r="B19" s="1612" t="s">
        <v>3729</v>
      </c>
      <c r="C19" s="617"/>
      <c r="D19" s="621"/>
      <c r="E19" s="571">
        <v>2390900.9900000002</v>
      </c>
      <c r="F19" s="571"/>
      <c r="G19" s="571"/>
      <c r="H19" s="571"/>
      <c r="I19" s="571">
        <v>1186910.18</v>
      </c>
      <c r="J19" s="571"/>
      <c r="K19" s="587">
        <f t="shared" si="0"/>
        <v>1203990.8100000003</v>
      </c>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3265</v>
      </c>
      <c r="E27" s="133">
        <f t="shared" ref="E27:L27" si="1">SUM(E9:E26)</f>
        <v>4366744.95</v>
      </c>
      <c r="F27" s="133">
        <f t="shared" si="1"/>
        <v>950300</v>
      </c>
      <c r="G27" s="133">
        <f t="shared" si="1"/>
        <v>0</v>
      </c>
      <c r="H27" s="133">
        <f t="shared" si="1"/>
        <v>0</v>
      </c>
      <c r="I27" s="133">
        <f t="shared" si="1"/>
        <v>1888831.23</v>
      </c>
      <c r="J27" s="133">
        <f t="shared" si="1"/>
        <v>0</v>
      </c>
      <c r="K27" s="133">
        <f t="shared" si="1"/>
        <v>2477913.7200000002</v>
      </c>
      <c r="L27" s="153">
        <f t="shared" si="1"/>
        <v>950300</v>
      </c>
    </row>
    <row r="28" spans="1:21" ht="13.5" customHeight="1" thickTop="1">
      <c r="B28" s="521"/>
      <c r="C28" s="520" t="s">
        <v>522</v>
      </c>
      <c r="D28" s="519"/>
      <c r="E28" s="482"/>
      <c r="F28" s="482"/>
      <c r="G28" s="482"/>
      <c r="H28" s="482"/>
      <c r="I28" s="482"/>
      <c r="J28" s="482"/>
      <c r="K28" s="515"/>
      <c r="L28" s="515"/>
    </row>
    <row r="42" spans="11:12">
      <c r="K42" s="318" t="s">
        <v>3214</v>
      </c>
      <c r="L42" s="525">
        <f>K27+L27</f>
        <v>3428213.72</v>
      </c>
    </row>
  </sheetData>
  <sheetProtection algorithmName="SHA-512" hashValue="wiQ1TT+okCRcHIlPz95VFwYovECcBAFQIgTCIYt6uxFQWczz1PAuUW8raynmrTXBnBhvW9F+LIneaH7G6U+dFA==" saltValue="B2pnzKE8EeDWHIlUiFwU7Q==" spinCount="100000" sheet="1" objects="1" scenarios="1"/>
  <mergeCells count="9">
    <mergeCell ref="B2:L2"/>
    <mergeCell ref="B3:L3"/>
    <mergeCell ref="A17:A19"/>
    <mergeCell ref="B5:D5"/>
    <mergeCell ref="B6:D6"/>
    <mergeCell ref="B7:D7"/>
    <mergeCell ref="E4:F6"/>
    <mergeCell ref="K4:L6"/>
    <mergeCell ref="B4:D4"/>
  </mergeCells>
  <pageMargins left="0.25" right="0.25" top="0.5" bottom="0.5" header="0.25" footer="0.25"/>
  <pageSetup paperSize="5" orientation="landscape" r:id="rId1"/>
  <headerFooter alignWithMargins="0"/>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2">
    <tabColor theme="6" tint="0.39997558519241921"/>
  </sheetPr>
  <dimension ref="A1:U42"/>
  <sheetViews>
    <sheetView zoomScaleNormal="100" zoomScaleSheetLayoutView="80" workbookViewId="0">
      <selection activeCell="K7" sqref="K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c r="B1" s="1086"/>
      <c r="C1" s="1086"/>
      <c r="D1" s="1086"/>
      <c r="E1" s="1086"/>
      <c r="F1" s="1086"/>
      <c r="G1" s="1086"/>
      <c r="H1" s="1086"/>
      <c r="I1" s="1086"/>
      <c r="J1" s="1086"/>
      <c r="K1" s="1086"/>
      <c r="L1" s="1086"/>
    </row>
    <row r="2" spans="2:21" ht="20.399999999999999">
      <c r="B2" s="1909" t="str">
        <f>"SCHEDULE  OF  IMPROVEMENT  AUTHORIZATIONS  " &amp;UPPER('KEY INPUTS'!D54)&amp;"  (UTILITY  CAPITAL  FUND)"</f>
        <v>SCHEDULE  OF  IMPROVEMENT  AUTHORIZATIONS  WATER/SEWER UTILITY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12" t="str">
        <f>IF('KEY INPUTS'!C42 = "State Fiscal Year", 'KEY INPUTS'!F25,'KEY INPUTS'!D25)</f>
        <v>Balance - January 1, 2021</v>
      </c>
      <c r="F4" s="2013"/>
      <c r="G4" s="1083"/>
      <c r="H4" s="1083"/>
      <c r="I4" s="1083"/>
      <c r="J4" s="1083"/>
      <c r="K4" s="2018" t="str">
        <f>IF('KEY INPUTS'!C42 = "State Fiscal Year", 'KEY INPUTS'!F26,'KEY INPUTS'!D26)</f>
        <v>Balance - December 31, 2021</v>
      </c>
      <c r="L4" s="2019"/>
    </row>
    <row r="5" spans="2:21" ht="13.5" customHeight="1">
      <c r="B5" s="1908" t="s">
        <v>515</v>
      </c>
      <c r="C5" s="1908"/>
      <c r="D5" s="2001"/>
      <c r="E5" s="2014"/>
      <c r="F5" s="2015"/>
      <c r="G5" s="1091"/>
      <c r="H5" s="1091"/>
      <c r="I5" s="1091"/>
      <c r="J5" s="1091"/>
      <c r="K5" s="2020"/>
      <c r="L5" s="2021"/>
    </row>
    <row r="6" spans="2:21" ht="13.5" customHeight="1">
      <c r="B6" s="1908" t="s">
        <v>516</v>
      </c>
      <c r="C6" s="1908"/>
      <c r="D6" s="2001"/>
      <c r="E6" s="2016"/>
      <c r="F6" s="2017"/>
      <c r="G6" s="1091" t="str">
        <f>'52-Utility1'!G6</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+'52-Utility1'!E27</f>
        <v>4366744.95</v>
      </c>
      <c r="F9" s="1217">
        <f>+'52-Utility1'!F27</f>
        <v>950300</v>
      </c>
      <c r="G9" s="1217">
        <f>+'52-Utility1'!G27</f>
        <v>0</v>
      </c>
      <c r="H9" s="1217">
        <f>+'52-Utility1'!H27</f>
        <v>0</v>
      </c>
      <c r="I9" s="1217">
        <f>+'52-Utility1'!I27</f>
        <v>1888831.23</v>
      </c>
      <c r="J9" s="1217">
        <f>+'52-Utility1'!J27</f>
        <v>0</v>
      </c>
      <c r="K9" s="1217">
        <f>+'52-Utility1'!K27</f>
        <v>2477913.7200000002</v>
      </c>
      <c r="L9" s="1221">
        <f>+'52-Utility1'!L27</f>
        <v>950300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3265</v>
      </c>
      <c r="E27" s="133">
        <f t="shared" ref="E27:L27" si="0">SUM(E9:E26)</f>
        <v>4366744.95</v>
      </c>
      <c r="F27" s="133">
        <f t="shared" si="0"/>
        <v>950300</v>
      </c>
      <c r="G27" s="133">
        <f t="shared" si="0"/>
        <v>0</v>
      </c>
      <c r="H27" s="133">
        <f t="shared" si="0"/>
        <v>0</v>
      </c>
      <c r="I27" s="133">
        <f t="shared" si="0"/>
        <v>1888831.23</v>
      </c>
      <c r="J27" s="133">
        <f t="shared" si="0"/>
        <v>0</v>
      </c>
      <c r="K27" s="133">
        <f t="shared" si="0"/>
        <v>2477913.7200000002</v>
      </c>
      <c r="L27" s="153">
        <f t="shared" si="0"/>
        <v>950300</v>
      </c>
    </row>
    <row r="28" spans="1:21" ht="13.5" customHeight="1" thickTop="1">
      <c r="B28" s="521"/>
      <c r="C28" s="520" t="s">
        <v>522</v>
      </c>
      <c r="D28" s="519"/>
      <c r="E28" s="482"/>
      <c r="F28" s="482"/>
      <c r="G28" s="482"/>
      <c r="H28" s="482"/>
      <c r="I28" s="482"/>
      <c r="J28" s="482"/>
      <c r="K28" s="515"/>
      <c r="L28" s="515"/>
    </row>
    <row r="42" spans="11:12">
      <c r="K42" s="318" t="s">
        <v>3214</v>
      </c>
      <c r="L42" s="525">
        <f>K27+L27</f>
        <v>3428213.72</v>
      </c>
    </row>
  </sheetData>
  <sheetProtection algorithmName="SHA-512" hashValue="vsyZ+I8ScNf6NEChoLWM1nvrp9WGgAVyZq6p7jhHBK4Y5KnaobRV7NosVO/5hhuYqGHewEFsZdqTrZmJ2RsDBg==" saltValue="R9pycWVnRleBZA0OgGYhv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3">
    <tabColor theme="6" tint="0.39997558519241921"/>
  </sheetPr>
  <dimension ref="A1:U42"/>
  <sheetViews>
    <sheetView zoomScaleNormal="100" zoomScaleSheetLayoutView="80" workbookViewId="0">
      <selection activeCell="K7" sqref="K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INPUTS'!D54)&amp;"  (UTILITY  CAPITAL  FUND)"</f>
        <v>SCHEDULE  OF  IMPROVEMENT  AUTHORIZATIONS  WATER/SEWER UTILITY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'52.1-Utility1'!G6</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+'52.1-Utility1'!E27</f>
        <v>4366744.95</v>
      </c>
      <c r="F9" s="1217">
        <f>+'52.1-Utility1'!F27</f>
        <v>950300</v>
      </c>
      <c r="G9" s="1217">
        <f>+'52.1-Utility1'!G27</f>
        <v>0</v>
      </c>
      <c r="H9" s="1217">
        <f>+'52.1-Utility1'!H27</f>
        <v>0</v>
      </c>
      <c r="I9" s="1217">
        <f>+'52.1-Utility1'!I27</f>
        <v>1888831.23</v>
      </c>
      <c r="J9" s="1217">
        <f>+'52.1-Utility1'!J27</f>
        <v>0</v>
      </c>
      <c r="K9" s="1217">
        <f>+'52.1-Utility1'!K27</f>
        <v>2477913.7200000002</v>
      </c>
      <c r="L9" s="1221">
        <f>+'52.1-Utility1'!L27</f>
        <v>950300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3265</v>
      </c>
      <c r="E27" s="133">
        <f t="shared" ref="E27:L27" si="0">SUM(E9:E26)</f>
        <v>4366744.95</v>
      </c>
      <c r="F27" s="133">
        <f t="shared" si="0"/>
        <v>950300</v>
      </c>
      <c r="G27" s="133">
        <f t="shared" si="0"/>
        <v>0</v>
      </c>
      <c r="H27" s="133">
        <f t="shared" si="0"/>
        <v>0</v>
      </c>
      <c r="I27" s="133">
        <f t="shared" si="0"/>
        <v>1888831.23</v>
      </c>
      <c r="J27" s="133">
        <f t="shared" si="0"/>
        <v>0</v>
      </c>
      <c r="K27" s="133">
        <f t="shared" si="0"/>
        <v>2477913.7200000002</v>
      </c>
      <c r="L27" s="153">
        <f t="shared" si="0"/>
        <v>950300</v>
      </c>
    </row>
    <row r="28" spans="1:21" ht="13.5" customHeight="1" thickTop="1">
      <c r="B28" s="521"/>
      <c r="C28" s="520" t="s">
        <v>522</v>
      </c>
      <c r="D28" s="519"/>
      <c r="E28" s="482"/>
      <c r="F28" s="482"/>
      <c r="G28" s="482"/>
      <c r="H28" s="482"/>
      <c r="I28" s="482"/>
      <c r="J28" s="482"/>
      <c r="K28" s="515"/>
      <c r="L28" s="515"/>
    </row>
    <row r="42" spans="11:12">
      <c r="K42" s="318" t="s">
        <v>3214</v>
      </c>
      <c r="L42" s="525">
        <f>K27+L27</f>
        <v>3428213.72</v>
      </c>
    </row>
  </sheetData>
  <sheetProtection algorithmName="SHA-512" hashValue="xR2poQd8u4ceTC3ZZ98XFTkW8JM6fXQTibnBU/Itt/3dEabl9NOUM6WWF/61g1xLMyCbNsZsPnrGTyVEasXtOw==" saltValue="ThwEKY7042vcL3y83Ls9w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4">
    <tabColor theme="6" tint="0.39997558519241921"/>
  </sheetPr>
  <dimension ref="A1:U42"/>
  <sheetViews>
    <sheetView zoomScaleNormal="100" zoomScaleSheetLayoutView="80" workbookViewId="0">
      <selection activeCell="K7" sqref="K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INPUTS'!D54)&amp;"  (UTILITY  CAPITAL  FUND)"</f>
        <v>SCHEDULE  OF  IMPROVEMENT  AUTHORIZATIONS  WATER/SEWER UTILITY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'52.2-Utility1'!G6</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+'52.2-Utility1'!E27</f>
        <v>4366744.95</v>
      </c>
      <c r="F9" s="1217">
        <f>+'52.2-Utility1'!F27</f>
        <v>950300</v>
      </c>
      <c r="G9" s="1217">
        <f>+'52.2-Utility1'!G27</f>
        <v>0</v>
      </c>
      <c r="H9" s="1217">
        <f>+'52.2-Utility1'!H27</f>
        <v>0</v>
      </c>
      <c r="I9" s="1217">
        <f>+'52.2-Utility1'!I27</f>
        <v>1888831.23</v>
      </c>
      <c r="J9" s="1217">
        <f>+'52.2-Utility1'!J27</f>
        <v>0</v>
      </c>
      <c r="K9" s="1217">
        <f>+'52.2-Utility1'!K27</f>
        <v>2477913.7200000002</v>
      </c>
      <c r="L9" s="1221">
        <f>+'52.2-Utility1'!L27</f>
        <v>950300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3265</v>
      </c>
      <c r="E27" s="133">
        <f t="shared" ref="E27:L27" si="0">SUM(E9:E26)</f>
        <v>4366744.95</v>
      </c>
      <c r="F27" s="133">
        <f t="shared" si="0"/>
        <v>950300</v>
      </c>
      <c r="G27" s="133">
        <f t="shared" si="0"/>
        <v>0</v>
      </c>
      <c r="H27" s="133">
        <f t="shared" si="0"/>
        <v>0</v>
      </c>
      <c r="I27" s="133">
        <f t="shared" si="0"/>
        <v>1888831.23</v>
      </c>
      <c r="J27" s="133">
        <f t="shared" si="0"/>
        <v>0</v>
      </c>
      <c r="K27" s="133">
        <f t="shared" si="0"/>
        <v>2477913.7200000002</v>
      </c>
      <c r="L27" s="153">
        <f t="shared" si="0"/>
        <v>950300</v>
      </c>
    </row>
    <row r="28" spans="1:21" ht="13.5" customHeight="1" thickTop="1">
      <c r="B28" s="521"/>
      <c r="C28" s="520" t="s">
        <v>522</v>
      </c>
      <c r="D28" s="519"/>
      <c r="E28" s="482"/>
      <c r="F28" s="482"/>
      <c r="G28" s="482"/>
      <c r="H28" s="482"/>
      <c r="I28" s="482"/>
      <c r="J28" s="482"/>
      <c r="K28" s="515"/>
      <c r="L28" s="515"/>
    </row>
    <row r="42" spans="11:12">
      <c r="K42" s="318" t="s">
        <v>3214</v>
      </c>
      <c r="L42" s="525">
        <f>K27+L27</f>
        <v>3428213.72</v>
      </c>
    </row>
  </sheetData>
  <sheetProtection algorithmName="SHA-512" hashValue="HQEoSgAXU1g0wLmVeWmPBbJkKi5RlIG/skdjbcwxrkXaKu3iqR3gFSO8fqdEF5Z7SRJABbHe9AKQioabJU6sWQ==" saltValue="3KmiEymsZ+NiXP/C2S8K6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5">
    <tabColor theme="6" tint="0.39997558519241921"/>
  </sheetPr>
  <dimension ref="A1:U42"/>
  <sheetViews>
    <sheetView zoomScaleNormal="100" zoomScaleSheetLayoutView="80" workbookViewId="0">
      <selection activeCell="J19" sqref="J19"/>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c r="B1" s="1086"/>
      <c r="C1" s="1086"/>
      <c r="D1" s="1086"/>
      <c r="E1" s="1086"/>
      <c r="F1" s="1086"/>
      <c r="G1" s="1086"/>
      <c r="H1" s="1086"/>
      <c r="I1" s="1086"/>
      <c r="J1" s="1086"/>
      <c r="K1" s="1086"/>
      <c r="L1" s="1086"/>
    </row>
    <row r="2" spans="2:21" ht="20.399999999999999">
      <c r="B2" s="1909" t="str">
        <f>"SCHEDULE  OF  IMPROVEMENT  AUTHORIZATIONS  " &amp;UPPER('KEY INPUTS'!D54)&amp;"  (UTILITY  CAPITAL  FUND)"</f>
        <v>SCHEDULE  OF  IMPROVEMENT  AUTHORIZATIONS  WATER/SEWER UTILITY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'52.3-Utility1'!G6</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+'52.3-Utility1'!E27</f>
        <v>4366744.95</v>
      </c>
      <c r="F9" s="1217">
        <f>+'52.3-Utility1'!F27</f>
        <v>950300</v>
      </c>
      <c r="G9" s="1217">
        <f>+'52.3-Utility1'!G27</f>
        <v>0</v>
      </c>
      <c r="H9" s="1217">
        <f>+'52.3-Utility1'!H27</f>
        <v>0</v>
      </c>
      <c r="I9" s="1217">
        <f>+'52.3-Utility1'!I27</f>
        <v>1888831.23</v>
      </c>
      <c r="J9" s="1217">
        <f>+'52.3-Utility1'!J27</f>
        <v>0</v>
      </c>
      <c r="K9" s="1217">
        <f>+'52.3-Utility1'!K27</f>
        <v>2477913.7200000002</v>
      </c>
      <c r="L9" s="1221">
        <f>+'52.3-Utility1'!L27</f>
        <v>950300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3362</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799</v>
      </c>
      <c r="E27" s="133">
        <f t="shared" ref="E27:L27" si="0">SUM(E9:E26)</f>
        <v>4366744.95</v>
      </c>
      <c r="F27" s="133">
        <f t="shared" si="0"/>
        <v>950300</v>
      </c>
      <c r="G27" s="133">
        <f t="shared" si="0"/>
        <v>0</v>
      </c>
      <c r="H27" s="133">
        <f t="shared" si="0"/>
        <v>0</v>
      </c>
      <c r="I27" s="133">
        <f t="shared" si="0"/>
        <v>1888831.23</v>
      </c>
      <c r="J27" s="133">
        <f t="shared" si="0"/>
        <v>0</v>
      </c>
      <c r="K27" s="133">
        <f t="shared" si="0"/>
        <v>2477913.7200000002</v>
      </c>
      <c r="L27" s="153">
        <f t="shared" si="0"/>
        <v>950300</v>
      </c>
    </row>
    <row r="28" spans="1:21" ht="13.5" customHeight="1" thickTop="1">
      <c r="B28" s="521"/>
      <c r="C28" s="520" t="s">
        <v>522</v>
      </c>
      <c r="D28" s="519"/>
      <c r="E28" s="482"/>
      <c r="F28" s="482"/>
      <c r="G28" s="482"/>
      <c r="H28" s="482"/>
      <c r="I28" s="482"/>
      <c r="J28" s="482"/>
      <c r="K28" s="515"/>
      <c r="L28" s="515"/>
    </row>
    <row r="42" spans="11:12">
      <c r="K42" s="318" t="s">
        <v>3214</v>
      </c>
      <c r="L42" s="525">
        <f>K27+L27</f>
        <v>3428213.72</v>
      </c>
    </row>
  </sheetData>
  <sheetProtection algorithmName="SHA-512" hashValue="Wn60KoPbqicUsHSRQD9HM3hrA+1XY0l5bfJCrdOnfZ2eaU12w2AjtNi8Zz3bFd5l6N/dPYzfURqU2w6omXv6nw==" saltValue="nubT47O1HATT2jx/8fuIO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6">
    <tabColor theme="6" tint="0.39997558519241921"/>
  </sheetPr>
  <dimension ref="B3:S54"/>
  <sheetViews>
    <sheetView topLeftCell="A13" zoomScaleNormal="100" zoomScaleSheetLayoutView="80" workbookViewId="0">
      <selection activeCell="J36" sqref="J36"/>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3" spans="2:19" ht="22.8">
      <c r="B3" s="1887" t="str">
        <f>UPPER('KEY INPUTS'!D54)&amp;" UTILITY  CAPITAL  FUND"</f>
        <v>WATER/SEWER UTILITY UTILITY  CAPITAL  FUND</v>
      </c>
      <c r="C3" s="1887"/>
      <c r="D3" s="1887"/>
      <c r="E3" s="1887"/>
      <c r="F3" s="1887"/>
      <c r="G3" s="1887"/>
      <c r="H3" s="1887"/>
      <c r="I3" s="1887"/>
      <c r="J3" s="1887"/>
    </row>
    <row r="4" spans="2:19">
      <c r="B4" s="737"/>
      <c r="C4" s="737"/>
      <c r="D4" s="737"/>
      <c r="E4" s="737"/>
    </row>
    <row r="5" spans="2:19" ht="15.6">
      <c r="B5" s="2030" t="s">
        <v>526</v>
      </c>
      <c r="C5" s="2030"/>
      <c r="D5" s="2030"/>
      <c r="E5" s="2030"/>
      <c r="F5" s="2030"/>
      <c r="G5" s="2030"/>
      <c r="H5" s="2030"/>
      <c r="I5" s="2030"/>
      <c r="J5" s="2030"/>
    </row>
    <row r="6" spans="2:19" ht="13.8" thickBot="1"/>
    <row r="7" spans="2:19" ht="28.5" customHeight="1" thickTop="1" thickBot="1">
      <c r="B7" s="488"/>
      <c r="C7" s="488"/>
      <c r="D7" s="488"/>
      <c r="E7" s="488"/>
      <c r="F7" s="488"/>
      <c r="G7" s="488"/>
      <c r="H7" s="488"/>
      <c r="I7" s="382" t="s">
        <v>96</v>
      </c>
      <c r="J7" s="381" t="s">
        <v>97</v>
      </c>
    </row>
    <row r="8" spans="2:19" ht="21" customHeight="1" thickTop="1">
      <c r="B8" s="387" t="str">
        <f>IF('KEY INPUTS'!C42 = "State Fiscal Year", 'KEY INPUTS'!F25,'KEY INPUTS'!D25)</f>
        <v>Balance - January 1, 2021</v>
      </c>
      <c r="C8" s="387"/>
      <c r="D8" s="387"/>
      <c r="E8" s="387"/>
      <c r="F8" s="387"/>
      <c r="G8" s="387"/>
      <c r="H8" s="529"/>
      <c r="I8" s="1029" t="s">
        <v>628</v>
      </c>
      <c r="J8" s="607">
        <v>17504.25</v>
      </c>
    </row>
    <row r="9" spans="2:19" ht="21" customHeight="1">
      <c r="B9" s="483" t="str">
        <f>"Received from "&amp;IF('KEY INPUTS'!C42="State Fiscal Year","Fiscal Year "&amp;'KEY INPUTS'!D33&amp;"",'KEY INPUTS'!D34)&amp;" Budget Appropriation"</f>
        <v>Received from 2021 Budget Appropriation</v>
      </c>
      <c r="C9" s="321"/>
      <c r="D9" s="321"/>
      <c r="E9" s="321"/>
      <c r="F9" s="321"/>
      <c r="G9" s="321"/>
      <c r="H9" s="527"/>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532" t="s">
        <v>176</v>
      </c>
      <c r="C11" s="531"/>
      <c r="D11" s="531"/>
      <c r="E11" s="531"/>
      <c r="F11" s="531"/>
      <c r="G11" s="531"/>
      <c r="H11" s="524"/>
      <c r="I11" s="2033" t="s">
        <v>628</v>
      </c>
      <c r="J11" s="2031"/>
      <c r="M11" s="356"/>
      <c r="N11" s="309"/>
      <c r="O11" s="309"/>
      <c r="P11" s="309"/>
      <c r="Q11" s="309"/>
      <c r="R11" s="309"/>
      <c r="S11" s="309"/>
    </row>
    <row r="12" spans="2:19" ht="12.75" customHeight="1">
      <c r="B12" s="451"/>
      <c r="C12" s="528" t="s">
        <v>177</v>
      </c>
      <c r="D12" s="451"/>
      <c r="E12" s="451"/>
      <c r="F12" s="451"/>
      <c r="G12" s="451"/>
      <c r="H12" s="530"/>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321" t="s">
        <v>179</v>
      </c>
      <c r="C22" s="321"/>
      <c r="D22" s="321"/>
      <c r="E22" s="321"/>
      <c r="F22" s="321"/>
      <c r="G22" s="321"/>
      <c r="H22" s="527"/>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321" t="str">
        <f>IF('KEY INPUTS'!C42 = "State Fiscal Year", 'KEY INPUTS'!F26,'KEY INPUTS'!D26)</f>
        <v>Balance - December 31, 2021</v>
      </c>
      <c r="C24" s="321"/>
      <c r="D24" s="321"/>
      <c r="E24" s="321"/>
      <c r="F24" s="321"/>
      <c r="G24" s="321"/>
      <c r="H24" s="527"/>
      <c r="I24" s="1047">
        <f>+SUM(J8:J13)-SUM(I13:I23)</f>
        <v>17504.25</v>
      </c>
      <c r="J24" s="1045" t="s">
        <v>628</v>
      </c>
      <c r="M24" s="309"/>
      <c r="N24" s="309"/>
      <c r="O24" s="309"/>
      <c r="P24" s="309"/>
      <c r="Q24" s="309"/>
      <c r="R24" s="309"/>
      <c r="S24" s="309"/>
    </row>
    <row r="25" spans="2:19" ht="21" customHeight="1" thickTop="1" thickBot="1">
      <c r="I25" s="1008">
        <f>SUM(I8:I24)</f>
        <v>17504.25</v>
      </c>
      <c r="J25" s="1048">
        <f>SUM(J8:J24)</f>
        <v>17504.25</v>
      </c>
      <c r="M25" s="309"/>
      <c r="N25" s="309"/>
      <c r="O25" s="309"/>
      <c r="P25" s="309"/>
      <c r="Q25" s="309"/>
      <c r="R25" s="309"/>
      <c r="S25" s="309"/>
    </row>
    <row r="26" spans="2:19" ht="13.8" thickTop="1"/>
    <row r="30" spans="2:19" ht="22.8">
      <c r="B30" s="1887" t="str">
        <f>UPPER('KEY INPUTS'!D54)&amp;" UTILITY  CAPITAL  FUND"</f>
        <v>WATER/SEWER UTILITY UTILITY  CAPITAL  FUND</v>
      </c>
      <c r="C30" s="1887"/>
      <c r="D30" s="1887"/>
      <c r="E30" s="1887"/>
      <c r="F30" s="1887"/>
      <c r="G30" s="1887"/>
      <c r="H30" s="1887"/>
      <c r="I30" s="1887"/>
      <c r="J30" s="1887"/>
    </row>
    <row r="31" spans="2:19" ht="7.5" customHeight="1"/>
    <row r="32" spans="2:19" ht="15.6">
      <c r="B32" s="2030" t="s">
        <v>180</v>
      </c>
      <c r="C32" s="2030"/>
      <c r="D32" s="2030"/>
      <c r="E32" s="2030"/>
      <c r="F32" s="2030"/>
      <c r="G32" s="2030"/>
      <c r="H32" s="2030"/>
      <c r="I32" s="2030"/>
      <c r="J32" s="2030"/>
    </row>
    <row r="33" spans="2:10" ht="13.8" thickBot="1"/>
    <row r="34" spans="2:10" ht="26.25" customHeight="1" thickTop="1" thickBot="1">
      <c r="B34" s="488"/>
      <c r="C34" s="488"/>
      <c r="D34" s="488"/>
      <c r="E34" s="488"/>
      <c r="F34" s="488"/>
      <c r="G34" s="488"/>
      <c r="H34" s="488"/>
      <c r="I34" s="382" t="s">
        <v>96</v>
      </c>
      <c r="J34" s="381" t="s">
        <v>97</v>
      </c>
    </row>
    <row r="35" spans="2:10" ht="21" customHeight="1" thickTop="1">
      <c r="B35" s="387" t="str">
        <f>B8</f>
        <v>Balance - January 1, 2021</v>
      </c>
      <c r="C35" s="387"/>
      <c r="D35" s="387"/>
      <c r="E35" s="387"/>
      <c r="F35" s="387"/>
      <c r="G35" s="387"/>
      <c r="H35" s="529"/>
      <c r="I35" s="1029" t="s">
        <v>628</v>
      </c>
      <c r="J35" s="607">
        <v>0</v>
      </c>
    </row>
    <row r="36" spans="2:10" ht="21" customHeight="1">
      <c r="B36" s="483" t="str">
        <f>"Received from "&amp;IF('KEY INPUTS'!C42="State Fiscal Year","Fiscal Year "&amp;'KEY INPUTS'!D33&amp;"",'KEY INPUTS'!D34)&amp;" Budget Appropriation*"</f>
        <v>Received from 2021 Budget Appropriation*</v>
      </c>
      <c r="C36" s="321"/>
      <c r="D36" s="321"/>
      <c r="E36" s="321"/>
      <c r="F36" s="321"/>
      <c r="G36" s="321"/>
      <c r="H36" s="527"/>
      <c r="I36" s="926" t="s">
        <v>628</v>
      </c>
      <c r="J36" s="578"/>
    </row>
    <row r="37" spans="2:10" ht="21" customHeight="1">
      <c r="B37" s="483" t="str">
        <f>"Received from "&amp;IF('KEY INPUTS'!C42="State Fiscal Year","Fiscal Year "&amp;'KEY INPUTS'!D33&amp;"",'KEY INPUTS'!D34)&amp;" Emergency Appropriation*"</f>
        <v>Received from 2021 Emergency Appropriation*</v>
      </c>
      <c r="C37" s="321"/>
      <c r="D37" s="321"/>
      <c r="E37" s="321"/>
      <c r="F37" s="321"/>
      <c r="G37" s="321"/>
      <c r="H37" s="527"/>
      <c r="I37" s="926" t="s">
        <v>628</v>
      </c>
      <c r="J37" s="578"/>
    </row>
    <row r="38" spans="2:10" ht="21" customHeight="1">
      <c r="B38" s="637"/>
      <c r="C38" s="1222"/>
      <c r="D38" s="637"/>
      <c r="E38" s="637"/>
      <c r="F38" s="637"/>
      <c r="G38" s="637"/>
      <c r="H38" s="637"/>
      <c r="I38" s="652"/>
      <c r="J38" s="355"/>
    </row>
    <row r="39" spans="2:10" ht="21" customHeight="1">
      <c r="B39" s="321" t="s">
        <v>179</v>
      </c>
      <c r="C39" s="321"/>
      <c r="D39" s="321"/>
      <c r="E39" s="321"/>
      <c r="F39" s="321"/>
      <c r="G39" s="321"/>
      <c r="H39" s="527"/>
      <c r="I39" s="571"/>
      <c r="J39" s="930" t="s">
        <v>628</v>
      </c>
    </row>
    <row r="40" spans="2:10" ht="21" customHeight="1">
      <c r="B40" s="617"/>
      <c r="C40" s="617"/>
      <c r="D40" s="617"/>
      <c r="E40" s="617"/>
      <c r="F40" s="617"/>
      <c r="G40" s="617"/>
      <c r="H40" s="617"/>
      <c r="I40" s="571"/>
      <c r="J40" s="930" t="s">
        <v>628</v>
      </c>
    </row>
    <row r="41" spans="2:10" ht="21" customHeight="1" thickBot="1">
      <c r="B41" s="321" t="str">
        <f>B24</f>
        <v>Balance - December 31, 2021</v>
      </c>
      <c r="C41" s="321"/>
      <c r="D41" s="321"/>
      <c r="E41" s="321"/>
      <c r="F41" s="321"/>
      <c r="G41" s="321"/>
      <c r="H41" s="527"/>
      <c r="I41" s="1223">
        <f>SUM(J35:J38)-SUM(I38:I40)</f>
        <v>0</v>
      </c>
      <c r="J41" s="1045" t="s">
        <v>628</v>
      </c>
    </row>
    <row r="42" spans="2:10" ht="21" customHeight="1" thickTop="1" thickBot="1">
      <c r="I42" s="1008">
        <f>SUM(I35:I41)</f>
        <v>0</v>
      </c>
      <c r="J42" s="1048">
        <f>SUM(J35:J41)</f>
        <v>0</v>
      </c>
    </row>
    <row r="43" spans="2:10" ht="21" customHeight="1" thickTop="1">
      <c r="I43" s="118"/>
      <c r="J43" s="118"/>
    </row>
    <row r="44" spans="2:10" ht="21" customHeight="1"/>
    <row r="45" spans="2:10" ht="13.5" customHeight="1">
      <c r="B45" s="526" t="str">
        <f>"*The full amount of the "&amp;IF('KEY INPUTS'!C42="State Fiscal Year","Fiscal Year "&amp;'KEY INPUTS'!D33&amp;"",'KEY INPUTS'!D34)&amp;" budget appropriation should be transferred to this account unless the balance"</f>
        <v>*The full amount of the 2021 budget appropriation should be transferred to this account unless the balance</v>
      </c>
      <c r="C45" s="526"/>
    </row>
    <row r="46" spans="2:10" ht="13.5" customHeight="1">
      <c r="B46" s="526"/>
      <c r="C46" s="526" t="s">
        <v>3581</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iczZ3jguH0VBEr+6Kh7wBrAVwNhZ7ty248Q5DPjOjC+mkg1vlySW1E+s719FBK9T0+xVJbLdh53Y0FrqTuTsqQ==" saltValue="g/ZvBJ1UYXQK0NV2FLUZow==" spinCount="100000" sheet="1" objects="1" scenarios="1"/>
  <mergeCells count="7">
    <mergeCell ref="B3:J3"/>
    <mergeCell ref="B5:J5"/>
    <mergeCell ref="B54:J54"/>
    <mergeCell ref="B30:J30"/>
    <mergeCell ref="B32:J32"/>
    <mergeCell ref="J11:J12"/>
    <mergeCell ref="I11:I12"/>
  </mergeCells>
  <pageMargins left="0.25" right="0.25" top="0.5" bottom="0.5" header="0.25" footer="0.25"/>
  <pageSetup paperSize="5" orientation="portrait" r:id="rId1"/>
  <headerFooter alignWithMargins="0"/>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7">
    <tabColor theme="6" tint="0.39997558519241921"/>
  </sheetPr>
  <dimension ref="B1:AC52"/>
  <sheetViews>
    <sheetView topLeftCell="A10" zoomScaleNormal="100" zoomScaleSheetLayoutView="80" workbookViewId="0">
      <selection activeCell="B15" sqref="B15"/>
    </sheetView>
  </sheetViews>
  <sheetFormatPr defaultColWidth="8.88671875" defaultRowHeight="13.2"/>
  <cols>
    <col min="1" max="3" width="4.6640625" style="370" customWidth="1"/>
    <col min="4" max="4" width="4.5546875" style="370" customWidth="1"/>
    <col min="5" max="5" width="8.88671875" style="370"/>
    <col min="6" max="6" width="6.6640625" style="370" customWidth="1"/>
    <col min="7" max="10" width="16.6640625" style="370" customWidth="1"/>
    <col min="11" max="20" width="8.88671875" style="370"/>
    <col min="21" max="23" width="4.6640625" customWidth="1"/>
    <col min="25" max="25" width="6.6640625" customWidth="1"/>
    <col min="26" max="29" width="16.6640625" customWidth="1"/>
    <col min="30" max="16384" width="8.88671875" style="370"/>
  </cols>
  <sheetData>
    <row r="1" spans="2:19">
      <c r="D1" s="442"/>
      <c r="E1" s="442"/>
    </row>
    <row r="2" spans="2:19">
      <c r="D2" s="442"/>
      <c r="E2" s="442"/>
    </row>
    <row r="3" spans="2:19" ht="24.6">
      <c r="B3" s="2035" t="str">
        <f>UPPER('KEY INPUTS'!D54)&amp;"  UTILITY  FUND"</f>
        <v>WATER/SEWER UTILITY  UTILITY  FUND</v>
      </c>
      <c r="C3" s="2035"/>
      <c r="D3" s="2035"/>
      <c r="E3" s="2035"/>
      <c r="F3" s="2035"/>
      <c r="G3" s="2035"/>
      <c r="H3" s="2035"/>
      <c r="I3" s="2035"/>
      <c r="J3" s="2035"/>
    </row>
    <row r="4" spans="2:19">
      <c r="B4" s="737"/>
      <c r="C4" s="737"/>
      <c r="D4" s="737"/>
      <c r="E4" s="737"/>
    </row>
    <row r="5" spans="2:19" ht="17.399999999999999">
      <c r="B5" s="2036" t="str">
        <f>"CAPITAL  IMPROVEMENTS  AUTHORIZED  IN  "&amp;IF('KEY INPUTS'!C42="State Fiscal Year","FISCAL  YEAR  "&amp;'KEY INPUTS'!D33&amp;"",'KEY INPUTS'!D34)&amp;""</f>
        <v>CAPITAL  IMPROVEMENTS  AUTHORIZED  IN  2021</v>
      </c>
      <c r="C5" s="2036"/>
      <c r="D5" s="2036"/>
      <c r="E5" s="2036"/>
      <c r="F5" s="2036"/>
      <c r="G5" s="2036"/>
      <c r="H5" s="2036"/>
      <c r="I5" s="2036"/>
      <c r="J5" s="2036"/>
    </row>
    <row r="6" spans="2:19" ht="17.399999999999999">
      <c r="B6" s="2036" t="s">
        <v>3572</v>
      </c>
      <c r="C6" s="2036"/>
      <c r="D6" s="2036"/>
      <c r="E6" s="2036"/>
      <c r="F6" s="2036"/>
      <c r="G6" s="2036"/>
      <c r="H6" s="2036"/>
      <c r="I6" s="2036"/>
      <c r="J6" s="2036"/>
    </row>
    <row r="7" spans="2:19" ht="13.8" thickBot="1"/>
    <row r="8" spans="2:19" ht="13.8" thickTop="1">
      <c r="B8" s="512"/>
      <c r="C8" s="512"/>
      <c r="D8" s="512"/>
      <c r="E8" s="512"/>
      <c r="F8" s="512"/>
      <c r="G8" s="433"/>
      <c r="H8" s="433"/>
      <c r="I8" s="433"/>
      <c r="J8" s="432" t="s">
        <v>240</v>
      </c>
    </row>
    <row r="9" spans="2:19">
      <c r="C9" s="1881" t="s">
        <v>413</v>
      </c>
      <c r="D9" s="1881"/>
      <c r="E9" s="1881"/>
      <c r="G9" s="511" t="s">
        <v>414</v>
      </c>
      <c r="H9" s="511" t="s">
        <v>201</v>
      </c>
      <c r="I9" s="511" t="s">
        <v>204</v>
      </c>
      <c r="J9" s="372" t="s">
        <v>241</v>
      </c>
    </row>
    <row r="10" spans="2:19">
      <c r="G10" s="511" t="s">
        <v>202</v>
      </c>
      <c r="H10" s="511" t="s">
        <v>203</v>
      </c>
      <c r="I10" s="511" t="s">
        <v>205</v>
      </c>
      <c r="J10" s="537" t="str">
        <f>"of "&amp;IF('KEY INPUTS'!C42="State Fiscal Year","FY "&amp;'KEY INPUTS'!D33&amp;"",'KEY INPUTS'!D34)&amp;" or"</f>
        <v>of 2021 or</v>
      </c>
    </row>
    <row r="11" spans="2:19" ht="13.8" thickBot="1">
      <c r="B11" s="438"/>
      <c r="C11" s="438"/>
      <c r="D11" s="438"/>
      <c r="E11" s="438"/>
      <c r="F11" s="438"/>
      <c r="G11" s="510"/>
      <c r="H11" s="510" t="s">
        <v>441</v>
      </c>
      <c r="I11" s="510" t="s">
        <v>239</v>
      </c>
      <c r="J11" s="536"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t="s">
        <v>3730</v>
      </c>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438"/>
      <c r="C22" s="438"/>
      <c r="D22" s="438"/>
      <c r="E22" s="438"/>
      <c r="F22" s="438"/>
      <c r="G22" s="373">
        <f>SUM(G12:G21)</f>
        <v>0</v>
      </c>
      <c r="H22" s="373">
        <f>SUM(H12:H21)</f>
        <v>0</v>
      </c>
      <c r="I22" s="373">
        <f>SUM(I12:I21)</f>
        <v>0</v>
      </c>
      <c r="J22" s="535">
        <f>SUM(J12:J21)</f>
        <v>0</v>
      </c>
      <c r="M22" s="309"/>
      <c r="N22" s="309"/>
      <c r="O22" s="309"/>
      <c r="P22" s="309"/>
      <c r="Q22" s="309"/>
      <c r="R22" s="309"/>
      <c r="S22" s="309"/>
    </row>
    <row r="23" spans="2:19" ht="13.8" thickTop="1">
      <c r="M23" s="309"/>
      <c r="N23" s="309"/>
      <c r="O23" s="309"/>
      <c r="P23" s="309"/>
      <c r="Q23" s="309"/>
      <c r="R23" s="309"/>
      <c r="S23" s="309"/>
    </row>
    <row r="24" spans="2:19">
      <c r="M24" s="309"/>
      <c r="N24" s="309"/>
      <c r="O24" s="309"/>
      <c r="P24" s="309"/>
      <c r="Q24" s="309"/>
      <c r="R24" s="309"/>
      <c r="S24" s="309"/>
    </row>
    <row r="25" spans="2:19">
      <c r="M25" s="309"/>
      <c r="N25" s="309"/>
      <c r="O25" s="309"/>
      <c r="P25" s="309"/>
      <c r="Q25" s="309"/>
      <c r="R25" s="309"/>
      <c r="S25" s="309"/>
    </row>
    <row r="26" spans="2:19">
      <c r="M26" s="309"/>
      <c r="N26" s="309"/>
      <c r="O26" s="309"/>
      <c r="P26" s="309"/>
      <c r="Q26" s="309"/>
      <c r="R26" s="309"/>
      <c r="S26" s="309"/>
    </row>
    <row r="27" spans="2:19">
      <c r="M27" s="309"/>
      <c r="N27" s="309"/>
      <c r="O27" s="309"/>
      <c r="P27" s="309"/>
      <c r="Q27" s="309"/>
      <c r="R27" s="309"/>
      <c r="S27" s="309"/>
    </row>
    <row r="28" spans="2:19" ht="22.8">
      <c r="B28" s="1887" t="str">
        <f>UPPER('KEY INPUTS'!D54)&amp;" UTILITY  CAPITAL  FUND"</f>
        <v>WATER/SEWER UTILITY UTILITY  CAPITAL  FUND</v>
      </c>
      <c r="C28" s="1887"/>
      <c r="D28" s="1887"/>
      <c r="E28" s="1887"/>
      <c r="F28" s="1887"/>
      <c r="G28" s="1887"/>
      <c r="H28" s="1887"/>
      <c r="I28" s="1887"/>
      <c r="J28" s="1887"/>
    </row>
    <row r="29" spans="2:19" ht="22.8">
      <c r="B29" s="1898" t="s">
        <v>154</v>
      </c>
      <c r="C29" s="1898"/>
      <c r="D29" s="1898"/>
      <c r="E29" s="1898"/>
      <c r="F29" s="1898"/>
      <c r="G29" s="1898"/>
      <c r="H29" s="1898"/>
      <c r="I29" s="1898"/>
      <c r="J29" s="1898"/>
    </row>
    <row r="31" spans="2:19" ht="15.6">
      <c r="B31" s="1890" t="str">
        <f>IF('KEY INPUTS'!C42="State Fiscal Year",(UPPER("Fiscal Year "&amp;'KEY INPUTS'!D33))&amp;"",'KEY INPUTS'!D34)&amp;""</f>
        <v>2021</v>
      </c>
      <c r="C31" s="1890"/>
      <c r="D31" s="1890"/>
      <c r="E31" s="1890"/>
      <c r="F31" s="1890"/>
      <c r="G31" s="1890"/>
      <c r="H31" s="1890"/>
      <c r="I31" s="1890"/>
      <c r="J31" s="1890"/>
    </row>
    <row r="32" spans="2:19" ht="13.8" thickBot="1"/>
    <row r="33" spans="2:10" ht="28.5" customHeight="1" thickTop="1" thickBot="1">
      <c r="B33" s="447"/>
      <c r="C33" s="447"/>
      <c r="D33" s="447"/>
      <c r="E33" s="447"/>
      <c r="F33" s="447"/>
      <c r="G33" s="447"/>
      <c r="H33" s="447"/>
      <c r="I33" s="375" t="s">
        <v>96</v>
      </c>
      <c r="J33" s="960" t="s">
        <v>97</v>
      </c>
    </row>
    <row r="34" spans="2:10" ht="21" customHeight="1" thickTop="1">
      <c r="B34" s="676" t="str">
        <f>'53-Utility1'!B8</f>
        <v>Balance - January 1, 2021</v>
      </c>
      <c r="C34" s="429"/>
      <c r="D34" s="429"/>
      <c r="E34" s="429"/>
      <c r="F34" s="429"/>
      <c r="G34" s="429"/>
      <c r="H34" s="429"/>
      <c r="I34" s="441" t="s">
        <v>628</v>
      </c>
      <c r="J34" s="606">
        <v>4219.04</v>
      </c>
    </row>
    <row r="35" spans="2:10" ht="21" customHeight="1">
      <c r="B35" s="374" t="s">
        <v>155</v>
      </c>
      <c r="C35" s="374"/>
      <c r="D35" s="374"/>
      <c r="E35" s="374"/>
      <c r="F35" s="374"/>
      <c r="G35" s="374"/>
      <c r="H35" s="374"/>
      <c r="I35" s="297" t="s">
        <v>628</v>
      </c>
      <c r="J35" s="550"/>
    </row>
    <row r="36" spans="2:10" ht="21" customHeight="1">
      <c r="B36" s="374" t="s">
        <v>156</v>
      </c>
      <c r="C36" s="374"/>
      <c r="D36" s="374"/>
      <c r="E36" s="374"/>
      <c r="F36" s="374"/>
      <c r="G36" s="374"/>
      <c r="H36" s="374"/>
      <c r="I36" s="297" t="s">
        <v>628</v>
      </c>
      <c r="J36" s="550"/>
    </row>
    <row r="37" spans="2:10" ht="21" customHeight="1">
      <c r="B37" s="617" t="s">
        <v>3215</v>
      </c>
      <c r="C37" s="617"/>
      <c r="D37" s="617"/>
      <c r="E37" s="617"/>
      <c r="F37" s="617"/>
      <c r="G37" s="617"/>
      <c r="H37" s="617"/>
      <c r="I37" s="353"/>
      <c r="J37" s="550"/>
    </row>
    <row r="38" spans="2:10" ht="21" customHeight="1">
      <c r="B38" s="617"/>
      <c r="C38" s="617"/>
      <c r="D38" s="617"/>
      <c r="E38" s="617"/>
      <c r="F38" s="617"/>
      <c r="G38" s="617"/>
      <c r="H38" s="617"/>
      <c r="I38" s="353"/>
      <c r="J38" s="550"/>
    </row>
    <row r="39" spans="2:10" ht="21" customHeight="1">
      <c r="B39" s="617"/>
      <c r="C39" s="617"/>
      <c r="D39" s="617"/>
      <c r="E39" s="617"/>
      <c r="F39" s="617"/>
      <c r="G39" s="617"/>
      <c r="H39" s="617"/>
      <c r="I39" s="353"/>
      <c r="J39" s="550"/>
    </row>
    <row r="40" spans="2:10" ht="21" customHeight="1">
      <c r="B40" s="374" t="s">
        <v>3176</v>
      </c>
      <c r="C40" s="374"/>
      <c r="D40" s="374"/>
      <c r="E40" s="374"/>
      <c r="F40" s="374"/>
      <c r="G40" s="374"/>
      <c r="H40" s="374"/>
      <c r="I40" s="353"/>
      <c r="J40" s="254" t="s">
        <v>628</v>
      </c>
    </row>
    <row r="41" spans="2:10" ht="21" customHeight="1">
      <c r="B41" s="378" t="str">
        <f>"Appropriation to "&amp;IF('KEY INPUTS'!C42="State Fiscal Year","Fiscal Year "&amp;'KEY INPUTS'!D33&amp;"",'KEY INPUTS'!D34)&amp;" Budget Reserve"</f>
        <v>Appropriation to 2021 Budget Reserve</v>
      </c>
      <c r="C41" s="374"/>
      <c r="D41" s="374"/>
      <c r="E41" s="374"/>
      <c r="F41" s="374"/>
      <c r="G41" s="534"/>
      <c r="H41" s="374"/>
      <c r="I41" s="547">
        <v>4219.04</v>
      </c>
      <c r="J41" s="254" t="s">
        <v>628</v>
      </c>
    </row>
    <row r="42" spans="2:10" ht="21" customHeight="1">
      <c r="B42" s="374" t="str">
        <f>'53-Utility1'!B24</f>
        <v>Balance - December 31, 2021</v>
      </c>
      <c r="C42" s="374"/>
      <c r="D42" s="374"/>
      <c r="E42" s="374"/>
      <c r="F42" s="374"/>
      <c r="G42" s="374"/>
      <c r="H42" s="374"/>
      <c r="I42" s="237">
        <f>SUM(J34:J39)-SUM(I37:I41)</f>
        <v>0</v>
      </c>
      <c r="J42" s="254" t="s">
        <v>628</v>
      </c>
    </row>
    <row r="43" spans="2:10" ht="21" customHeight="1" thickBot="1">
      <c r="I43" s="437">
        <f>SUM(I34:I42)</f>
        <v>4219.04</v>
      </c>
      <c r="J43" s="533">
        <f>SUM(J34:J42)</f>
        <v>4219.04</v>
      </c>
    </row>
    <row r="44" spans="2:10" ht="21" customHeight="1" thickTop="1"/>
    <row r="45" spans="2:10" ht="21" customHeight="1"/>
    <row r="46" spans="2:10" ht="21" customHeight="1"/>
    <row r="47" spans="2:10" ht="21" customHeight="1"/>
    <row r="48" spans="2:10" ht="21" customHeight="1"/>
    <row r="49" spans="2:10" ht="21" customHeight="1"/>
    <row r="52" spans="2:10" ht="13.8">
      <c r="B52" s="1882" t="s">
        <v>3175</v>
      </c>
      <c r="C52" s="1882"/>
      <c r="D52" s="1882"/>
      <c r="E52" s="1882"/>
      <c r="F52" s="1882"/>
      <c r="G52" s="1882"/>
      <c r="H52" s="1882"/>
      <c r="I52" s="1882"/>
      <c r="J52" s="1882"/>
    </row>
  </sheetData>
  <sheetProtection algorithmName="SHA-512" hashValue="EdMrr7yY2OTD3s76PGZGeTDUxGlyi3VyhFxN4sQACLpF7Mg2WF6XJIexYwtwmxvl7Egoyi4piAjMFkn5ssiUfA==" saltValue="pdJuX2Zt8RO6B1TA+4GwEw==" spinCount="100000" sheet="1" objects="1" scenarios="1"/>
  <mergeCells count="8">
    <mergeCell ref="B3:J3"/>
    <mergeCell ref="B28:J28"/>
    <mergeCell ref="B29:J29"/>
    <mergeCell ref="B31:J31"/>
    <mergeCell ref="B52:J52"/>
    <mergeCell ref="B5:J5"/>
    <mergeCell ref="B6:J6"/>
    <mergeCell ref="C9:E9"/>
  </mergeCells>
  <pageMargins left="0.25" right="0.25" top="0.5" bottom="0.5" header="0.25" footer="0.25"/>
  <pageSetup paperSize="5" orientation="portrait" r:id="rId1"/>
  <headerFooter alignWithMargins="0"/>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8">
    <tabColor theme="3" tint="0.39997558519241921"/>
  </sheetPr>
  <dimension ref="B1:R57"/>
  <sheetViews>
    <sheetView topLeftCell="A22" zoomScaleNormal="100" zoomScaleSheetLayoutView="80" workbookViewId="0">
      <selection activeCell="H27" sqref="H27"/>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1" spans="2:18">
      <c r="B1" s="1054"/>
      <c r="C1" s="1054"/>
      <c r="D1" s="1054"/>
      <c r="E1" s="1054"/>
      <c r="F1" s="1054"/>
      <c r="G1" s="1054"/>
      <c r="H1" s="1054"/>
    </row>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INPUTS'!D55)&amp;"  UTILITY  FUND"</f>
        <v>TRIAL  BALANCE -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571"/>
      <c r="H15" s="578"/>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+'47-Utility2'!L24</f>
        <v>0</v>
      </c>
      <c r="H20" s="1063"/>
      <c r="L20" s="309"/>
      <c r="M20" s="309"/>
      <c r="N20" s="309"/>
      <c r="O20" s="309"/>
      <c r="P20" s="309"/>
      <c r="Q20" s="309"/>
      <c r="R20" s="309"/>
    </row>
    <row r="21" spans="2:18" ht="21" customHeight="1">
      <c r="B21" s="659" t="s">
        <v>3207</v>
      </c>
      <c r="C21" s="659"/>
      <c r="D21" s="659"/>
      <c r="E21" s="659"/>
      <c r="F21" s="659"/>
      <c r="G21" s="658">
        <f>+'47-Utility2'!L54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+'44-Utility2'!I37</f>
        <v>0</v>
      </c>
      <c r="J31" s="708"/>
    </row>
    <row r="32" spans="2:18" ht="21" customHeight="1">
      <c r="B32" s="659" t="s">
        <v>3136</v>
      </c>
      <c r="C32" s="659"/>
      <c r="D32" s="659"/>
      <c r="E32" s="659"/>
      <c r="F32" s="659"/>
      <c r="G32" s="571"/>
      <c r="H32" s="578"/>
    </row>
    <row r="33" spans="2:10" ht="21" customHeight="1">
      <c r="B33" s="659" t="s">
        <v>3135</v>
      </c>
      <c r="C33" s="659"/>
      <c r="D33" s="659"/>
      <c r="E33" s="659"/>
      <c r="F33" s="659"/>
      <c r="G33" s="571"/>
      <c r="H33" s="1066">
        <f>+'49-Utility2'!I29+'49a-Utility2'!I29+'50.1-Utility2'!M24+'49a.1-Utility2'!I29</f>
        <v>0</v>
      </c>
      <c r="J33" s="708"/>
    </row>
    <row r="34" spans="2:10" ht="21" customHeight="1">
      <c r="B34" s="617" t="s">
        <v>3217</v>
      </c>
      <c r="C34" s="617"/>
      <c r="D34" s="617"/>
      <c r="E34" s="617"/>
      <c r="F34" s="621"/>
      <c r="G34" s="571"/>
      <c r="H34" s="578"/>
    </row>
    <row r="35" spans="2:10" ht="21" customHeight="1">
      <c r="B35" s="618"/>
      <c r="C35" s="618"/>
      <c r="D35" s="618"/>
      <c r="E35" s="618"/>
      <c r="F35" s="618"/>
      <c r="G35" s="1052"/>
      <c r="H35" s="1051"/>
    </row>
    <row r="36" spans="2:10" ht="21" customHeight="1">
      <c r="B36" s="617"/>
      <c r="C36" s="617"/>
      <c r="D36" s="617"/>
      <c r="E36" s="617"/>
      <c r="F36" s="617"/>
      <c r="G36" s="571"/>
      <c r="H36" s="578"/>
    </row>
    <row r="37" spans="2:10" ht="21" customHeight="1">
      <c r="B37" s="617"/>
      <c r="C37" s="618"/>
      <c r="D37" s="617"/>
      <c r="E37" s="617"/>
      <c r="F37" s="641"/>
      <c r="G37" s="1053"/>
      <c r="H37" s="600"/>
    </row>
    <row r="38" spans="2:10" ht="21" customHeight="1" thickBot="1">
      <c r="B38" s="617"/>
      <c r="C38" s="617"/>
      <c r="D38" s="617"/>
      <c r="E38" s="617"/>
      <c r="F38" s="617"/>
      <c r="G38" s="600"/>
      <c r="H38" s="602"/>
    </row>
    <row r="39" spans="2:10" ht="21" customHeight="1" thickTop="1">
      <c r="B39" s="659"/>
      <c r="C39" s="659" t="s">
        <v>3134</v>
      </c>
      <c r="D39" s="659"/>
      <c r="E39" s="659"/>
      <c r="F39" s="1224"/>
      <c r="G39" s="1225"/>
      <c r="H39" s="1156">
        <f>SUM(H28:H38)</f>
        <v>0</v>
      </c>
      <c r="I39" s="370" t="s">
        <v>796</v>
      </c>
    </row>
    <row r="40" spans="2:10" ht="21" customHeight="1">
      <c r="B40" s="1068" t="s">
        <v>3218</v>
      </c>
      <c r="C40" s="1068"/>
      <c r="D40" s="1068"/>
      <c r="E40" s="1068"/>
      <c r="F40" s="1068"/>
      <c r="G40" s="1063"/>
      <c r="H40" s="600"/>
    </row>
    <row r="41" spans="2:10" ht="21" customHeight="1">
      <c r="B41" s="617"/>
      <c r="C41" s="617"/>
      <c r="D41" s="617"/>
      <c r="E41" s="617"/>
      <c r="F41" s="617"/>
      <c r="G41" s="571"/>
      <c r="H41" s="578"/>
    </row>
    <row r="42" spans="2:10" ht="21" customHeight="1">
      <c r="B42" s="659" t="s">
        <v>618</v>
      </c>
      <c r="C42" s="659"/>
      <c r="D42" s="659"/>
      <c r="E42" s="659"/>
      <c r="F42" s="659"/>
      <c r="G42" s="658"/>
      <c r="H42" s="1064">
        <f>+'46-Utility2'!K27</f>
        <v>0</v>
      </c>
    </row>
    <row r="43" spans="2:10" ht="21" customHeight="1" thickBot="1">
      <c r="B43" s="659"/>
      <c r="C43" s="659"/>
      <c r="D43" s="659"/>
      <c r="E43" s="659"/>
      <c r="F43" s="659"/>
      <c r="G43" s="1069"/>
      <c r="H43" s="1070"/>
    </row>
    <row r="44" spans="2:10" ht="21" customHeight="1" thickBot="1">
      <c r="B44" s="659" t="s">
        <v>3219</v>
      </c>
      <c r="C44" s="659"/>
      <c r="D44" s="659"/>
      <c r="E44" s="659"/>
      <c r="F44" s="659"/>
      <c r="G44" s="1071">
        <f>SUM(G12:G43)</f>
        <v>0</v>
      </c>
      <c r="H44" s="1072">
        <f>SUM(H39:H43)</f>
        <v>0</v>
      </c>
      <c r="J44" s="371">
        <f>G44-H44</f>
        <v>0</v>
      </c>
    </row>
    <row r="45" spans="2:10" ht="13.8" thickTop="1">
      <c r="B45" s="1992" t="s">
        <v>98</v>
      </c>
      <c r="C45" s="1992"/>
      <c r="D45" s="1992"/>
      <c r="E45" s="1992"/>
      <c r="F45" s="1992"/>
      <c r="G45" s="1992"/>
      <c r="H45" s="1992"/>
    </row>
    <row r="46" spans="2:10">
      <c r="B46" s="743"/>
      <c r="C46" s="743"/>
      <c r="D46" s="743"/>
      <c r="E46" s="743"/>
      <c r="F46" s="743"/>
      <c r="G46" s="743"/>
      <c r="H46" s="743"/>
    </row>
    <row r="47" spans="2:10">
      <c r="B47" s="743"/>
      <c r="C47" s="743"/>
      <c r="D47" s="743"/>
      <c r="E47" s="743"/>
      <c r="F47" s="743"/>
      <c r="G47" s="743"/>
      <c r="H47" s="743"/>
    </row>
    <row r="48" spans="2:10">
      <c r="B48" s="743"/>
      <c r="C48" s="743"/>
      <c r="D48" s="743"/>
      <c r="E48" s="743"/>
      <c r="F48" s="743"/>
      <c r="G48" s="743"/>
      <c r="H48" s="743"/>
    </row>
    <row r="49" spans="2:8">
      <c r="B49" s="743"/>
      <c r="C49" s="743"/>
      <c r="D49" s="743"/>
      <c r="E49" s="743"/>
      <c r="F49" s="743"/>
      <c r="G49" s="743"/>
      <c r="H49" s="743"/>
    </row>
    <row r="50" spans="2:8" ht="13.8">
      <c r="B50" s="1882" t="s">
        <v>3132</v>
      </c>
      <c r="C50" s="1882"/>
      <c r="D50" s="1882"/>
      <c r="E50" s="1882"/>
      <c r="F50" s="1882"/>
      <c r="G50" s="1882"/>
      <c r="H50" s="1882"/>
    </row>
    <row r="54" spans="2:8">
      <c r="H54" s="371"/>
    </row>
    <row r="57" spans="2:8">
      <c r="H57" s="371">
        <f>+H44-G44</f>
        <v>0</v>
      </c>
    </row>
  </sheetData>
  <sheetProtection algorithmName="SHA-512" hashValue="giVWZc5XZSlW4JXiJadXDHtAkVv3jPbyxRiyQ29P0H5j99Kk11Ow7D3cQi2VsyYVPDhivoGzGgXe1n43NvALIg==" saltValue="u33/c69tpYTWb0WTiXGcNg=="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9">
    <tabColor theme="3" tint="0.39997558519241921"/>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737"/>
      <c r="C1" s="737"/>
      <c r="D1" s="737"/>
      <c r="E1" s="737"/>
      <c r="F1" s="737"/>
      <c r="G1" s="737"/>
      <c r="H1" s="737"/>
    </row>
    <row r="2" spans="2:17">
      <c r="B2" s="2042" t="s">
        <v>35</v>
      </c>
      <c r="C2" s="2042"/>
      <c r="D2" s="2042"/>
      <c r="E2" s="2042"/>
      <c r="F2" s="2042"/>
      <c r="G2" s="2042"/>
      <c r="H2" s="2042"/>
    </row>
    <row r="3" spans="2:17">
      <c r="B3" s="2042" t="s">
        <v>449</v>
      </c>
      <c r="C3" s="2042"/>
      <c r="D3" s="2042"/>
      <c r="E3" s="2042"/>
      <c r="F3" s="2042"/>
      <c r="G3" s="2042"/>
      <c r="H3" s="2042"/>
    </row>
    <row r="4" spans="2:17">
      <c r="B4" s="737"/>
      <c r="C4" s="737"/>
      <c r="D4" s="737"/>
      <c r="E4" s="737"/>
      <c r="F4" s="737"/>
      <c r="G4" s="737"/>
      <c r="H4" s="737"/>
    </row>
    <row r="5" spans="2:17" ht="22.8">
      <c r="B5" s="2043" t="s">
        <v>424</v>
      </c>
      <c r="C5" s="2043"/>
      <c r="D5" s="2043"/>
      <c r="E5" s="2043"/>
      <c r="F5" s="2043"/>
      <c r="G5" s="2043"/>
      <c r="H5" s="2043"/>
    </row>
    <row r="6" spans="2:17" ht="22.8">
      <c r="B6" s="2043" t="str">
        <f>"TRIAL  BALANCE - "&amp;UPPER('KEY INPUTS'!D55)&amp;"  UTILITY  FUND (cont'd)"</f>
        <v>TRIAL  BALANCE -   UTILITY  FUND (cont'd)</v>
      </c>
      <c r="C6" s="2043"/>
      <c r="D6" s="2043"/>
      <c r="E6" s="2043"/>
      <c r="F6" s="2043"/>
      <c r="G6" s="2043"/>
      <c r="H6" s="2043"/>
    </row>
    <row r="7" spans="2:17" ht="15.6">
      <c r="B7" s="2044" t="str">
        <f>IF('KEY INPUTS'!C42 = "State Fiscal Year", 'KEY INPUTS'!F45,'KEY INPUTS'!D45)</f>
        <v>AS  AT  DECEMBER  31, 2021</v>
      </c>
      <c r="C7" s="2045"/>
      <c r="D7" s="2045"/>
      <c r="E7" s="2045"/>
      <c r="F7" s="2045"/>
      <c r="G7" s="2045"/>
      <c r="H7" s="2045"/>
    </row>
    <row r="8" spans="2:17" ht="15.6">
      <c r="B8" s="2041" t="s">
        <v>450</v>
      </c>
      <c r="C8" s="2041"/>
      <c r="D8" s="2041"/>
      <c r="E8" s="2041"/>
      <c r="F8" s="2041"/>
      <c r="G8" s="2041"/>
      <c r="H8" s="2041"/>
    </row>
    <row r="9" spans="2:17">
      <c r="B9" s="2037" t="s">
        <v>70</v>
      </c>
      <c r="C9" s="2037"/>
      <c r="D9" s="2037"/>
      <c r="E9" s="2037"/>
      <c r="F9" s="2037"/>
      <c r="G9" s="2037"/>
      <c r="H9" s="2037"/>
    </row>
    <row r="10" spans="2:17" ht="15" customHeight="1" thickBot="1">
      <c r="B10" s="2038" t="s">
        <v>71</v>
      </c>
      <c r="C10" s="2038"/>
      <c r="D10" s="2038"/>
      <c r="E10" s="2038"/>
      <c r="F10" s="2038"/>
      <c r="G10" s="2038"/>
      <c r="H10" s="2038"/>
    </row>
    <row r="11" spans="2:17" ht="36" customHeight="1" thickTop="1" thickBot="1">
      <c r="B11" s="2039" t="s">
        <v>95</v>
      </c>
      <c r="C11" s="2039"/>
      <c r="D11" s="2039"/>
      <c r="E11" s="2039"/>
      <c r="F11" s="2040"/>
      <c r="G11" s="1226" t="s">
        <v>96</v>
      </c>
      <c r="H11" s="1227" t="s">
        <v>97</v>
      </c>
    </row>
    <row r="12" spans="2:17" ht="21" customHeight="1" thickTop="1">
      <c r="B12" s="737"/>
      <c r="C12" s="737"/>
      <c r="D12" s="737"/>
      <c r="E12" s="737"/>
      <c r="F12" s="737"/>
      <c r="G12" s="1228"/>
      <c r="H12" s="1229"/>
    </row>
    <row r="13" spans="2:17" ht="21" customHeight="1">
      <c r="B13" s="1230" t="s">
        <v>643</v>
      </c>
      <c r="C13" s="1231"/>
      <c r="D13" s="1231"/>
      <c r="E13" s="1231"/>
      <c r="F13" s="1231"/>
      <c r="G13" s="1232"/>
      <c r="H13" s="1233"/>
      <c r="K13" s="309"/>
      <c r="L13" s="309"/>
      <c r="M13" s="309"/>
      <c r="N13" s="309"/>
      <c r="O13" s="309"/>
      <c r="P13" s="309"/>
      <c r="Q13" s="309"/>
    </row>
    <row r="14" spans="2:17" ht="21" customHeight="1">
      <c r="B14" s="1231"/>
      <c r="C14" s="1231"/>
      <c r="D14" s="1231"/>
      <c r="E14" s="1231"/>
      <c r="F14" s="1231"/>
      <c r="G14" s="1232"/>
      <c r="H14" s="1233"/>
      <c r="K14" s="309"/>
      <c r="L14" s="309"/>
      <c r="M14" s="309"/>
      <c r="N14" s="309"/>
      <c r="O14" s="309"/>
      <c r="P14" s="309"/>
      <c r="Q14" s="309"/>
    </row>
    <row r="15" spans="2:17" ht="21" customHeight="1">
      <c r="B15" s="370" t="s">
        <v>192</v>
      </c>
      <c r="C15" s="374"/>
      <c r="D15" s="374"/>
      <c r="E15" s="374"/>
      <c r="F15" s="374"/>
      <c r="G15" s="351"/>
      <c r="H15" s="254" t="s">
        <v>628</v>
      </c>
      <c r="K15" s="356"/>
      <c r="L15" s="309"/>
      <c r="M15" s="309"/>
      <c r="N15" s="309"/>
      <c r="O15" s="309"/>
      <c r="P15" s="309"/>
      <c r="Q15" s="309"/>
    </row>
    <row r="16" spans="2:17" ht="21" customHeight="1">
      <c r="B16" s="374" t="s">
        <v>193</v>
      </c>
      <c r="C16" s="374"/>
      <c r="D16" s="374"/>
      <c r="E16" s="374"/>
      <c r="F16" s="374"/>
      <c r="G16" s="297" t="s">
        <v>628</v>
      </c>
      <c r="H16" s="298">
        <f>+G15</f>
        <v>0</v>
      </c>
      <c r="K16" s="309"/>
      <c r="L16" s="309"/>
      <c r="M16" s="309"/>
      <c r="N16" s="309"/>
      <c r="O16" s="309"/>
      <c r="P16" s="309"/>
      <c r="Q16" s="309"/>
    </row>
    <row r="17" spans="2:17" ht="21" customHeight="1">
      <c r="B17" s="374"/>
      <c r="C17" s="374"/>
      <c r="D17" s="374"/>
      <c r="E17" s="374"/>
      <c r="F17" s="374"/>
      <c r="G17" s="324"/>
      <c r="H17" s="298"/>
      <c r="K17" s="309"/>
      <c r="L17" s="309"/>
      <c r="M17" s="309"/>
      <c r="N17" s="309"/>
      <c r="O17" s="309"/>
      <c r="P17" s="309"/>
      <c r="Q17" s="309"/>
    </row>
    <row r="18" spans="2:17" ht="21" customHeight="1">
      <c r="B18" s="374"/>
      <c r="C18" s="374" t="s">
        <v>351</v>
      </c>
      <c r="D18" s="374"/>
      <c r="E18" s="374"/>
      <c r="F18" s="374"/>
      <c r="G18" s="351"/>
      <c r="H18" s="540"/>
      <c r="K18" s="309"/>
      <c r="L18" s="309"/>
      <c r="M18" s="309"/>
      <c r="N18" s="309"/>
      <c r="O18" s="309"/>
      <c r="P18" s="309"/>
      <c r="Q18" s="309"/>
    </row>
    <row r="19" spans="2:17" ht="21" customHeight="1">
      <c r="B19" s="374"/>
      <c r="C19" s="616"/>
      <c r="D19" s="617"/>
      <c r="E19" s="617"/>
      <c r="F19" s="617"/>
      <c r="G19" s="351"/>
      <c r="H19" s="540"/>
      <c r="K19" s="309"/>
      <c r="L19" s="309"/>
      <c r="M19" s="309"/>
      <c r="N19" s="309"/>
      <c r="O19" s="309"/>
      <c r="P19" s="309"/>
      <c r="Q19" s="309"/>
    </row>
    <row r="20" spans="2:17" ht="21" customHeight="1">
      <c r="B20" s="374"/>
      <c r="C20" s="374" t="s">
        <v>889</v>
      </c>
      <c r="D20" s="374"/>
      <c r="E20" s="374"/>
      <c r="F20" s="374"/>
      <c r="G20" s="351"/>
      <c r="H20" s="540"/>
      <c r="K20" s="309"/>
      <c r="L20" s="309"/>
      <c r="M20" s="309"/>
      <c r="N20" s="309"/>
      <c r="O20" s="309"/>
      <c r="P20" s="309"/>
      <c r="Q20" s="309"/>
    </row>
    <row r="21" spans="2:17" ht="21" customHeight="1">
      <c r="B21" s="374"/>
      <c r="C21" s="374" t="s">
        <v>644</v>
      </c>
      <c r="D21" s="374"/>
      <c r="E21" s="374"/>
      <c r="F21" s="374"/>
      <c r="G21" s="324"/>
      <c r="H21" s="337"/>
      <c r="K21" s="309"/>
      <c r="L21" s="309"/>
      <c r="M21" s="309"/>
      <c r="N21" s="309"/>
      <c r="O21" s="309"/>
      <c r="P21" s="309"/>
      <c r="Q21" s="309"/>
    </row>
    <row r="22" spans="2:17" ht="21" customHeight="1">
      <c r="B22" s="374"/>
      <c r="C22" s="374"/>
      <c r="D22" s="374" t="s">
        <v>87</v>
      </c>
      <c r="E22" s="374"/>
      <c r="F22" s="374"/>
      <c r="G22" s="351"/>
      <c r="H22" s="540"/>
      <c r="K22" s="309"/>
      <c r="L22" s="309"/>
      <c r="M22" s="309"/>
      <c r="N22" s="309"/>
      <c r="O22" s="309"/>
      <c r="P22" s="309"/>
      <c r="Q22" s="309"/>
    </row>
    <row r="23" spans="2:17" ht="21" customHeight="1">
      <c r="B23" s="374"/>
      <c r="C23" s="374"/>
      <c r="D23" s="374" t="s">
        <v>672</v>
      </c>
      <c r="E23" s="374"/>
      <c r="F23" s="374"/>
      <c r="G23" s="351"/>
      <c r="H23" s="540"/>
      <c r="K23" s="309"/>
      <c r="L23" s="309"/>
      <c r="M23" s="309"/>
      <c r="N23" s="309"/>
      <c r="O23" s="309"/>
      <c r="P23" s="309"/>
      <c r="Q23" s="309"/>
    </row>
    <row r="24" spans="2:17" ht="21" customHeight="1">
      <c r="B24" s="374"/>
      <c r="C24" s="617"/>
      <c r="D24" s="617" t="s">
        <v>3133</v>
      </c>
      <c r="E24" s="617"/>
      <c r="F24" s="617"/>
      <c r="G24" s="351"/>
      <c r="H24" s="559"/>
      <c r="K24" s="309"/>
      <c r="L24" s="309"/>
      <c r="M24" s="309"/>
      <c r="N24" s="309"/>
      <c r="O24" s="309"/>
      <c r="P24" s="309"/>
      <c r="Q24" s="309"/>
    </row>
    <row r="25" spans="2:17" ht="21" customHeight="1">
      <c r="B25" s="374"/>
      <c r="C25" s="617"/>
      <c r="D25" s="617" t="s">
        <v>3133</v>
      </c>
      <c r="E25" s="617"/>
      <c r="F25" s="617"/>
      <c r="G25" s="351"/>
      <c r="H25" s="559" t="s">
        <v>3133</v>
      </c>
    </row>
    <row r="26" spans="2:17" ht="21" customHeight="1">
      <c r="B26" s="374"/>
      <c r="C26" s="618"/>
      <c r="D26" s="617"/>
      <c r="E26" s="617"/>
      <c r="F26" s="617"/>
      <c r="G26" s="351"/>
      <c r="H26" s="620"/>
    </row>
    <row r="27" spans="2:17" ht="21" customHeight="1">
      <c r="B27" s="374"/>
      <c r="C27" s="617" t="s">
        <v>3133</v>
      </c>
      <c r="D27" s="617"/>
      <c r="E27" s="617"/>
      <c r="F27" s="617"/>
      <c r="G27" s="351"/>
      <c r="H27" s="559" t="s">
        <v>3133</v>
      </c>
    </row>
    <row r="28" spans="2:17" ht="21" customHeight="1">
      <c r="B28" s="374"/>
      <c r="C28" s="617"/>
      <c r="D28" s="617"/>
      <c r="E28" s="617"/>
      <c r="F28" s="617"/>
      <c r="G28" s="351"/>
      <c r="H28" s="559"/>
    </row>
    <row r="29" spans="2:17" ht="21" customHeight="1">
      <c r="B29" s="374"/>
      <c r="C29" s="617"/>
      <c r="D29" s="617" t="s">
        <v>3133</v>
      </c>
      <c r="E29" s="617"/>
      <c r="F29" s="617"/>
      <c r="G29" s="351"/>
      <c r="H29" s="559"/>
      <c r="K29" s="309"/>
      <c r="L29" s="309"/>
      <c r="M29" s="309"/>
      <c r="N29" s="309"/>
      <c r="O29" s="309"/>
      <c r="P29" s="309"/>
      <c r="Q29" s="309"/>
    </row>
    <row r="30" spans="2:17" ht="21" customHeight="1">
      <c r="B30" s="374"/>
      <c r="C30" s="617"/>
      <c r="D30" s="617" t="s">
        <v>3133</v>
      </c>
      <c r="E30" s="617"/>
      <c r="F30" s="617"/>
      <c r="G30" s="351"/>
      <c r="H30" s="559"/>
      <c r="K30" s="309"/>
      <c r="L30" s="309"/>
      <c r="M30" s="309"/>
      <c r="N30" s="309"/>
      <c r="O30" s="309"/>
      <c r="P30" s="309"/>
      <c r="Q30" s="309"/>
    </row>
    <row r="31" spans="2:17" ht="21" customHeight="1">
      <c r="B31" s="374"/>
      <c r="C31" s="617"/>
      <c r="D31" s="617" t="s">
        <v>3133</v>
      </c>
      <c r="E31" s="617"/>
      <c r="F31" s="617"/>
      <c r="G31" s="351"/>
      <c r="H31" s="559" t="s">
        <v>3133</v>
      </c>
    </row>
    <row r="32" spans="2:17" ht="21" customHeight="1">
      <c r="B32" s="374"/>
      <c r="C32" s="618"/>
      <c r="D32" s="617"/>
      <c r="E32" s="617"/>
      <c r="F32" s="617"/>
      <c r="G32" s="351"/>
      <c r="H32" s="620"/>
    </row>
    <row r="33" spans="2:17" ht="21" customHeight="1">
      <c r="B33" s="374"/>
      <c r="C33" s="617" t="s">
        <v>3133</v>
      </c>
      <c r="D33" s="617"/>
      <c r="E33" s="617"/>
      <c r="F33" s="617"/>
      <c r="G33" s="351"/>
      <c r="H33" s="559" t="s">
        <v>3133</v>
      </c>
    </row>
    <row r="34" spans="2:17" ht="21" customHeight="1">
      <c r="B34" s="374"/>
      <c r="C34" s="617"/>
      <c r="D34" s="617"/>
      <c r="E34" s="617"/>
      <c r="F34" s="617"/>
      <c r="G34" s="351"/>
      <c r="H34" s="559"/>
    </row>
    <row r="35" spans="2:17" ht="21" customHeight="1">
      <c r="B35" s="374"/>
      <c r="C35" s="617"/>
      <c r="D35" s="617" t="s">
        <v>3133</v>
      </c>
      <c r="E35" s="617"/>
      <c r="F35" s="617"/>
      <c r="G35" s="351"/>
      <c r="H35" s="559"/>
      <c r="K35" s="309"/>
      <c r="L35" s="309"/>
      <c r="M35" s="309"/>
      <c r="N35" s="309"/>
      <c r="O35" s="309"/>
      <c r="P35" s="309"/>
      <c r="Q35" s="309"/>
    </row>
    <row r="36" spans="2:17" ht="21" customHeight="1">
      <c r="B36" s="374"/>
      <c r="C36" s="617"/>
      <c r="D36" s="617" t="s">
        <v>3133</v>
      </c>
      <c r="E36" s="617"/>
      <c r="F36" s="617"/>
      <c r="G36" s="351"/>
      <c r="H36" s="559" t="s">
        <v>3133</v>
      </c>
    </row>
    <row r="37" spans="2:17" ht="21" customHeight="1">
      <c r="B37" s="374"/>
      <c r="C37" s="618"/>
      <c r="D37" s="617"/>
      <c r="E37" s="617"/>
      <c r="F37" s="617"/>
      <c r="G37" s="351"/>
      <c r="H37" s="620"/>
    </row>
    <row r="38" spans="2:17" ht="21" customHeight="1">
      <c r="B38" s="374"/>
      <c r="C38" s="617" t="s">
        <v>3133</v>
      </c>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t="s">
        <v>3133</v>
      </c>
      <c r="D41" s="617"/>
      <c r="E41" s="617"/>
      <c r="F41" s="617"/>
      <c r="G41" s="351"/>
      <c r="H41" s="559" t="s">
        <v>3133</v>
      </c>
    </row>
    <row r="42" spans="2:17" ht="21" customHeight="1">
      <c r="B42" s="374"/>
      <c r="C42" s="617" t="s">
        <v>3133</v>
      </c>
      <c r="D42" s="617"/>
      <c r="E42" s="617"/>
      <c r="F42" s="617"/>
      <c r="G42" s="351"/>
      <c r="H42" s="559" t="s">
        <v>3133</v>
      </c>
    </row>
    <row r="43" spans="2:17" ht="21" customHeight="1" thickBot="1">
      <c r="B43" s="374"/>
      <c r="C43" s="374"/>
      <c r="D43" s="374"/>
      <c r="E43" s="374"/>
      <c r="F43" s="374"/>
      <c r="G43" s="301"/>
      <c r="H43" s="377"/>
      <c r="I43" s="371"/>
      <c r="M43" s="371"/>
    </row>
    <row r="44" spans="2:17" ht="21" customHeight="1" thickBot="1">
      <c r="B44" s="374"/>
      <c r="C44" s="374" t="s">
        <v>3265</v>
      </c>
      <c r="D44" s="374"/>
      <c r="E44" s="374"/>
      <c r="F44" s="374"/>
      <c r="G44" s="330">
        <f>SUM(G15:G42)</f>
        <v>0</v>
      </c>
      <c r="H44" s="376">
        <f>SUM(H15:H43)</f>
        <v>0</v>
      </c>
      <c r="I44" s="371"/>
      <c r="K44" s="371"/>
    </row>
    <row r="45" spans="2:17" ht="13.8" thickTop="1">
      <c r="B45" s="1895" t="s">
        <v>98</v>
      </c>
      <c r="C45" s="1895"/>
      <c r="D45" s="1895"/>
      <c r="E45" s="1895"/>
      <c r="F45" s="1895"/>
      <c r="G45" s="1896"/>
      <c r="H45" s="1896"/>
    </row>
    <row r="46" spans="2:17">
      <c r="B46" s="875"/>
      <c r="C46" s="875"/>
      <c r="D46" s="875"/>
      <c r="E46" s="875"/>
      <c r="F46" s="875"/>
      <c r="G46" s="875"/>
      <c r="H46" s="875"/>
    </row>
    <row r="47" spans="2:17">
      <c r="B47" s="875"/>
      <c r="C47" s="875"/>
      <c r="D47" s="875"/>
      <c r="E47" s="875"/>
      <c r="F47" s="875"/>
      <c r="G47" s="875"/>
      <c r="H47" s="875"/>
    </row>
    <row r="48" spans="2:17">
      <c r="B48" s="875"/>
      <c r="C48" s="875"/>
      <c r="D48" s="875"/>
      <c r="E48" s="875"/>
      <c r="F48" s="875"/>
      <c r="G48" s="875"/>
      <c r="H48" s="875"/>
    </row>
    <row r="49" spans="2:8">
      <c r="B49" s="875"/>
      <c r="C49" s="875"/>
      <c r="D49" s="875"/>
      <c r="E49" s="875"/>
      <c r="F49" s="875"/>
      <c r="G49" s="875"/>
      <c r="H49" s="875"/>
    </row>
    <row r="50" spans="2:8" ht="13.8">
      <c r="B50" s="1882" t="s">
        <v>3138</v>
      </c>
      <c r="C50" s="1882"/>
      <c r="D50" s="1882"/>
      <c r="E50" s="1882"/>
      <c r="F50" s="1882"/>
      <c r="G50" s="1882"/>
      <c r="H50" s="1882"/>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0">
    <tabColor theme="3" tint="0.39997558519241921"/>
  </sheetPr>
  <dimension ref="B1:Q55"/>
  <sheetViews>
    <sheetView topLeftCell="A4"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INPUTS'!D55)&amp;"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659"/>
      <c r="C12" s="659" t="s">
        <v>3266</v>
      </c>
      <c r="D12" s="659"/>
      <c r="E12" s="659"/>
      <c r="F12" s="659"/>
      <c r="G12" s="864">
        <f>'41a-Utility2'!G44</f>
        <v>0</v>
      </c>
      <c r="H12" s="870">
        <f>'41a-Utility2'!H44</f>
        <v>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+'49-Utility2'!G22</f>
        <v>0</v>
      </c>
      <c r="K17" s="309"/>
      <c r="L17" s="309"/>
      <c r="M17" s="309"/>
      <c r="N17" s="309"/>
      <c r="O17" s="309"/>
      <c r="P17" s="309"/>
      <c r="Q17" s="309"/>
    </row>
    <row r="18" spans="2:17" ht="21" customHeight="1">
      <c r="B18" s="659"/>
      <c r="C18" s="659" t="s">
        <v>3386</v>
      </c>
      <c r="D18" s="659"/>
      <c r="E18" s="659"/>
      <c r="F18" s="659"/>
      <c r="G18" s="864"/>
      <c r="H18" s="870">
        <f>'49a-Utility2'!G11+'49a-Utility2'!G22+'49a.1-Utility2'!G11+'49a.1-Utility2'!G22</f>
        <v>0</v>
      </c>
    </row>
    <row r="19" spans="2:17" ht="21" customHeight="1">
      <c r="B19" s="659"/>
      <c r="C19" s="659" t="s">
        <v>3395</v>
      </c>
      <c r="D19" s="659"/>
      <c r="E19" s="659"/>
      <c r="F19" s="659"/>
      <c r="G19" s="864"/>
      <c r="H19" s="870">
        <f>+'51a-Utility2'!G23</f>
        <v>0</v>
      </c>
      <c r="K19" s="309"/>
      <c r="L19" s="309"/>
      <c r="M19" s="309"/>
      <c r="N19" s="309"/>
      <c r="O19" s="309"/>
      <c r="P19" s="309"/>
      <c r="Q19" s="309"/>
    </row>
    <row r="20" spans="2:17" ht="21" customHeight="1">
      <c r="B20" s="659"/>
      <c r="C20" s="871" t="s">
        <v>3140</v>
      </c>
      <c r="D20" s="659"/>
      <c r="E20" s="659"/>
      <c r="F20" s="659"/>
      <c r="G20" s="864"/>
      <c r="H20" s="870">
        <f>+'50.1-Utility2'!G18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+'52-Totals-Utility2'!K27</f>
        <v>0</v>
      </c>
      <c r="J22" s="371"/>
      <c r="K22" s="309"/>
      <c r="L22" s="309"/>
      <c r="M22" s="309"/>
      <c r="N22" s="309"/>
      <c r="O22" s="309"/>
      <c r="P22" s="309"/>
      <c r="Q22" s="309"/>
    </row>
    <row r="23" spans="2:17" ht="21" customHeight="1">
      <c r="B23" s="659"/>
      <c r="C23" s="659"/>
      <c r="D23" s="659" t="s">
        <v>801</v>
      </c>
      <c r="E23" s="659"/>
      <c r="F23" s="659"/>
      <c r="G23" s="864"/>
      <c r="H23" s="870">
        <f>+'52-Totals-Utility2'!L27</f>
        <v>0</v>
      </c>
      <c r="J23" s="371"/>
      <c r="K23" s="309"/>
      <c r="L23" s="309"/>
      <c r="M23" s="309"/>
      <c r="N23" s="309"/>
      <c r="O23" s="309"/>
      <c r="P23" s="309"/>
      <c r="Q23" s="309"/>
    </row>
    <row r="24" spans="2:17" ht="21" customHeight="1">
      <c r="B24" s="374"/>
      <c r="C24" s="617" t="s">
        <v>3139</v>
      </c>
      <c r="D24" s="617"/>
      <c r="E24" s="617"/>
      <c r="F24" s="617"/>
      <c r="G24" s="351"/>
      <c r="H24" s="540"/>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659"/>
      <c r="C40" s="659" t="s">
        <v>3202</v>
      </c>
      <c r="D40" s="659"/>
      <c r="E40" s="659"/>
      <c r="F40" s="659"/>
      <c r="G40" s="864"/>
      <c r="H40" s="870">
        <f>+'53-Utility2'!I41</f>
        <v>0</v>
      </c>
    </row>
    <row r="41" spans="2:13" ht="21" customHeight="1">
      <c r="B41" s="659"/>
      <c r="C41" s="659" t="s">
        <v>804</v>
      </c>
      <c r="D41" s="659"/>
      <c r="E41" s="659"/>
      <c r="F41" s="659"/>
      <c r="G41" s="864"/>
      <c r="H41" s="870">
        <f>+'53-Utility2'!I24</f>
        <v>0</v>
      </c>
    </row>
    <row r="42" spans="2:13" ht="21" customHeight="1">
      <c r="B42" s="659"/>
      <c r="C42" s="659" t="s">
        <v>642</v>
      </c>
      <c r="D42" s="659"/>
      <c r="E42" s="659"/>
      <c r="F42" s="659"/>
      <c r="G42" s="864"/>
      <c r="H42" s="870">
        <f>+'54-Utility2'!I42</f>
        <v>0</v>
      </c>
    </row>
    <row r="43" spans="2:13" ht="21" customHeight="1" thickBot="1">
      <c r="B43" s="659"/>
      <c r="C43" s="659"/>
      <c r="D43" s="659"/>
      <c r="E43" s="659"/>
      <c r="F43" s="659"/>
      <c r="G43" s="1234"/>
      <c r="H43" s="1235"/>
      <c r="I43" s="371"/>
      <c r="M43" s="371"/>
    </row>
    <row r="44" spans="2:13" ht="21" customHeight="1" thickBot="1">
      <c r="B44" s="659"/>
      <c r="C44" s="659" t="s">
        <v>799</v>
      </c>
      <c r="D44" s="659"/>
      <c r="E44" s="659"/>
      <c r="F44" s="659"/>
      <c r="G44" s="1236">
        <f>SUM(G12:G42)</f>
        <v>0</v>
      </c>
      <c r="H44" s="1237">
        <f>SUM(H12:H43)</f>
        <v>0</v>
      </c>
      <c r="I44" s="371"/>
      <c r="K44" s="371"/>
    </row>
    <row r="45" spans="2:13" ht="13.8" thickTop="1">
      <c r="B45" s="2046" t="s">
        <v>98</v>
      </c>
      <c r="C45" s="2046"/>
      <c r="D45" s="2046"/>
      <c r="E45" s="2046"/>
      <c r="F45" s="2046"/>
      <c r="G45" s="2047"/>
      <c r="H45" s="2047"/>
    </row>
    <row r="46" spans="2:13">
      <c r="B46" s="875"/>
      <c r="C46" s="875"/>
      <c r="D46" s="875"/>
      <c r="E46" s="875"/>
      <c r="F46" s="875"/>
      <c r="G46" s="875"/>
      <c r="H46" s="875"/>
    </row>
    <row r="47" spans="2:13">
      <c r="B47" s="875"/>
      <c r="C47" s="875"/>
      <c r="D47" s="875"/>
      <c r="E47" s="875"/>
      <c r="F47" s="875"/>
      <c r="G47" s="875"/>
      <c r="H47" s="875"/>
    </row>
    <row r="48" spans="2:13">
      <c r="B48" s="875"/>
      <c r="C48" s="875"/>
      <c r="D48" s="875"/>
      <c r="E48" s="875"/>
      <c r="F48" s="875"/>
      <c r="G48" s="875"/>
      <c r="H48" s="875"/>
    </row>
    <row r="49" spans="2:8">
      <c r="B49" s="875"/>
      <c r="C49" s="875"/>
      <c r="D49" s="875"/>
      <c r="E49" s="875"/>
      <c r="F49" s="875"/>
      <c r="G49" s="875"/>
      <c r="H49" s="875"/>
    </row>
    <row r="50" spans="2:8" ht="13.8">
      <c r="B50" s="1882" t="s">
        <v>3397</v>
      </c>
      <c r="C50" s="1882"/>
      <c r="D50" s="1882"/>
      <c r="E50" s="1882"/>
      <c r="F50" s="1882"/>
      <c r="G50" s="1882"/>
      <c r="H50" s="1882"/>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1">
    <tabColor theme="3" tint="0.39997558519241921"/>
  </sheetPr>
  <dimension ref="B1:R49"/>
  <sheetViews>
    <sheetView zoomScaleNormal="100" zoomScaleSheetLayoutView="80" workbookViewId="0">
      <selection activeCell="B10" sqref="B10:F10"/>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1" spans="2:18">
      <c r="B1" s="1086"/>
      <c r="C1" s="1086"/>
      <c r="D1" s="1086"/>
      <c r="E1" s="1086"/>
      <c r="F1" s="1086"/>
      <c r="G1" s="1086"/>
      <c r="H1" s="1086"/>
    </row>
    <row r="2" spans="2:18">
      <c r="B2" s="1086"/>
      <c r="C2" s="1086"/>
      <c r="D2" s="1086"/>
      <c r="E2" s="1086"/>
      <c r="F2" s="1086"/>
      <c r="G2" s="1086"/>
      <c r="H2" s="1086"/>
    </row>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571"/>
      <c r="H38" s="1066">
        <f>+'51-Utility2'!G23</f>
        <v>0</v>
      </c>
    </row>
    <row r="39" spans="2:8" ht="21" customHeight="1">
      <c r="B39" s="1077" t="s">
        <v>3204</v>
      </c>
      <c r="C39" s="1077"/>
      <c r="D39" s="1077"/>
      <c r="E39" s="1077"/>
      <c r="F39" s="1077"/>
      <c r="G39" s="571"/>
      <c r="H39" s="1066">
        <f>+'49-Utility2'!G11</f>
        <v>0</v>
      </c>
    </row>
    <row r="40" spans="2:8" ht="21" customHeight="1">
      <c r="B40" s="1077" t="s">
        <v>798</v>
      </c>
      <c r="C40" s="1077"/>
      <c r="D40" s="1077"/>
      <c r="E40" s="1077"/>
      <c r="F40" s="1077"/>
      <c r="G40" s="571"/>
      <c r="H40" s="1066">
        <f>'43-Utility2'!L20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c r="C43" s="1079"/>
      <c r="D43" s="1079"/>
      <c r="E43" s="1079"/>
      <c r="F43" s="1079"/>
      <c r="G43" s="1046">
        <f>SUM(G11:G42)</f>
        <v>0</v>
      </c>
      <c r="H43" s="1080">
        <f>SUM(H11:H42)</f>
        <v>0</v>
      </c>
    </row>
    <row r="44" spans="2:8">
      <c r="B44" s="1908" t="s">
        <v>98</v>
      </c>
      <c r="C44" s="1908"/>
      <c r="D44" s="1908"/>
      <c r="E44" s="1908"/>
      <c r="F44" s="1908"/>
      <c r="G44" s="1908"/>
      <c r="H44" s="1908"/>
    </row>
    <row r="45" spans="2:8">
      <c r="B45" s="1081"/>
      <c r="C45" s="1081"/>
      <c r="D45" s="1081"/>
      <c r="E45" s="1081"/>
      <c r="F45" s="1081"/>
      <c r="G45" s="1081"/>
      <c r="H45" s="1081"/>
    </row>
    <row r="46" spans="2:8">
      <c r="B46" s="1081"/>
      <c r="C46" s="1081"/>
      <c r="D46" s="1081"/>
      <c r="E46" s="1081"/>
      <c r="F46" s="1081"/>
      <c r="G46" s="1081"/>
      <c r="H46" s="1081"/>
    </row>
    <row r="47" spans="2:8">
      <c r="B47" s="1081"/>
      <c r="C47" s="1081"/>
      <c r="D47" s="1081"/>
      <c r="E47" s="1081"/>
      <c r="F47" s="1081"/>
      <c r="G47" s="1081"/>
      <c r="H47" s="1081"/>
    </row>
    <row r="48" spans="2:8">
      <c r="B48" s="1081"/>
      <c r="C48" s="1081"/>
      <c r="D48" s="1081"/>
      <c r="E48" s="1081"/>
      <c r="F48" s="1081"/>
      <c r="G48" s="1081"/>
      <c r="H48" s="1081"/>
    </row>
    <row r="49" spans="2:8" ht="13.8">
      <c r="B49" s="1933" t="s">
        <v>3142</v>
      </c>
      <c r="C49" s="1933"/>
      <c r="D49" s="1933"/>
      <c r="E49" s="1933"/>
      <c r="F49" s="1933"/>
      <c r="G49" s="1933"/>
      <c r="H49" s="1933"/>
    </row>
  </sheetData>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2">
    <tabColor theme="3" tint="0.39997558519241921"/>
  </sheetPr>
  <dimension ref="A2:V27"/>
  <sheetViews>
    <sheetView zoomScaleNormal="100" zoomScaleSheetLayoutView="80" workbookViewId="0">
      <selection activeCell="L7" sqref="L7"/>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INPUTS'!D55)&amp;" UTILITY  ASSESSMENT  TRUST  CASH  AND  INVESTMENTS"</f>
        <v>ANALYSIS  OF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mMeCkRld1a+Vedj50UolW7aI/qXAwsI/rI1lq8/gmmweOJ7VZz1a/pX0i7jXIDqViRbLE6hQ5ezt2lP059luug==" saltValue="uMti8KVgP/WbsEhIGeqWDg=="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3">
    <tabColor theme="3" tint="0.39997558519241921"/>
  </sheetPr>
  <dimension ref="B1:T55"/>
  <sheetViews>
    <sheetView zoomScaleNormal="100" zoomScaleSheetLayoutView="80" workbookViewId="0">
      <selection activeCell="B2" sqref="B2:J2"/>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1" spans="2:20">
      <c r="B1" s="1054"/>
      <c r="C1" s="1054"/>
      <c r="D1" s="1054"/>
      <c r="E1" s="1054"/>
      <c r="F1" s="1054"/>
      <c r="G1" s="1054"/>
      <c r="H1" s="1054"/>
      <c r="I1" s="1054"/>
      <c r="J1" s="1054"/>
    </row>
    <row r="2" spans="2:20" ht="22.8">
      <c r="B2" s="1887" t="str">
        <f>"SCHEDULE OF "&amp;UPPER('KEY INPUTS'!D55)&amp;" UTILITY BUDGET  -  "&amp;IF('KEY INPUTS'!C42="State Fiscal Year","FY "&amp;'KEY INPUTS'!D33&amp;"",'KEY INPUTS'!D34)&amp;""</f>
        <v>SCHEDULE OF  UTILITY BUDGET  -  2021</v>
      </c>
      <c r="C2" s="1887"/>
      <c r="D2" s="1887"/>
      <c r="E2" s="1887"/>
      <c r="F2" s="1887"/>
      <c r="G2" s="1887"/>
      <c r="H2" s="1887"/>
      <c r="I2" s="1887"/>
      <c r="J2" s="1887"/>
    </row>
    <row r="3" spans="2:20" ht="12" customHeight="1">
      <c r="B3" s="1241"/>
      <c r="C3" s="1241"/>
      <c r="D3" s="1241"/>
      <c r="E3" s="1241"/>
      <c r="F3" s="1241"/>
      <c r="G3" s="1241"/>
      <c r="H3" s="1241"/>
      <c r="I3" s="1241"/>
      <c r="J3" s="1241"/>
    </row>
    <row r="4" spans="2:20" ht="17.25" customHeight="1" thickBot="1">
      <c r="B4" s="2048" t="s">
        <v>832</v>
      </c>
      <c r="C4" s="2048"/>
      <c r="D4" s="2048"/>
      <c r="E4" s="2048"/>
      <c r="F4" s="2048"/>
      <c r="G4" s="2048"/>
      <c r="H4" s="2048"/>
      <c r="I4" s="2048"/>
      <c r="J4" s="2048"/>
    </row>
    <row r="5" spans="2:20" ht="13.8" thickTop="1">
      <c r="B5" s="2049" t="s">
        <v>165</v>
      </c>
      <c r="C5" s="2049"/>
      <c r="D5" s="2049"/>
      <c r="E5" s="2049"/>
      <c r="F5" s="2049"/>
      <c r="G5" s="2013"/>
      <c r="H5" s="1178" t="s">
        <v>535</v>
      </c>
      <c r="I5" s="1178" t="s">
        <v>638</v>
      </c>
      <c r="J5" s="1242" t="s">
        <v>319</v>
      </c>
    </row>
    <row r="6" spans="2:20" ht="13.8" thickBot="1">
      <c r="B6" s="2050"/>
      <c r="C6" s="2050"/>
      <c r="D6" s="2050"/>
      <c r="E6" s="2050"/>
      <c r="F6" s="2050"/>
      <c r="G6" s="2051"/>
      <c r="H6" s="1243"/>
      <c r="I6" s="1243" t="s">
        <v>318</v>
      </c>
      <c r="J6" s="1244" t="s">
        <v>320</v>
      </c>
    </row>
    <row r="7" spans="2:20" ht="21" customHeight="1" thickTop="1">
      <c r="B7" s="1110" t="s">
        <v>3156</v>
      </c>
      <c r="C7" s="1110"/>
      <c r="D7" s="1110"/>
      <c r="E7" s="1110"/>
      <c r="F7" s="1110"/>
      <c r="G7" s="1245"/>
      <c r="H7" s="575"/>
      <c r="I7" s="1249">
        <f>H7</f>
        <v>0</v>
      </c>
      <c r="J7" s="1143">
        <f>+I7-H7</f>
        <v>0</v>
      </c>
    </row>
    <row r="8" spans="2:20" ht="10.5" customHeight="1">
      <c r="B8" s="1149" t="s">
        <v>3155</v>
      </c>
      <c r="C8" s="1054"/>
      <c r="D8" s="1054"/>
      <c r="E8" s="1054"/>
      <c r="F8" s="1054"/>
      <c r="G8" s="1246"/>
      <c r="H8" s="1248"/>
      <c r="I8" s="1248"/>
      <c r="J8" s="1058"/>
    </row>
    <row r="9" spans="2:20">
      <c r="B9" s="1068" t="s">
        <v>168</v>
      </c>
      <c r="C9" s="1068"/>
      <c r="D9" s="1068"/>
      <c r="E9" s="1068"/>
      <c r="F9" s="1068"/>
      <c r="G9" s="1247"/>
      <c r="H9" s="622"/>
      <c r="I9" s="622"/>
      <c r="J9" s="816">
        <f t="shared" ref="J9:J15" si="0">+I9-H9</f>
        <v>0</v>
      </c>
    </row>
    <row r="10" spans="2:20" ht="21" customHeight="1">
      <c r="B10" s="617"/>
      <c r="C10" s="617"/>
      <c r="D10" s="617"/>
      <c r="E10" s="617"/>
      <c r="F10" s="617"/>
      <c r="G10" s="1106"/>
      <c r="H10" s="742"/>
      <c r="I10" s="742"/>
      <c r="J10" s="1250">
        <f t="shared" si="0"/>
        <v>0</v>
      </c>
      <c r="N10" s="309"/>
      <c r="O10" s="309"/>
      <c r="P10" s="309"/>
      <c r="Q10" s="309"/>
      <c r="R10" s="309"/>
      <c r="S10" s="309"/>
      <c r="T10" s="309"/>
    </row>
    <row r="11" spans="2:20" ht="21" customHeight="1">
      <c r="B11" s="617"/>
      <c r="C11" s="617"/>
      <c r="D11" s="617"/>
      <c r="E11" s="617"/>
      <c r="F11" s="617"/>
      <c r="G11" s="1106"/>
      <c r="H11" s="742"/>
      <c r="I11" s="742"/>
      <c r="J11" s="1064">
        <f t="shared" si="0"/>
        <v>0</v>
      </c>
      <c r="N11" s="309"/>
      <c r="O11" s="309"/>
      <c r="P11" s="309"/>
      <c r="Q11" s="309"/>
      <c r="R11" s="309"/>
      <c r="S11" s="309"/>
      <c r="T11" s="309"/>
    </row>
    <row r="12" spans="2:20" ht="21" customHeight="1">
      <c r="B12" s="617"/>
      <c r="C12" s="617"/>
      <c r="D12" s="617"/>
      <c r="E12" s="617"/>
      <c r="F12" s="617"/>
      <c r="G12" s="1106"/>
      <c r="H12" s="742"/>
      <c r="I12" s="742"/>
      <c r="J12" s="1064">
        <f t="shared" si="0"/>
        <v>0</v>
      </c>
      <c r="N12" s="356"/>
      <c r="O12" s="309"/>
      <c r="P12" s="309"/>
      <c r="Q12" s="309"/>
      <c r="R12" s="309"/>
      <c r="S12" s="309"/>
      <c r="T12" s="309"/>
    </row>
    <row r="13" spans="2:20" ht="21" customHeight="1">
      <c r="B13" s="617"/>
      <c r="C13" s="617"/>
      <c r="D13" s="617"/>
      <c r="E13" s="617"/>
      <c r="F13" s="617"/>
      <c r="G13" s="1106"/>
      <c r="H13" s="742"/>
      <c r="I13" s="742"/>
      <c r="J13" s="1064">
        <f t="shared" si="0"/>
        <v>0</v>
      </c>
      <c r="N13" s="309"/>
      <c r="O13" s="309"/>
      <c r="P13" s="309"/>
      <c r="Q13" s="309"/>
      <c r="R13" s="309"/>
      <c r="S13" s="309"/>
      <c r="T13" s="309"/>
    </row>
    <row r="14" spans="2:20" ht="21" customHeight="1">
      <c r="B14" s="617"/>
      <c r="C14" s="617"/>
      <c r="D14" s="617"/>
      <c r="E14" s="617"/>
      <c r="F14" s="617"/>
      <c r="G14" s="1106"/>
      <c r="H14" s="742"/>
      <c r="I14" s="742"/>
      <c r="J14" s="1064">
        <f t="shared" si="0"/>
        <v>0</v>
      </c>
      <c r="N14" s="309"/>
      <c r="O14" s="309"/>
      <c r="P14" s="309"/>
      <c r="Q14" s="309"/>
      <c r="R14" s="309"/>
      <c r="S14" s="309"/>
      <c r="T14" s="309"/>
    </row>
    <row r="15" spans="2:20" ht="21" customHeight="1">
      <c r="B15" s="659" t="s">
        <v>3154</v>
      </c>
      <c r="C15" s="659"/>
      <c r="D15" s="659"/>
      <c r="E15" s="659"/>
      <c r="F15" s="659"/>
      <c r="G15" s="1247"/>
      <c r="H15" s="742"/>
      <c r="I15" s="742"/>
      <c r="J15" s="1064">
        <f t="shared" si="0"/>
        <v>0</v>
      </c>
      <c r="N15" s="309"/>
      <c r="O15" s="309"/>
      <c r="P15" s="309"/>
      <c r="Q15" s="309"/>
      <c r="R15" s="309"/>
      <c r="S15" s="309"/>
      <c r="T15" s="309"/>
    </row>
    <row r="16" spans="2:20" ht="21" customHeight="1">
      <c r="B16" s="659" t="s">
        <v>3153</v>
      </c>
      <c r="C16" s="659"/>
      <c r="D16" s="659"/>
      <c r="E16" s="659"/>
      <c r="F16" s="659"/>
      <c r="G16" s="1247"/>
      <c r="H16" s="742"/>
      <c r="I16" s="742"/>
      <c r="J16" s="1064"/>
      <c r="N16" s="309"/>
      <c r="O16" s="309"/>
      <c r="P16" s="309"/>
      <c r="Q16" s="309"/>
      <c r="R16" s="309"/>
      <c r="S16" s="309"/>
      <c r="T16" s="309"/>
    </row>
    <row r="17" spans="2:20" ht="21" customHeight="1">
      <c r="B17" s="659" t="s">
        <v>3573</v>
      </c>
      <c r="C17" s="659"/>
      <c r="D17" s="659"/>
      <c r="E17" s="659"/>
      <c r="F17" s="659"/>
      <c r="G17" s="1247"/>
      <c r="H17" s="1114" t="s">
        <v>628</v>
      </c>
      <c r="I17" s="1114" t="s">
        <v>628</v>
      </c>
      <c r="J17" s="1240" t="s">
        <v>628</v>
      </c>
      <c r="N17" s="309"/>
      <c r="O17" s="309"/>
      <c r="P17" s="309"/>
      <c r="Q17" s="309"/>
      <c r="R17" s="309"/>
      <c r="S17" s="309"/>
      <c r="T17" s="309"/>
    </row>
    <row r="18" spans="2:20" ht="21" customHeight="1">
      <c r="B18" s="617"/>
      <c r="C18" s="617"/>
      <c r="D18" s="617"/>
      <c r="E18" s="617"/>
      <c r="F18" s="617"/>
      <c r="G18" s="617"/>
      <c r="H18" s="571"/>
      <c r="I18" s="571"/>
      <c r="J18" s="1064">
        <f>I18-H18</f>
        <v>0</v>
      </c>
      <c r="N18" s="309"/>
      <c r="O18" s="309"/>
      <c r="P18" s="309"/>
      <c r="Q18" s="309"/>
      <c r="R18" s="309"/>
      <c r="S18" s="309"/>
      <c r="T18" s="309"/>
    </row>
    <row r="19" spans="2:20" ht="21" customHeight="1" thickBot="1">
      <c r="B19" s="617"/>
      <c r="C19" s="617"/>
      <c r="D19" s="617"/>
      <c r="E19" s="617"/>
      <c r="F19" s="617"/>
      <c r="G19" s="617"/>
      <c r="H19" s="596"/>
      <c r="I19" s="596"/>
      <c r="J19" s="1474">
        <f>I19-H19</f>
        <v>0</v>
      </c>
      <c r="N19" s="309"/>
      <c r="O19" s="309"/>
      <c r="P19" s="309"/>
      <c r="Q19" s="309"/>
      <c r="R19" s="309"/>
      <c r="S19" s="309"/>
      <c r="T19" s="309"/>
    </row>
    <row r="20" spans="2:20" ht="21" customHeight="1" thickTop="1">
      <c r="B20" s="659"/>
      <c r="C20" s="659"/>
      <c r="D20" s="659" t="s">
        <v>317</v>
      </c>
      <c r="E20" s="659"/>
      <c r="F20" s="659"/>
      <c r="G20" s="1252"/>
      <c r="H20" s="1255">
        <f>SUM(H7:H19)</f>
        <v>0</v>
      </c>
      <c r="I20" s="1255">
        <f>SUM(I7:I19)</f>
        <v>0</v>
      </c>
      <c r="J20" s="816">
        <f>SUM(J7:J19)</f>
        <v>0</v>
      </c>
      <c r="N20" s="309"/>
      <c r="O20" s="309"/>
      <c r="P20" s="309"/>
      <c r="Q20" s="309"/>
      <c r="R20" s="309"/>
      <c r="S20" s="309"/>
      <c r="T20" s="309"/>
    </row>
    <row r="21" spans="2:20" ht="21" customHeight="1" thickBot="1">
      <c r="B21" s="659" t="s">
        <v>3152</v>
      </c>
      <c r="C21" s="1253"/>
      <c r="D21" s="1253"/>
      <c r="E21" s="659"/>
      <c r="F21" s="659"/>
      <c r="G21" s="1247"/>
      <c r="H21" s="623"/>
      <c r="I21" s="623"/>
      <c r="J21" s="1058">
        <f>I21-H21</f>
        <v>0</v>
      </c>
      <c r="N21" s="309"/>
      <c r="O21" s="309"/>
      <c r="P21" s="309"/>
      <c r="Q21" s="309"/>
      <c r="R21" s="309"/>
      <c r="S21" s="309"/>
      <c r="T21" s="309"/>
    </row>
    <row r="22" spans="2:20" ht="21" customHeight="1" thickTop="1" thickBot="1">
      <c r="B22" s="1054"/>
      <c r="C22" s="1054"/>
      <c r="D22" s="1054"/>
      <c r="E22" s="1054"/>
      <c r="F22" s="1054"/>
      <c r="G22" s="1254"/>
      <c r="H22" s="1256">
        <f>+H20+H21</f>
        <v>0</v>
      </c>
      <c r="I22" s="1256">
        <f>+I20+I21</f>
        <v>0</v>
      </c>
      <c r="J22" s="1251">
        <f>+J20+J21</f>
        <v>0</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2048" t="s">
        <v>321</v>
      </c>
      <c r="C27" s="2048"/>
      <c r="D27" s="2048"/>
      <c r="E27" s="2048"/>
      <c r="F27" s="2048"/>
      <c r="G27" s="2048"/>
      <c r="H27" s="2048"/>
      <c r="I27" s="2048"/>
      <c r="J27" s="2048"/>
    </row>
    <row r="28" spans="2:20" ht="21" customHeight="1" thickTop="1">
      <c r="B28" s="1257" t="s">
        <v>322</v>
      </c>
      <c r="C28" s="1258"/>
      <c r="D28" s="1258"/>
      <c r="E28" s="1258"/>
      <c r="F28" s="1258"/>
      <c r="G28" s="1258"/>
      <c r="H28" s="1258"/>
      <c r="I28" s="1259"/>
      <c r="J28" s="1260" t="s">
        <v>628</v>
      </c>
    </row>
    <row r="29" spans="2:20" ht="21" customHeight="1">
      <c r="B29" s="1261"/>
      <c r="C29" s="1262" t="s">
        <v>174</v>
      </c>
      <c r="D29" s="1262"/>
      <c r="E29" s="1262"/>
      <c r="F29" s="1262"/>
      <c r="G29" s="1262"/>
      <c r="H29" s="1262"/>
      <c r="I29" s="1263"/>
      <c r="J29" s="624"/>
    </row>
    <row r="30" spans="2:20" ht="21" customHeight="1">
      <c r="B30" s="1261"/>
      <c r="C30" s="1262" t="s">
        <v>3574</v>
      </c>
      <c r="D30" s="1262"/>
      <c r="E30" s="1262"/>
      <c r="F30" s="1262"/>
      <c r="G30" s="1262"/>
      <c r="H30" s="1262"/>
      <c r="I30" s="1263"/>
      <c r="J30" s="624"/>
    </row>
    <row r="31" spans="2:20" ht="21" customHeight="1" thickBot="1">
      <c r="B31" s="1261"/>
      <c r="C31" s="1262" t="s">
        <v>323</v>
      </c>
      <c r="D31" s="1262"/>
      <c r="E31" s="1262"/>
      <c r="F31" s="1262"/>
      <c r="G31" s="1262"/>
      <c r="H31" s="1262"/>
      <c r="I31" s="1263"/>
      <c r="J31" s="626"/>
    </row>
    <row r="32" spans="2:20" ht="21" customHeight="1" thickTop="1">
      <c r="B32" s="1261" t="s">
        <v>324</v>
      </c>
      <c r="C32" s="1262"/>
      <c r="D32" s="1262"/>
      <c r="E32" s="1262"/>
      <c r="F32" s="1262"/>
      <c r="G32" s="1262"/>
      <c r="H32" s="1262"/>
      <c r="I32" s="1264"/>
      <c r="J32" s="1265">
        <f>SUM(J29:J31)</f>
        <v>0</v>
      </c>
    </row>
    <row r="33" spans="2:13" ht="21" customHeight="1" thickBot="1">
      <c r="B33" s="1261" t="s">
        <v>325</v>
      </c>
      <c r="C33" s="1262"/>
      <c r="D33" s="1262"/>
      <c r="E33" s="1262"/>
      <c r="F33" s="1262"/>
      <c r="G33" s="1262"/>
      <c r="H33" s="1262"/>
      <c r="I33" s="1264"/>
      <c r="J33" s="625"/>
    </row>
    <row r="34" spans="2:13" ht="21" customHeight="1" thickTop="1">
      <c r="B34" s="1261" t="s">
        <v>727</v>
      </c>
      <c r="C34" s="1262"/>
      <c r="D34" s="1262"/>
      <c r="E34" s="1262"/>
      <c r="F34" s="1262"/>
      <c r="G34" s="1262"/>
      <c r="H34" s="1262"/>
      <c r="I34" s="1264"/>
      <c r="J34" s="1265">
        <f>+J32+J33</f>
        <v>0</v>
      </c>
    </row>
    <row r="35" spans="2:13" ht="21" customHeight="1">
      <c r="B35" s="1261" t="s">
        <v>326</v>
      </c>
      <c r="C35" s="1262"/>
      <c r="D35" s="1262"/>
      <c r="E35" s="1262"/>
      <c r="F35" s="1262"/>
      <c r="G35" s="1262"/>
      <c r="H35" s="1262"/>
      <c r="I35" s="1264"/>
      <c r="J35" s="1266"/>
    </row>
    <row r="36" spans="2:13" ht="21" customHeight="1">
      <c r="B36" s="1268"/>
      <c r="C36" s="1268" t="s">
        <v>594</v>
      </c>
      <c r="D36" s="1268"/>
      <c r="E36" s="1268"/>
      <c r="F36" s="1268"/>
      <c r="G36" s="1268"/>
      <c r="H36" s="1268"/>
      <c r="I36" s="627"/>
      <c r="J36" s="1267"/>
    </row>
    <row r="37" spans="2:13" ht="21" customHeight="1">
      <c r="B37" s="1268"/>
      <c r="C37" s="1268" t="s">
        <v>731</v>
      </c>
      <c r="D37" s="1268"/>
      <c r="E37" s="1268"/>
      <c r="F37" s="1268"/>
      <c r="G37" s="1268"/>
      <c r="H37" s="1268"/>
      <c r="I37" s="627"/>
      <c r="J37" s="1267"/>
    </row>
    <row r="38" spans="2:13" ht="21" customHeight="1" thickBot="1">
      <c r="B38" s="1268" t="s">
        <v>327</v>
      </c>
      <c r="C38" s="1268"/>
      <c r="D38" s="1268"/>
      <c r="E38" s="1268"/>
      <c r="F38" s="1268"/>
      <c r="G38" s="1268"/>
      <c r="H38" s="1268"/>
      <c r="I38" s="628"/>
      <c r="J38" s="624"/>
      <c r="M38" s="371"/>
    </row>
    <row r="39" spans="2:13" ht="21" customHeight="1" thickTop="1" thickBot="1">
      <c r="B39" s="1268" t="s">
        <v>732</v>
      </c>
      <c r="C39" s="1268"/>
      <c r="D39" s="1268"/>
      <c r="E39" s="1268"/>
      <c r="F39" s="1268"/>
      <c r="G39" s="1268"/>
      <c r="H39" s="1268"/>
      <c r="I39" s="1269"/>
      <c r="J39" s="1271">
        <f>SUM(I36:I38)</f>
        <v>0</v>
      </c>
    </row>
    <row r="40" spans="2:13" ht="21" customHeight="1" thickTop="1" thickBot="1">
      <c r="B40" s="1268" t="s">
        <v>328</v>
      </c>
      <c r="C40" s="1268"/>
      <c r="D40" s="1268"/>
      <c r="E40" s="1268"/>
      <c r="F40" s="1268"/>
      <c r="G40" s="1268"/>
      <c r="H40" s="1268"/>
      <c r="I40" s="1270"/>
      <c r="J40" s="1272">
        <f>+J34-J39</f>
        <v>0</v>
      </c>
      <c r="K40" s="371"/>
    </row>
    <row r="41" spans="2:13" ht="13.8" thickTop="1"/>
    <row r="42" spans="2:13">
      <c r="B42" s="399" t="s">
        <v>3149</v>
      </c>
      <c r="C42" s="399"/>
      <c r="D42" s="399"/>
      <c r="E42" s="399"/>
      <c r="F42" s="399"/>
    </row>
    <row r="43" spans="2:13">
      <c r="B43" s="399"/>
      <c r="C43" s="399" t="s">
        <v>3148</v>
      </c>
      <c r="D43" s="399"/>
      <c r="E43" s="399"/>
      <c r="F43" s="399"/>
    </row>
    <row r="44" spans="2:13">
      <c r="B44" s="399"/>
      <c r="C44" s="399"/>
      <c r="D44" s="399" t="s">
        <v>3147</v>
      </c>
      <c r="E44" s="399"/>
      <c r="F44" s="399"/>
      <c r="M44" s="371"/>
    </row>
    <row r="45" spans="2:13">
      <c r="B45" s="399"/>
      <c r="C45" s="399" t="s">
        <v>39</v>
      </c>
      <c r="D45" s="399"/>
      <c r="E45" s="399"/>
      <c r="F45" s="399"/>
    </row>
    <row r="46" spans="2:13">
      <c r="B46" s="399"/>
      <c r="C46" s="399" t="s">
        <v>3146</v>
      </c>
      <c r="D46" s="399"/>
      <c r="E46" s="399"/>
      <c r="F46" s="399"/>
    </row>
    <row r="47" spans="2:13">
      <c r="B47" s="399"/>
      <c r="C47" s="399"/>
      <c r="D47" s="399" t="s">
        <v>3145</v>
      </c>
      <c r="E47" s="399"/>
      <c r="F47" s="399"/>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JqL+JhkuJJHGpScA/coWLHtbmB4SfDHG/HiqXw3zlmqyuvn2IxKBpe2z3dA2xUt/JXUVqy+P3CPTIlIbSNeXPQ==" saltValue="lQ66a5us9jn8mV3A4HvTMQ=="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4">
    <tabColor theme="3" tint="0.39997558519241921"/>
  </sheetPr>
  <dimension ref="B1:T57"/>
  <sheetViews>
    <sheetView topLeftCell="A25" zoomScaleNormal="100" zoomScaleSheetLayoutView="80" workbookViewId="0">
      <selection activeCell="E50" sqref="E50"/>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1" spans="2:20">
      <c r="B1" s="1054"/>
      <c r="C1" s="1054"/>
      <c r="D1" s="1054"/>
      <c r="E1" s="1054"/>
      <c r="F1" s="1054"/>
      <c r="G1" s="1054"/>
      <c r="H1" s="1054"/>
      <c r="I1" s="1054"/>
      <c r="J1" s="1054"/>
      <c r="K1" s="1054"/>
    </row>
    <row r="2" spans="2:20">
      <c r="B2" s="1054"/>
      <c r="C2" s="1054"/>
      <c r="D2" s="1054"/>
      <c r="E2" s="1054"/>
      <c r="F2" s="1054"/>
      <c r="G2" s="1054"/>
      <c r="H2" s="1054"/>
      <c r="I2" s="1054"/>
      <c r="J2" s="1054"/>
      <c r="K2" s="1054"/>
    </row>
    <row r="3" spans="2:20" ht="22.8">
      <c r="B3" s="1887" t="str">
        <f>"STATEMENT  OF  "&amp;IF('KEY INPUTS'!C42="State Fiscal Year","FISCAL  YEAR  "&amp;'KEY INPUTS'!D33&amp;"",'KEY INPUTS'!D34)&amp;"  OPERATION"</f>
        <v>STATEMENT  OF  2021  OPERATION</v>
      </c>
      <c r="C3" s="1887"/>
      <c r="D3" s="1887"/>
      <c r="E3" s="1887"/>
      <c r="F3" s="1887"/>
      <c r="G3" s="1887"/>
      <c r="H3" s="1887"/>
      <c r="I3" s="1887"/>
      <c r="J3" s="1887"/>
      <c r="K3" s="1887"/>
    </row>
    <row r="4" spans="2:20">
      <c r="B4" s="1054"/>
      <c r="C4" s="1054"/>
      <c r="D4" s="1054"/>
      <c r="E4" s="1054"/>
      <c r="F4" s="1054"/>
      <c r="G4" s="1054"/>
      <c r="H4" s="1054"/>
      <c r="I4" s="1054"/>
      <c r="J4" s="1054"/>
      <c r="K4" s="1054"/>
    </row>
    <row r="5" spans="2:20" ht="20.399999999999999">
      <c r="B5" s="1909" t="str">
        <f>UPPER('KEY INPUTS'!D55)&amp;" UTILITY"</f>
        <v xml:space="preserve"> UTILITY</v>
      </c>
      <c r="C5" s="1909"/>
      <c r="D5" s="1909"/>
      <c r="E5" s="1909"/>
      <c r="F5" s="1909"/>
      <c r="G5" s="1909"/>
      <c r="H5" s="1909"/>
      <c r="I5" s="1909"/>
      <c r="J5" s="1909"/>
      <c r="K5" s="1909"/>
    </row>
    <row r="6" spans="2:20">
      <c r="B6" s="1054"/>
      <c r="C6" s="1054"/>
      <c r="D6" s="1054"/>
      <c r="E6" s="1054"/>
      <c r="F6" s="1054"/>
      <c r="G6" s="1054"/>
      <c r="H6" s="1054"/>
      <c r="I6" s="1054"/>
      <c r="J6" s="1054"/>
      <c r="K6" s="1054"/>
    </row>
    <row r="7" spans="2:20">
      <c r="B7" s="1054"/>
      <c r="C7" s="1054"/>
      <c r="D7" s="1054"/>
      <c r="E7" s="1054"/>
      <c r="F7" s="1054"/>
      <c r="G7" s="1054"/>
      <c r="H7" s="1054"/>
      <c r="I7" s="1054"/>
      <c r="J7" s="1054"/>
      <c r="K7" s="1054"/>
    </row>
    <row r="8" spans="2:20">
      <c r="B8" s="1054" t="s">
        <v>313</v>
      </c>
      <c r="C8" s="1129" t="str">
        <f>"Section 1 of this sheet is required to be filled out ONLY IF the "&amp;IF('KEY INPUTS'!C42="State Fiscal Year","Fiscal Year "&amp;'KEY INPUTS'!D33&amp;"",'KEY INPUTS'!D34)&amp;" "&amp;PROPER('KEY INPUTS'!D55)&amp;" Utility Budget contained"</f>
        <v>Section 1 of this sheet is required to be filled out ONLY IF the 2021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799"/>
      <c r="N15" s="309"/>
      <c r="O15" s="309"/>
      <c r="P15" s="309"/>
      <c r="Q15" s="309"/>
      <c r="R15" s="309"/>
      <c r="S15" s="309"/>
      <c r="T15" s="309"/>
    </row>
    <row r="16" spans="2:20" ht="21" customHeight="1">
      <c r="B16" s="659"/>
      <c r="C16" s="659" t="s">
        <v>333</v>
      </c>
      <c r="D16" s="659"/>
      <c r="E16" s="659"/>
      <c r="F16" s="659"/>
      <c r="G16" s="659"/>
      <c r="H16" s="659"/>
      <c r="I16" s="659"/>
      <c r="J16" s="800">
        <f>+'44-Utility2'!I20</f>
        <v>0</v>
      </c>
      <c r="K16" s="799"/>
      <c r="N16" s="309"/>
      <c r="O16" s="309"/>
      <c r="P16" s="309"/>
      <c r="Q16" s="309"/>
      <c r="R16" s="309"/>
      <c r="S16" s="309"/>
      <c r="T16" s="309"/>
    </row>
    <row r="17" spans="2:20" ht="21" customHeight="1">
      <c r="B17" s="659"/>
      <c r="C17" s="659" t="s">
        <v>334</v>
      </c>
      <c r="D17" s="659"/>
      <c r="E17" s="659"/>
      <c r="F17" s="659"/>
      <c r="G17" s="659"/>
      <c r="H17" s="659"/>
      <c r="I17" s="659"/>
      <c r="J17" s="547"/>
      <c r="K17" s="799"/>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c r="K18" s="799"/>
      <c r="N18" s="309"/>
      <c r="O18" s="309"/>
      <c r="P18" s="309"/>
      <c r="Q18" s="309"/>
      <c r="R18" s="309"/>
      <c r="S18" s="309"/>
      <c r="T18" s="309"/>
    </row>
    <row r="19" spans="2:20" ht="21" customHeight="1">
      <c r="B19" s="659"/>
      <c r="C19" s="617"/>
      <c r="D19" s="617"/>
      <c r="E19" s="617"/>
      <c r="F19" s="617"/>
      <c r="G19" s="617"/>
      <c r="H19" s="617"/>
      <c r="I19" s="617"/>
      <c r="J19" s="353"/>
      <c r="K19" s="799"/>
      <c r="N19" s="309"/>
      <c r="O19" s="309"/>
      <c r="P19" s="309"/>
      <c r="Q19" s="309"/>
      <c r="R19" s="309"/>
      <c r="S19" s="309"/>
      <c r="T19" s="309"/>
    </row>
    <row r="20" spans="2:20" ht="21" customHeight="1">
      <c r="B20" s="659"/>
      <c r="C20" s="617"/>
      <c r="D20" s="617"/>
      <c r="E20" s="617"/>
      <c r="F20" s="617"/>
      <c r="G20" s="617"/>
      <c r="H20" s="617"/>
      <c r="I20" s="617"/>
      <c r="J20" s="353"/>
      <c r="K20" s="799"/>
      <c r="N20" s="309"/>
      <c r="O20" s="309"/>
      <c r="P20" s="309"/>
      <c r="Q20" s="309"/>
      <c r="R20" s="309"/>
      <c r="S20" s="309"/>
      <c r="T20" s="309"/>
    </row>
    <row r="21" spans="2:20" ht="21" customHeight="1">
      <c r="B21" s="659"/>
      <c r="C21" s="659" t="s">
        <v>335</v>
      </c>
      <c r="D21" s="659"/>
      <c r="E21" s="659"/>
      <c r="F21" s="659"/>
      <c r="G21" s="659"/>
      <c r="H21" s="659"/>
      <c r="I21" s="659"/>
      <c r="J21" s="547"/>
      <c r="K21" s="809">
        <f>SUM(J16:J20)</f>
        <v>0</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+'44-Utility2'!I36</f>
        <v>0</v>
      </c>
      <c r="K24" s="799"/>
      <c r="N24" s="309"/>
      <c r="O24" s="309"/>
      <c r="P24" s="309"/>
      <c r="Q24" s="309"/>
      <c r="R24" s="309"/>
      <c r="S24" s="309"/>
      <c r="T24" s="309"/>
    </row>
    <row r="25" spans="2:20" ht="21" customHeight="1">
      <c r="B25" s="659"/>
      <c r="C25" s="659"/>
      <c r="D25" s="659" t="s">
        <v>731</v>
      </c>
      <c r="E25" s="659"/>
      <c r="F25" s="659"/>
      <c r="G25" s="659"/>
      <c r="H25" s="659"/>
      <c r="I25" s="659"/>
      <c r="J25" s="800">
        <f>+'44-Utility2'!I37</f>
        <v>0</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7"/>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0</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0</v>
      </c>
    </row>
    <row r="33" spans="2:15" ht="21" customHeight="1" thickTop="1" thickBot="1">
      <c r="B33" s="1122" t="s">
        <v>760</v>
      </c>
      <c r="C33" s="1122"/>
      <c r="D33" s="1122"/>
      <c r="E33" s="1122"/>
      <c r="F33" s="1122"/>
      <c r="G33" s="1122"/>
      <c r="H33" s="1122"/>
      <c r="I33" s="1122"/>
      <c r="J33" s="1123"/>
      <c r="K33" s="1124">
        <f>IF(M33&gt;0,M33,0)</f>
        <v>0</v>
      </c>
      <c r="M33" s="371">
        <f>+K21-K32</f>
        <v>0</v>
      </c>
      <c r="N33" s="679" t="s">
        <v>3212</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1117"/>
      <c r="K35" s="799"/>
    </row>
    <row r="36" spans="2:15" ht="12.75" customHeight="1" thickBot="1">
      <c r="B36" s="1922"/>
      <c r="C36" s="1922"/>
      <c r="D36" s="1922"/>
      <c r="E36" s="1068" t="s">
        <v>3484</v>
      </c>
      <c r="F36" s="1068"/>
      <c r="G36" s="1068"/>
      <c r="H36" s="1068"/>
      <c r="I36" s="1068"/>
      <c r="J36" s="1119">
        <f>+K33-J34</f>
        <v>0</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+'44-Utility2'!I21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J42" s="436"/>
      <c r="K42" s="436"/>
    </row>
    <row r="43" spans="2:15" ht="17.399999999999999">
      <c r="B43" s="1108" t="s">
        <v>765</v>
      </c>
      <c r="C43" s="1054"/>
      <c r="D43" s="1054"/>
      <c r="E43" s="1054"/>
      <c r="F43" s="1054"/>
      <c r="G43" s="1054"/>
      <c r="H43" s="1054"/>
      <c r="I43" s="1054"/>
      <c r="J43" s="799"/>
      <c r="K43" s="799"/>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INPUTS'!D55)&amp;" Utility for "&amp;IF('KEY INPUTS'!C42="State Fiscal Year","Fiscal Year "&amp;'KEY INPUTS'!D33-1&amp;"",'KEY INPUTS'!D34-1)&amp;""</f>
        <v>Anticipated Deficit in the  Utility for 2020</v>
      </c>
      <c r="C46" s="1054"/>
      <c r="D46" s="1054"/>
      <c r="E46" s="1054"/>
      <c r="F46" s="1054"/>
      <c r="G46" s="1054"/>
      <c r="H46" s="1054"/>
      <c r="I46" s="1054"/>
      <c r="J46" s="799"/>
      <c r="K46" s="799"/>
      <c r="O46" s="309"/>
    </row>
    <row r="47" spans="2:15">
      <c r="B47" s="1054"/>
      <c r="C47" s="1054"/>
      <c r="D47" s="1054"/>
      <c r="E47" s="1054"/>
      <c r="F47" s="1054"/>
      <c r="G47" s="1054"/>
      <c r="H47" s="1054"/>
      <c r="I47" s="1054"/>
      <c r="J47" s="799"/>
      <c r="K47" s="799"/>
      <c r="O47" s="309"/>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c r="K48" s="799"/>
      <c r="O48" s="309"/>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s="309"/>
    </row>
    <row r="50" spans="2:15" ht="21" customHeight="1">
      <c r="B50" s="659" t="s">
        <v>766</v>
      </c>
      <c r="C50" s="659"/>
      <c r="D50" s="659"/>
      <c r="E50" s="659"/>
      <c r="F50" s="659"/>
      <c r="G50" s="659"/>
      <c r="H50" s="659"/>
      <c r="I50" s="659"/>
      <c r="J50" s="632"/>
      <c r="K50" s="809">
        <f>+MAX(0,J48-J49)</f>
        <v>0</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2OwdsSJTLovgt/iShhF7+ewVZ/5GC8go/15OT/CWVTxiav1wGnI7jeAJu1XpOlYR32gGDLY64hz1D0CGg7mBGQ==" saltValue="FpgGLEMcqRQ8g7RsopFX1A=="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5">
    <tabColor theme="3" tint="0.39997558519241921"/>
  </sheetPr>
  <dimension ref="B1:Z52"/>
  <sheetViews>
    <sheetView zoomScaleNormal="100" zoomScaleSheetLayoutView="80" workbookViewId="0">
      <selection activeCell="B7" sqref="B7"/>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1" spans="2:26">
      <c r="B1" s="1054"/>
      <c r="C1" s="1054"/>
      <c r="D1" s="1054"/>
      <c r="E1" s="1054"/>
      <c r="F1" s="1054"/>
      <c r="G1" s="1054"/>
      <c r="H1" s="1054"/>
      <c r="I1" s="1054"/>
      <c r="J1" s="1054"/>
      <c r="K1" s="1054"/>
      <c r="L1" s="1054"/>
    </row>
    <row r="2" spans="2:26" ht="20.399999999999999">
      <c r="B2" s="1909" t="str">
        <f>"RESULTS  OF  "&amp;IF('KEY INPUTS'!C42="State Fiscal Year","FY  "&amp;'KEY INPUTS'!D33&amp;"",'KEY INPUTS'!D34)&amp;"  OPERATIONS  - "&amp;UPPER('KEY INPUTS'!D55)&amp;" UTILITY"</f>
        <v>RESULTS  OF  2021  OPERATIONS  -  UTILITY</v>
      </c>
      <c r="C2" s="1909"/>
      <c r="D2" s="1909"/>
      <c r="E2" s="1909"/>
      <c r="F2" s="1909"/>
      <c r="G2" s="1909"/>
      <c r="H2" s="1909"/>
      <c r="I2" s="1909"/>
      <c r="J2" s="1909"/>
      <c r="K2" s="1909"/>
      <c r="L2" s="1909"/>
    </row>
    <row r="3" spans="2:26" ht="13.8" thickBot="1">
      <c r="B3" s="1054"/>
      <c r="C3" s="1054"/>
      <c r="D3" s="1054"/>
      <c r="E3" s="1054"/>
      <c r="F3" s="1054"/>
      <c r="G3" s="1054"/>
      <c r="H3" s="1054"/>
      <c r="I3" s="1054"/>
      <c r="J3" s="1054"/>
      <c r="K3" s="1054"/>
      <c r="L3" s="1054"/>
    </row>
    <row r="4" spans="2:26" ht="21" customHeight="1" thickTop="1" thickBot="1">
      <c r="B4" s="1273"/>
      <c r="C4" s="1273"/>
      <c r="D4" s="1273"/>
      <c r="E4" s="1273"/>
      <c r="F4" s="1273"/>
      <c r="G4" s="1273"/>
      <c r="H4" s="1273"/>
      <c r="I4" s="1273"/>
      <c r="J4" s="1273"/>
      <c r="K4" s="1055" t="s">
        <v>96</v>
      </c>
      <c r="L4" s="1056" t="s">
        <v>97</v>
      </c>
    </row>
    <row r="5" spans="2:26" ht="21" customHeight="1" thickTop="1">
      <c r="B5" s="1150" t="s">
        <v>209</v>
      </c>
      <c r="C5" s="1110"/>
      <c r="D5" s="1110"/>
      <c r="E5" s="1110"/>
      <c r="F5" s="1110"/>
      <c r="G5" s="1110"/>
      <c r="H5" s="1110"/>
      <c r="I5" s="1110"/>
      <c r="J5" s="1110"/>
      <c r="K5" s="1142" t="s">
        <v>628</v>
      </c>
      <c r="L5" s="1143">
        <f>IF(+'44-Utility2'!J22&gt;0,+'44-Utility2'!J22,0)</f>
        <v>0</v>
      </c>
      <c r="N5" s="309"/>
      <c r="O5" s="309"/>
      <c r="P5" s="309"/>
      <c r="Q5" s="309"/>
      <c r="R5" s="309"/>
      <c r="S5" s="309"/>
      <c r="T5" s="309"/>
    </row>
    <row r="6" spans="2:26" ht="21" customHeight="1">
      <c r="B6" s="1572" t="s">
        <v>3604</v>
      </c>
      <c r="C6" s="659"/>
      <c r="D6" s="659"/>
      <c r="E6" s="659"/>
      <c r="F6" s="659"/>
      <c r="G6" s="659"/>
      <c r="H6" s="659"/>
      <c r="I6" s="659"/>
      <c r="J6" s="659"/>
      <c r="K6" s="1144" t="s">
        <v>628</v>
      </c>
      <c r="L6" s="1064">
        <f>+'44-Utility2'!J40</f>
        <v>0</v>
      </c>
      <c r="M6" s="708"/>
      <c r="N6" s="309"/>
      <c r="O6" s="309"/>
      <c r="P6" s="309"/>
      <c r="Q6" s="309"/>
      <c r="R6" s="309"/>
      <c r="S6" s="309"/>
      <c r="T6" s="309"/>
    </row>
    <row r="7" spans="2:26" ht="21" customHeight="1">
      <c r="B7" s="665" t="s">
        <v>210</v>
      </c>
      <c r="C7" s="659"/>
      <c r="D7" s="659"/>
      <c r="E7" s="659"/>
      <c r="F7" s="659"/>
      <c r="G7" s="659"/>
      <c r="H7" s="659"/>
      <c r="I7" s="659"/>
      <c r="J7" s="659"/>
      <c r="K7" s="1144" t="s">
        <v>628</v>
      </c>
      <c r="L7" s="1064">
        <f>'45-Utility2'!J17</f>
        <v>0</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659"/>
      <c r="J8" s="659"/>
      <c r="K8" s="1144" t="s">
        <v>628</v>
      </c>
      <c r="L8" s="1064">
        <f>+'45-Utility2'!K50</f>
        <v>0</v>
      </c>
      <c r="N8" s="309"/>
      <c r="O8" s="309"/>
      <c r="P8" s="309"/>
      <c r="Q8" s="309"/>
      <c r="R8" s="309"/>
      <c r="S8" s="309"/>
      <c r="T8" s="309"/>
    </row>
    <row r="9" spans="2:26" ht="21" customHeight="1">
      <c r="B9" s="674"/>
      <c r="C9" s="617"/>
      <c r="D9" s="617"/>
      <c r="E9" s="617"/>
      <c r="F9" s="617"/>
      <c r="G9" s="617"/>
      <c r="H9" s="617"/>
      <c r="I9" s="659"/>
      <c r="J9" s="659"/>
      <c r="K9" s="627"/>
      <c r="L9" s="578"/>
      <c r="N9" s="309"/>
      <c r="O9" s="309"/>
      <c r="P9" s="309"/>
      <c r="Q9" s="309"/>
      <c r="R9" s="309"/>
      <c r="S9" s="309"/>
      <c r="T9" s="309"/>
    </row>
    <row r="10" spans="2:26" ht="21" customHeight="1">
      <c r="B10" s="1054" t="s">
        <v>3164</v>
      </c>
      <c r="C10" s="1054"/>
      <c r="D10" s="1054"/>
      <c r="E10" s="1054"/>
      <c r="F10" s="1054"/>
      <c r="G10" s="1054"/>
      <c r="H10" s="1054"/>
      <c r="I10" s="1054"/>
      <c r="J10" s="1054"/>
      <c r="K10" s="658">
        <f>IF(+'44-Utility2'!J22&lt;0,-'44-Utility2'!J22,0)</f>
        <v>0</v>
      </c>
      <c r="L10" s="1146" t="s">
        <v>628</v>
      </c>
      <c r="M10" s="371">
        <f>+L9+L8+L7+L6+L5-K11-K10-K9</f>
        <v>0</v>
      </c>
      <c r="N10" s="679" t="s">
        <v>3373</v>
      </c>
      <c r="O10" s="309"/>
      <c r="P10" s="309"/>
      <c r="Q10" s="309"/>
      <c r="R10" s="309"/>
      <c r="S10" s="309"/>
      <c r="T10" s="309"/>
      <c r="V10" s="449">
        <f>-'44-Utility2'!U22</f>
        <v>0</v>
      </c>
    </row>
    <row r="11" spans="2:26" ht="21" customHeight="1">
      <c r="B11" s="671"/>
      <c r="C11" s="1139"/>
      <c r="D11" s="617"/>
      <c r="E11" s="617"/>
      <c r="F11" s="617"/>
      <c r="G11" s="617"/>
      <c r="H11" s="617"/>
      <c r="I11" s="659"/>
      <c r="J11" s="659"/>
      <c r="K11" s="571"/>
      <c r="L11" s="1146" t="s">
        <v>628</v>
      </c>
      <c r="N11" s="309"/>
      <c r="O11" s="309"/>
      <c r="P11" s="309"/>
      <c r="Q11" s="309"/>
      <c r="R11" s="309"/>
      <c r="S11" s="309"/>
      <c r="T11" s="309"/>
      <c r="U11" s="309"/>
      <c r="V11" s="309"/>
      <c r="W11" s="309"/>
      <c r="X11" s="309"/>
      <c r="Y11" s="309"/>
      <c r="Z11" s="309"/>
    </row>
    <row r="12" spans="2:26" ht="21" customHeight="1">
      <c r="B12" s="665" t="s">
        <v>211</v>
      </c>
      <c r="C12" s="1112"/>
      <c r="D12" s="659"/>
      <c r="E12" s="659"/>
      <c r="F12" s="659"/>
      <c r="G12" s="659"/>
      <c r="H12" s="659"/>
      <c r="I12" s="659"/>
      <c r="J12" s="659"/>
      <c r="K12" s="1144" t="s">
        <v>628</v>
      </c>
      <c r="L12" s="1145">
        <f>IF(M10&gt;0,0,M10*-1)</f>
        <v>0</v>
      </c>
      <c r="N12" s="309"/>
      <c r="O12" s="309"/>
      <c r="P12" s="309"/>
      <c r="Q12" s="309"/>
      <c r="R12" s="309"/>
      <c r="S12" s="309"/>
      <c r="T12" s="309"/>
      <c r="U12" s="309"/>
      <c r="V12" s="309"/>
      <c r="W12" s="309"/>
      <c r="X12" s="309"/>
      <c r="Y12" s="309"/>
      <c r="Z12" s="309"/>
    </row>
    <row r="13" spans="2:26" ht="21" customHeight="1" thickBot="1">
      <c r="B13" s="665" t="s">
        <v>212</v>
      </c>
      <c r="C13" s="1112"/>
      <c r="D13" s="659"/>
      <c r="E13" s="659"/>
      <c r="F13" s="659"/>
      <c r="G13" s="659"/>
      <c r="H13" s="659"/>
      <c r="I13" s="659"/>
      <c r="J13" s="659"/>
      <c r="K13" s="658">
        <f>IF(M10&gt;0,M10,0)</f>
        <v>0</v>
      </c>
      <c r="L13" s="1147" t="s">
        <v>628</v>
      </c>
      <c r="M13" s="371"/>
      <c r="N13" s="309"/>
      <c r="O13" s="309"/>
      <c r="P13" s="309"/>
      <c r="Q13" s="309"/>
      <c r="R13" s="309"/>
      <c r="S13" s="309"/>
      <c r="T13" s="309"/>
      <c r="U13" s="309"/>
      <c r="V13" s="448">
        <f>U11</f>
        <v>0</v>
      </c>
      <c r="W13" s="309"/>
      <c r="X13" s="309"/>
      <c r="Y13" s="309"/>
      <c r="Z13" s="309"/>
    </row>
    <row r="14" spans="2:26" ht="21" customHeight="1" thickBot="1">
      <c r="B14" s="1149" t="s">
        <v>3163</v>
      </c>
      <c r="C14" s="1054"/>
      <c r="D14" s="1054"/>
      <c r="E14" s="1054"/>
      <c r="F14" s="1054"/>
      <c r="G14" s="1054"/>
      <c r="H14" s="1054"/>
      <c r="I14" s="1054"/>
      <c r="J14" s="1054"/>
      <c r="K14" s="1071">
        <f>SUM(K5:K13)</f>
        <v>0</v>
      </c>
      <c r="L14" s="1072">
        <f>SUM(L5:L13)</f>
        <v>0</v>
      </c>
      <c r="M14" s="371">
        <f>L14-K14</f>
        <v>0</v>
      </c>
      <c r="N14" s="679" t="s">
        <v>3373</v>
      </c>
      <c r="O14" s="309"/>
      <c r="P14" s="309"/>
      <c r="Q14" s="309"/>
      <c r="R14" s="309"/>
      <c r="S14" s="309"/>
      <c r="T14" s="309"/>
      <c r="U14" s="309"/>
      <c r="V14" s="309"/>
      <c r="W14" s="309"/>
      <c r="X14" s="309"/>
      <c r="Y14" s="309"/>
      <c r="Z14" s="309"/>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INPUTS'!D55)&amp;" UTILITY"</f>
        <v>OPERATING  SURPLUS  -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B18" s="1054"/>
      <c r="C18" s="1054"/>
      <c r="D18" s="1054"/>
      <c r="E18" s="1054"/>
      <c r="F18" s="1054"/>
      <c r="G18" s="1054"/>
      <c r="H18" s="1054"/>
      <c r="I18" s="1054"/>
      <c r="J18" s="1054"/>
      <c r="K18" s="1054"/>
      <c r="L18" s="1054"/>
      <c r="N18" s="309"/>
      <c r="O18" s="309"/>
      <c r="P18" s="309"/>
      <c r="Q18" s="309"/>
      <c r="R18" s="309"/>
      <c r="S18" s="309"/>
      <c r="T18" s="309"/>
    </row>
    <row r="19" spans="2:20" ht="25.5" customHeight="1" thickTop="1" thickBot="1">
      <c r="B19" s="1273"/>
      <c r="C19" s="1273"/>
      <c r="D19" s="1273"/>
      <c r="E19" s="1273"/>
      <c r="F19" s="1273"/>
      <c r="G19" s="1273"/>
      <c r="H19" s="1273"/>
      <c r="I19" s="1273"/>
      <c r="J19" s="1273"/>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275" t="s">
        <v>628</v>
      </c>
      <c r="L20" s="881"/>
      <c r="N20" s="309"/>
      <c r="O20" s="309"/>
      <c r="P20" s="309"/>
      <c r="Q20" s="309"/>
      <c r="R20" s="309"/>
      <c r="S20" s="309"/>
      <c r="T20" s="309"/>
    </row>
    <row r="21" spans="2:20" ht="21" customHeight="1">
      <c r="B21" s="1140"/>
      <c r="C21" s="617"/>
      <c r="D21" s="617"/>
      <c r="E21" s="617"/>
      <c r="F21" s="617"/>
      <c r="G21" s="617"/>
      <c r="H21" s="617"/>
      <c r="I21" s="617"/>
      <c r="J21" s="617"/>
      <c r="K21" s="1138"/>
      <c r="L21" s="879"/>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276" t="s">
        <v>628</v>
      </c>
      <c r="L22" s="1277">
        <f>+K13</f>
        <v>0</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1278">
        <f>'44-Utility2'!I7</f>
        <v>0</v>
      </c>
      <c r="L23" s="1279"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2054"/>
      <c r="L24" s="2052" t="s">
        <v>628</v>
      </c>
    </row>
    <row r="25" spans="2:20" ht="12.75" customHeight="1">
      <c r="B25" s="1068" t="s">
        <v>842</v>
      </c>
      <c r="C25" s="1068"/>
      <c r="D25" s="1068"/>
      <c r="E25" s="1068"/>
      <c r="F25" s="1068"/>
      <c r="G25" s="1068"/>
      <c r="H25" s="1068"/>
      <c r="I25" s="1068"/>
      <c r="J25" s="1068"/>
      <c r="K25" s="2055"/>
      <c r="L25" s="2053"/>
    </row>
    <row r="26" spans="2:20" ht="21" customHeight="1">
      <c r="B26" s="1140"/>
      <c r="C26" s="617"/>
      <c r="D26" s="617"/>
      <c r="E26" s="617"/>
      <c r="F26" s="617"/>
      <c r="G26" s="617"/>
      <c r="H26" s="617"/>
      <c r="I26" s="617"/>
      <c r="J26" s="617"/>
      <c r="K26" s="880"/>
      <c r="L26" s="1141"/>
    </row>
    <row r="27" spans="2:20" ht="21" customHeight="1" thickBot="1">
      <c r="B27" s="659" t="str">
        <f>IF('KEY INPUTS'!C42 = "State Fiscal Year", 'KEY INPUTS'!F26,'KEY INPUTS'!D26)</f>
        <v>Balance - December 31, 2021</v>
      </c>
      <c r="C27" s="659"/>
      <c r="D27" s="659"/>
      <c r="E27" s="659"/>
      <c r="F27" s="659"/>
      <c r="G27" s="659"/>
      <c r="H27" s="659"/>
      <c r="I27" s="659"/>
      <c r="J27" s="659"/>
      <c r="K27" s="1280">
        <f>+SUM(L20:L26)-SUM(K21:K26)</f>
        <v>0</v>
      </c>
      <c r="L27" s="1281" t="s">
        <v>628</v>
      </c>
      <c r="N27" s="738" t="s">
        <v>3249</v>
      </c>
    </row>
    <row r="28" spans="2:20" ht="21" customHeight="1" thickBot="1">
      <c r="B28" s="1054"/>
      <c r="C28" s="1054"/>
      <c r="D28" s="1054"/>
      <c r="E28" s="1054"/>
      <c r="F28" s="1054"/>
      <c r="G28" s="1054"/>
      <c r="H28" s="1054"/>
      <c r="I28" s="1054"/>
      <c r="J28" s="1054"/>
      <c r="K28" s="1071">
        <f>SUM(K21:K27)</f>
        <v>0</v>
      </c>
      <c r="L28" s="1072">
        <f>SUM(L20:L27)</f>
        <v>0</v>
      </c>
    </row>
    <row r="29" spans="2:20" ht="13.8" thickTop="1"/>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6" t="str">
        <f>"(FROM "&amp;UPPER('KEY INPUTS'!D55)&amp;" UTILITY  -  TRIAL  BALANCE)"</f>
        <v>(FROM  UTILITY  -  TRIAL  BALANCE)</v>
      </c>
      <c r="C33" s="1926"/>
      <c r="D33" s="1926"/>
      <c r="E33" s="1926"/>
      <c r="F33" s="1926"/>
      <c r="G33" s="1926"/>
      <c r="H33" s="1926"/>
      <c r="I33" s="1926"/>
      <c r="J33" s="1926"/>
      <c r="K33" s="1926"/>
      <c r="L33" s="1926"/>
    </row>
    <row r="34" spans="2:14" ht="13.8" thickBot="1">
      <c r="B34" s="1054"/>
      <c r="C34" s="1054"/>
      <c r="D34" s="1054"/>
      <c r="E34" s="1054"/>
      <c r="F34" s="1054"/>
      <c r="G34" s="1054"/>
      <c r="H34" s="1054"/>
      <c r="I34" s="1054"/>
      <c r="J34" s="1054"/>
      <c r="K34" s="1054"/>
      <c r="L34" s="1054"/>
    </row>
    <row r="35" spans="2:14" ht="21" customHeight="1" thickTop="1">
      <c r="B35" s="1110" t="s">
        <v>194</v>
      </c>
      <c r="C35" s="1110"/>
      <c r="D35" s="1110"/>
      <c r="E35" s="1110"/>
      <c r="F35" s="1110"/>
      <c r="G35" s="1110"/>
      <c r="H35" s="1110"/>
      <c r="I35" s="1110"/>
      <c r="J35" s="1110"/>
      <c r="K35" s="1154"/>
      <c r="L35" s="1153">
        <f>+'41-Utility2'!G13</f>
        <v>0</v>
      </c>
    </row>
    <row r="36" spans="2:14" ht="21" customHeight="1">
      <c r="B36" s="659" t="s">
        <v>315</v>
      </c>
      <c r="C36" s="659"/>
      <c r="D36" s="659"/>
      <c r="E36" s="659"/>
      <c r="F36" s="659"/>
      <c r="G36" s="659"/>
      <c r="H36" s="659"/>
      <c r="I36" s="659"/>
      <c r="J36" s="659"/>
      <c r="K36" s="1155"/>
      <c r="L36" s="600"/>
    </row>
    <row r="37" spans="2:14" ht="21" customHeight="1" thickBot="1">
      <c r="B37" s="659" t="s">
        <v>664</v>
      </c>
      <c r="C37" s="659"/>
      <c r="D37" s="659"/>
      <c r="E37" s="659"/>
      <c r="F37" s="659"/>
      <c r="G37" s="659"/>
      <c r="H37" s="659"/>
      <c r="I37" s="659"/>
      <c r="J37" s="659"/>
      <c r="K37" s="1155"/>
      <c r="L37" s="602"/>
    </row>
    <row r="38" spans="2:14" ht="21" customHeight="1" thickTop="1">
      <c r="B38" s="659"/>
      <c r="C38" s="659"/>
      <c r="D38" s="659" t="s">
        <v>317</v>
      </c>
      <c r="E38" s="659"/>
      <c r="F38" s="659"/>
      <c r="G38" s="659"/>
      <c r="H38" s="659"/>
      <c r="I38" s="659"/>
      <c r="J38" s="659"/>
      <c r="K38" s="1155"/>
      <c r="L38" s="1156">
        <f>SUM(L35:L37)</f>
        <v>0</v>
      </c>
    </row>
    <row r="39" spans="2:14" ht="21" customHeight="1" thickBot="1">
      <c r="B39" s="659" t="s">
        <v>362</v>
      </c>
      <c r="C39" s="659"/>
      <c r="D39" s="659"/>
      <c r="E39" s="659"/>
      <c r="F39" s="659"/>
      <c r="G39" s="659"/>
      <c r="H39" s="659"/>
      <c r="I39" s="659"/>
      <c r="J39" s="659"/>
      <c r="K39" s="1155"/>
      <c r="L39" s="1157">
        <f>+'41-Utility2'!H39</f>
        <v>0</v>
      </c>
    </row>
    <row r="40" spans="2:14" ht="21" customHeight="1" thickTop="1">
      <c r="B40" s="659"/>
      <c r="C40" s="659"/>
      <c r="D40" s="659" t="s">
        <v>207</v>
      </c>
      <c r="E40" s="659"/>
      <c r="F40" s="659"/>
      <c r="G40" s="659"/>
      <c r="H40" s="659"/>
      <c r="I40" s="659"/>
      <c r="J40" s="659"/>
      <c r="K40" s="1155"/>
      <c r="L40" s="1156">
        <f>+L38-L39</f>
        <v>0</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c r="L42" s="1060"/>
    </row>
    <row r="43" spans="2:14" ht="21" customHeight="1">
      <c r="B43" s="659"/>
      <c r="C43" s="659" t="s">
        <v>208</v>
      </c>
      <c r="D43" s="659"/>
      <c r="E43" s="659"/>
      <c r="F43" s="659"/>
      <c r="G43" s="659"/>
      <c r="H43" s="659"/>
      <c r="I43" s="659"/>
      <c r="J43" s="659"/>
      <c r="K43" s="571"/>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444" t="str">
        <f>"# MAY NOT BE ANTICIPATED AS NON-CASH SURPLUS IN "&amp;TEXT('KEY INPUTS'!D34,"0")&amp;" BUDGET."</f>
        <v># MAY NOT BE ANTICIPATED AS NON-CASH SURPLUS IN 2021 BUDGET.</v>
      </c>
      <c r="K45" s="443"/>
      <c r="L45" s="1158">
        <f>+L40+L44</f>
        <v>0</v>
      </c>
      <c r="M45" s="371"/>
      <c r="N45" s="738" t="s">
        <v>3249</v>
      </c>
    </row>
    <row r="46" spans="2:14" ht="13.8" thickTop="1">
      <c r="B46" s="442" t="s">
        <v>213</v>
      </c>
      <c r="C46" s="442"/>
    </row>
    <row r="47" spans="2:14">
      <c r="B47" s="442"/>
      <c r="C47" s="442" t="s">
        <v>3162</v>
      </c>
    </row>
    <row r="52" spans="2:12" ht="13.8">
      <c r="B52" s="1882" t="s">
        <v>3161</v>
      </c>
      <c r="C52" s="1882"/>
      <c r="D52" s="1882"/>
      <c r="E52" s="1882"/>
      <c r="F52" s="1882"/>
      <c r="G52" s="1882"/>
      <c r="H52" s="1882"/>
      <c r="I52" s="1882"/>
      <c r="J52" s="1882"/>
      <c r="K52" s="1882"/>
      <c r="L52" s="1882"/>
    </row>
  </sheetData>
  <sheetProtection algorithmName="SHA-512" hashValue="T1y5k1v43ClVma64Qux8ih1Sx+E5NDIrv8H60EY+U3hZU/UQsdx9uq6eQvZuamOtLw2Lw10y1qxCebBxDL5Kcw==" saltValue="cH0Swg8tMRCUdxX39+n2Aw==" spinCount="100000" sheet="1" objects="1" scenarios="1"/>
  <mergeCells count="8">
    <mergeCell ref="B52:L52"/>
    <mergeCell ref="B2:L2"/>
    <mergeCell ref="B17:L17"/>
    <mergeCell ref="B32:L32"/>
    <mergeCell ref="B33:L33"/>
    <mergeCell ref="C42:G42"/>
    <mergeCell ref="L24:L25"/>
    <mergeCell ref="K24:K25"/>
  </mergeCells>
  <pageMargins left="0.25" right="0.25" top="0.5" bottom="0.5" header="0.25" footer="0.25"/>
  <pageSetup paperSize="5" orientation="portrait" r:id="rId1"/>
  <headerFooter alignWithMargins="0"/>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6">
    <tabColor theme="3" tint="0.39997558519241921"/>
  </sheetPr>
  <dimension ref="B3:T69"/>
  <sheetViews>
    <sheetView topLeftCell="A19" zoomScaleNormal="100" zoomScaleSheetLayoutView="80" workbookViewId="0">
      <selection activeCell="B55" sqref="B55"/>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INPUTS'!D55&amp;"  UTILITY  ACCOUNTS  RECEIVABLE")</f>
        <v>SCHEDULE  OF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132" t="s">
        <v>3482</v>
      </c>
      <c r="E11" s="1132"/>
      <c r="F11" s="1054"/>
      <c r="G11" s="737"/>
      <c r="J11" s="275"/>
      <c r="K11" s="318" t="s">
        <v>373</v>
      </c>
      <c r="L11" s="552"/>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c r="K16" s="275"/>
      <c r="L16" s="275"/>
      <c r="N16" s="309"/>
      <c r="O16" s="309"/>
      <c r="P16" s="309"/>
      <c r="Q16" s="309"/>
      <c r="R16" s="309"/>
      <c r="S16" s="309"/>
      <c r="T16" s="309"/>
    </row>
    <row r="17" spans="2:20" ht="21" customHeight="1">
      <c r="D17" s="318" t="s">
        <v>217</v>
      </c>
      <c r="I17" s="318" t="s">
        <v>373</v>
      </c>
      <c r="J17" s="552"/>
      <c r="K17" s="275"/>
      <c r="L17" s="275"/>
      <c r="N17" s="309"/>
      <c r="O17" s="309"/>
      <c r="P17" s="309"/>
      <c r="Q17" s="309"/>
      <c r="R17" s="309"/>
      <c r="S17" s="309"/>
      <c r="T17" s="309"/>
    </row>
    <row r="18" spans="2:20" ht="21" customHeight="1">
      <c r="D18" s="1054" t="s">
        <v>3486</v>
      </c>
      <c r="E18" s="1054"/>
      <c r="F18" s="1132"/>
      <c r="G18" s="1132"/>
      <c r="I18" s="318" t="s">
        <v>373</v>
      </c>
      <c r="J18" s="552"/>
      <c r="K18" s="275"/>
      <c r="L18" s="275"/>
      <c r="N18" s="309"/>
      <c r="O18" s="309"/>
      <c r="P18" s="309"/>
      <c r="Q18" s="309"/>
      <c r="R18" s="309"/>
      <c r="S18" s="309"/>
      <c r="T18" s="309"/>
    </row>
    <row r="19" spans="2:20" ht="21" customHeight="1">
      <c r="D19" s="318" t="s">
        <v>218</v>
      </c>
      <c r="I19" s="318" t="s">
        <v>373</v>
      </c>
      <c r="J19" s="552"/>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0</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0</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INPUTS'!D55)&amp;" UTILITY  LIENS"</f>
        <v>SCHEDULE  OF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c r="K41" s="275"/>
      <c r="L41" s="275"/>
    </row>
    <row r="42" spans="2:12" ht="21" customHeight="1">
      <c r="D42" s="318" t="s">
        <v>220</v>
      </c>
      <c r="I42" s="318" t="s">
        <v>373</v>
      </c>
      <c r="J42" s="552"/>
      <c r="K42" s="275"/>
      <c r="L42" s="275"/>
    </row>
    <row r="43" spans="2:12" ht="21" customHeight="1">
      <c r="D43" s="318" t="s">
        <v>218</v>
      </c>
      <c r="I43" s="318" t="s">
        <v>373</v>
      </c>
      <c r="J43" s="552"/>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c r="K48" s="275"/>
      <c r="L48" s="275"/>
    </row>
    <row r="49" spans="2:12" ht="21" customHeight="1">
      <c r="D49" s="318" t="s">
        <v>218</v>
      </c>
      <c r="I49" s="318" t="s">
        <v>373</v>
      </c>
      <c r="J49" s="552"/>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lVmHjXIaiF0Qg1GYQAVBjBg80fZjH9IxsMeAgJiv3NHXixtGC9yLv5CJmz2oJ4bDln5FqcLBJPW6wnca+dpyXw==" saltValue="mMnxHGMGRvPo6PyXIk7jvw=="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7">
    <tabColor theme="3" tint="0.39997558519241921"/>
  </sheetPr>
  <dimension ref="B1:W69"/>
  <sheetViews>
    <sheetView zoomScaleNormal="100" zoomScaleSheetLayoutView="80" workbookViewId="0">
      <selection activeCell="N45" sqref="N45"/>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1" spans="2:23">
      <c r="B1" s="1086"/>
      <c r="C1" s="1086"/>
      <c r="D1" s="1086"/>
      <c r="E1" s="1086"/>
      <c r="F1" s="1086"/>
      <c r="G1" s="1086"/>
      <c r="H1" s="1086"/>
      <c r="I1" s="1086"/>
      <c r="J1" s="1086"/>
      <c r="K1" s="1086"/>
      <c r="L1" s="1086"/>
      <c r="M1" s="1086"/>
      <c r="N1" s="1086"/>
    </row>
    <row r="2" spans="2:23">
      <c r="B2" s="1086"/>
      <c r="C2" s="1086"/>
      <c r="D2" s="1086"/>
      <c r="E2" s="1086"/>
      <c r="F2" s="1086"/>
      <c r="G2" s="1086"/>
      <c r="H2" s="1086"/>
      <c r="I2" s="1086"/>
      <c r="J2" s="1086"/>
      <c r="K2" s="1086"/>
      <c r="L2" s="1086"/>
      <c r="M2" s="1086"/>
      <c r="N2" s="1086"/>
    </row>
    <row r="3" spans="2:23" ht="20.399999999999999">
      <c r="B3" s="2000" t="s">
        <v>869</v>
      </c>
      <c r="C3" s="2000"/>
      <c r="D3" s="2000"/>
      <c r="E3" s="2000"/>
      <c r="F3" s="2000"/>
      <c r="G3" s="2000"/>
      <c r="H3" s="2000"/>
      <c r="I3" s="2000"/>
      <c r="J3" s="2000"/>
      <c r="K3" s="2000"/>
      <c r="L3" s="2000"/>
      <c r="M3" s="2000"/>
      <c r="N3" s="2000"/>
    </row>
    <row r="4" spans="2:23" ht="15.6">
      <c r="B4" s="2059" t="s">
        <v>421</v>
      </c>
      <c r="C4" s="2059"/>
      <c r="D4" s="2059"/>
      <c r="E4" s="2059"/>
      <c r="F4" s="2059"/>
      <c r="G4" s="2059"/>
      <c r="H4" s="2059"/>
      <c r="I4" s="2059"/>
      <c r="J4" s="2059"/>
      <c r="K4" s="2059"/>
      <c r="L4" s="2059"/>
      <c r="M4" s="2059"/>
      <c r="N4" s="2059"/>
    </row>
    <row r="5" spans="2:23" ht="20.399999999999999">
      <c r="B5" s="1909" t="str">
        <f>UPPER('KEY INPUTS'!D55)&amp;" UTILITY  FUND"</f>
        <v xml:space="preserve"> UTILITY  FUND</v>
      </c>
      <c r="C5" s="1909"/>
      <c r="D5" s="1909"/>
      <c r="E5" s="1909"/>
      <c r="F5" s="1909"/>
      <c r="G5" s="1909"/>
      <c r="H5" s="1909"/>
      <c r="I5" s="1909"/>
      <c r="J5" s="1909"/>
      <c r="K5" s="1909"/>
      <c r="L5" s="1909"/>
      <c r="M5" s="1909"/>
      <c r="N5" s="1909"/>
    </row>
    <row r="6" spans="2:23">
      <c r="B6" s="2060" t="s">
        <v>3575</v>
      </c>
      <c r="C6" s="2060"/>
      <c r="D6" s="2060"/>
      <c r="E6" s="2060"/>
      <c r="F6" s="2060"/>
      <c r="G6" s="2060"/>
      <c r="H6" s="2060"/>
      <c r="I6" s="2060"/>
      <c r="J6" s="2060"/>
      <c r="K6" s="2060"/>
      <c r="L6" s="2060"/>
      <c r="M6" s="2060"/>
      <c r="N6" s="2060"/>
    </row>
    <row r="7" spans="2:23">
      <c r="B7" s="1086"/>
      <c r="C7" s="1086"/>
      <c r="D7" s="1086"/>
      <c r="E7" s="1086"/>
      <c r="F7" s="1086"/>
      <c r="G7" s="1086"/>
      <c r="H7" s="1086"/>
      <c r="I7" s="1086"/>
      <c r="J7" s="1086"/>
      <c r="K7" s="1086"/>
      <c r="L7" s="1086"/>
      <c r="M7" s="1086"/>
      <c r="N7" s="1086"/>
    </row>
    <row r="8" spans="2:23">
      <c r="B8" s="1086"/>
      <c r="C8" s="1086"/>
      <c r="D8" s="1086"/>
      <c r="E8" s="1086"/>
      <c r="F8" s="1086"/>
      <c r="G8" s="1086"/>
      <c r="H8" s="1081" t="s">
        <v>414</v>
      </c>
      <c r="I8" s="1086"/>
      <c r="J8" s="1086"/>
      <c r="K8" s="1086"/>
      <c r="L8" s="1086"/>
      <c r="M8" s="1086"/>
      <c r="N8" s="1086"/>
    </row>
    <row r="9" spans="2:23">
      <c r="B9" s="1086"/>
      <c r="C9" s="2058" t="s">
        <v>434</v>
      </c>
      <c r="D9" s="2058"/>
      <c r="E9" s="2058"/>
      <c r="F9" s="1086"/>
      <c r="G9" s="1086"/>
      <c r="H9" s="1284" t="str">
        <f>IF('KEY INPUTS'!C42 = "State Fiscal Year", 'KEY INPUTS'!F46,'KEY INPUTS'!D46)</f>
        <v>Dec. 31, 2020</v>
      </c>
      <c r="I9" s="1086"/>
      <c r="J9" s="1081" t="s">
        <v>435</v>
      </c>
      <c r="K9" s="1086"/>
      <c r="L9" s="1081" t="s">
        <v>414</v>
      </c>
      <c r="M9" s="1086"/>
      <c r="N9" s="1081" t="s">
        <v>530</v>
      </c>
    </row>
    <row r="10" spans="2:23">
      <c r="B10" s="1086"/>
      <c r="C10" s="1086"/>
      <c r="D10" s="1086"/>
      <c r="E10" s="1086"/>
      <c r="F10" s="1086"/>
      <c r="G10" s="1086"/>
      <c r="H10" s="1081" t="s">
        <v>433</v>
      </c>
      <c r="I10" s="1086"/>
      <c r="J10" s="1081" t="str">
        <f>IF('KEY INPUTS'!C42="State Fiscal Year","Fiscal Year "&amp;'KEY INPUTS'!D33&amp;"",'KEY INPUTS'!D34)&amp;""</f>
        <v>2021</v>
      </c>
      <c r="K10" s="1086"/>
      <c r="L10" s="1081" t="s">
        <v>436</v>
      </c>
      <c r="M10" s="1086"/>
      <c r="N10" s="1081" t="s">
        <v>437</v>
      </c>
    </row>
    <row r="11" spans="2:23">
      <c r="B11" s="1086"/>
      <c r="C11" s="1086"/>
      <c r="D11" s="1086"/>
      <c r="E11" s="1086"/>
      <c r="F11" s="1086"/>
      <c r="G11" s="1086"/>
      <c r="H11" s="1285" t="s">
        <v>432</v>
      </c>
      <c r="I11" s="1086"/>
      <c r="J11" s="1285" t="s">
        <v>535</v>
      </c>
      <c r="K11" s="1086"/>
      <c r="L11" s="1285" t="str">
        <f>IF('KEY INPUTS'!C42="State Fiscal Year","Fiscal Year "&amp;'KEY INPUTS'!D33&amp;"",'KEY INPUTS'!D34)&amp;""</f>
        <v>2021</v>
      </c>
      <c r="M11" s="1086"/>
      <c r="N11" s="1286" t="str">
        <f>IF('KEY INPUTS'!C42 = "State Fiscal Year", 'KEY INPUTS'!F47,'KEY INPUTS'!D47)</f>
        <v>Dec. 31, 2021</v>
      </c>
      <c r="Q11" s="309"/>
      <c r="R11" s="309"/>
      <c r="S11" s="309"/>
      <c r="T11" s="309"/>
      <c r="U11" s="309"/>
      <c r="V11" s="309"/>
      <c r="W11" s="309"/>
    </row>
    <row r="12" spans="2:23">
      <c r="B12" s="1287" t="s">
        <v>292</v>
      </c>
      <c r="C12" s="1086" t="s">
        <v>870</v>
      </c>
      <c r="D12" s="1086"/>
      <c r="E12" s="1086"/>
      <c r="F12" s="1086"/>
      <c r="G12" s="1086"/>
      <c r="H12" s="1086"/>
      <c r="I12" s="1086"/>
      <c r="J12" s="1086"/>
      <c r="K12" s="1086"/>
      <c r="L12" s="1086"/>
      <c r="M12" s="1086"/>
      <c r="N12" s="1086"/>
      <c r="Q12" s="309"/>
      <c r="R12" s="309"/>
      <c r="S12" s="309"/>
      <c r="T12" s="309"/>
      <c r="U12" s="309"/>
      <c r="V12" s="309"/>
      <c r="W12" s="309"/>
    </row>
    <row r="13" spans="2:23">
      <c r="B13" s="453"/>
      <c r="D13" s="318" t="s">
        <v>871</v>
      </c>
      <c r="G13" s="318" t="s">
        <v>373</v>
      </c>
      <c r="H13" s="552"/>
      <c r="I13" s="318" t="s">
        <v>373</v>
      </c>
      <c r="J13" s="552"/>
      <c r="K13" s="318" t="s">
        <v>373</v>
      </c>
      <c r="L13" s="552"/>
      <c r="M13" s="318" t="s">
        <v>373</v>
      </c>
      <c r="N13" s="639">
        <f>+H13-J13+L13</f>
        <v>0</v>
      </c>
      <c r="Q13" s="356"/>
      <c r="R13" s="309"/>
      <c r="S13" s="309"/>
      <c r="T13" s="309"/>
      <c r="U13" s="309"/>
      <c r="V13" s="309"/>
      <c r="W13" s="309"/>
    </row>
    <row r="14" spans="2:23">
      <c r="B14" s="453"/>
      <c r="H14" s="275"/>
      <c r="J14" s="275"/>
      <c r="L14" s="275"/>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288" t="s">
        <v>3211</v>
      </c>
      <c r="D20" s="1166"/>
      <c r="E20" s="1166"/>
      <c r="F20" s="1166"/>
      <c r="G20" s="709" t="s">
        <v>373</v>
      </c>
      <c r="H20" s="1165">
        <f>H13+H15+H16+H17+H18+H19</f>
        <v>0</v>
      </c>
      <c r="I20" s="709" t="s">
        <v>373</v>
      </c>
      <c r="J20" s="1165">
        <f>J13+J15+J16+J17+J18+J19</f>
        <v>0</v>
      </c>
      <c r="K20" s="709"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709" t="s">
        <v>373</v>
      </c>
      <c r="H23" s="1165">
        <f>H21+H22</f>
        <v>0</v>
      </c>
      <c r="I23" s="709" t="s">
        <v>373</v>
      </c>
      <c r="J23" s="1165">
        <f>J21+J22</f>
        <v>0</v>
      </c>
      <c r="K23" s="709" t="s">
        <v>373</v>
      </c>
      <c r="L23" s="1165">
        <f>L21+L22</f>
        <v>0</v>
      </c>
      <c r="M23" s="318" t="s">
        <v>373</v>
      </c>
      <c r="N23" s="1164">
        <f t="shared" si="0"/>
        <v>0</v>
      </c>
      <c r="Q23" s="309"/>
      <c r="R23" s="309"/>
      <c r="S23" s="309"/>
      <c r="T23" s="309"/>
      <c r="U23" s="309"/>
      <c r="V23" s="309"/>
      <c r="W23" s="309"/>
    </row>
    <row r="24" spans="2:23">
      <c r="B24" s="1287"/>
      <c r="C24" s="1086"/>
      <c r="D24" s="1086"/>
      <c r="E24" s="1086"/>
      <c r="F24" s="1086"/>
      <c r="G24" s="1086"/>
      <c r="H24" s="1086"/>
      <c r="I24" s="1086"/>
      <c r="J24" s="1086"/>
      <c r="K24" s="1086"/>
      <c r="L24" s="1086"/>
      <c r="M24" s="1086"/>
      <c r="N24" s="1086"/>
      <c r="Q24" s="309"/>
      <c r="R24" s="309"/>
      <c r="S24" s="309"/>
      <c r="T24" s="309"/>
      <c r="U24" s="309"/>
      <c r="V24" s="309"/>
      <c r="W24" s="309"/>
    </row>
    <row r="25" spans="2:23">
      <c r="B25" s="1287"/>
      <c r="C25" s="1086" t="s">
        <v>873</v>
      </c>
      <c r="D25" s="1086"/>
      <c r="E25" s="1086"/>
      <c r="F25" s="1086"/>
      <c r="G25" s="1086"/>
      <c r="H25" s="1086"/>
      <c r="I25" s="1086"/>
      <c r="J25" s="1086"/>
      <c r="K25" s="1086"/>
      <c r="L25" s="1086"/>
      <c r="M25" s="1086"/>
      <c r="N25" s="1086"/>
      <c r="Q25" s="309"/>
      <c r="R25" s="309"/>
      <c r="S25" s="309"/>
      <c r="T25" s="309"/>
      <c r="U25" s="309"/>
      <c r="V25" s="309"/>
      <c r="W25" s="309"/>
    </row>
    <row r="26" spans="2:23">
      <c r="B26" s="1287"/>
      <c r="C26" s="1086"/>
      <c r="D26" s="1086"/>
      <c r="E26" s="1086"/>
      <c r="F26" s="1086"/>
      <c r="G26" s="1086"/>
      <c r="H26" s="1086"/>
      <c r="I26" s="1086"/>
      <c r="J26" s="1086"/>
      <c r="K26" s="1086"/>
      <c r="L26" s="1086"/>
      <c r="M26" s="1086"/>
      <c r="N26" s="1086"/>
      <c r="Q26" s="309"/>
      <c r="R26" s="309"/>
      <c r="S26" s="309"/>
      <c r="T26" s="309"/>
      <c r="U26" s="309"/>
      <c r="V26" s="309"/>
      <c r="W26" s="309"/>
    </row>
    <row r="27" spans="2:23">
      <c r="B27" s="1287"/>
      <c r="C27" s="1086"/>
      <c r="D27" s="1086"/>
      <c r="E27" s="1086"/>
      <c r="F27" s="1086"/>
      <c r="G27" s="1086"/>
      <c r="H27" s="1086"/>
      <c r="I27" s="1086"/>
      <c r="J27" s="1086"/>
      <c r="K27" s="1086"/>
      <c r="L27" s="1086"/>
      <c r="M27" s="1086"/>
      <c r="N27" s="1086"/>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1289"/>
      <c r="C30" s="1289"/>
      <c r="D30" s="1289"/>
      <c r="E30" s="1289"/>
      <c r="F30" s="1289"/>
      <c r="G30" s="1289"/>
      <c r="H30" s="1289"/>
      <c r="I30" s="1289"/>
      <c r="J30" s="1289"/>
      <c r="K30" s="1289"/>
      <c r="L30" s="1289"/>
      <c r="M30" s="1289"/>
      <c r="N30" s="1289"/>
    </row>
    <row r="31" spans="2:23" ht="18" customHeight="1">
      <c r="B31" s="1287"/>
      <c r="C31" s="1086"/>
      <c r="D31" s="2056" t="s">
        <v>17</v>
      </c>
      <c r="E31" s="2056"/>
      <c r="F31" s="1290"/>
      <c r="G31" s="2056" t="s">
        <v>413</v>
      </c>
      <c r="H31" s="2056"/>
      <c r="I31" s="2056"/>
      <c r="J31" s="2056"/>
      <c r="K31" s="2056"/>
      <c r="L31" s="2056"/>
      <c r="M31" s="1290"/>
      <c r="N31" s="1291" t="s">
        <v>414</v>
      </c>
    </row>
    <row r="32" spans="2:23" ht="21" customHeight="1">
      <c r="B32" s="453"/>
      <c r="C32" s="453" t="s">
        <v>292</v>
      </c>
      <c r="D32" s="637"/>
      <c r="E32" s="637"/>
      <c r="G32" s="637"/>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1287"/>
      <c r="C37" s="1086"/>
      <c r="D37" s="1086"/>
      <c r="E37" s="1086"/>
      <c r="F37" s="1086"/>
      <c r="G37" s="1086"/>
      <c r="H37" s="1086"/>
      <c r="I37" s="1086"/>
      <c r="J37" s="1086"/>
      <c r="K37" s="1086"/>
      <c r="L37" s="1086"/>
      <c r="M37" s="1086"/>
      <c r="N37" s="1086"/>
    </row>
    <row r="38" spans="2:14">
      <c r="B38" s="1287"/>
      <c r="C38" s="1086"/>
      <c r="D38" s="1086"/>
      <c r="E38" s="1086"/>
      <c r="F38" s="1086"/>
      <c r="G38" s="1086"/>
      <c r="H38" s="1086"/>
      <c r="I38" s="1086"/>
      <c r="J38" s="1086"/>
      <c r="K38" s="1086"/>
      <c r="L38" s="1086"/>
      <c r="M38" s="1086"/>
      <c r="N38" s="1086"/>
    </row>
    <row r="39" spans="2:14">
      <c r="B39" s="1287"/>
      <c r="C39" s="1086"/>
      <c r="D39" s="1086"/>
      <c r="E39" s="1086"/>
      <c r="F39" s="1086"/>
      <c r="G39" s="1086"/>
      <c r="H39" s="1086"/>
      <c r="I39" s="1086"/>
      <c r="J39" s="1086"/>
      <c r="K39" s="1086"/>
      <c r="L39" s="1086"/>
      <c r="M39" s="1086"/>
      <c r="N39" s="1086"/>
    </row>
    <row r="40" spans="2:14" ht="15.6">
      <c r="B40" s="2057" t="s">
        <v>250</v>
      </c>
      <c r="C40" s="2057"/>
      <c r="D40" s="2057"/>
      <c r="E40" s="2057"/>
      <c r="F40" s="2057"/>
      <c r="G40" s="2057"/>
      <c r="H40" s="2057"/>
      <c r="I40" s="2057"/>
      <c r="J40" s="2057"/>
      <c r="K40" s="2057"/>
      <c r="L40" s="2057"/>
      <c r="M40" s="2057"/>
      <c r="N40" s="2057"/>
    </row>
    <row r="41" spans="2:14">
      <c r="B41" s="1287"/>
      <c r="C41" s="1086"/>
      <c r="D41" s="1086"/>
      <c r="E41" s="1086"/>
      <c r="F41" s="1086"/>
      <c r="G41" s="1086"/>
      <c r="H41" s="1086"/>
      <c r="I41" s="1086"/>
      <c r="J41" s="1086"/>
      <c r="K41" s="1086"/>
      <c r="L41" s="1086"/>
      <c r="M41" s="1086"/>
      <c r="N41" s="1086"/>
    </row>
    <row r="42" spans="2:14">
      <c r="B42" s="1287"/>
      <c r="C42" s="1086"/>
      <c r="D42" s="1086"/>
      <c r="E42" s="1086"/>
      <c r="F42" s="1086"/>
      <c r="G42" s="1086"/>
      <c r="H42" s="1086"/>
      <c r="I42" s="1086"/>
      <c r="J42" s="1086"/>
      <c r="K42" s="1086"/>
      <c r="L42" s="1086"/>
      <c r="M42" s="1086"/>
      <c r="N42" s="1081" t="s">
        <v>419</v>
      </c>
    </row>
    <row r="43" spans="2:14">
      <c r="B43" s="1287"/>
      <c r="C43" s="1086"/>
      <c r="D43" s="1086"/>
      <c r="E43" s="1086"/>
      <c r="F43" s="1086"/>
      <c r="G43" s="1086"/>
      <c r="H43" s="1086"/>
      <c r="I43" s="1086"/>
      <c r="J43" s="1086"/>
      <c r="K43" s="1086"/>
      <c r="L43" s="1086"/>
      <c r="M43" s="1086"/>
      <c r="N43" s="1081" t="s">
        <v>420</v>
      </c>
    </row>
    <row r="44" spans="2:14">
      <c r="B44" s="1287"/>
      <c r="C44" s="1086"/>
      <c r="D44" s="2058" t="s">
        <v>416</v>
      </c>
      <c r="E44" s="2058"/>
      <c r="F44" s="1086"/>
      <c r="G44" s="1086"/>
      <c r="H44" s="2058" t="s">
        <v>417</v>
      </c>
      <c r="I44" s="2058"/>
      <c r="J44" s="1285" t="s">
        <v>418</v>
      </c>
      <c r="K44" s="1086"/>
      <c r="L44" s="1285" t="s">
        <v>414</v>
      </c>
      <c r="M44" s="1086"/>
      <c r="N44" s="1285" t="str">
        <f>IF('KEY INPUTS'!C42="State Fiscal Year","Fiscal Year "&amp;'KEY INPUTS'!D33&amp;"",'KEY INPUTS'!D34)&amp;""</f>
        <v>2021</v>
      </c>
    </row>
    <row r="45" spans="2:14">
      <c r="B45" s="1287"/>
      <c r="C45" s="1086"/>
      <c r="D45" s="1086"/>
      <c r="E45" s="1086"/>
      <c r="F45" s="1086"/>
      <c r="G45" s="1086"/>
      <c r="H45" s="1086"/>
      <c r="I45" s="1086"/>
      <c r="J45" s="1086"/>
      <c r="K45" s="1086"/>
      <c r="L45" s="1086"/>
      <c r="M45" s="1086"/>
      <c r="N45" s="1086"/>
    </row>
    <row r="46" spans="2:14" ht="21" customHeight="1">
      <c r="B46" s="453"/>
      <c r="C46" s="453" t="s">
        <v>292</v>
      </c>
      <c r="D46" s="637"/>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WwB8b3VWafXYU58CoFOSJdR2IwEqKqrW/6cTHTnMuFw0E8tqxfn+It0lNI4qIxEdrSH/1kE6LbD5acJw91ho8g==" saltValue="QaZHBW6ZqRqNdZ8DvEtMAg=="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1">
    <tabColor theme="3" tint="0.39997558519241921"/>
  </sheetPr>
  <dimension ref="A1:O36"/>
  <sheetViews>
    <sheetView zoomScaleNormal="100" workbookViewId="0">
      <selection activeCell="J9" sqref="J9"/>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1"/>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V8jpTdbyo13E6KFeNtjPaiFdR6V7SldwgraMKSkI0l8dbkJWYxwe2xLGKmqzvwqwuaTHPafEJ115ibuySCmjLw==" saltValue="Fjgu6r4mYQQchi+f5cS7RA=="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8">
    <tabColor theme="3" tint="0.39997558519241921"/>
  </sheetPr>
  <dimension ref="B1:U50"/>
  <sheetViews>
    <sheetView zoomScaleNormal="100" zoomScaleSheetLayoutView="80" workbookViewId="0">
      <selection activeCell="B28" sqref="B28"/>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1" spans="2:21">
      <c r="B1" s="1054"/>
      <c r="C1" s="1054"/>
      <c r="D1" s="1054"/>
      <c r="E1" s="1054"/>
      <c r="F1" s="1054"/>
      <c r="G1" s="1054"/>
      <c r="H1" s="1054"/>
      <c r="I1" s="1054"/>
      <c r="J1" s="1054"/>
      <c r="K1" s="1054"/>
      <c r="L1" s="1054"/>
    </row>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INPUTS'!D55)&amp;" UTILITY  ASSESSMENT  BONDS"</f>
        <v xml:space="preserve"> UTILITY  ASSESSMENT  BONDS</v>
      </c>
      <c r="C4" s="1889"/>
      <c r="D4" s="1889"/>
      <c r="E4" s="1889"/>
      <c r="F4" s="1889"/>
      <c r="G4" s="1889"/>
      <c r="H4" s="1889"/>
      <c r="I4" s="1889"/>
      <c r="J4" s="1889"/>
      <c r="K4" s="1889"/>
      <c r="L4" s="1889"/>
    </row>
    <row r="5" spans="2:21" ht="9.75" customHeight="1" thickBot="1">
      <c r="B5" s="1318"/>
      <c r="C5" s="1318"/>
      <c r="D5" s="1318"/>
      <c r="E5" s="1318"/>
      <c r="F5" s="1318"/>
      <c r="G5" s="1318"/>
      <c r="H5" s="1318"/>
      <c r="I5" s="1318"/>
      <c r="J5" s="1318"/>
      <c r="K5" s="1318"/>
      <c r="L5" s="1318"/>
    </row>
    <row r="6" spans="2:21" ht="27.75" customHeight="1" thickTop="1" thickBot="1">
      <c r="B6" s="1273"/>
      <c r="C6" s="1273"/>
      <c r="D6" s="1273"/>
      <c r="E6" s="1273"/>
      <c r="F6" s="1273"/>
      <c r="G6" s="1055" t="s">
        <v>96</v>
      </c>
      <c r="H6" s="2061" t="s">
        <v>97</v>
      </c>
      <c r="I6" s="1880"/>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'49-Utility1'!B7</f>
        <v>Outstanding - January 1, 2021</v>
      </c>
      <c r="C7" s="1110"/>
      <c r="D7" s="1110"/>
      <c r="E7" s="1110"/>
      <c r="F7" s="1110"/>
      <c r="G7" s="1111" t="s">
        <v>628</v>
      </c>
      <c r="H7" s="1809"/>
      <c r="I7" s="1810"/>
      <c r="O7" s="309"/>
      <c r="P7" s="309"/>
      <c r="Q7" s="309"/>
      <c r="R7" s="309"/>
      <c r="S7" s="309"/>
      <c r="T7" s="309"/>
      <c r="U7" s="309"/>
    </row>
    <row r="8" spans="2:21" ht="21" customHeight="1">
      <c r="B8" s="659" t="s">
        <v>92</v>
      </c>
      <c r="C8" s="659"/>
      <c r="D8" s="659"/>
      <c r="E8" s="659"/>
      <c r="F8" s="659"/>
      <c r="G8" s="1114" t="s">
        <v>628</v>
      </c>
      <c r="H8" s="1807"/>
      <c r="I8" s="1808"/>
      <c r="O8" s="356"/>
      <c r="P8" s="309"/>
      <c r="Q8" s="309"/>
      <c r="R8" s="309"/>
      <c r="S8" s="309"/>
      <c r="T8" s="309"/>
      <c r="U8" s="309"/>
    </row>
    <row r="9" spans="2:21" ht="21" customHeight="1">
      <c r="B9" s="659"/>
      <c r="C9" s="659"/>
      <c r="D9" s="659"/>
      <c r="E9" s="659"/>
      <c r="F9" s="659"/>
      <c r="G9" s="1114"/>
      <c r="H9" s="1319"/>
      <c r="I9" s="1168"/>
      <c r="O9" s="309"/>
      <c r="P9" s="309"/>
      <c r="Q9" s="309"/>
      <c r="R9" s="309"/>
      <c r="S9" s="309"/>
      <c r="T9" s="309"/>
      <c r="U9" s="309"/>
    </row>
    <row r="10" spans="2:21" ht="21" customHeight="1">
      <c r="B10" s="659" t="s">
        <v>254</v>
      </c>
      <c r="C10" s="659"/>
      <c r="D10" s="659"/>
      <c r="E10" s="659"/>
      <c r="F10" s="659"/>
      <c r="G10" s="571"/>
      <c r="H10" s="1957" t="s">
        <v>628</v>
      </c>
      <c r="I10" s="1958"/>
      <c r="O10" s="309"/>
      <c r="P10" s="309"/>
      <c r="Q10" s="309"/>
      <c r="R10" s="309"/>
      <c r="S10" s="309"/>
      <c r="T10" s="309"/>
      <c r="U10" s="309"/>
    </row>
    <row r="11" spans="2:21" ht="21" customHeight="1" thickBot="1">
      <c r="B11" s="659" t="str">
        <f>'49-Utility1'!B11</f>
        <v>Outstanding - December 31, 2021</v>
      </c>
      <c r="C11" s="659"/>
      <c r="D11" s="659"/>
      <c r="E11" s="659"/>
      <c r="F11" s="659"/>
      <c r="G11" s="1069">
        <f>+H7+H8-G10</f>
        <v>0</v>
      </c>
      <c r="H11" s="1953" t="s">
        <v>628</v>
      </c>
      <c r="I11" s="1954"/>
      <c r="O11" s="309"/>
      <c r="P11" s="309"/>
      <c r="Q11" s="309"/>
      <c r="R11" s="309"/>
      <c r="S11" s="309"/>
      <c r="T11" s="309"/>
      <c r="U11" s="309"/>
    </row>
    <row r="12" spans="2:21" ht="21" customHeight="1" thickBot="1">
      <c r="B12" s="1054"/>
      <c r="C12" s="1054"/>
      <c r="D12" s="1054"/>
      <c r="E12" s="1054"/>
      <c r="F12" s="1054"/>
      <c r="G12" s="1071">
        <f>SUM(G7:G11)</f>
        <v>0</v>
      </c>
      <c r="H12" s="1941">
        <f>SUM(H7:I11)</f>
        <v>0</v>
      </c>
      <c r="I12" s="1942"/>
      <c r="O12" s="309"/>
      <c r="P12" s="309"/>
      <c r="Q12" s="309"/>
      <c r="R12" s="309"/>
      <c r="S12" s="309"/>
      <c r="T12" s="309"/>
      <c r="U12" s="309"/>
    </row>
    <row r="13" spans="2:21" ht="21" customHeight="1" thickTop="1">
      <c r="B13" s="1321" t="str">
        <f>'49-Utility1'!B13</f>
        <v>2022 Bond Maturities - Assessment Bonds</v>
      </c>
      <c r="C13" s="1068"/>
      <c r="D13" s="1068"/>
      <c r="E13" s="1068"/>
      <c r="F13" s="1068"/>
      <c r="G13" s="1068"/>
      <c r="H13" s="1068"/>
      <c r="I13" s="1320"/>
      <c r="J13" s="423" t="s">
        <v>373</v>
      </c>
      <c r="K13" s="1834"/>
      <c r="L13" s="1834"/>
      <c r="O13" s="309"/>
      <c r="P13" s="309"/>
      <c r="Q13" s="309"/>
      <c r="R13" s="309"/>
      <c r="S13" s="309"/>
      <c r="T13" s="309"/>
      <c r="U13" s="309"/>
    </row>
    <row r="14" spans="2:21" ht="21" customHeight="1" thickBot="1">
      <c r="B14" s="1322" t="str">
        <f>'49-Utility1'!B14</f>
        <v>2022 Interest on Bonds</v>
      </c>
      <c r="C14" s="1172"/>
      <c r="D14" s="1172"/>
      <c r="E14" s="1172"/>
      <c r="F14" s="1172"/>
      <c r="G14" s="1197"/>
      <c r="H14" s="460" t="s">
        <v>373</v>
      </c>
      <c r="I14" s="577"/>
      <c r="O14" s="309"/>
      <c r="P14" s="309"/>
      <c r="Q14" s="309"/>
      <c r="R14" s="309"/>
      <c r="S14" s="309"/>
      <c r="T14" s="309"/>
      <c r="U14" s="309"/>
    </row>
    <row r="15" spans="2:21" ht="16.5" customHeight="1" thickTop="1">
      <c r="B15" s="1950"/>
      <c r="C15" s="1950"/>
      <c r="D15" s="1950"/>
      <c r="E15" s="1950"/>
      <c r="F15" s="1950"/>
      <c r="G15" s="1950"/>
      <c r="H15" s="1950"/>
      <c r="I15" s="1951"/>
      <c r="O15" s="309"/>
      <c r="P15" s="309"/>
      <c r="Q15" s="309"/>
      <c r="R15" s="309"/>
      <c r="S15" s="309"/>
      <c r="T15" s="309"/>
      <c r="U15" s="309"/>
    </row>
    <row r="16" spans="2:21" ht="26.25" customHeight="1" thickBot="1">
      <c r="B16" s="1977" t="str">
        <f>UPPER('KEY INPUTS'!D55) &amp;" UTILITY  CAPITAL  BONDS"</f>
        <v xml:space="preserve"> UTILITY  CAPITAL  BONDS</v>
      </c>
      <c r="C16" s="1977"/>
      <c r="D16" s="1977"/>
      <c r="E16" s="1977"/>
      <c r="F16" s="1977"/>
      <c r="G16" s="1977"/>
      <c r="H16" s="1977"/>
      <c r="I16" s="1978"/>
      <c r="O16" s="309"/>
      <c r="P16" s="309"/>
      <c r="Q16" s="309"/>
      <c r="R16" s="309"/>
      <c r="S16" s="309"/>
      <c r="T16" s="309"/>
      <c r="U16" s="309"/>
    </row>
    <row r="17" spans="2:21" ht="21" customHeight="1" thickTop="1">
      <c r="B17" s="1151" t="str">
        <f>'32-Bond Schedule'!B7</f>
        <v>Outstanding - January 1, 2021</v>
      </c>
      <c r="C17" s="1110"/>
      <c r="D17" s="1110"/>
      <c r="E17" s="1110"/>
      <c r="F17" s="1110"/>
      <c r="G17" s="1111" t="s">
        <v>628</v>
      </c>
      <c r="H17" s="1809"/>
      <c r="I17" s="1810"/>
      <c r="O17" s="309"/>
      <c r="P17" s="309"/>
      <c r="Q17" s="309"/>
      <c r="R17" s="309"/>
      <c r="S17" s="309"/>
      <c r="T17" s="309"/>
      <c r="U17" s="309"/>
    </row>
    <row r="18" spans="2:21" ht="21" customHeight="1">
      <c r="B18" s="659" t="s">
        <v>92</v>
      </c>
      <c r="C18" s="659"/>
      <c r="D18" s="659"/>
      <c r="E18" s="659"/>
      <c r="F18" s="659"/>
      <c r="G18" s="1114" t="s">
        <v>628</v>
      </c>
      <c r="H18" s="1807"/>
      <c r="I18" s="1808"/>
      <c r="O18" s="309"/>
      <c r="P18" s="309"/>
      <c r="Q18" s="309"/>
      <c r="R18" s="309"/>
      <c r="S18" s="309"/>
      <c r="T18" s="309"/>
      <c r="U18" s="309"/>
    </row>
    <row r="19" spans="2:21" ht="21" customHeight="1">
      <c r="B19" s="659" t="s">
        <v>254</v>
      </c>
      <c r="C19" s="659"/>
      <c r="D19" s="659"/>
      <c r="E19" s="659"/>
      <c r="F19" s="659"/>
      <c r="G19" s="571"/>
      <c r="H19" s="1957" t="s">
        <v>628</v>
      </c>
      <c r="I19" s="1958"/>
      <c r="O19" s="309"/>
      <c r="P19" s="309"/>
      <c r="Q19" s="309"/>
      <c r="R19" s="309"/>
      <c r="S19" s="309"/>
      <c r="T19" s="309"/>
      <c r="U19" s="309"/>
    </row>
    <row r="20" spans="2:21" ht="21" customHeight="1">
      <c r="B20" s="659"/>
      <c r="C20" s="659"/>
      <c r="D20" s="659"/>
      <c r="E20" s="659"/>
      <c r="F20" s="659"/>
      <c r="G20" s="658"/>
      <c r="H20" s="1943"/>
      <c r="I20" s="1944"/>
      <c r="O20" s="309"/>
      <c r="P20" s="309"/>
      <c r="Q20" s="309"/>
      <c r="R20" s="309"/>
      <c r="S20" s="309"/>
      <c r="T20" s="309"/>
      <c r="U20" s="309"/>
    </row>
    <row r="21" spans="2:21" ht="21" customHeight="1">
      <c r="B21" s="659"/>
      <c r="C21" s="659"/>
      <c r="D21" s="659"/>
      <c r="E21" s="659"/>
      <c r="F21" s="659"/>
      <c r="G21" s="658"/>
      <c r="H21" s="1943"/>
      <c r="I21" s="1944"/>
      <c r="O21" s="309"/>
      <c r="P21" s="309"/>
      <c r="Q21" s="309"/>
      <c r="R21" s="309"/>
      <c r="S21" s="309"/>
      <c r="T21" s="309"/>
      <c r="U21" s="309"/>
    </row>
    <row r="22" spans="2:21" ht="21" customHeight="1" thickBot="1">
      <c r="B22" s="659" t="str">
        <f>'32-Bond Schedule'!B11</f>
        <v>Outstanding - December 31, 2021</v>
      </c>
      <c r="C22" s="659"/>
      <c r="D22" s="659"/>
      <c r="E22" s="659"/>
      <c r="F22" s="659"/>
      <c r="G22" s="1069">
        <f>+H17+H18-G19-G20-G21+H20+H21</f>
        <v>0</v>
      </c>
      <c r="H22" s="1953" t="s">
        <v>628</v>
      </c>
      <c r="I22" s="1954"/>
      <c r="O22" s="309"/>
      <c r="P22" s="309"/>
      <c r="Q22" s="309"/>
      <c r="R22" s="309"/>
      <c r="S22" s="309"/>
      <c r="T22" s="309"/>
      <c r="U22" s="309"/>
    </row>
    <row r="23" spans="2:21" ht="21" customHeight="1" thickBot="1">
      <c r="B23" s="1054"/>
      <c r="C23" s="1054"/>
      <c r="D23" s="1054"/>
      <c r="E23" s="1054"/>
      <c r="F23" s="1054"/>
      <c r="G23" s="1071">
        <f>SUM(G17:G22)</f>
        <v>0</v>
      </c>
      <c r="H23" s="1941">
        <f>SUM(H17:I22)</f>
        <v>0</v>
      </c>
      <c r="I23" s="1942"/>
    </row>
    <row r="24" spans="2:21" ht="21" customHeight="1" thickTop="1">
      <c r="B24" s="1321" t="str">
        <f>'49-Utility1'!B24</f>
        <v>2022 Bond Maturities - Capital Bonds</v>
      </c>
      <c r="C24" s="1068"/>
      <c r="D24" s="1068"/>
      <c r="E24" s="1068"/>
      <c r="F24" s="1068"/>
      <c r="G24" s="1068"/>
      <c r="H24" s="1068"/>
      <c r="I24" s="1323"/>
      <c r="J24" s="423" t="s">
        <v>373</v>
      </c>
      <c r="K24" s="1834"/>
      <c r="L24" s="1834"/>
    </row>
    <row r="25" spans="2:21" ht="21" customHeight="1" thickBot="1">
      <c r="B25" s="1322" t="str">
        <f>'49-Utility1'!B25</f>
        <v>2022 Interest on Bonds</v>
      </c>
      <c r="C25" s="1172"/>
      <c r="D25" s="1172"/>
      <c r="E25" s="1172"/>
      <c r="F25" s="1172"/>
      <c r="G25" s="1197"/>
      <c r="H25" s="460" t="s">
        <v>373</v>
      </c>
      <c r="I25" s="577"/>
      <c r="J25" s="461"/>
      <c r="K25" s="1172"/>
      <c r="L25" s="1322" t="s">
        <v>3133</v>
      </c>
    </row>
    <row r="26" spans="2:21" ht="21" customHeight="1" thickTop="1"/>
    <row r="27" spans="2:21" ht="19.5" customHeight="1" thickBot="1">
      <c r="B27" s="1977" t="str">
        <f>"INTEREST  ON  BONDS  -  "&amp;UPPER('KEY INPUTS'!D55)&amp;"  UTILITY  BUDGET"</f>
        <v>INTEREST  ON  BONDS  -    UTILITY  BUDGET</v>
      </c>
      <c r="C27" s="1977"/>
      <c r="D27" s="1977"/>
      <c r="E27" s="1977"/>
      <c r="F27" s="1977"/>
      <c r="G27" s="1977"/>
      <c r="H27" s="1977"/>
      <c r="I27" s="1977"/>
      <c r="J27" s="1977"/>
      <c r="K27" s="1977"/>
      <c r="L27" s="1977"/>
    </row>
    <row r="28" spans="2:21" ht="21" customHeight="1" thickTop="1">
      <c r="B28" s="469" t="str">
        <f>'49-Utility1'!B28</f>
        <v>2022 Interest on Bonds (*Items)</v>
      </c>
      <c r="C28" s="429"/>
      <c r="D28" s="429"/>
      <c r="E28" s="429"/>
      <c r="F28" s="429"/>
      <c r="G28" s="429"/>
      <c r="H28" s="429" t="s">
        <v>373</v>
      </c>
      <c r="I28" s="1170">
        <f>+I14+I25</f>
        <v>0</v>
      </c>
      <c r="O28" s="436"/>
      <c r="P28" s="436"/>
      <c r="Q28" s="436"/>
      <c r="R28" s="436"/>
    </row>
    <row r="29" spans="2:21" ht="21" customHeight="1">
      <c r="B29" s="378" t="str">
        <f>'49-Utility1'!B29</f>
        <v>Less: Interest Accrued to 12/31/2021 (Trial Balance)</v>
      </c>
      <c r="C29" s="374"/>
      <c r="D29" s="374"/>
      <c r="E29" s="374"/>
      <c r="F29" s="374"/>
      <c r="G29" s="374"/>
      <c r="H29" s="374" t="s">
        <v>373</v>
      </c>
      <c r="I29" s="641"/>
      <c r="O29" s="436"/>
      <c r="P29" s="436"/>
      <c r="Q29" s="436"/>
      <c r="R29" s="436"/>
    </row>
    <row r="30" spans="2:21" ht="21" customHeight="1">
      <c r="B30" s="374"/>
      <c r="C30" s="374" t="s">
        <v>317</v>
      </c>
      <c r="D30" s="374"/>
      <c r="E30" s="374"/>
      <c r="F30" s="374"/>
      <c r="G30" s="374"/>
      <c r="H30" s="374" t="s">
        <v>373</v>
      </c>
      <c r="I30" s="1171">
        <f>+I28-I29</f>
        <v>0</v>
      </c>
      <c r="O30" s="436"/>
      <c r="P30" s="436"/>
      <c r="Q30" s="436"/>
      <c r="R30" s="436"/>
    </row>
    <row r="31" spans="2:21" ht="21" customHeight="1">
      <c r="B31" s="378" t="str">
        <f>'49-Utility1'!B31</f>
        <v>Add: Interest to be Accrued as of 12/31/2022</v>
      </c>
      <c r="C31" s="374"/>
      <c r="D31" s="374"/>
      <c r="E31" s="374"/>
      <c r="F31" s="374"/>
      <c r="G31" s="374"/>
      <c r="H31" s="374" t="s">
        <v>373</v>
      </c>
      <c r="I31" s="641"/>
      <c r="O31" s="436"/>
      <c r="P31" s="436"/>
      <c r="Q31" s="436"/>
      <c r="R31" s="436"/>
    </row>
    <row r="32" spans="2:21" ht="21" customHeight="1">
      <c r="B32" s="378" t="str">
        <f>'49-Utility1'!B32</f>
        <v>Required Appropriation 2022</v>
      </c>
      <c r="C32" s="374"/>
      <c r="D32" s="374"/>
      <c r="E32" s="374"/>
      <c r="F32" s="374"/>
      <c r="G32" s="374"/>
      <c r="H32" s="374"/>
      <c r="I32" s="877"/>
      <c r="J32" s="463" t="s">
        <v>373</v>
      </c>
      <c r="K32" s="1963">
        <f>+I30+I31</f>
        <v>0</v>
      </c>
      <c r="L32" s="1964"/>
      <c r="O32" s="436"/>
      <c r="P32" s="436"/>
      <c r="Q32" s="436"/>
      <c r="R32" s="436"/>
    </row>
    <row r="33" spans="2:12" ht="13.5" customHeight="1">
      <c r="B33" s="439"/>
      <c r="C33" s="439"/>
      <c r="D33" s="439"/>
      <c r="E33" s="439"/>
      <c r="F33" s="439"/>
      <c r="G33" s="439"/>
      <c r="H33" s="439"/>
      <c r="I33" s="439"/>
      <c r="J33" s="439"/>
      <c r="K33" s="467"/>
      <c r="L33" s="745"/>
    </row>
    <row r="34" spans="2:12" ht="13.5" customHeight="1">
      <c r="B34" s="439"/>
      <c r="C34" s="439"/>
      <c r="D34" s="439"/>
      <c r="E34" s="439"/>
      <c r="F34" s="439"/>
      <c r="G34" s="439"/>
      <c r="H34" s="439"/>
      <c r="I34" s="439"/>
      <c r="J34" s="439"/>
      <c r="K34" s="467"/>
      <c r="L34" s="745"/>
    </row>
    <row r="35" spans="2:12" ht="21" customHeight="1" thickBot="1">
      <c r="B35" s="1952" t="str">
        <f>'49-Utility1'!B35</f>
        <v>LIST  OF  BONDS  ISSUED  DURING  2021</v>
      </c>
      <c r="C35" s="1952"/>
      <c r="D35" s="1952"/>
      <c r="E35" s="1952"/>
      <c r="F35" s="1952"/>
      <c r="G35" s="1952"/>
      <c r="H35" s="1952"/>
      <c r="I35" s="1952"/>
      <c r="J35" s="1952"/>
      <c r="K35" s="1952"/>
      <c r="L35" s="1952"/>
    </row>
    <row r="36" spans="2:12" ht="27" customHeight="1" thickTop="1" thickBot="1">
      <c r="B36" s="1893" t="s">
        <v>413</v>
      </c>
      <c r="C36" s="1893"/>
      <c r="D36" s="1893"/>
      <c r="E36" s="1893"/>
      <c r="F36" s="1893"/>
      <c r="G36" s="465" t="str">
        <f>'49-Utility1'!G36</f>
        <v>2022 Maturity</v>
      </c>
      <c r="H36" s="1949" t="s">
        <v>91</v>
      </c>
      <c r="I36" s="1894"/>
      <c r="J36" s="1947" t="s">
        <v>89</v>
      </c>
      <c r="K36" s="1948"/>
      <c r="L36" s="748" t="s">
        <v>90</v>
      </c>
    </row>
    <row r="37" spans="2:12" ht="21" customHeight="1" thickTop="1">
      <c r="B37" s="642"/>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72"/>
      <c r="C41" s="1172"/>
      <c r="D41" s="1172"/>
      <c r="E41" s="1172"/>
      <c r="F41" s="1324"/>
      <c r="G41" s="1071">
        <f>SUM(G37:G40)</f>
        <v>0</v>
      </c>
      <c r="H41" s="1959">
        <f>SUM(H37:I40)</f>
        <v>0</v>
      </c>
      <c r="I41" s="1960"/>
      <c r="J41" s="1325"/>
      <c r="K41" s="1172"/>
      <c r="L41" s="1173"/>
    </row>
    <row r="42" spans="2:12" ht="13.8" thickTop="1">
      <c r="G42" s="744"/>
      <c r="H42" s="744"/>
      <c r="I42" s="744"/>
    </row>
    <row r="50" spans="2:12" ht="13.8">
      <c r="B50" s="1882" t="s">
        <v>3167</v>
      </c>
      <c r="C50" s="1882"/>
      <c r="D50" s="1882"/>
      <c r="E50" s="1882"/>
      <c r="F50" s="1882"/>
      <c r="G50" s="1882"/>
      <c r="H50" s="1882"/>
      <c r="I50" s="1882"/>
      <c r="J50" s="1882"/>
      <c r="K50" s="1882"/>
      <c r="L50" s="1882"/>
    </row>
  </sheetData>
  <sheetProtection algorithmName="SHA-512" hashValue="P0xQfGWYkJBJLwhE67kBfZ9puwYGRncyP+/rLndnt2XOi95jjwUU95nKrFaTHBjD5cJMm7AvUNnASmd15iqpKQ==" saltValue="5CtIIRYks2uTCb6TkUrWy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9">
    <tabColor theme="3" tint="0.39997558519241921"/>
  </sheetPr>
  <dimension ref="B1:U51"/>
  <sheetViews>
    <sheetView zoomScaleNormal="100" zoomScaleSheetLayoutView="80" workbookViewId="0">
      <selection activeCell="B36" sqref="B36:F36"/>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1" spans="2:21">
      <c r="B1" s="1086"/>
      <c r="C1" s="1086"/>
      <c r="D1" s="1086"/>
      <c r="E1" s="1086"/>
      <c r="F1" s="1086"/>
      <c r="G1" s="1086"/>
      <c r="H1" s="1086"/>
      <c r="I1" s="1086"/>
      <c r="J1" s="1086"/>
      <c r="K1" s="1086"/>
      <c r="L1" s="1086"/>
    </row>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INPUTS'!D$55)&amp;"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446" t="str">
        <f>'49-Utility2'!B7</f>
        <v>Outstanding - January 1, 2021</v>
      </c>
      <c r="C7" s="387"/>
      <c r="D7" s="387"/>
      <c r="E7" s="387"/>
      <c r="F7" s="387"/>
      <c r="G7" s="1029" t="s">
        <v>628</v>
      </c>
      <c r="H7" s="1809"/>
      <c r="I7" s="1810"/>
      <c r="O7" s="309"/>
      <c r="P7" s="309"/>
      <c r="Q7" s="309"/>
      <c r="R7" s="309"/>
      <c r="S7" s="309"/>
      <c r="T7" s="309"/>
      <c r="U7" s="309"/>
    </row>
    <row r="8" spans="2:21" ht="21" customHeight="1">
      <c r="B8" s="374" t="s">
        <v>92</v>
      </c>
      <c r="C8" s="321"/>
      <c r="D8" s="321"/>
      <c r="E8" s="321"/>
      <c r="F8" s="321"/>
      <c r="G8" s="926" t="s">
        <v>628</v>
      </c>
      <c r="H8" s="1807"/>
      <c r="I8" s="1808"/>
      <c r="O8" s="356"/>
      <c r="P8" s="309"/>
      <c r="Q8" s="309"/>
      <c r="R8" s="309"/>
      <c r="S8" s="309"/>
      <c r="T8" s="309"/>
      <c r="U8" s="309"/>
    </row>
    <row r="9" spans="2:21" ht="21" customHeight="1">
      <c r="B9" s="374"/>
      <c r="C9" s="321"/>
      <c r="D9" s="321"/>
      <c r="E9" s="321"/>
      <c r="F9" s="321"/>
      <c r="G9" s="926"/>
      <c r="H9" s="1328"/>
      <c r="I9" s="1329"/>
      <c r="O9" s="309"/>
      <c r="P9" s="309"/>
      <c r="Q9" s="309"/>
      <c r="R9" s="309"/>
      <c r="S9" s="309"/>
      <c r="T9" s="309"/>
      <c r="U9" s="309"/>
    </row>
    <row r="10" spans="2:21" ht="21" customHeight="1">
      <c r="B10" s="374" t="s">
        <v>254</v>
      </c>
      <c r="C10" s="321"/>
      <c r="D10" s="321"/>
      <c r="E10" s="321"/>
      <c r="F10" s="321"/>
      <c r="G10" s="571"/>
      <c r="H10" s="1829" t="s">
        <v>628</v>
      </c>
      <c r="I10" s="1830"/>
      <c r="O10" s="309"/>
      <c r="P10" s="309"/>
      <c r="Q10" s="309"/>
      <c r="R10" s="309"/>
      <c r="S10" s="309"/>
      <c r="T10" s="309"/>
      <c r="U10" s="309"/>
    </row>
    <row r="11" spans="2:21" ht="21" customHeight="1" thickBot="1">
      <c r="B11" s="374" t="str">
        <f>'49-Utility2'!B11</f>
        <v>Outstanding - December 31, 2021</v>
      </c>
      <c r="C11" s="321"/>
      <c r="D11" s="321"/>
      <c r="E11" s="321"/>
      <c r="F11" s="321"/>
      <c r="G11" s="1030">
        <f>+H7+H8-G10</f>
        <v>0</v>
      </c>
      <c r="H11" s="1823" t="s">
        <v>628</v>
      </c>
      <c r="I11" s="1824"/>
      <c r="O11" s="309"/>
      <c r="P11" s="309"/>
      <c r="Q11" s="309"/>
      <c r="R11" s="309"/>
      <c r="S11" s="309"/>
      <c r="T11" s="309"/>
      <c r="U11" s="309"/>
    </row>
    <row r="12" spans="2:21" ht="21" customHeight="1" thickBot="1">
      <c r="B12" s="370"/>
      <c r="G12" s="1027">
        <f>SUM(G7:G11)</f>
        <v>0</v>
      </c>
      <c r="H12" s="1827">
        <f>SUM(H7:I11)</f>
        <v>0</v>
      </c>
      <c r="I12" s="1828"/>
      <c r="O12" s="309"/>
      <c r="P12" s="309"/>
      <c r="Q12" s="309"/>
      <c r="R12" s="309"/>
      <c r="S12" s="309"/>
      <c r="T12" s="309"/>
      <c r="U12" s="309"/>
    </row>
    <row r="13" spans="2:21" ht="21" customHeight="1" thickTop="1">
      <c r="B13" s="473" t="str">
        <f>'49a-Utility1'!B24</f>
        <v>2022 Loan Maturities</v>
      </c>
      <c r="C13" s="451"/>
      <c r="D13" s="451"/>
      <c r="E13" s="451"/>
      <c r="F13" s="451"/>
      <c r="G13" s="1330"/>
      <c r="H13" s="1330"/>
      <c r="I13" s="1331"/>
      <c r="J13" s="451" t="s">
        <v>373</v>
      </c>
      <c r="K13" s="1834"/>
      <c r="L13" s="1834"/>
      <c r="O13" s="309"/>
      <c r="P13" s="309"/>
      <c r="Q13" s="309"/>
      <c r="R13" s="309"/>
      <c r="S13" s="309"/>
      <c r="T13" s="309"/>
      <c r="U13" s="309"/>
    </row>
    <row r="14" spans="2:21" ht="21" customHeight="1" thickBot="1">
      <c r="B14" s="470" t="str">
        <f>'49a-Utility1'!B25</f>
        <v>2022 Interest on Loans</v>
      </c>
      <c r="C14" s="385"/>
      <c r="D14" s="385"/>
      <c r="E14" s="385"/>
      <c r="F14" s="385"/>
      <c r="G14" s="486"/>
      <c r="H14" s="385" t="s">
        <v>373</v>
      </c>
      <c r="I14" s="643"/>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ht="16.2" thickBot="1">
      <c r="B16" s="1977" t="str">
        <f>UPPER('KEY INPUTS'!D$55)&amp;" UTILITY "&amp;IF(R16&lt;&gt;"",(UPPER(R16)),"")&amp;" LOAN"</f>
        <v xml:space="preserve"> UTILITY  LOAN</v>
      </c>
      <c r="C16" s="1977"/>
      <c r="D16" s="1977"/>
      <c r="E16" s="1977"/>
      <c r="F16" s="1977"/>
      <c r="G16" s="1977"/>
      <c r="H16" s="1977"/>
      <c r="I16" s="1978"/>
      <c r="O16" s="309"/>
      <c r="P16" s="309"/>
      <c r="Q16" s="1554" t="s">
        <v>3579</v>
      </c>
      <c r="R16" s="1555"/>
      <c r="S16" s="309"/>
      <c r="T16" s="309"/>
      <c r="U16" s="309"/>
    </row>
    <row r="17" spans="2:21" ht="21" customHeight="1" thickTop="1">
      <c r="B17" s="1151" t="str">
        <f>B7</f>
        <v>Outstanding - January 1, 2021</v>
      </c>
      <c r="C17" s="1098"/>
      <c r="D17" s="1098"/>
      <c r="E17" s="1098"/>
      <c r="F17" s="1098"/>
      <c r="G17" s="1029" t="s">
        <v>628</v>
      </c>
      <c r="H17" s="1809"/>
      <c r="I17" s="1810"/>
      <c r="O17" s="309"/>
      <c r="P17" s="309"/>
      <c r="Q17" s="309"/>
      <c r="R17" s="309"/>
      <c r="S17" s="309"/>
      <c r="T17" s="309"/>
      <c r="U17" s="309"/>
    </row>
    <row r="18" spans="2:21" ht="21" customHeight="1">
      <c r="B18" s="659" t="s">
        <v>92</v>
      </c>
      <c r="C18" s="1079"/>
      <c r="D18" s="1079"/>
      <c r="E18" s="1079"/>
      <c r="F18" s="1079"/>
      <c r="G18" s="926" t="s">
        <v>628</v>
      </c>
      <c r="H18" s="1807"/>
      <c r="I18" s="1808"/>
      <c r="O18" s="309"/>
      <c r="P18" s="309"/>
      <c r="Q18" s="309"/>
      <c r="R18" s="309"/>
      <c r="S18" s="309"/>
      <c r="T18" s="309"/>
      <c r="U18" s="309"/>
    </row>
    <row r="19" spans="2:21" ht="21" customHeight="1">
      <c r="B19" s="659" t="s">
        <v>254</v>
      </c>
      <c r="C19" s="1079"/>
      <c r="D19" s="1079"/>
      <c r="E19" s="1079"/>
      <c r="F19" s="1079"/>
      <c r="G19" s="571"/>
      <c r="H19" s="1829" t="s">
        <v>628</v>
      </c>
      <c r="I19" s="1830"/>
      <c r="O19" s="309"/>
      <c r="P19" s="309"/>
      <c r="Q19" s="309"/>
      <c r="R19" s="309"/>
      <c r="S19" s="309"/>
      <c r="T19" s="309"/>
      <c r="U19" s="309"/>
    </row>
    <row r="20" spans="2:21" ht="21" customHeight="1">
      <c r="B20" s="659"/>
      <c r="C20" s="1079"/>
      <c r="D20" s="1079"/>
      <c r="E20" s="1079"/>
      <c r="F20" s="1079"/>
      <c r="G20" s="1046"/>
      <c r="H20" s="1831"/>
      <c r="I20" s="1832"/>
      <c r="O20" s="309"/>
      <c r="P20" s="309"/>
      <c r="Q20" s="309"/>
      <c r="R20" s="309"/>
      <c r="S20" s="309"/>
      <c r="T20" s="309"/>
      <c r="U20" s="309"/>
    </row>
    <row r="21" spans="2:21" ht="21" customHeight="1">
      <c r="B21" s="659"/>
      <c r="C21" s="1079"/>
      <c r="D21" s="1079"/>
      <c r="E21" s="1079"/>
      <c r="F21" s="1079"/>
      <c r="G21" s="1046"/>
      <c r="H21" s="1831"/>
      <c r="I21" s="1832"/>
      <c r="O21" s="309"/>
      <c r="P21" s="309"/>
      <c r="Q21" s="309"/>
      <c r="R21" s="309"/>
      <c r="S21" s="309"/>
      <c r="T21" s="309"/>
      <c r="U21" s="309"/>
    </row>
    <row r="22" spans="2:21" ht="21" customHeight="1" thickBot="1">
      <c r="B22" s="659" t="str">
        <f>B11</f>
        <v>Outstanding - December 31, 2021</v>
      </c>
      <c r="C22" s="1079"/>
      <c r="D22" s="1079"/>
      <c r="E22" s="1079"/>
      <c r="F22" s="1079"/>
      <c r="G22" s="1030">
        <f>+H17+H18-G19-G20-G21+H20+H21</f>
        <v>0</v>
      </c>
      <c r="H22" s="1823" t="s">
        <v>628</v>
      </c>
      <c r="I22" s="1824"/>
      <c r="O22" s="309"/>
      <c r="P22" s="309"/>
      <c r="Q22" s="309"/>
      <c r="R22" s="309"/>
      <c r="S22" s="309"/>
      <c r="T22" s="309"/>
      <c r="U22" s="309"/>
    </row>
    <row r="23" spans="2:21" ht="21" customHeight="1" thickBot="1">
      <c r="B23" s="1054"/>
      <c r="C23" s="1086"/>
      <c r="D23" s="1086"/>
      <c r="E23" s="1086"/>
      <c r="F23" s="1086"/>
      <c r="G23" s="1027">
        <f>SUM(G17:G22)</f>
        <v>0</v>
      </c>
      <c r="H23" s="1827">
        <f>SUM(H17:I22)</f>
        <v>0</v>
      </c>
      <c r="I23" s="1828"/>
    </row>
    <row r="24" spans="2:21" ht="21" customHeight="1" thickTop="1">
      <c r="B24" s="473" t="str">
        <f>B13</f>
        <v>2022 Loan Maturities</v>
      </c>
      <c r="C24" s="451"/>
      <c r="D24" s="451"/>
      <c r="E24" s="451"/>
      <c r="F24" s="451"/>
      <c r="G24" s="451"/>
      <c r="H24" s="451"/>
      <c r="I24" s="487"/>
      <c r="J24" s="451" t="s">
        <v>373</v>
      </c>
      <c r="K24" s="1834"/>
      <c r="L24" s="1834"/>
    </row>
    <row r="25" spans="2:21" ht="21" customHeight="1" thickBot="1">
      <c r="B25" s="470" t="str">
        <f>B14</f>
        <v>2022 Interest on Loans</v>
      </c>
      <c r="C25" s="385"/>
      <c r="D25" s="385"/>
      <c r="E25" s="385"/>
      <c r="F25" s="385"/>
      <c r="G25" s="486"/>
      <c r="H25" s="1338" t="s">
        <v>373</v>
      </c>
      <c r="I25" s="577"/>
      <c r="J25" s="477"/>
      <c r="K25" s="385"/>
      <c r="L25" s="385"/>
    </row>
    <row r="26" spans="2:21" ht="21" customHeight="1" thickTop="1"/>
    <row r="27" spans="2:21" ht="19.5" customHeight="1" thickBot="1">
      <c r="B27" s="1977" t="str">
        <f>"INTEREST  ON  LOANS  - "&amp;UPPER('KEY INPUTS'!D55)&amp;"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387" t="s">
        <v>373</v>
      </c>
      <c r="I28" s="1332">
        <f>+I25+I14</f>
        <v>0</v>
      </c>
    </row>
    <row r="29" spans="2:21" ht="21" customHeight="1">
      <c r="B29" s="871" t="str">
        <f>'49a-Utility1'!B29</f>
        <v>Less: Interest Accrued to 12/31/2021 (Trial Balance)</v>
      </c>
      <c r="C29" s="659"/>
      <c r="D29" s="1079"/>
      <c r="E29" s="1079"/>
      <c r="F29" s="1079"/>
      <c r="G29" s="1079"/>
      <c r="H29" s="321" t="s">
        <v>373</v>
      </c>
      <c r="I29" s="570"/>
    </row>
    <row r="30" spans="2:21" ht="21" customHeight="1">
      <c r="B30" s="659"/>
      <c r="C30" s="659" t="s">
        <v>317</v>
      </c>
      <c r="D30" s="1079"/>
      <c r="E30" s="1079"/>
      <c r="F30" s="1079"/>
      <c r="G30" s="1079"/>
      <c r="H30" s="321" t="s">
        <v>373</v>
      </c>
      <c r="I30" s="1334">
        <f>+I28-I29</f>
        <v>0</v>
      </c>
    </row>
    <row r="31" spans="2:21" ht="21" customHeight="1">
      <c r="B31" s="871" t="str">
        <f>'49a-Utility1'!B31</f>
        <v>Add: Interest to be Accrued as of 12/31/2022</v>
      </c>
      <c r="C31" s="659"/>
      <c r="D31" s="1079"/>
      <c r="E31" s="1079"/>
      <c r="F31" s="1079"/>
      <c r="G31" s="1079"/>
      <c r="H31" s="321" t="s">
        <v>373</v>
      </c>
      <c r="I31" s="570"/>
    </row>
    <row r="32" spans="2:21" ht="21" customHeight="1">
      <c r="B32" s="871" t="str">
        <f>'49a-Utility1'!B32</f>
        <v>Required Appropriation 2022</v>
      </c>
      <c r="C32" s="659"/>
      <c r="D32" s="1079"/>
      <c r="E32" s="1079"/>
      <c r="F32" s="1079"/>
      <c r="G32" s="1079"/>
      <c r="H32" s="321"/>
      <c r="I32" s="386"/>
      <c r="J32" s="478" t="s">
        <v>373</v>
      </c>
      <c r="K32" s="2068">
        <f>+I30+I31</f>
        <v>0</v>
      </c>
      <c r="L32" s="2069"/>
    </row>
    <row r="33" spans="2:12" ht="13.5" customHeight="1">
      <c r="B33" s="482"/>
      <c r="C33" s="482"/>
      <c r="D33" s="482"/>
      <c r="E33" s="482"/>
      <c r="F33" s="482"/>
      <c r="G33" s="482"/>
      <c r="H33" s="482"/>
      <c r="I33" s="482"/>
      <c r="J33" s="482"/>
      <c r="K33" s="481"/>
      <c r="L33" s="749"/>
    </row>
    <row r="34" spans="2:12" ht="13.5" customHeight="1">
      <c r="B34" s="482"/>
      <c r="C34" s="482"/>
      <c r="D34" s="482"/>
      <c r="E34" s="482"/>
      <c r="F34" s="482"/>
      <c r="G34" s="482"/>
      <c r="H34" s="482"/>
      <c r="I34" s="482"/>
      <c r="J34" s="482"/>
      <c r="K34" s="481"/>
      <c r="L34" s="749"/>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yhyE81aHuBnkxUkRCLEnW7YMBwExTdhHgP7clud9PwVxiUpvzxZswup3t7dPVB7nhxZCyqU1Ee83/ipS9jLWRQ==" saltValue="8SMkdJ50mvA+mZxFkqReG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0">
    <tabColor theme="3" tint="0.39997558519241921"/>
  </sheetPr>
  <dimension ref="B2:U51"/>
  <sheetViews>
    <sheetView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1937" t="s">
        <v>481</v>
      </c>
      <c r="C2" s="1937"/>
      <c r="D2" s="1937"/>
      <c r="E2" s="1937"/>
      <c r="F2" s="1937"/>
      <c r="G2" s="1937"/>
      <c r="H2" s="1937"/>
      <c r="I2" s="1937"/>
      <c r="J2" s="1937"/>
      <c r="K2" s="1937"/>
      <c r="L2" s="1937"/>
    </row>
    <row r="3" spans="2:21" ht="21" thickBot="1">
      <c r="B3" s="1976" t="str">
        <f>" AND  "&amp;IF('KEY INPUTS'!C42="State Fiscal Year","FISCAL  YEAR  "&amp;'KEY INPUTS'!D33+1&amp;"",'KEY INPUTS'!D34+1)&amp;"  DEBT  SERVICE  FOR  LOANS"</f>
        <v xml:space="preserve"> AND  2022  DEBT  SERVICE  FOR  LOANS</v>
      </c>
      <c r="C3" s="1976"/>
      <c r="D3" s="1976"/>
      <c r="E3" s="1976"/>
      <c r="F3" s="1976"/>
      <c r="G3" s="1976"/>
      <c r="H3" s="1976"/>
      <c r="I3" s="1976"/>
      <c r="J3" s="1976"/>
      <c r="K3" s="1976"/>
      <c r="L3" s="1976"/>
    </row>
    <row r="4" spans="2:21" ht="16.2" thickBot="1">
      <c r="B4" s="1889" t="str">
        <f>UPPER('KEY INPUTS'!D$55)&amp;"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769"/>
      <c r="C5" s="769"/>
      <c r="D5" s="769"/>
      <c r="E5" s="769"/>
      <c r="F5" s="769"/>
      <c r="G5" s="769"/>
      <c r="H5" s="769"/>
      <c r="I5" s="769"/>
      <c r="J5" s="769"/>
      <c r="K5" s="769"/>
      <c r="L5" s="769"/>
    </row>
    <row r="6" spans="2:21" ht="27.75" customHeight="1" thickTop="1" thickBot="1">
      <c r="B6" s="488"/>
      <c r="C6" s="488"/>
      <c r="D6" s="488"/>
      <c r="E6" s="488"/>
      <c r="F6" s="488"/>
      <c r="G6" s="382" t="s">
        <v>96</v>
      </c>
      <c r="H6" s="1972" t="s">
        <v>97</v>
      </c>
      <c r="I6" s="1973"/>
      <c r="J6" s="1955" t="str">
        <f>IF('KEY INPUTS'!C42="State Fiscal Year","Fiscal Year "&amp;'KEY INPUTS'!D33+1&amp;"",'KEY INPUTS'!D34+1)&amp;"  Debt Service"</f>
        <v>2022  Debt Service</v>
      </c>
      <c r="K6" s="1956"/>
      <c r="L6" s="1956"/>
      <c r="O6" s="309"/>
      <c r="P6" s="309"/>
      <c r="Q6" s="309"/>
      <c r="R6" s="309"/>
      <c r="S6" s="309"/>
      <c r="T6" s="309"/>
      <c r="U6" s="309"/>
    </row>
    <row r="7" spans="2:21" ht="21" customHeight="1" thickTop="1">
      <c r="B7" s="446" t="str">
        <f>'49a-Utility2'!B7</f>
        <v>Outstanding - January 1, 2021</v>
      </c>
      <c r="C7" s="387"/>
      <c r="D7" s="387"/>
      <c r="E7" s="387"/>
      <c r="F7" s="387"/>
      <c r="G7" s="141" t="s">
        <v>628</v>
      </c>
      <c r="H7" s="1809"/>
      <c r="I7" s="1810"/>
      <c r="O7" s="309"/>
      <c r="P7" s="309"/>
      <c r="Q7" s="309"/>
      <c r="R7" s="309"/>
      <c r="S7" s="309"/>
      <c r="T7" s="309"/>
      <c r="U7" s="309"/>
    </row>
    <row r="8" spans="2:21" ht="21" customHeight="1">
      <c r="B8" s="374" t="s">
        <v>92</v>
      </c>
      <c r="C8" s="321"/>
      <c r="D8" s="321"/>
      <c r="E8" s="321"/>
      <c r="F8" s="321"/>
      <c r="G8" s="142" t="s">
        <v>628</v>
      </c>
      <c r="H8" s="1807"/>
      <c r="I8" s="1808"/>
      <c r="O8" s="356"/>
      <c r="P8" s="309"/>
      <c r="Q8" s="309"/>
      <c r="R8" s="309"/>
      <c r="S8" s="309"/>
      <c r="T8" s="309"/>
      <c r="U8" s="309"/>
    </row>
    <row r="9" spans="2:21" ht="21" customHeight="1">
      <c r="B9" s="374"/>
      <c r="C9" s="321"/>
      <c r="D9" s="321"/>
      <c r="E9" s="321"/>
      <c r="F9" s="321"/>
      <c r="G9" s="142"/>
      <c r="H9" s="954"/>
      <c r="I9" s="955"/>
      <c r="O9" s="309"/>
      <c r="P9" s="309"/>
      <c r="Q9" s="309"/>
      <c r="R9" s="309"/>
      <c r="S9" s="309"/>
      <c r="T9" s="309"/>
      <c r="U9" s="309"/>
    </row>
    <row r="10" spans="2:21" ht="21" customHeight="1">
      <c r="B10" s="374" t="s">
        <v>254</v>
      </c>
      <c r="C10" s="321"/>
      <c r="D10" s="321"/>
      <c r="E10" s="321"/>
      <c r="F10" s="321"/>
      <c r="G10" s="571"/>
      <c r="H10" s="1782" t="s">
        <v>628</v>
      </c>
      <c r="I10" s="1783"/>
      <c r="O10" s="309"/>
      <c r="P10" s="309"/>
      <c r="Q10" s="309"/>
      <c r="R10" s="309"/>
      <c r="S10" s="309"/>
      <c r="T10" s="309"/>
      <c r="U10" s="309"/>
    </row>
    <row r="11" spans="2:21" ht="21" customHeight="1" thickBot="1">
      <c r="B11" s="374" t="str">
        <f>'49a-Utility2'!B11</f>
        <v>Outstanding - December 31, 2021</v>
      </c>
      <c r="C11" s="321"/>
      <c r="D11" s="321"/>
      <c r="E11" s="321"/>
      <c r="F11" s="321"/>
      <c r="G11" s="137">
        <f>+H7+H8-G10</f>
        <v>0</v>
      </c>
      <c r="H11" s="1786" t="s">
        <v>628</v>
      </c>
      <c r="I11" s="1787"/>
      <c r="O11" s="309"/>
      <c r="P11" s="309"/>
      <c r="Q11" s="309"/>
      <c r="R11" s="309"/>
      <c r="S11" s="309"/>
      <c r="T11" s="309"/>
      <c r="U11" s="309"/>
    </row>
    <row r="12" spans="2:21" ht="21" customHeight="1" thickBot="1">
      <c r="B12" s="370"/>
      <c r="G12" s="133">
        <f>SUM(G7:G11)</f>
        <v>0</v>
      </c>
      <c r="H12" s="1838">
        <f>SUM(H7:I11)</f>
        <v>0</v>
      </c>
      <c r="I12" s="1839"/>
      <c r="O12" s="309"/>
      <c r="P12" s="309"/>
      <c r="Q12" s="309"/>
      <c r="R12" s="309"/>
      <c r="S12" s="309"/>
      <c r="T12" s="309"/>
      <c r="U12" s="309"/>
    </row>
    <row r="13" spans="2:21" ht="21" customHeight="1" thickTop="1">
      <c r="B13" s="473" t="str">
        <f>'49a-Utility2'!B13</f>
        <v>2022 Loan Maturities</v>
      </c>
      <c r="C13" s="451"/>
      <c r="D13" s="451"/>
      <c r="E13" s="451"/>
      <c r="F13" s="451"/>
      <c r="G13" s="451"/>
      <c r="H13" s="451"/>
      <c r="I13" s="487"/>
      <c r="J13" s="451" t="s">
        <v>373</v>
      </c>
      <c r="K13" s="1834"/>
      <c r="L13" s="1834"/>
      <c r="O13" s="309"/>
      <c r="P13" s="309"/>
      <c r="Q13" s="309"/>
      <c r="R13" s="309"/>
      <c r="S13" s="309"/>
      <c r="T13" s="309"/>
      <c r="U13" s="309"/>
    </row>
    <row r="14" spans="2:21" ht="21" customHeight="1" thickBot="1">
      <c r="B14" s="470" t="str">
        <f>'49a-Utility2'!B14</f>
        <v>2022 Interest on Loans</v>
      </c>
      <c r="C14" s="385"/>
      <c r="D14" s="385"/>
      <c r="E14" s="385"/>
      <c r="F14" s="385"/>
      <c r="G14" s="486"/>
      <c r="H14" s="385" t="s">
        <v>373</v>
      </c>
      <c r="I14" s="643"/>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ht="16.2" thickBot="1">
      <c r="B16" s="1977" t="str">
        <f>UPPER('KEY INPUTS'!D$55)&amp;" UTILITY "&amp;IF(R16&lt;&gt;"",(UPPER(R16)),"")&amp;" LOAN"</f>
        <v xml:space="preserve"> UTILITY  LOAN</v>
      </c>
      <c r="C16" s="1977"/>
      <c r="D16" s="1977"/>
      <c r="E16" s="1977"/>
      <c r="F16" s="1977"/>
      <c r="G16" s="1977"/>
      <c r="H16" s="1977"/>
      <c r="I16" s="1978"/>
      <c r="O16" s="309"/>
      <c r="P16" s="309"/>
      <c r="Q16" s="1554" t="s">
        <v>3579</v>
      </c>
      <c r="R16" s="1555"/>
      <c r="S16" s="309"/>
      <c r="T16" s="309"/>
      <c r="U16" s="309"/>
    </row>
    <row r="17" spans="2:21" ht="21" customHeight="1" thickTop="1">
      <c r="B17" s="446" t="str">
        <f>B7</f>
        <v>Outstanding - January 1, 2021</v>
      </c>
      <c r="C17" s="387"/>
      <c r="D17" s="387"/>
      <c r="E17" s="387"/>
      <c r="F17" s="387"/>
      <c r="G17" s="141" t="s">
        <v>628</v>
      </c>
      <c r="H17" s="1809"/>
      <c r="I17" s="1810"/>
      <c r="O17" s="309"/>
      <c r="P17" s="309"/>
      <c r="Q17" s="309"/>
      <c r="R17" s="309"/>
      <c r="S17" s="309"/>
      <c r="T17" s="309"/>
      <c r="U17" s="309"/>
    </row>
    <row r="18" spans="2:21" ht="21" customHeight="1">
      <c r="B18" s="374" t="s">
        <v>92</v>
      </c>
      <c r="C18" s="321"/>
      <c r="D18" s="321"/>
      <c r="E18" s="321"/>
      <c r="F18" s="321"/>
      <c r="G18" s="142" t="s">
        <v>628</v>
      </c>
      <c r="H18" s="1807"/>
      <c r="I18" s="1808"/>
      <c r="O18" s="309"/>
      <c r="P18" s="309"/>
      <c r="Q18" s="309"/>
      <c r="R18" s="309"/>
      <c r="S18" s="309"/>
      <c r="T18" s="309"/>
      <c r="U18" s="309"/>
    </row>
    <row r="19" spans="2:21" ht="21" customHeight="1">
      <c r="B19" s="374" t="s">
        <v>254</v>
      </c>
      <c r="C19" s="321"/>
      <c r="D19" s="321"/>
      <c r="E19" s="321"/>
      <c r="F19" s="321"/>
      <c r="G19" s="571"/>
      <c r="H19" s="1782" t="s">
        <v>628</v>
      </c>
      <c r="I19" s="1783"/>
      <c r="O19" s="309"/>
      <c r="P19" s="309"/>
      <c r="Q19" s="309"/>
      <c r="R19" s="309"/>
      <c r="S19" s="309"/>
      <c r="T19" s="309"/>
      <c r="U19" s="309"/>
    </row>
    <row r="20" spans="2:21" ht="21" customHeight="1">
      <c r="B20" s="374"/>
      <c r="C20" s="321"/>
      <c r="D20" s="321"/>
      <c r="E20" s="321"/>
      <c r="F20" s="321"/>
      <c r="G20" s="116"/>
      <c r="H20" s="1968"/>
      <c r="I20" s="1969"/>
      <c r="O20" s="309"/>
      <c r="P20" s="309"/>
      <c r="Q20" s="309"/>
      <c r="R20" s="309"/>
      <c r="S20" s="309"/>
      <c r="T20" s="309"/>
      <c r="U20" s="309"/>
    </row>
    <row r="21" spans="2:21" ht="21" customHeight="1">
      <c r="B21" s="374"/>
      <c r="C21" s="321"/>
      <c r="D21" s="321"/>
      <c r="E21" s="321"/>
      <c r="F21" s="321"/>
      <c r="G21" s="116"/>
      <c r="H21" s="1968"/>
      <c r="I21" s="1969"/>
      <c r="O21" s="309"/>
      <c r="P21" s="309"/>
      <c r="Q21" s="309"/>
      <c r="R21" s="309"/>
      <c r="S21" s="309"/>
      <c r="T21" s="309"/>
      <c r="U21" s="309"/>
    </row>
    <row r="22" spans="2:21" ht="21" customHeight="1" thickBot="1">
      <c r="B22" s="374" t="str">
        <f>B11</f>
        <v>Outstanding - December 31, 2021</v>
      </c>
      <c r="C22" s="321"/>
      <c r="D22" s="321"/>
      <c r="E22" s="321"/>
      <c r="F22" s="321"/>
      <c r="G22" s="137">
        <f>+H17+H18-G19-G20-G21+H20+H21</f>
        <v>0</v>
      </c>
      <c r="H22" s="1786" t="s">
        <v>628</v>
      </c>
      <c r="I22" s="1787"/>
      <c r="O22" s="309"/>
      <c r="P22" s="309"/>
      <c r="Q22" s="309"/>
      <c r="R22" s="309"/>
      <c r="S22" s="309"/>
      <c r="T22" s="309"/>
      <c r="U22" s="309"/>
    </row>
    <row r="23" spans="2:21" ht="21" customHeight="1" thickBot="1">
      <c r="B23" s="370"/>
      <c r="G23" s="133">
        <f>SUM(G17:G22)</f>
        <v>0</v>
      </c>
      <c r="H23" s="1838">
        <f>SUM(H17:I22)</f>
        <v>0</v>
      </c>
      <c r="I23" s="1839"/>
    </row>
    <row r="24" spans="2:21" ht="21" customHeight="1" thickTop="1">
      <c r="B24" s="473" t="str">
        <f>B13</f>
        <v>2022 Loan Maturities</v>
      </c>
      <c r="C24" s="451"/>
      <c r="D24" s="451"/>
      <c r="E24" s="451"/>
      <c r="F24" s="451"/>
      <c r="G24" s="451"/>
      <c r="H24" s="451"/>
      <c r="I24" s="487"/>
      <c r="J24" s="451" t="s">
        <v>373</v>
      </c>
      <c r="K24" s="1834"/>
      <c r="L24" s="1834"/>
    </row>
    <row r="25" spans="2:21" ht="21" customHeight="1" thickBot="1">
      <c r="B25" s="470" t="str">
        <f>B14</f>
        <v>2022 Interest on Loans</v>
      </c>
      <c r="C25" s="385"/>
      <c r="D25" s="385"/>
      <c r="E25" s="385"/>
      <c r="F25" s="385"/>
      <c r="G25" s="486"/>
      <c r="H25" s="385" t="s">
        <v>373</v>
      </c>
      <c r="I25" s="577"/>
      <c r="J25" s="477"/>
      <c r="K25" s="385"/>
      <c r="L25" s="385"/>
    </row>
    <row r="26" spans="2:21" ht="21" customHeight="1" thickTop="1"/>
    <row r="27" spans="2:21" ht="19.5" customHeight="1" thickBot="1">
      <c r="B27" s="1977" t="str">
        <f>"INTEREST  ON  LOANS  - "&amp;UPPER('KEY INPUTS'!D55)&amp;"  UTILITY  BUDGET"</f>
        <v>INTEREST  ON  LOANS  -   UTILITY  BUDGET</v>
      </c>
      <c r="C27" s="1977"/>
      <c r="D27" s="1977"/>
      <c r="E27" s="1977"/>
      <c r="F27" s="1977"/>
      <c r="G27" s="1977"/>
      <c r="H27" s="1977"/>
      <c r="I27" s="1977"/>
      <c r="J27" s="1977"/>
      <c r="K27" s="1977"/>
      <c r="L27" s="1977"/>
    </row>
    <row r="28" spans="2:21" ht="21" customHeight="1" thickTop="1">
      <c r="B28" s="469" t="str">
        <f>'49a-Utility2'!B28</f>
        <v>2022 Interest on Loans (*Items)</v>
      </c>
      <c r="C28" s="429"/>
      <c r="D28" s="387"/>
      <c r="E28" s="387"/>
      <c r="F28" s="387"/>
      <c r="G28" s="387"/>
      <c r="H28" s="387" t="s">
        <v>373</v>
      </c>
      <c r="I28" s="485">
        <f>+I25+I14</f>
        <v>0</v>
      </c>
    </row>
    <row r="29" spans="2:21" ht="21" customHeight="1">
      <c r="B29" s="378" t="str">
        <f>'49a-Utility2'!B29</f>
        <v>Less: Interest Accrued to 12/31/2021 (Trial Balance)</v>
      </c>
      <c r="C29" s="374"/>
      <c r="D29" s="321"/>
      <c r="E29" s="321"/>
      <c r="F29" s="321"/>
      <c r="G29" s="321"/>
      <c r="H29" s="321" t="s">
        <v>373</v>
      </c>
      <c r="I29" s="570"/>
    </row>
    <row r="30" spans="2:21" ht="21" customHeight="1">
      <c r="B30" s="374"/>
      <c r="C30" s="374" t="s">
        <v>317</v>
      </c>
      <c r="D30" s="321"/>
      <c r="E30" s="321"/>
      <c r="F30" s="321"/>
      <c r="G30" s="321"/>
      <c r="H30" s="321" t="s">
        <v>373</v>
      </c>
      <c r="I30" s="484">
        <f>+I28-I29</f>
        <v>0</v>
      </c>
    </row>
    <row r="31" spans="2:21" ht="21" customHeight="1">
      <c r="B31" s="378" t="str">
        <f>'49a-Utility2'!B31</f>
        <v>Add: Interest to be Accrued as of 12/31/2022</v>
      </c>
      <c r="C31" s="374"/>
      <c r="D31" s="321"/>
      <c r="E31" s="321"/>
      <c r="F31" s="321"/>
      <c r="G31" s="321"/>
      <c r="H31" s="321" t="s">
        <v>373</v>
      </c>
      <c r="I31" s="570"/>
    </row>
    <row r="32" spans="2:21" ht="21" customHeight="1">
      <c r="B32" s="378" t="str">
        <f>'49a-Utility2'!B32</f>
        <v>Required Appropriation 2022</v>
      </c>
      <c r="C32" s="374"/>
      <c r="D32" s="321"/>
      <c r="E32" s="321"/>
      <c r="F32" s="321"/>
      <c r="G32" s="321"/>
      <c r="H32" s="321"/>
      <c r="I32" s="867"/>
      <c r="J32" s="478" t="s">
        <v>373</v>
      </c>
      <c r="K32" s="1979">
        <f>+I30+I31</f>
        <v>0</v>
      </c>
      <c r="L32" s="1980"/>
    </row>
    <row r="33" spans="2:12" ht="13.5" customHeight="1">
      <c r="B33" s="482"/>
      <c r="C33" s="482"/>
      <c r="D33" s="482"/>
      <c r="E33" s="482"/>
      <c r="F33" s="482"/>
      <c r="G33" s="482"/>
      <c r="H33" s="482"/>
      <c r="I33" s="482"/>
      <c r="J33" s="482"/>
      <c r="K33" s="481"/>
      <c r="L33" s="964"/>
    </row>
    <row r="34" spans="2:12" ht="13.5" customHeight="1">
      <c r="B34" s="482"/>
      <c r="C34" s="482"/>
      <c r="D34" s="482"/>
      <c r="E34" s="482"/>
      <c r="F34" s="482"/>
      <c r="G34" s="482"/>
      <c r="H34" s="482"/>
      <c r="I34" s="482"/>
      <c r="J34" s="482"/>
      <c r="K34" s="481"/>
      <c r="L34" s="964"/>
    </row>
    <row r="35" spans="2:12" ht="21" customHeight="1" thickBot="1">
      <c r="B35" s="1952" t="str">
        <f>'49-Utility1'!B35</f>
        <v>LIST  OF  BONDS  ISSUED  DURING  2021</v>
      </c>
      <c r="C35" s="1952"/>
      <c r="D35" s="1952"/>
      <c r="E35" s="1952"/>
      <c r="F35" s="1952"/>
      <c r="G35" s="1952"/>
      <c r="H35" s="1952"/>
      <c r="I35" s="1952"/>
      <c r="J35" s="1952"/>
      <c r="K35" s="1952"/>
      <c r="L35" s="1952"/>
    </row>
    <row r="36" spans="2:12" ht="27" customHeight="1" thickTop="1" thickBot="1">
      <c r="B36" s="1967" t="s">
        <v>413</v>
      </c>
      <c r="C36" s="1967"/>
      <c r="D36" s="1967"/>
      <c r="E36" s="1967"/>
      <c r="F36" s="1967"/>
      <c r="G36" s="465" t="str">
        <f>'49a-Utility2'!G36</f>
        <v>2022 Maturity</v>
      </c>
      <c r="H36" s="1972" t="s">
        <v>91</v>
      </c>
      <c r="I36" s="1973"/>
      <c r="J36" s="1970" t="s">
        <v>89</v>
      </c>
      <c r="K36" s="1971"/>
      <c r="L36" s="963"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385"/>
      <c r="C41" s="385"/>
      <c r="D41" s="385"/>
      <c r="E41" s="385"/>
      <c r="F41" s="384"/>
      <c r="G41" s="133">
        <f>SUM(G37:G40)</f>
        <v>0</v>
      </c>
      <c r="H41" s="1835">
        <f>SUM(H37:I40)</f>
        <v>0</v>
      </c>
      <c r="I41" s="1836"/>
      <c r="J41" s="477"/>
      <c r="K41" s="385"/>
      <c r="L41" s="389"/>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IhNlQB/Edx1Oze2/M2wBnSyXjhLZVIBaXOe+aFJ46tIjQZnsG+yg+4bPBgXNW0PWcbZrrvaWASNinwrzyE9jmQ==" saltValue="IRDI1In09gnpNrzP2yzqC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5">
    <tabColor theme="3" tint="0.39997558519241921"/>
  </sheetPr>
  <dimension ref="A2:V30"/>
  <sheetViews>
    <sheetView zoomScaleNormal="100" zoomScaleSheetLayoutView="80" workbookViewId="0">
      <selection activeCell="H22" sqref="H22"/>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INPUTS'!D55)&amp;"  UTILITY  NOTES  (OTHER  THAN  UTILITY  ASSESSMENT  NOTES)"</f>
        <v>DEBT  SERVICE  FOR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c r="D9" s="645"/>
      <c r="E9" s="575"/>
      <c r="F9" s="1432"/>
      <c r="G9" s="575"/>
      <c r="H9" s="1433"/>
      <c r="I9" s="760"/>
      <c r="J9" s="575"/>
      <c r="K9" s="575">
        <f>+I9*G9</f>
        <v>0</v>
      </c>
      <c r="L9" s="1434"/>
      <c r="M9" s="1435"/>
      <c r="P9" s="309"/>
      <c r="Q9" s="309"/>
      <c r="R9" s="309"/>
      <c r="S9" s="309"/>
      <c r="T9" s="309"/>
      <c r="U9" s="309"/>
      <c r="V9" s="309"/>
    </row>
    <row r="10" spans="1:22" ht="21" customHeight="1">
      <c r="B10" s="1436" t="s">
        <v>293</v>
      </c>
      <c r="C10" s="1437"/>
      <c r="D10" s="621"/>
      <c r="E10" s="571"/>
      <c r="F10" s="1438"/>
      <c r="G10" s="571"/>
      <c r="H10" s="1439"/>
      <c r="I10" s="592"/>
      <c r="J10" s="1440"/>
      <c r="K10" s="571">
        <f>+I10*G10</f>
        <v>0</v>
      </c>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lK6YAQjH3U74/Pe0vchPcRWX6tIs/n8TnwbzgM/zUf7HJ6wL9vT6z+TVpP4dJXrGvwd3v6C8a70hoQajYSvaTg==" saltValue="43T0TIyqyDbwP81wFtvAp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1">
    <tabColor theme="3" tint="0.39997558519241921"/>
  </sheetPr>
  <dimension ref="A1:V30"/>
  <sheetViews>
    <sheetView zoomScaleNormal="100" zoomScaleSheetLayoutView="80" workbookViewId="0">
      <selection activeCell="I14" sqref="I14"/>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1" spans="1:22">
      <c r="B1" s="1054"/>
      <c r="C1" s="1054"/>
      <c r="D1" s="1054"/>
      <c r="E1" s="1054"/>
      <c r="F1" s="1054"/>
      <c r="G1" s="1054"/>
      <c r="H1" s="1054"/>
      <c r="I1" s="1054"/>
      <c r="J1" s="1054"/>
      <c r="K1" s="1054"/>
      <c r="L1" s="1054"/>
      <c r="M1" s="1054"/>
    </row>
    <row r="2" spans="1:22" ht="20.399999999999999">
      <c r="B2" s="1909" t="str">
        <f>"DEBT  SERVICE  FOR  "&amp;UPPER('KEY INPUTS'!D55)&amp;"  UTILITY  NOTES  (OTHER  THAN  UTILITY  ASSESSMENT  NOTES)"</f>
        <v>DEBT  SERVICE  FOR    UTILITY  NOTES  (OTHER  THAN  UTILITY  ASSESSMENT  NOTES)</v>
      </c>
      <c r="C2" s="1909"/>
      <c r="D2" s="1909"/>
      <c r="E2" s="1909"/>
      <c r="F2" s="1909"/>
      <c r="G2" s="1909"/>
      <c r="H2" s="1909"/>
      <c r="I2" s="1909"/>
      <c r="J2" s="1909"/>
      <c r="K2" s="1909"/>
      <c r="L2" s="1909"/>
      <c r="M2" s="1909"/>
    </row>
    <row r="3" spans="1:22" ht="21" thickBot="1">
      <c r="B3" s="1909"/>
      <c r="C3" s="1909"/>
      <c r="D3" s="1909"/>
      <c r="E3" s="1909"/>
      <c r="F3" s="1909"/>
      <c r="G3" s="1909"/>
      <c r="H3" s="1909"/>
      <c r="I3" s="1909"/>
      <c r="J3" s="1909"/>
      <c r="K3" s="1909"/>
      <c r="L3" s="1909"/>
      <c r="M3" s="1909"/>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183"/>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IF('KEY INPUTS'!C42 = "State Fiscal Year", 'KEY INPUTS'!F47,'KEY INPUTS'!D47)</f>
        <v>Dec. 31, 2021</v>
      </c>
      <c r="H8" s="1186"/>
      <c r="I8" s="1186"/>
      <c r="J8" s="1188"/>
      <c r="K8" s="1189"/>
      <c r="L8" s="1190"/>
      <c r="M8" s="1191"/>
      <c r="P8" s="309"/>
      <c r="Q8" s="309"/>
      <c r="R8" s="309"/>
      <c r="S8" s="309"/>
      <c r="T8" s="309"/>
      <c r="U8" s="309"/>
      <c r="V8" s="309"/>
    </row>
    <row r="9" spans="1:22" ht="21" customHeight="1" thickTop="1">
      <c r="B9" s="509" t="s">
        <v>292</v>
      </c>
      <c r="C9" s="644"/>
      <c r="D9" s="645"/>
      <c r="E9" s="587"/>
      <c r="F9" s="1402"/>
      <c r="G9" s="587"/>
      <c r="H9" s="647"/>
      <c r="I9" s="589"/>
      <c r="J9" s="587"/>
      <c r="K9" s="587"/>
      <c r="L9" s="598"/>
      <c r="M9" s="648"/>
      <c r="P9" s="309"/>
      <c r="Q9" s="309"/>
      <c r="R9" s="309"/>
      <c r="S9" s="309"/>
      <c r="T9" s="309"/>
      <c r="U9" s="309"/>
      <c r="V9" s="309"/>
    </row>
    <row r="10" spans="1:22" ht="21" customHeight="1">
      <c r="B10" s="508" t="s">
        <v>293</v>
      </c>
      <c r="C10" s="649"/>
      <c r="D10" s="621"/>
      <c r="E10" s="571"/>
      <c r="F10" s="1403"/>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1404"/>
      <c r="G11" s="571"/>
      <c r="H11" s="571"/>
      <c r="I11" s="592"/>
      <c r="J11" s="571"/>
      <c r="K11" s="571"/>
      <c r="L11" s="600"/>
      <c r="M11" s="653"/>
      <c r="P11" s="309"/>
      <c r="Q11" s="309"/>
      <c r="R11" s="309"/>
      <c r="S11" s="309"/>
      <c r="T11" s="309"/>
      <c r="U11" s="309"/>
      <c r="V11" s="309"/>
    </row>
    <row r="12" spans="1:22" ht="21" customHeight="1">
      <c r="B12" s="508" t="s">
        <v>295</v>
      </c>
      <c r="C12" s="617"/>
      <c r="D12" s="621"/>
      <c r="E12" s="571"/>
      <c r="F12" s="1404"/>
      <c r="G12" s="571"/>
      <c r="H12" s="571"/>
      <c r="I12" s="592"/>
      <c r="J12" s="571"/>
      <c r="K12" s="571"/>
      <c r="L12" s="600"/>
      <c r="M12" s="653"/>
      <c r="P12" s="309"/>
      <c r="Q12" s="309"/>
      <c r="R12" s="309"/>
      <c r="S12" s="309"/>
      <c r="T12" s="309"/>
      <c r="U12" s="309"/>
      <c r="V12" s="309"/>
    </row>
    <row r="13" spans="1:22" ht="21" customHeight="1">
      <c r="B13" s="508" t="s">
        <v>296</v>
      </c>
      <c r="C13" s="617"/>
      <c r="D13" s="621"/>
      <c r="E13" s="571"/>
      <c r="F13" s="1404"/>
      <c r="G13" s="571"/>
      <c r="H13" s="571"/>
      <c r="I13" s="592"/>
      <c r="J13" s="571"/>
      <c r="K13" s="571"/>
      <c r="L13" s="600"/>
      <c r="M13" s="653"/>
      <c r="P13" s="309"/>
      <c r="Q13" s="309"/>
      <c r="R13" s="309"/>
      <c r="S13" s="309"/>
      <c r="T13" s="309"/>
      <c r="U13" s="309"/>
      <c r="V13" s="309"/>
    </row>
    <row r="14" spans="1:22" ht="21" customHeight="1">
      <c r="B14" s="508" t="s">
        <v>297</v>
      </c>
      <c r="C14" s="617"/>
      <c r="D14" s="621"/>
      <c r="E14" s="574"/>
      <c r="F14" s="140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140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140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140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SUM(E9:E17)+'50-Utility2'!E18</f>
        <v>0</v>
      </c>
      <c r="F18" s="661"/>
      <c r="G18" s="658">
        <f>SUM(G9:G17)+'50-Utility2'!G18</f>
        <v>0</v>
      </c>
      <c r="H18" s="658"/>
      <c r="I18" s="662"/>
      <c r="J18" s="658">
        <f>SUM(J9:J17)+'50-Utility2'!J18</f>
        <v>0</v>
      </c>
      <c r="K18" s="658">
        <f>SUM(K9:K17)+'50-Utility2'!K18</f>
        <v>0</v>
      </c>
      <c r="L18" s="663"/>
      <c r="M18" s="664"/>
      <c r="P18" s="309"/>
      <c r="Q18" s="309"/>
      <c r="R18" s="309"/>
      <c r="S18" s="309"/>
      <c r="T18" s="309"/>
      <c r="U18" s="309"/>
      <c r="V18" s="309"/>
    </row>
    <row r="19" spans="1:22" ht="21" customHeight="1">
      <c r="A19" s="507"/>
      <c r="B19" s="1292"/>
      <c r="C19" s="1132"/>
      <c r="D19" s="1132"/>
      <c r="E19" s="1293"/>
      <c r="F19" s="1132"/>
      <c r="G19" s="1293"/>
      <c r="H19" s="1293"/>
      <c r="I19" s="1294"/>
      <c r="J19" s="1293"/>
      <c r="K19" s="1293"/>
      <c r="L19" s="1293"/>
      <c r="M19" s="1132"/>
      <c r="P19" s="309"/>
      <c r="Q19" s="309"/>
      <c r="R19" s="309"/>
      <c r="S19" s="309"/>
      <c r="T19" s="309"/>
      <c r="U19" s="309"/>
      <c r="V19" s="309"/>
    </row>
    <row r="20" spans="1:22" ht="21" customHeight="1">
      <c r="A20" s="507"/>
      <c r="B20" s="1292"/>
      <c r="C20" s="1132"/>
      <c r="D20" s="1132"/>
      <c r="E20" s="1293"/>
      <c r="F20" s="1132"/>
      <c r="G20" s="1293"/>
      <c r="H20" s="1293"/>
      <c r="I20" s="1294"/>
      <c r="J20" s="1293"/>
      <c r="K20" s="1293"/>
      <c r="L20" s="1293"/>
      <c r="M20" s="1132"/>
      <c r="P20" s="309"/>
      <c r="Q20" s="309"/>
      <c r="R20" s="309"/>
      <c r="S20" s="309"/>
      <c r="T20" s="309"/>
      <c r="U20" s="309"/>
      <c r="V20" s="309"/>
    </row>
    <row r="21" spans="1:22" ht="13.5" customHeight="1" thickBot="1">
      <c r="B21" s="1295"/>
      <c r="C21" s="1296"/>
      <c r="D21" s="1297"/>
      <c r="E21" s="1132"/>
      <c r="F21" s="1132"/>
      <c r="G21" s="1132"/>
      <c r="H21" s="1132"/>
      <c r="I21" s="1132"/>
      <c r="J21" s="1298"/>
      <c r="K21" s="1132"/>
      <c r="L21" s="1132"/>
      <c r="M21" s="1132"/>
      <c r="P21" s="309"/>
      <c r="Q21" s="309"/>
      <c r="R21" s="309"/>
      <c r="S21" s="309"/>
      <c r="T21" s="309"/>
      <c r="U21" s="309"/>
      <c r="V21" s="309"/>
    </row>
    <row r="22" spans="1:22" ht="14.4" thickTop="1" thickBot="1">
      <c r="B22" s="1160" t="s">
        <v>40</v>
      </c>
      <c r="C22" s="1059"/>
      <c r="D22" s="1299"/>
      <c r="E22" s="1059"/>
      <c r="F22" s="1054"/>
      <c r="G22" s="1054"/>
      <c r="H22" s="1054"/>
      <c r="I22" s="1988" t="str">
        <f>"INTEREST  ON  NOTES  -  "&amp;UPPER('KEY INPUTS'!D55)&amp;" UTILITY  BUDGET"</f>
        <v>INTEREST  ON  NOTES  -   UTILITY  BUDGET</v>
      </c>
      <c r="J22" s="1989"/>
      <c r="K22" s="1989"/>
      <c r="L22" s="1989"/>
      <c r="M22" s="1990"/>
      <c r="P22" s="309"/>
      <c r="Q22" s="309"/>
      <c r="R22" s="309"/>
      <c r="S22" s="309"/>
      <c r="T22" s="309"/>
      <c r="U22" s="309"/>
      <c r="V22" s="309"/>
    </row>
    <row r="23" spans="1:22" ht="15.6" customHeight="1">
      <c r="B23" s="1300" t="s">
        <v>41</v>
      </c>
      <c r="C23" s="1300"/>
      <c r="D23" s="1449" t="s">
        <v>3580</v>
      </c>
      <c r="E23" s="1059"/>
      <c r="F23" s="1054"/>
      <c r="G23" s="1054"/>
      <c r="H23" s="1054"/>
      <c r="I23" s="499" t="str">
        <f>IF('KEY INPUTS'!C42="State Fiscal Year","Fiscal Year "&amp;'KEY INPUTS'!D33+1&amp;"",'KEY INPUTS'!D34+1)&amp;" Interest on Notes"</f>
        <v>2022 Interest on Notes</v>
      </c>
      <c r="J23" s="1131"/>
      <c r="K23" s="1131"/>
      <c r="L23" s="1301" t="s">
        <v>373</v>
      </c>
      <c r="M23" s="1174">
        <f>K18</f>
        <v>0</v>
      </c>
      <c r="P23" s="309"/>
      <c r="Q23" s="309"/>
      <c r="R23" s="309"/>
      <c r="S23" s="309"/>
      <c r="T23" s="309"/>
      <c r="U23" s="309"/>
      <c r="V23" s="309"/>
    </row>
    <row r="24" spans="1:22" ht="15.6" customHeight="1">
      <c r="B24" s="444"/>
      <c r="C24" s="444"/>
      <c r="D24" s="1451" t="s">
        <v>42</v>
      </c>
      <c r="E24" s="491"/>
      <c r="I24" s="497" t="str">
        <f>"Less: Interest Accrued to "&amp;IF('KEY INPUTS'!C42="State Fiscal Year",(TEXT('KEY INPUTS'!F29,"mm/dd/yyy")),(TEXT('KEY INPUTS'!D29,"mm/dd/yyy")))&amp;" (Trial Balance)"</f>
        <v>Less: Interest Accrued to 12/31/2021 (Trial Balance)</v>
      </c>
      <c r="J24" s="374"/>
      <c r="K24" s="374"/>
      <c r="L24" s="496" t="s">
        <v>373</v>
      </c>
      <c r="M24" s="641"/>
      <c r="P24" s="309"/>
      <c r="Q24" s="309"/>
      <c r="R24" s="309"/>
      <c r="S24" s="309"/>
      <c r="T24" s="309"/>
      <c r="U24" s="309"/>
      <c r="V24" s="309"/>
    </row>
    <row r="25" spans="1:22" ht="15.6" customHeight="1">
      <c r="B25" s="444"/>
      <c r="C25" s="444"/>
      <c r="D25" s="1449" t="s">
        <v>43</v>
      </c>
      <c r="E25" s="491"/>
      <c r="I25" s="463"/>
      <c r="J25" s="374" t="s">
        <v>317</v>
      </c>
      <c r="K25" s="374"/>
      <c r="L25" s="496" t="s">
        <v>373</v>
      </c>
      <c r="M25" s="295">
        <f>+M23-M24</f>
        <v>0</v>
      </c>
    </row>
    <row r="26" spans="1:22" ht="15.6" customHeight="1">
      <c r="B26" s="444"/>
      <c r="C26" s="444"/>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491"/>
      <c r="I26" s="497" t="str">
        <f>"Add: Interest to be Accrued as of "&amp;IF('KEY INPUTS'!C42="State Fiscal Year",(TEXT('KEY INPUTS'!F30,"mm/dd/yyy")),(TEXT('KEY INPUTS'!D30,"mm/dd/yyy")))&amp;""</f>
        <v>Add: Interest to be Accrued as of 12/31/2022</v>
      </c>
      <c r="J26" s="374"/>
      <c r="K26" s="374"/>
      <c r="L26" s="496" t="s">
        <v>373</v>
      </c>
      <c r="M26" s="641"/>
    </row>
    <row r="27" spans="1:22" ht="15.6" customHeight="1" thickBot="1">
      <c r="B27" s="444"/>
      <c r="C27" s="444"/>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491"/>
      <c r="I27" s="495" t="str">
        <f>"Required Appropriation "&amp;IF('KEY INPUTS'!C42="State Fiscal Year","Fiscal Year "&amp;'KEY INPUTS'!D33+1&amp;"",'KEY INPUTS'!D34+1)&amp;""</f>
        <v>Required Appropriation 2022</v>
      </c>
      <c r="J27" s="438"/>
      <c r="K27" s="438"/>
      <c r="L27" s="494" t="s">
        <v>373</v>
      </c>
      <c r="M27" s="493">
        <f>+M25+M26</f>
        <v>0</v>
      </c>
    </row>
    <row r="28" spans="1:22" ht="13.8" thickTop="1">
      <c r="B28" s="444"/>
      <c r="C28" s="444"/>
      <c r="D28" s="444" t="s">
        <v>44</v>
      </c>
      <c r="E28" s="491"/>
    </row>
    <row r="29" spans="1:22">
      <c r="B29" s="491"/>
      <c r="C29" s="491"/>
      <c r="D29" s="492" t="s">
        <v>45</v>
      </c>
      <c r="E29" s="491"/>
    </row>
    <row r="30" spans="1:22">
      <c r="J30" s="490" t="s">
        <v>98</v>
      </c>
    </row>
  </sheetData>
  <sheetProtection algorithmName="SHA-512" hashValue="j4RztZtXV6Y0Hju9dcxy3If/Sl+7Ty5fT3Exb3k+LQIsTS0y2AeSmSWPu+Qtij8VXik7ayQBy5C16W+Psv3bRw==" saltValue="dx8/Vnoe3se7ql9YACW2pg=="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2">
    <tabColor theme="3" tint="0.39997558519241921"/>
  </sheetPr>
  <dimension ref="A2:T29"/>
  <sheetViews>
    <sheetView zoomScaleNormal="100" zoomScaleSheetLayoutView="80" workbookViewId="0">
      <selection activeCell="C27" sqref="C27"/>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2" spans="1:20" ht="20.399999999999999">
      <c r="B2" s="1909" t="str">
        <f>"DEBT  SERVICE  SCHEDULE  FOR  "&amp;UPPER('KEY INPUTS'!D55) &amp;"  UTILITY  ASSESSMENT  NOTES"</f>
        <v>DEBT  SERVICE  SCHEDULE  FOR    UTILITY  ASSESSMENT  NOTES</v>
      </c>
      <c r="C2" s="1909"/>
      <c r="D2" s="1909"/>
      <c r="E2" s="1909"/>
      <c r="F2" s="1909"/>
      <c r="G2" s="1909"/>
      <c r="H2" s="1909"/>
      <c r="I2" s="1909"/>
      <c r="J2" s="1909"/>
      <c r="K2" s="1909"/>
      <c r="L2" s="1909"/>
    </row>
    <row r="3" spans="1:20" ht="21" thickBot="1">
      <c r="B3" s="2000"/>
      <c r="C3" s="2000"/>
      <c r="D3" s="2000"/>
      <c r="E3" s="2000"/>
      <c r="F3" s="2000"/>
      <c r="G3" s="2000"/>
      <c r="H3" s="2000"/>
      <c r="I3" s="2000"/>
      <c r="J3" s="2000"/>
      <c r="K3" s="2000"/>
      <c r="L3" s="2000"/>
    </row>
    <row r="4" spans="1:20" ht="13.5" customHeight="1" thickTop="1">
      <c r="B4" s="2070"/>
      <c r="C4" s="2070"/>
      <c r="D4" s="2071"/>
      <c r="E4" s="1178"/>
      <c r="F4" s="1083"/>
      <c r="G4" s="1083"/>
      <c r="H4" s="1083"/>
      <c r="I4" s="1083"/>
      <c r="J4" s="1082"/>
      <c r="K4" s="1082"/>
      <c r="L4" s="1085"/>
    </row>
    <row r="5" spans="1:20" ht="13.5" customHeight="1">
      <c r="B5" s="1086"/>
      <c r="C5" s="1086"/>
      <c r="D5" s="1086"/>
      <c r="E5" s="1087" t="s">
        <v>139</v>
      </c>
      <c r="F5" s="1091" t="s">
        <v>139</v>
      </c>
      <c r="G5" s="1091" t="s">
        <v>414</v>
      </c>
      <c r="H5" s="1091" t="s">
        <v>17</v>
      </c>
      <c r="I5" s="1091" t="s">
        <v>543</v>
      </c>
      <c r="J5" s="1994" t="str">
        <f>IF('KEY INPUTS'!C42="State Fiscal Year","Fiscal Year "&amp;'KEY INPUTS'!D33+1&amp;"",'KEY INPUTS'!D34+1)&amp;""</f>
        <v>2022</v>
      </c>
      <c r="K5" s="1995"/>
      <c r="L5" s="1089" t="s">
        <v>544</v>
      </c>
    </row>
    <row r="6" spans="1:20" ht="13.5" customHeight="1">
      <c r="B6" s="1086"/>
      <c r="C6" s="1908" t="s">
        <v>138</v>
      </c>
      <c r="D6" s="2001"/>
      <c r="E6" s="1087" t="s">
        <v>414</v>
      </c>
      <c r="F6" s="1091" t="s">
        <v>140</v>
      </c>
      <c r="G6" s="1091" t="s">
        <v>540</v>
      </c>
      <c r="H6" s="1091" t="s">
        <v>541</v>
      </c>
      <c r="I6" s="1091" t="s">
        <v>541</v>
      </c>
      <c r="J6" s="1996"/>
      <c r="K6" s="1997"/>
      <c r="L6" s="1089" t="s">
        <v>547</v>
      </c>
    </row>
    <row r="7" spans="1:20" ht="13.5" customHeight="1">
      <c r="B7" s="1086"/>
      <c r="C7" s="1086"/>
      <c r="D7" s="1086"/>
      <c r="E7" s="1087" t="s">
        <v>92</v>
      </c>
      <c r="F7" s="1087" t="s">
        <v>141</v>
      </c>
      <c r="G7" s="1087" t="s">
        <v>198</v>
      </c>
      <c r="H7" s="1087" t="s">
        <v>542</v>
      </c>
      <c r="I7" s="1087" t="s">
        <v>544</v>
      </c>
      <c r="J7" s="1087" t="s">
        <v>113</v>
      </c>
      <c r="K7" s="1087" t="s">
        <v>545</v>
      </c>
      <c r="L7" s="1089" t="s">
        <v>548</v>
      </c>
      <c r="N7" s="309"/>
      <c r="O7" s="309"/>
      <c r="P7" s="309"/>
      <c r="Q7" s="309"/>
      <c r="R7" s="309"/>
      <c r="S7" s="309"/>
      <c r="T7" s="309"/>
    </row>
    <row r="8" spans="1:20" ht="13.5" customHeight="1" thickBot="1">
      <c r="B8" s="1093"/>
      <c r="C8" s="1093"/>
      <c r="D8" s="1093"/>
      <c r="E8" s="1094"/>
      <c r="F8" s="1094"/>
      <c r="G8" s="1303" t="str">
        <f>IF('KEY INPUTS'!C42 = "State Fiscal Year", 'KEY INPUTS'!F47,'KEY INPUTS'!D47)</f>
        <v>Dec. 31, 2021</v>
      </c>
      <c r="H8" s="1094"/>
      <c r="I8" s="1094"/>
      <c r="J8" s="1095"/>
      <c r="K8" s="1195" t="s">
        <v>546</v>
      </c>
      <c r="L8" s="1097"/>
      <c r="N8" s="309"/>
      <c r="O8" s="309"/>
      <c r="P8" s="309"/>
      <c r="Q8" s="309"/>
      <c r="R8" s="309"/>
      <c r="S8" s="309"/>
      <c r="T8" s="309"/>
    </row>
    <row r="9" spans="1:20" ht="21" customHeight="1" thickTop="1">
      <c r="B9" s="2004"/>
      <c r="C9" s="2004"/>
      <c r="D9" s="2005"/>
      <c r="E9" s="575"/>
      <c r="F9" s="759"/>
      <c r="G9" s="575"/>
      <c r="H9" s="575"/>
      <c r="I9" s="760"/>
      <c r="J9" s="575"/>
      <c r="K9" s="575"/>
      <c r="L9" s="761"/>
      <c r="N9" s="356"/>
      <c r="O9" s="309"/>
      <c r="P9" s="309"/>
      <c r="Q9" s="309"/>
      <c r="R9" s="309"/>
      <c r="S9" s="309"/>
      <c r="T9" s="309"/>
    </row>
    <row r="10" spans="1:20" ht="21" customHeight="1">
      <c r="B10" s="1998"/>
      <c r="C10" s="1998"/>
      <c r="D10" s="1999"/>
      <c r="E10" s="571"/>
      <c r="F10" s="654"/>
      <c r="G10" s="571"/>
      <c r="H10" s="571"/>
      <c r="I10" s="592"/>
      <c r="J10" s="571"/>
      <c r="K10" s="571"/>
      <c r="L10" s="668"/>
      <c r="N10" s="309"/>
      <c r="O10" s="309"/>
      <c r="P10" s="309"/>
      <c r="Q10" s="309"/>
      <c r="R10" s="309"/>
      <c r="S10" s="309"/>
      <c r="T10" s="309"/>
    </row>
    <row r="11" spans="1:20" ht="21" customHeight="1">
      <c r="B11" s="1998"/>
      <c r="C11" s="1998"/>
      <c r="D11" s="1999"/>
      <c r="E11" s="571"/>
      <c r="F11" s="654"/>
      <c r="G11" s="571"/>
      <c r="H11" s="571"/>
      <c r="I11" s="592"/>
      <c r="J11" s="571"/>
      <c r="K11" s="571"/>
      <c r="L11" s="668"/>
      <c r="N11" s="309"/>
      <c r="O11" s="309"/>
      <c r="P11" s="309"/>
      <c r="Q11" s="309"/>
      <c r="R11" s="309"/>
      <c r="S11" s="309"/>
      <c r="T11" s="309"/>
    </row>
    <row r="12" spans="1:20" ht="21" customHeight="1">
      <c r="B12" s="1998"/>
      <c r="C12" s="1998"/>
      <c r="D12" s="1999"/>
      <c r="E12" s="571"/>
      <c r="F12" s="654"/>
      <c r="G12" s="571"/>
      <c r="H12" s="571"/>
      <c r="I12" s="592"/>
      <c r="J12" s="571"/>
      <c r="K12" s="571"/>
      <c r="L12" s="668"/>
      <c r="N12" s="309"/>
      <c r="O12" s="309"/>
      <c r="P12" s="309"/>
      <c r="Q12" s="309"/>
      <c r="R12" s="309"/>
      <c r="S12" s="309"/>
      <c r="T12" s="309"/>
    </row>
    <row r="13" spans="1:20" ht="21" customHeight="1">
      <c r="B13" s="1998"/>
      <c r="C13" s="1998"/>
      <c r="D13" s="1999"/>
      <c r="E13" s="571"/>
      <c r="F13" s="654"/>
      <c r="G13" s="571"/>
      <c r="H13" s="571"/>
      <c r="I13" s="592"/>
      <c r="J13" s="571"/>
      <c r="K13" s="571"/>
      <c r="L13" s="668"/>
      <c r="N13" s="309"/>
      <c r="O13" s="309"/>
      <c r="P13" s="309"/>
      <c r="Q13" s="309"/>
      <c r="R13" s="309"/>
      <c r="S13" s="309"/>
      <c r="T13" s="309"/>
    </row>
    <row r="14" spans="1:20" ht="21" customHeight="1">
      <c r="B14" s="1998"/>
      <c r="C14" s="1998"/>
      <c r="D14" s="1999"/>
      <c r="E14" s="574"/>
      <c r="F14" s="655"/>
      <c r="G14" s="574"/>
      <c r="H14" s="574"/>
      <c r="I14" s="595"/>
      <c r="J14" s="571"/>
      <c r="K14" s="571"/>
      <c r="L14" s="668"/>
      <c r="N14" s="309"/>
      <c r="O14" s="309"/>
      <c r="P14" s="309"/>
      <c r="Q14" s="309"/>
      <c r="R14" s="309"/>
      <c r="S14" s="309"/>
      <c r="T14" s="309"/>
    </row>
    <row r="15" spans="1:20" ht="21" customHeight="1">
      <c r="A15" s="1913" t="s">
        <v>3170</v>
      </c>
      <c r="B15" s="1998"/>
      <c r="C15" s="1998"/>
      <c r="D15" s="1999"/>
      <c r="E15" s="571"/>
      <c r="F15" s="654"/>
      <c r="G15" s="571"/>
      <c r="H15" s="571"/>
      <c r="I15" s="592"/>
      <c r="J15" s="571"/>
      <c r="K15" s="571"/>
      <c r="L15" s="668"/>
      <c r="N15" s="309"/>
      <c r="O15" s="309"/>
      <c r="P15" s="309"/>
      <c r="Q15" s="309"/>
      <c r="R15" s="309"/>
      <c r="S15" s="309"/>
      <c r="T15" s="309"/>
    </row>
    <row r="16" spans="1:20" ht="21" customHeight="1">
      <c r="A16" s="1913"/>
      <c r="B16" s="1998"/>
      <c r="C16" s="1998"/>
      <c r="D16" s="1999"/>
      <c r="E16" s="571"/>
      <c r="F16" s="654"/>
      <c r="G16" s="571"/>
      <c r="H16" s="571"/>
      <c r="I16" s="592"/>
      <c r="J16" s="571"/>
      <c r="K16" s="571"/>
      <c r="L16" s="668"/>
      <c r="N16" s="309"/>
      <c r="O16" s="309"/>
      <c r="P16" s="309"/>
      <c r="Q16" s="309"/>
      <c r="R16" s="309"/>
      <c r="S16" s="309"/>
      <c r="T16" s="309"/>
    </row>
    <row r="17" spans="1:20" ht="21" customHeight="1">
      <c r="A17" s="1913"/>
      <c r="B17" s="1998"/>
      <c r="C17" s="1998"/>
      <c r="D17" s="1999"/>
      <c r="E17" s="571"/>
      <c r="F17" s="654"/>
      <c r="G17" s="571"/>
      <c r="H17" s="571"/>
      <c r="I17" s="592"/>
      <c r="J17" s="571"/>
      <c r="K17" s="571"/>
      <c r="L17" s="668"/>
      <c r="N17" s="309"/>
      <c r="O17" s="309"/>
      <c r="P17" s="309"/>
      <c r="Q17" s="309"/>
      <c r="R17" s="309"/>
      <c r="S17" s="309"/>
      <c r="T17" s="309"/>
    </row>
    <row r="18" spans="1:20" ht="21" customHeight="1">
      <c r="A18" s="517"/>
      <c r="B18" s="1998"/>
      <c r="C18" s="1998"/>
      <c r="D18" s="1999"/>
      <c r="E18" s="571"/>
      <c r="F18" s="654"/>
      <c r="G18" s="571"/>
      <c r="H18" s="571"/>
      <c r="I18" s="592"/>
      <c r="J18" s="571"/>
      <c r="K18" s="571"/>
      <c r="L18" s="668"/>
      <c r="N18" s="309"/>
      <c r="O18" s="309"/>
      <c r="P18" s="309"/>
      <c r="Q18" s="309"/>
      <c r="R18" s="309"/>
      <c r="S18" s="309"/>
      <c r="T18" s="309"/>
    </row>
    <row r="19" spans="1:20" ht="21" customHeight="1">
      <c r="B19" s="1998"/>
      <c r="C19" s="1998"/>
      <c r="D19" s="1999"/>
      <c r="E19" s="571"/>
      <c r="F19" s="654"/>
      <c r="G19" s="571"/>
      <c r="H19" s="571"/>
      <c r="I19" s="592"/>
      <c r="J19" s="571"/>
      <c r="K19" s="571"/>
      <c r="L19" s="668"/>
      <c r="N19" s="309"/>
      <c r="O19" s="309"/>
      <c r="P19" s="309"/>
      <c r="Q19" s="309"/>
      <c r="R19" s="309"/>
      <c r="S19" s="309"/>
      <c r="T19" s="309"/>
    </row>
    <row r="20" spans="1:20" ht="21" customHeight="1">
      <c r="B20" s="1998"/>
      <c r="C20" s="1998"/>
      <c r="D20" s="1999"/>
      <c r="E20" s="571"/>
      <c r="F20" s="654"/>
      <c r="G20" s="571"/>
      <c r="H20" s="571"/>
      <c r="I20" s="592"/>
      <c r="J20" s="571"/>
      <c r="K20" s="571"/>
      <c r="L20" s="668"/>
      <c r="N20" s="309"/>
      <c r="O20" s="309"/>
      <c r="P20" s="309"/>
      <c r="Q20" s="309"/>
      <c r="R20" s="309"/>
      <c r="S20" s="309"/>
      <c r="T20" s="309"/>
    </row>
    <row r="21" spans="1:20" ht="21" customHeight="1">
      <c r="B21" s="1998"/>
      <c r="C21" s="1998"/>
      <c r="D21" s="1999"/>
      <c r="E21" s="571"/>
      <c r="F21" s="654"/>
      <c r="G21" s="571"/>
      <c r="H21" s="571"/>
      <c r="I21" s="592"/>
      <c r="J21" s="571"/>
      <c r="K21" s="571"/>
      <c r="L21" s="668"/>
      <c r="N21" s="309"/>
      <c r="O21" s="309"/>
      <c r="P21" s="309"/>
      <c r="Q21" s="309"/>
      <c r="R21" s="309"/>
      <c r="S21" s="309"/>
      <c r="T21" s="309"/>
    </row>
    <row r="22" spans="1:20" ht="21" customHeight="1">
      <c r="B22" s="1998"/>
      <c r="C22" s="1998"/>
      <c r="D22" s="1999"/>
      <c r="E22" s="571"/>
      <c r="F22" s="654"/>
      <c r="G22" s="571"/>
      <c r="H22" s="571"/>
      <c r="I22" s="592"/>
      <c r="J22" s="571"/>
      <c r="K22" s="571"/>
      <c r="L22" s="668"/>
      <c r="N22" s="309"/>
      <c r="O22" s="309"/>
      <c r="P22" s="309"/>
      <c r="Q22" s="309"/>
      <c r="R22" s="309"/>
      <c r="S22" s="309"/>
      <c r="T22" s="309"/>
    </row>
    <row r="23" spans="1:20" ht="21" customHeight="1" thickBot="1">
      <c r="B23" s="1311"/>
      <c r="C23" s="1172"/>
      <c r="D23" s="1197"/>
      <c r="E23" s="1071">
        <f>SUM(E9:E22)</f>
        <v>0</v>
      </c>
      <c r="F23" s="1186"/>
      <c r="G23" s="1071">
        <f>SUM(G9:G22)</f>
        <v>0</v>
      </c>
      <c r="H23" s="1071"/>
      <c r="I23" s="1071"/>
      <c r="J23" s="1071">
        <f>SUM(J9:J22)</f>
        <v>0</v>
      </c>
      <c r="K23" s="1071">
        <f>SUM(K9:K22)</f>
        <v>0</v>
      </c>
      <c r="L23" s="1198"/>
      <c r="N23" s="309"/>
      <c r="O23" s="309"/>
      <c r="P23" s="309"/>
      <c r="Q23" s="309"/>
      <c r="R23" s="309"/>
      <c r="S23" s="309"/>
      <c r="T23" s="309"/>
    </row>
    <row r="24" spans="1:20" ht="13.5" customHeight="1" thickTop="1">
      <c r="B24" s="1305" t="s">
        <v>40</v>
      </c>
      <c r="C24" s="1306"/>
      <c r="D24" s="1307"/>
      <c r="E24" s="1086"/>
      <c r="F24" s="1086"/>
      <c r="G24" s="1086"/>
      <c r="H24" s="1086"/>
      <c r="I24" s="1086"/>
      <c r="J24" s="1308"/>
      <c r="K24" s="1308"/>
      <c r="L24" s="1086"/>
    </row>
    <row r="25" spans="1:20" ht="13.5" customHeight="1">
      <c r="B25" s="1305" t="s">
        <v>550</v>
      </c>
      <c r="C25" s="1306"/>
      <c r="D25" s="1307"/>
      <c r="E25" s="1086"/>
      <c r="F25" s="1086"/>
      <c r="G25" s="1086"/>
      <c r="H25" s="1086"/>
      <c r="I25" s="1086"/>
      <c r="J25" s="1086"/>
      <c r="K25" s="1086"/>
      <c r="L25" s="1086"/>
    </row>
    <row r="26" spans="1:20" ht="13.5" customHeight="1">
      <c r="B26" s="1305"/>
      <c r="C26" s="1306"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307"/>
      <c r="E26" s="1086"/>
      <c r="F26" s="1086"/>
      <c r="G26" s="1086"/>
      <c r="H26" s="1086"/>
      <c r="I26" s="1086"/>
      <c r="J26" s="1086"/>
      <c r="K26" s="1086"/>
      <c r="L26" s="1086"/>
    </row>
    <row r="27" spans="1:20" ht="13.5" customHeight="1">
      <c r="B27" s="1305"/>
      <c r="C27" s="1306"/>
      <c r="D27" s="1309" t="s">
        <v>503</v>
      </c>
      <c r="E27" s="1086"/>
      <c r="F27" s="1086"/>
      <c r="G27" s="1086"/>
      <c r="H27" s="1086"/>
      <c r="I27" s="1086"/>
      <c r="J27" s="1086"/>
      <c r="K27" s="1086"/>
      <c r="L27" s="1086"/>
    </row>
    <row r="28" spans="1:20" ht="13.5" customHeight="1">
      <c r="B28" s="1305"/>
      <c r="C28" s="1306" t="s">
        <v>302</v>
      </c>
      <c r="D28" s="1307"/>
      <c r="E28" s="1086"/>
      <c r="F28" s="1086"/>
      <c r="G28" s="1086"/>
      <c r="H28" s="1086"/>
      <c r="I28" s="1086"/>
      <c r="J28" s="1310"/>
      <c r="K28" s="1086"/>
      <c r="L28" s="1086"/>
    </row>
    <row r="29" spans="1:20">
      <c r="B29" s="513"/>
      <c r="C29" s="383"/>
      <c r="D29" s="383"/>
    </row>
  </sheetData>
  <sheetProtection algorithmName="SHA-512" hashValue="0mTrA4tm1Kalg51ZITJxkMvpVicVs+A4gr1hCBQXr7VoANoAEyZb0IuFcCO9a0gbBA+QE7cdS0JWm9rIQnh5Eg==" saltValue="D82pxzVQf/LAKGepMOF2dg==" spinCount="100000" sheet="1" objects="1" scenarios="1"/>
  <mergeCells count="20">
    <mergeCell ref="A15:A17"/>
    <mergeCell ref="B2:L2"/>
    <mergeCell ref="B3:L3"/>
    <mergeCell ref="B4:D4"/>
    <mergeCell ref="J5:K6"/>
    <mergeCell ref="C6:D6"/>
    <mergeCell ref="B9:D9"/>
    <mergeCell ref="B10:D10"/>
    <mergeCell ref="B16:D16"/>
    <mergeCell ref="B17:D17"/>
    <mergeCell ref="B11:D11"/>
    <mergeCell ref="B12:D12"/>
    <mergeCell ref="B13:D13"/>
    <mergeCell ref="B14:D14"/>
    <mergeCell ref="B15:D15"/>
    <mergeCell ref="B21:D21"/>
    <mergeCell ref="B22:D22"/>
    <mergeCell ref="B18:D18"/>
    <mergeCell ref="B19:D19"/>
    <mergeCell ref="B20:D20"/>
  </mergeCells>
  <pageMargins left="0.25" right="0.25" top="0.5" bottom="0.5" header="0.25" footer="0.25"/>
  <pageSetup paperSize="5" orientation="landscape" r:id="rId1"/>
  <headerFooter alignWithMargins="0"/>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3">
    <tabColor theme="3" tint="0.39997558519241921"/>
  </sheetPr>
  <dimension ref="A2:R27"/>
  <sheetViews>
    <sheetView zoomScaleNormal="100" zoomScaleSheetLayoutView="80" workbookViewId="0">
      <selection activeCell="H7" sqref="H7"/>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2" spans="1:18" ht="20.399999999999999">
      <c r="B2" s="1909" t="str">
        <f>"SCHEDULE  OF  CAPITAL  LEASE  PROGRAM  OBLIGATIONS "&amp;UPPER('KEY INPUTS'!D55)&amp;"  UTILITY"</f>
        <v>SCHEDULE  OF  CAPITAL  LEASE  PROGRAM  OBLIGATIONS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70"/>
      <c r="C4" s="2070"/>
      <c r="D4" s="2070"/>
      <c r="E4" s="2070"/>
      <c r="F4" s="2071"/>
      <c r="G4" s="1206"/>
      <c r="H4" s="1082"/>
      <c r="I4" s="1207"/>
    </row>
    <row r="5" spans="1:18" ht="13.5" customHeight="1">
      <c r="B5" s="1086"/>
      <c r="C5" s="1086"/>
      <c r="D5" s="1086"/>
      <c r="E5" s="1081"/>
      <c r="F5" s="1081"/>
      <c r="G5" s="1091" t="s">
        <v>414</v>
      </c>
      <c r="H5" s="2072" t="str">
        <f>IF('KEY INPUTS'!C42="State Fiscal Year","Fiscal Year "&amp;'KEY INPUTS'!D33+1&amp;"",'KEY INPUTS'!D34+1)&amp;" Budget Requirements"</f>
        <v>2022 Budget Requirements</v>
      </c>
      <c r="I5" s="2073"/>
      <c r="J5" s="736"/>
    </row>
    <row r="6" spans="1:18" ht="13.5" customHeight="1">
      <c r="B6" s="1086"/>
      <c r="C6" s="1908" t="s">
        <v>413</v>
      </c>
      <c r="D6" s="1908"/>
      <c r="E6" s="1081"/>
      <c r="F6" s="1081"/>
      <c r="G6" s="1091" t="s">
        <v>430</v>
      </c>
      <c r="H6" s="2074"/>
      <c r="I6" s="2075"/>
      <c r="J6" s="736"/>
    </row>
    <row r="7" spans="1:18" ht="13.5" customHeight="1">
      <c r="B7" s="1086"/>
      <c r="C7" s="1086"/>
      <c r="D7" s="1086"/>
      <c r="E7" s="1081"/>
      <c r="F7" s="1211"/>
      <c r="G7" s="1212" t="str">
        <f>IF('KEY INPUTS'!C42 = "State Fiscal Year", 'KEY INPUTS'!F47,'KEY INPUTS'!D47)</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04"/>
      <c r="C9" s="2004"/>
      <c r="D9" s="2004"/>
      <c r="E9" s="2004"/>
      <c r="F9" s="2005"/>
      <c r="G9" s="763"/>
      <c r="H9" s="575"/>
      <c r="I9" s="764"/>
      <c r="L9" s="356"/>
      <c r="M9" s="309"/>
      <c r="N9" s="309"/>
      <c r="O9" s="309"/>
      <c r="P9" s="309"/>
      <c r="Q9" s="309"/>
      <c r="R9" s="309"/>
    </row>
    <row r="10" spans="1:18" ht="21" customHeight="1">
      <c r="B10" s="1998"/>
      <c r="C10" s="1998"/>
      <c r="D10" s="1998"/>
      <c r="E10" s="1998"/>
      <c r="F10" s="1999"/>
      <c r="G10" s="600"/>
      <c r="H10" s="571"/>
      <c r="I10" s="572"/>
      <c r="L10" s="309"/>
      <c r="M10" s="309"/>
      <c r="N10" s="309"/>
      <c r="O10" s="309"/>
      <c r="P10" s="309"/>
      <c r="Q10" s="309"/>
      <c r="R10" s="309"/>
    </row>
    <row r="11" spans="1:18" ht="21" customHeight="1">
      <c r="B11" s="1998"/>
      <c r="C11" s="1998"/>
      <c r="D11" s="1998"/>
      <c r="E11" s="1998"/>
      <c r="F11" s="1999"/>
      <c r="G11" s="600"/>
      <c r="H11" s="571"/>
      <c r="I11" s="572"/>
      <c r="L11" s="309"/>
      <c r="M11" s="309"/>
      <c r="N11" s="309"/>
      <c r="O11" s="309"/>
      <c r="P11" s="309"/>
      <c r="Q11" s="309"/>
      <c r="R11" s="309"/>
    </row>
    <row r="12" spans="1:18" ht="21" customHeight="1">
      <c r="B12" s="1998"/>
      <c r="C12" s="1998"/>
      <c r="D12" s="1998"/>
      <c r="E12" s="1998"/>
      <c r="F12" s="1999"/>
      <c r="G12" s="600"/>
      <c r="H12" s="571"/>
      <c r="I12" s="572"/>
      <c r="L12" s="309"/>
      <c r="M12" s="309"/>
      <c r="N12" s="309"/>
      <c r="O12" s="309"/>
      <c r="P12" s="309"/>
      <c r="Q12" s="309"/>
      <c r="R12" s="309"/>
    </row>
    <row r="13" spans="1:18" ht="21" customHeight="1">
      <c r="B13" s="1998"/>
      <c r="C13" s="1998"/>
      <c r="D13" s="1998"/>
      <c r="E13" s="1998"/>
      <c r="F13" s="1999"/>
      <c r="G13" s="600"/>
      <c r="H13" s="571"/>
      <c r="I13" s="572"/>
      <c r="L13" s="309"/>
      <c r="M13" s="309"/>
      <c r="N13" s="309"/>
      <c r="O13" s="309"/>
      <c r="P13" s="309"/>
      <c r="Q13" s="309"/>
      <c r="R13" s="309"/>
    </row>
    <row r="14" spans="1:18" ht="21" customHeight="1">
      <c r="B14" s="1998"/>
      <c r="C14" s="1998"/>
      <c r="D14" s="1998"/>
      <c r="E14" s="1998"/>
      <c r="F14" s="1999"/>
      <c r="G14" s="601"/>
      <c r="H14" s="571"/>
      <c r="I14" s="572"/>
      <c r="L14" s="309"/>
      <c r="M14" s="309"/>
      <c r="N14" s="309"/>
      <c r="O14" s="309"/>
      <c r="P14" s="309"/>
      <c r="Q14" s="309"/>
      <c r="R14" s="309"/>
    </row>
    <row r="15" spans="1:18" ht="21" customHeight="1">
      <c r="A15" s="1913" t="s">
        <v>3171</v>
      </c>
      <c r="B15" s="1998"/>
      <c r="C15" s="1998"/>
      <c r="D15" s="1998"/>
      <c r="E15" s="1998"/>
      <c r="F15" s="1999"/>
      <c r="G15" s="600"/>
      <c r="H15" s="571"/>
      <c r="I15" s="572"/>
      <c r="L15" s="309"/>
      <c r="M15" s="309"/>
      <c r="N15" s="309"/>
      <c r="O15" s="309"/>
      <c r="P15" s="309"/>
      <c r="Q15" s="309"/>
      <c r="R15" s="309"/>
    </row>
    <row r="16" spans="1:18" ht="21" customHeight="1">
      <c r="A16" s="1913"/>
      <c r="B16" s="1998"/>
      <c r="C16" s="1998"/>
      <c r="D16" s="1998"/>
      <c r="E16" s="1998"/>
      <c r="F16" s="1999"/>
      <c r="G16" s="600"/>
      <c r="H16" s="571"/>
      <c r="I16" s="572"/>
      <c r="L16" s="309"/>
      <c r="M16" s="309"/>
      <c r="N16" s="309"/>
      <c r="O16" s="309"/>
      <c r="P16" s="309"/>
      <c r="Q16" s="309"/>
      <c r="R16" s="309"/>
    </row>
    <row r="17" spans="1:18" ht="21" customHeight="1">
      <c r="A17" s="1913"/>
      <c r="B17" s="1998"/>
      <c r="C17" s="1998"/>
      <c r="D17" s="1998"/>
      <c r="E17" s="1998"/>
      <c r="F17" s="1999"/>
      <c r="G17" s="600"/>
      <c r="H17" s="571"/>
      <c r="I17" s="572"/>
      <c r="L17" s="309"/>
      <c r="M17" s="309"/>
      <c r="N17" s="309"/>
      <c r="O17" s="309"/>
      <c r="P17" s="309"/>
      <c r="Q17" s="309"/>
      <c r="R17" s="309"/>
    </row>
    <row r="18" spans="1:18" ht="21" customHeight="1">
      <c r="A18" s="517"/>
      <c r="B18" s="1998"/>
      <c r="C18" s="1998"/>
      <c r="D18" s="1998"/>
      <c r="E18" s="1998"/>
      <c r="F18" s="1999"/>
      <c r="G18" s="600"/>
      <c r="H18" s="571"/>
      <c r="I18" s="572"/>
      <c r="L18" s="309"/>
      <c r="M18" s="309"/>
      <c r="N18" s="309"/>
      <c r="O18" s="309"/>
      <c r="P18" s="309"/>
      <c r="Q18" s="309"/>
      <c r="R18" s="309"/>
    </row>
    <row r="19" spans="1:18" ht="21" customHeight="1">
      <c r="B19" s="1998"/>
      <c r="C19" s="1998"/>
      <c r="D19" s="1998"/>
      <c r="E19" s="1998"/>
      <c r="F19" s="1999"/>
      <c r="G19" s="600"/>
      <c r="H19" s="571"/>
      <c r="I19" s="572"/>
      <c r="L19" s="309"/>
      <c r="M19" s="309"/>
      <c r="N19" s="309"/>
      <c r="O19" s="309"/>
      <c r="P19" s="309"/>
      <c r="Q19" s="309"/>
      <c r="R19" s="309"/>
    </row>
    <row r="20" spans="1:18" ht="21" customHeight="1">
      <c r="B20" s="1998"/>
      <c r="C20" s="1998"/>
      <c r="D20" s="1998"/>
      <c r="E20" s="1998"/>
      <c r="F20" s="1999"/>
      <c r="G20" s="600"/>
      <c r="H20" s="571"/>
      <c r="I20" s="572"/>
      <c r="L20" s="309"/>
      <c r="M20" s="309"/>
      <c r="N20" s="309"/>
      <c r="O20" s="309"/>
      <c r="P20" s="309"/>
      <c r="Q20" s="309"/>
      <c r="R20" s="309"/>
    </row>
    <row r="21" spans="1:18" ht="21" customHeight="1">
      <c r="B21" s="1998"/>
      <c r="C21" s="1998"/>
      <c r="D21" s="1998"/>
      <c r="E21" s="1998"/>
      <c r="F21" s="1999"/>
      <c r="G21" s="600"/>
      <c r="H21" s="571"/>
      <c r="I21" s="572"/>
      <c r="L21" s="309"/>
      <c r="M21" s="309"/>
      <c r="N21" s="309"/>
      <c r="O21" s="309"/>
      <c r="P21" s="309"/>
      <c r="Q21" s="309"/>
      <c r="R21" s="309"/>
    </row>
    <row r="22" spans="1:18" ht="21" customHeight="1" thickBot="1">
      <c r="B22" s="1998"/>
      <c r="C22" s="1998"/>
      <c r="D22" s="1998"/>
      <c r="E22" s="1998"/>
      <c r="F22" s="1999"/>
      <c r="G22" s="602"/>
      <c r="H22" s="596"/>
      <c r="I22" s="603"/>
      <c r="L22" s="309"/>
      <c r="M22" s="309"/>
      <c r="N22" s="309"/>
      <c r="O22" s="309"/>
      <c r="P22" s="309"/>
      <c r="Q22" s="309"/>
      <c r="R22" s="309"/>
    </row>
    <row r="23" spans="1:18" ht="21" customHeight="1" thickTop="1" thickBot="1">
      <c r="B23" s="1196"/>
      <c r="C23" s="1102"/>
      <c r="D23" s="1312" t="s">
        <v>137</v>
      </c>
      <c r="E23" s="1006"/>
      <c r="F23" s="1213"/>
      <c r="G23" s="1313">
        <f>SUM(G9:G22)</f>
        <v>0</v>
      </c>
      <c r="H23" s="1027">
        <f>SUM(H9:H22)</f>
        <v>0</v>
      </c>
      <c r="I23" s="1101">
        <f>SUM(I9:I22)</f>
        <v>0</v>
      </c>
      <c r="L23" s="309"/>
      <c r="M23" s="309"/>
      <c r="N23" s="309"/>
      <c r="O23" s="309"/>
      <c r="P23" s="309"/>
      <c r="Q23" s="309"/>
      <c r="R23" s="309"/>
    </row>
    <row r="24" spans="1:18" ht="13.5" customHeight="1" thickTop="1">
      <c r="B24" s="765"/>
      <c r="C24" s="383"/>
      <c r="D24" s="766"/>
      <c r="H24" s="476"/>
      <c r="I24" s="476"/>
    </row>
    <row r="25" spans="1:18" ht="13.5" customHeight="1">
      <c r="B25" s="765"/>
      <c r="C25" s="383"/>
      <c r="D25" s="766"/>
    </row>
    <row r="26" spans="1:18" ht="13.5" customHeight="1">
      <c r="B26" s="765"/>
      <c r="C26" s="383"/>
      <c r="D26" s="766"/>
      <c r="H26" s="762"/>
    </row>
    <row r="27" spans="1:18">
      <c r="B27" s="513"/>
      <c r="C27" s="383"/>
      <c r="D27" s="383"/>
    </row>
  </sheetData>
  <sheetProtection algorithmName="SHA-512" hashValue="8IcS4jwBUBLT21UUeKsYB8We3coJARz9OPMBb2di4AhzfNvNfhrT08+u/0o+Kv8+3tGo/sIH2M75q1S5rbOZKQ==" saltValue="MLiUxY1dq3R9WJaEh9rXVg=="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4">
    <tabColor theme="3"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INPUTS'!D55)&amp;"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670"/>
      <c r="C9" s="642"/>
      <c r="D9" s="645"/>
      <c r="E9" s="587"/>
      <c r="F9" s="587"/>
      <c r="G9" s="587"/>
      <c r="H9" s="587"/>
      <c r="I9" s="587"/>
      <c r="J9" s="587"/>
      <c r="K9" s="587"/>
      <c r="L9" s="599"/>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3173</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552</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5">
    <tabColor theme="3"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INPUTS'!D55)&amp;"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+'52-Utility2'!E27</f>
        <v>0</v>
      </c>
      <c r="F9" s="1217">
        <f>+'52-Utility2'!F27</f>
        <v>0</v>
      </c>
      <c r="G9" s="1217">
        <f>+'52-Utility2'!G27</f>
        <v>0</v>
      </c>
      <c r="H9" s="1217">
        <f>+'52-Utility2'!H27</f>
        <v>0</v>
      </c>
      <c r="I9" s="1217">
        <f>+'52-Utility2'!I27</f>
        <v>0</v>
      </c>
      <c r="J9" s="1217">
        <f>+'52-Utility2'!J27</f>
        <v>0</v>
      </c>
      <c r="K9" s="1217">
        <f>+'52-Utility2'!K27</f>
        <v>0</v>
      </c>
      <c r="L9" s="1221">
        <f>+'52-Utility2'!L27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6">
    <tabColor theme="3"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INPUTS'!D55)&amp;"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+'52.1-Utility2'!E27</f>
        <v>0</v>
      </c>
      <c r="F9" s="1217">
        <f>+'52.1-Utility2'!F27</f>
        <v>0</v>
      </c>
      <c r="G9" s="1217">
        <f>+'52.1-Utility2'!G27</f>
        <v>0</v>
      </c>
      <c r="H9" s="1217">
        <f>+'52.1-Utility2'!H27</f>
        <v>0</v>
      </c>
      <c r="I9" s="1217">
        <f>+'52.1-Utility2'!I27</f>
        <v>0</v>
      </c>
      <c r="J9" s="1217">
        <f>+'52.1-Utility2'!J27</f>
        <v>0</v>
      </c>
      <c r="K9" s="1217">
        <f>+'52.1-Utility2'!K27</f>
        <v>0</v>
      </c>
      <c r="L9" s="1221">
        <f>+'52.1-Utility2'!L27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7">
    <tabColor theme="3"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INPUTS'!D55)&amp;"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+'52.2-Utility2'!E27</f>
        <v>0</v>
      </c>
      <c r="F9" s="1217">
        <f>+'52.2-Utility2'!F27</f>
        <v>0</v>
      </c>
      <c r="G9" s="1217">
        <f>+'52.2-Utility2'!G27</f>
        <v>0</v>
      </c>
      <c r="H9" s="1217">
        <f>+'52.2-Utility2'!H27</f>
        <v>0</v>
      </c>
      <c r="I9" s="1217">
        <f>+'52.2-Utility2'!I27</f>
        <v>0</v>
      </c>
      <c r="J9" s="1217">
        <f>+'52.2-Utility2'!J27</f>
        <v>0</v>
      </c>
      <c r="K9" s="1217">
        <f>+'52.2-Utility2'!K27</f>
        <v>0</v>
      </c>
      <c r="L9" s="1221">
        <f>+'52.2-Utility2'!L27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8">
    <tabColor theme="3"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 &amp;UPPER('KEY INPUTS'!D55)&amp;"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+'52.2-Utility2'!E27</f>
        <v>0</v>
      </c>
      <c r="F9" s="1217">
        <f>+'52.2-Utility2'!F27</f>
        <v>0</v>
      </c>
      <c r="G9" s="1217">
        <f>+'52.2-Utility2'!G27</f>
        <v>0</v>
      </c>
      <c r="H9" s="1217">
        <f>+'52.2-Utility2'!H27</f>
        <v>0</v>
      </c>
      <c r="I9" s="1217">
        <f>+'52.2-Utility2'!I27</f>
        <v>0</v>
      </c>
      <c r="J9" s="1217">
        <f>+'52.2-Utility2'!J27</f>
        <v>0</v>
      </c>
      <c r="K9" s="1217">
        <f>+'52.2-Utility2'!K27</f>
        <v>0</v>
      </c>
      <c r="L9" s="1221">
        <f>+'52.2-Utility2'!L27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3364</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799</v>
      </c>
      <c r="E27" s="133">
        <f t="shared" ref="E27:L27" si="0">SUM(E9:E26)</f>
        <v>0</v>
      </c>
      <c r="F27" s="133">
        <f t="shared" si="0"/>
        <v>0</v>
      </c>
      <c r="G27" s="133">
        <f t="shared" si="0"/>
        <v>0</v>
      </c>
      <c r="H27" s="133">
        <f t="shared" si="0"/>
        <v>0</v>
      </c>
      <c r="I27" s="133">
        <f t="shared" si="0"/>
        <v>0</v>
      </c>
      <c r="J27" s="133">
        <f t="shared" si="0"/>
        <v>0</v>
      </c>
      <c r="K27" s="133">
        <f t="shared" si="0"/>
        <v>0</v>
      </c>
      <c r="L27" s="153">
        <f t="shared" si="0"/>
        <v>0</v>
      </c>
    </row>
    <row r="28" spans="1:21" ht="13.5" customHeight="1" thickTop="1">
      <c r="B28" s="521"/>
      <c r="C28" s="520" t="s">
        <v>522</v>
      </c>
      <c r="D28" s="519"/>
      <c r="E28" s="482"/>
      <c r="F28" s="482"/>
      <c r="G28" s="482"/>
      <c r="H28" s="482"/>
      <c r="I28" s="482"/>
      <c r="J28" s="482"/>
      <c r="K28" s="515"/>
      <c r="L28" s="515"/>
    </row>
    <row r="42" spans="11:12">
      <c r="K42" s="318" t="s">
        <v>3214</v>
      </c>
      <c r="L42" s="525">
        <f>K27+L27</f>
        <v>0</v>
      </c>
    </row>
  </sheetData>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9">
    <tabColor theme="3" tint="0.39997558519241921"/>
  </sheetPr>
  <dimension ref="B1:S54"/>
  <sheetViews>
    <sheetView zoomScaleNormal="100" zoomScaleSheetLayoutView="80" workbookViewId="0">
      <selection activeCell="J39" sqref="J39"/>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1" spans="2:19">
      <c r="B1" s="1086"/>
      <c r="C1" s="1086"/>
      <c r="D1" s="1086"/>
      <c r="E1" s="1086"/>
      <c r="F1" s="1086"/>
      <c r="G1" s="1086"/>
      <c r="H1" s="1086"/>
      <c r="I1" s="1086"/>
      <c r="J1" s="1086"/>
    </row>
    <row r="2" spans="2:19">
      <c r="B2" s="1086"/>
      <c r="C2" s="1086"/>
      <c r="D2" s="1086"/>
      <c r="E2" s="1086"/>
      <c r="F2" s="1086"/>
      <c r="G2" s="1086"/>
      <c r="H2" s="1086"/>
      <c r="I2" s="1086"/>
      <c r="J2" s="1086"/>
    </row>
    <row r="3" spans="2:19" ht="22.8">
      <c r="B3" s="1887" t="str">
        <f>UPPER('KEY INPUTS'!D$55)&amp;" UTILITY  CAPITAL  FUND"</f>
        <v xml:space="preserve"> UTILITY  CAPITAL  FUND</v>
      </c>
      <c r="C3" s="1887"/>
      <c r="D3" s="1887"/>
      <c r="E3" s="1887"/>
      <c r="F3" s="1887"/>
      <c r="G3" s="1887"/>
      <c r="H3" s="1887"/>
      <c r="I3" s="1887"/>
      <c r="J3" s="1887"/>
    </row>
    <row r="4" spans="2:19">
      <c r="B4" s="1086"/>
      <c r="C4" s="1086"/>
      <c r="D4" s="1086"/>
      <c r="E4" s="1086"/>
      <c r="F4" s="1086"/>
      <c r="G4" s="1086"/>
      <c r="H4" s="1086"/>
      <c r="I4" s="1086"/>
      <c r="J4" s="1086"/>
    </row>
    <row r="5" spans="2:19" ht="15.6">
      <c r="B5" s="1904" t="s">
        <v>526</v>
      </c>
      <c r="C5" s="1904"/>
      <c r="D5" s="1904"/>
      <c r="E5" s="1904"/>
      <c r="F5" s="1904"/>
      <c r="G5" s="1904"/>
      <c r="H5" s="1904"/>
      <c r="I5" s="1904"/>
      <c r="J5" s="1904"/>
    </row>
    <row r="6" spans="2:19" ht="13.8" thickBot="1">
      <c r="B6" s="1086"/>
      <c r="C6" s="1086"/>
      <c r="D6" s="1086"/>
      <c r="E6" s="1086"/>
      <c r="F6" s="1086"/>
      <c r="G6" s="1086"/>
      <c r="H6" s="1086"/>
      <c r="I6" s="1086"/>
      <c r="J6" s="1086"/>
    </row>
    <row r="7" spans="2:19" ht="28.5" customHeight="1" thickTop="1" thickBot="1">
      <c r="B7" s="1327"/>
      <c r="C7" s="1327"/>
      <c r="D7" s="1327"/>
      <c r="E7" s="1327"/>
      <c r="F7" s="1327"/>
      <c r="G7" s="1327"/>
      <c r="H7" s="1327"/>
      <c r="I7" s="1074" t="s">
        <v>96</v>
      </c>
      <c r="J7" s="1075" t="s">
        <v>97</v>
      </c>
    </row>
    <row r="8" spans="2:19" ht="21" customHeight="1" thickTop="1">
      <c r="B8" s="1098" t="str">
        <f>IF('KEY INPUTS'!C42 = "State Fiscal Year", 'KEY INPUTS'!F25,'KEY INPUTS'!D25)</f>
        <v>Balance - January 1, 2021</v>
      </c>
      <c r="C8" s="1098"/>
      <c r="D8" s="1098"/>
      <c r="E8" s="1098"/>
      <c r="F8" s="1098"/>
      <c r="G8" s="1098"/>
      <c r="H8" s="1339"/>
      <c r="I8" s="1029" t="s">
        <v>628</v>
      </c>
      <c r="J8" s="607"/>
    </row>
    <row r="9" spans="2:19" ht="21" customHeight="1">
      <c r="B9" s="1079" t="str">
        <f>"Received from "&amp;IF('KEY INPUTS'!C42="State Fiscal Year","Fiscal Year "&amp;'KEY INPUTS'!D33&amp;"",'KEY INPUTS'!D34+1)&amp;" Budget Appropriation"</f>
        <v>Received from 2022 Budget Appropriation</v>
      </c>
      <c r="C9" s="1079"/>
      <c r="D9" s="1079"/>
      <c r="E9" s="1079"/>
      <c r="F9" s="1079"/>
      <c r="G9" s="1079"/>
      <c r="H9" s="1340"/>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1341" t="s">
        <v>176</v>
      </c>
      <c r="C11" s="1342"/>
      <c r="D11" s="1342"/>
      <c r="E11" s="1342"/>
      <c r="F11" s="1342"/>
      <c r="G11" s="1342"/>
      <c r="H11" s="1343"/>
      <c r="I11" s="2033" t="s">
        <v>628</v>
      </c>
      <c r="J11" s="2031"/>
      <c r="M11" s="356"/>
      <c r="N11" s="309"/>
      <c r="O11" s="309"/>
      <c r="P11" s="309"/>
      <c r="Q11" s="309"/>
      <c r="R11" s="309"/>
      <c r="S11" s="309"/>
    </row>
    <row r="12" spans="2:19" ht="12.75" customHeight="1">
      <c r="B12" s="1330"/>
      <c r="C12" s="1344" t="s">
        <v>177</v>
      </c>
      <c r="D12" s="1330"/>
      <c r="E12" s="1330"/>
      <c r="F12" s="1330"/>
      <c r="G12" s="1330"/>
      <c r="H12" s="1345"/>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1079" t="s">
        <v>179</v>
      </c>
      <c r="C22" s="1079"/>
      <c r="D22" s="1079"/>
      <c r="E22" s="1079"/>
      <c r="F22" s="1079"/>
      <c r="G22" s="1079"/>
      <c r="H22" s="1340"/>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1079" t="str">
        <f>IF('KEY INPUTS'!C42 = "State Fiscal Year", 'KEY INPUTS'!F26,'KEY INPUTS'!D26)</f>
        <v>Balance - December 31, 2021</v>
      </c>
      <c r="C24" s="1079"/>
      <c r="D24" s="1079"/>
      <c r="E24" s="1079"/>
      <c r="F24" s="1079"/>
      <c r="G24" s="1079"/>
      <c r="H24" s="1340"/>
      <c r="I24" s="1047">
        <f>+SUM(J8:J13)-SUM(I13:I23)</f>
        <v>0</v>
      </c>
      <c r="J24" s="1045" t="s">
        <v>628</v>
      </c>
      <c r="M24" s="309"/>
      <c r="N24" s="309"/>
      <c r="O24" s="309"/>
      <c r="P24" s="309"/>
      <c r="Q24" s="309"/>
      <c r="R24" s="309"/>
      <c r="S24" s="309"/>
    </row>
    <row r="25" spans="2:19" ht="21" customHeight="1" thickTop="1" thickBot="1">
      <c r="B25" s="1086"/>
      <c r="C25" s="1086"/>
      <c r="D25" s="1086"/>
      <c r="E25" s="1086"/>
      <c r="F25" s="1086"/>
      <c r="G25" s="1086"/>
      <c r="H25" s="1086"/>
      <c r="I25" s="1008">
        <f>SUM(I8:I24)</f>
        <v>0</v>
      </c>
      <c r="J25" s="1048">
        <f>SUM(J8:J24)</f>
        <v>0</v>
      </c>
      <c r="M25" s="309"/>
      <c r="N25" s="309"/>
      <c r="O25" s="309"/>
      <c r="P25" s="309"/>
      <c r="Q25" s="309"/>
      <c r="R25" s="309"/>
      <c r="S25" s="309"/>
    </row>
    <row r="26" spans="2:19" ht="13.8" thickTop="1"/>
    <row r="30" spans="2:19" ht="22.8">
      <c r="B30" s="1887" t="str">
        <f>UPPER('KEY INPUTS'!D$55)&amp;" UTILITY  CAPITAL  FUND"</f>
        <v xml:space="preserve"> UTILITY  CAPITAL  FUND</v>
      </c>
      <c r="C30" s="1887"/>
      <c r="D30" s="1887"/>
      <c r="E30" s="1887"/>
      <c r="F30" s="1887"/>
      <c r="G30" s="1887"/>
      <c r="H30" s="1887"/>
      <c r="I30" s="1887"/>
      <c r="J30" s="1887"/>
    </row>
    <row r="31" spans="2:19" ht="7.5" customHeight="1">
      <c r="B31" s="1086"/>
      <c r="C31" s="1086"/>
      <c r="D31" s="1086"/>
      <c r="E31" s="1086"/>
      <c r="F31" s="1086"/>
      <c r="G31" s="1086"/>
      <c r="H31" s="1086"/>
      <c r="I31" s="1086"/>
      <c r="J31" s="1086"/>
    </row>
    <row r="32" spans="2:19" ht="15.6">
      <c r="B32" s="1904" t="s">
        <v>180</v>
      </c>
      <c r="C32" s="1904"/>
      <c r="D32" s="1904"/>
      <c r="E32" s="1904"/>
      <c r="F32" s="1904"/>
      <c r="G32" s="1904"/>
      <c r="H32" s="1904"/>
      <c r="I32" s="1904"/>
      <c r="J32" s="1904"/>
    </row>
    <row r="33" spans="2:10" ht="13.8" thickBot="1">
      <c r="B33" s="1086"/>
      <c r="C33" s="1086"/>
      <c r="D33" s="1086"/>
      <c r="E33" s="1086"/>
      <c r="F33" s="1086"/>
      <c r="G33" s="1086"/>
      <c r="H33" s="1086"/>
      <c r="I33" s="1086"/>
      <c r="J33" s="1086"/>
    </row>
    <row r="34" spans="2:10" ht="26.25" customHeight="1" thickTop="1" thickBot="1">
      <c r="B34" s="1327"/>
      <c r="C34" s="1327"/>
      <c r="D34" s="1327"/>
      <c r="E34" s="1327"/>
      <c r="F34" s="1327"/>
      <c r="G34" s="1327"/>
      <c r="H34" s="1327"/>
      <c r="I34" s="1074" t="s">
        <v>96</v>
      </c>
      <c r="J34" s="1075" t="s">
        <v>97</v>
      </c>
    </row>
    <row r="35" spans="2:10" ht="21" customHeight="1" thickTop="1">
      <c r="B35" s="1098" t="str">
        <f>IF('KEY INPUTS'!C42 = "State Fiscal Year", 'KEY INPUTS'!F25,'KEY INPUTS'!D25)</f>
        <v>Balance - January 1, 2021</v>
      </c>
      <c r="C35" s="1098"/>
      <c r="D35" s="1098"/>
      <c r="E35" s="1098"/>
      <c r="F35" s="1098"/>
      <c r="G35" s="1098"/>
      <c r="H35" s="1339"/>
      <c r="I35" s="1029" t="s">
        <v>628</v>
      </c>
      <c r="J35" s="607"/>
    </row>
    <row r="36" spans="2:10" ht="21" customHeight="1">
      <c r="B36" s="1079" t="str">
        <f>"Received from "&amp;IF('KEY INPUTS'!C42="State Fiscal Year","Fiscal Year "&amp;'KEY INPUTS'!D33&amp;"",'KEY INPUTS'!D34+1)&amp;" Budget Appropriation *"</f>
        <v>Received from 2022 Budget Appropriation *</v>
      </c>
      <c r="C36" s="1079"/>
      <c r="D36" s="1079"/>
      <c r="E36" s="1079"/>
      <c r="F36" s="1079"/>
      <c r="G36" s="1079"/>
      <c r="H36" s="1340"/>
      <c r="I36" s="926" t="s">
        <v>628</v>
      </c>
      <c r="J36" s="578"/>
    </row>
    <row r="37" spans="2:10" ht="21" customHeight="1">
      <c r="B37" s="1079" t="str">
        <f>"Received from "&amp;IF('KEY INPUTS'!C42="State Fiscal Year","Fiscal Year "&amp;'KEY INPUTS'!D33&amp;"",'KEY INPUTS'!D34+1)&amp;" Emergency Appropriation *"</f>
        <v>Received from 2022 Emergency Appropriation *</v>
      </c>
      <c r="C37" s="1079"/>
      <c r="D37" s="1079"/>
      <c r="E37" s="1079"/>
      <c r="F37" s="1079"/>
      <c r="G37" s="1079"/>
      <c r="H37" s="1340"/>
      <c r="I37" s="926" t="s">
        <v>628</v>
      </c>
      <c r="J37" s="578"/>
    </row>
    <row r="38" spans="2:10" ht="21" customHeight="1">
      <c r="B38" s="637"/>
      <c r="C38" s="1222"/>
      <c r="D38" s="637"/>
      <c r="E38" s="637"/>
      <c r="F38" s="637"/>
      <c r="G38" s="637"/>
      <c r="H38" s="637"/>
      <c r="I38" s="652"/>
      <c r="J38" s="355"/>
    </row>
    <row r="39" spans="2:10" ht="21" customHeight="1">
      <c r="B39" s="1079" t="s">
        <v>179</v>
      </c>
      <c r="C39" s="1079"/>
      <c r="D39" s="1079"/>
      <c r="E39" s="1079"/>
      <c r="F39" s="1079"/>
      <c r="G39" s="1079"/>
      <c r="H39" s="1340"/>
      <c r="I39" s="571"/>
      <c r="J39" s="930" t="s">
        <v>628</v>
      </c>
    </row>
    <row r="40" spans="2:10" ht="21" customHeight="1">
      <c r="B40" s="617"/>
      <c r="C40" s="617"/>
      <c r="D40" s="617"/>
      <c r="E40" s="617"/>
      <c r="F40" s="617"/>
      <c r="G40" s="617"/>
      <c r="H40" s="617"/>
      <c r="I40" s="571"/>
      <c r="J40" s="930" t="s">
        <v>628</v>
      </c>
    </row>
    <row r="41" spans="2:10" ht="21" customHeight="1" thickBot="1">
      <c r="B41" s="1079" t="str">
        <f>IF('KEY INPUTS'!C42 = "State Fiscal Year", 'KEY INPUTS'!F26,'KEY INPUTS'!D26)</f>
        <v>Balance - December 31, 2021</v>
      </c>
      <c r="C41" s="1079"/>
      <c r="D41" s="1079"/>
      <c r="E41" s="1079"/>
      <c r="F41" s="1079"/>
      <c r="G41" s="1079"/>
      <c r="H41" s="1340"/>
      <c r="I41" s="1223">
        <f>SUM(J35:J38)-SUM(I38:I40)</f>
        <v>0</v>
      </c>
      <c r="J41" s="1045" t="s">
        <v>628</v>
      </c>
    </row>
    <row r="42" spans="2:10" ht="21" customHeight="1" thickTop="1" thickBot="1">
      <c r="B42" s="1086"/>
      <c r="C42" s="1086"/>
      <c r="D42" s="1086"/>
      <c r="E42" s="1086"/>
      <c r="F42" s="1086"/>
      <c r="G42" s="1086"/>
      <c r="H42" s="1086"/>
      <c r="I42" s="1008">
        <f>SUM(I35:I41)</f>
        <v>0</v>
      </c>
      <c r="J42" s="1048">
        <f>SUM(J35:J41)</f>
        <v>0</v>
      </c>
    </row>
    <row r="43" spans="2:10" ht="21" customHeight="1" thickTop="1">
      <c r="I43" s="186"/>
      <c r="J43" s="186"/>
    </row>
    <row r="44" spans="2:10" ht="21" customHeight="1"/>
    <row r="45" spans="2:10" ht="13.5" customHeight="1">
      <c r="B45" s="526" t="str">
        <f>"*The full amount of the "&amp;IF('KEY INPUTS'!C42="State Fiscal Year","Fiscal Year "&amp;'KEY INPUTS'!D33&amp;"",'KEY INPUTS'!D34+1)&amp;" budget appropriation should be transferred to this account unless the balance of"</f>
        <v>*The full amount of the 2022 budget appropriation should be transferred to this account unless the balance of</v>
      </c>
      <c r="C45" s="526"/>
    </row>
    <row r="46" spans="2:10" ht="13.5" customHeight="1">
      <c r="B46" s="526"/>
      <c r="C46" s="526" t="s">
        <v>3584</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nr+JXm2Lwz5Ir9x1t2ClZ0ciP2+5aO+la1US/GeEcEU6Pk4PFeRLTKSGL/ADJ1E/HbXFTqGgoN59l5zElogt/g==" saltValue="QWT1cv4968SS7AUJ+yWTnQ=="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0">
    <tabColor theme="3" tint="0.39997558519241921"/>
  </sheetPr>
  <dimension ref="B1:AC52"/>
  <sheetViews>
    <sheetView zoomScaleNormal="100" zoomScaleSheetLayoutView="80" workbookViewId="0">
      <selection activeCell="P15" sqref="P15"/>
    </sheetView>
  </sheetViews>
  <sheetFormatPr defaultColWidth="8.88671875" defaultRowHeight="13.2"/>
  <cols>
    <col min="1" max="3" width="4.6640625" style="370" customWidth="1"/>
    <col min="4" max="4" width="4.5546875" style="370" customWidth="1"/>
    <col min="5" max="5" width="8.88671875" style="370"/>
    <col min="6" max="6" width="6.6640625" style="370" customWidth="1"/>
    <col min="7" max="10" width="16.6640625" style="370" customWidth="1"/>
    <col min="11" max="20" width="8.88671875" style="370"/>
    <col min="21" max="23" width="4.6640625" style="309" customWidth="1"/>
    <col min="24" max="24" width="8.88671875" style="309"/>
    <col min="25" max="25" width="6.6640625" style="309" customWidth="1"/>
    <col min="26" max="29" width="16.6640625" style="309" customWidth="1"/>
    <col min="30" max="16384" width="8.88671875" style="370"/>
  </cols>
  <sheetData>
    <row r="1" spans="2:19">
      <c r="B1" s="1054"/>
      <c r="C1" s="1054"/>
      <c r="D1" s="1162"/>
      <c r="E1" s="1162"/>
      <c r="F1" s="1054"/>
      <c r="G1" s="1054"/>
      <c r="H1" s="1054"/>
      <c r="I1" s="1054"/>
      <c r="J1" s="1054"/>
    </row>
    <row r="2" spans="2:19">
      <c r="B2" s="1054"/>
      <c r="C2" s="1054"/>
      <c r="D2" s="1162"/>
      <c r="E2" s="1162"/>
      <c r="F2" s="1054"/>
      <c r="G2" s="1054"/>
      <c r="H2" s="1054"/>
      <c r="I2" s="1054"/>
      <c r="J2" s="1054"/>
    </row>
    <row r="3" spans="2:19" ht="24.6">
      <c r="B3" s="2035" t="str">
        <f>UPPER('KEY INPUTS'!D$55)&amp;" UTILITY  CAPITAL  FUND"</f>
        <v xml:space="preserve"> UTILITY  CAPITAL  FUND</v>
      </c>
      <c r="C3" s="2035"/>
      <c r="D3" s="2035"/>
      <c r="E3" s="2035"/>
      <c r="F3" s="2035"/>
      <c r="G3" s="2035"/>
      <c r="H3" s="2035"/>
      <c r="I3" s="2035"/>
      <c r="J3" s="2035"/>
    </row>
    <row r="4" spans="2:19">
      <c r="B4" s="1054"/>
      <c r="C4" s="1054"/>
      <c r="D4" s="1054"/>
      <c r="E4" s="1054"/>
      <c r="F4" s="1054"/>
      <c r="G4" s="1054"/>
      <c r="H4" s="1054"/>
      <c r="I4" s="1054"/>
      <c r="J4" s="1054"/>
    </row>
    <row r="5" spans="2:19" ht="17.399999999999999">
      <c r="B5" s="1926" t="str">
        <f>"CAPITAL  IMPROVEMENTS  AUTHORIZED  IN  "&amp;IF('KEY INPUTS'!C42="State Fiscal Year","FISCAL  YEAR  "&amp;'KEY INPUTS'!D33&amp;"",'KEY INPUTS'!D34+1)&amp;""</f>
        <v>CAPITAL  IMPROVEMENTS  AUTHORIZED  IN  2022</v>
      </c>
      <c r="C5" s="1926"/>
      <c r="D5" s="1926"/>
      <c r="E5" s="1926"/>
      <c r="F5" s="1926"/>
      <c r="G5" s="1926"/>
      <c r="H5" s="1926"/>
      <c r="I5" s="1926"/>
      <c r="J5" s="1926"/>
    </row>
    <row r="6" spans="2:19" ht="17.399999999999999">
      <c r="B6" s="1926" t="s">
        <v>3572</v>
      </c>
      <c r="C6" s="1926"/>
      <c r="D6" s="1926"/>
      <c r="E6" s="1926"/>
      <c r="F6" s="1926"/>
      <c r="G6" s="1926"/>
      <c r="H6" s="1926"/>
      <c r="I6" s="1926"/>
      <c r="J6" s="1926"/>
    </row>
    <row r="7" spans="2:19" ht="13.8" thickBot="1">
      <c r="B7" s="1054"/>
      <c r="C7" s="1054"/>
      <c r="D7" s="1054"/>
      <c r="E7" s="1054"/>
      <c r="F7" s="1054"/>
      <c r="G7" s="1054"/>
      <c r="H7" s="1054"/>
      <c r="I7" s="1054"/>
      <c r="J7" s="1054"/>
    </row>
    <row r="8" spans="2:19" ht="13.8" thickTop="1">
      <c r="B8" s="1177"/>
      <c r="C8" s="1177"/>
      <c r="D8" s="1177"/>
      <c r="E8" s="1177"/>
      <c r="F8" s="1177"/>
      <c r="G8" s="1178"/>
      <c r="H8" s="1178"/>
      <c r="I8" s="1178"/>
      <c r="J8" s="1242" t="s">
        <v>240</v>
      </c>
    </row>
    <row r="9" spans="2:19">
      <c r="B9" s="1054"/>
      <c r="C9" s="1992" t="s">
        <v>413</v>
      </c>
      <c r="D9" s="1992"/>
      <c r="E9" s="1992"/>
      <c r="F9" s="1054"/>
      <c r="G9" s="1181" t="s">
        <v>414</v>
      </c>
      <c r="H9" s="1181" t="s">
        <v>201</v>
      </c>
      <c r="I9" s="1181" t="s">
        <v>204</v>
      </c>
      <c r="J9" s="1239" t="s">
        <v>241</v>
      </c>
    </row>
    <row r="10" spans="2:19">
      <c r="B10" s="1054"/>
      <c r="C10" s="1054"/>
      <c r="D10" s="1054"/>
      <c r="E10" s="1054"/>
      <c r="F10" s="1054"/>
      <c r="G10" s="1181" t="s">
        <v>202</v>
      </c>
      <c r="H10" s="1181" t="s">
        <v>203</v>
      </c>
      <c r="I10" s="1181" t="s">
        <v>205</v>
      </c>
      <c r="J10" s="1346" t="str">
        <f>"of " &amp;IF('KEY INPUTS'!C42="State Fiscal Year","FY "&amp;'KEY INPUTS'!D33&amp;"",'KEY INPUTS'!D34+1)&amp;" or"</f>
        <v>of 2022 or</v>
      </c>
    </row>
    <row r="11" spans="2:19" ht="13.8" thickBot="1">
      <c r="B11" s="1109"/>
      <c r="C11" s="1109"/>
      <c r="D11" s="1109"/>
      <c r="E11" s="1109"/>
      <c r="F11" s="1109"/>
      <c r="G11" s="1188"/>
      <c r="H11" s="1188" t="s">
        <v>441</v>
      </c>
      <c r="I11" s="1188" t="s">
        <v>239</v>
      </c>
      <c r="J11" s="1347"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1109"/>
      <c r="C22" s="1109"/>
      <c r="D22" s="1109"/>
      <c r="E22" s="1109"/>
      <c r="F22" s="1109"/>
      <c r="G22" s="1071">
        <f>SUM(G12:G21)</f>
        <v>0</v>
      </c>
      <c r="H22" s="1071">
        <f>SUM(H12:H21)</f>
        <v>0</v>
      </c>
      <c r="I22" s="1071">
        <f>SUM(I12:I21)</f>
        <v>0</v>
      </c>
      <c r="J22" s="1348">
        <f>SUM(J12:J21)</f>
        <v>0</v>
      </c>
      <c r="M22" s="309"/>
      <c r="N22" s="309"/>
      <c r="O22" s="309"/>
      <c r="P22" s="309"/>
      <c r="Q22" s="309"/>
      <c r="R22" s="309"/>
      <c r="S22" s="309"/>
    </row>
    <row r="23" spans="2:19" ht="13.8" thickTop="1">
      <c r="B23" s="1054"/>
      <c r="C23" s="1054"/>
      <c r="D23" s="1054"/>
      <c r="E23" s="1054"/>
      <c r="F23" s="1054"/>
      <c r="G23" s="1054"/>
      <c r="H23" s="1054"/>
      <c r="I23" s="1054"/>
      <c r="J23" s="1054"/>
      <c r="M23" s="309"/>
      <c r="N23" s="309"/>
      <c r="O23" s="309"/>
      <c r="P23" s="309"/>
      <c r="Q23" s="309"/>
      <c r="R23" s="309"/>
      <c r="S23" s="309"/>
    </row>
    <row r="24" spans="2:19">
      <c r="B24" s="1054"/>
      <c r="C24" s="1054"/>
      <c r="D24" s="1054"/>
      <c r="E24" s="1054"/>
      <c r="F24" s="1054"/>
      <c r="G24" s="1054"/>
      <c r="H24" s="1054"/>
      <c r="I24" s="1054"/>
      <c r="J24" s="1054"/>
      <c r="M24" s="309"/>
      <c r="N24" s="309"/>
      <c r="O24" s="309"/>
      <c r="P24" s="309"/>
      <c r="Q24" s="309"/>
      <c r="R24" s="309"/>
      <c r="S24" s="309"/>
    </row>
    <row r="25" spans="2:19">
      <c r="B25" s="1054"/>
      <c r="C25" s="1054"/>
      <c r="D25" s="1054"/>
      <c r="E25" s="1054"/>
      <c r="F25" s="1054"/>
      <c r="G25" s="1054"/>
      <c r="H25" s="1054"/>
      <c r="I25" s="1054"/>
      <c r="J25" s="1054"/>
      <c r="M25" s="309"/>
      <c r="N25" s="309"/>
      <c r="O25" s="309"/>
      <c r="P25" s="309"/>
      <c r="Q25" s="309"/>
      <c r="R25" s="309"/>
      <c r="S25" s="309"/>
    </row>
    <row r="26" spans="2:19">
      <c r="B26" s="1054"/>
      <c r="C26" s="1054"/>
      <c r="D26" s="1054"/>
      <c r="E26" s="1054"/>
      <c r="F26" s="1054"/>
      <c r="G26" s="1054"/>
      <c r="H26" s="1054"/>
      <c r="I26" s="1054"/>
      <c r="J26" s="1054"/>
      <c r="M26" s="309"/>
      <c r="N26" s="309"/>
      <c r="O26" s="309"/>
      <c r="P26" s="309"/>
      <c r="Q26" s="309"/>
      <c r="R26" s="309"/>
      <c r="S26" s="309"/>
    </row>
    <row r="27" spans="2:19">
      <c r="B27" s="1054"/>
      <c r="C27" s="1054"/>
      <c r="D27" s="1054"/>
      <c r="E27" s="1054"/>
      <c r="F27" s="1054"/>
      <c r="G27" s="1054"/>
      <c r="H27" s="1054"/>
      <c r="I27" s="1054"/>
      <c r="J27" s="1054"/>
      <c r="M27" s="309"/>
      <c r="N27" s="309"/>
      <c r="O27" s="309"/>
      <c r="P27" s="309"/>
      <c r="Q27" s="309"/>
      <c r="R27" s="309"/>
      <c r="S27" s="309"/>
    </row>
    <row r="28" spans="2:19" ht="22.8">
      <c r="B28" s="1887" t="str">
        <f>UPPER('KEY INPUTS'!D$55)&amp;" UTILITY  FUND"</f>
        <v xml:space="preserve"> UTILITY  FUND</v>
      </c>
      <c r="C28" s="1887"/>
      <c r="D28" s="1887"/>
      <c r="E28" s="1887"/>
      <c r="F28" s="1887"/>
      <c r="G28" s="1887"/>
      <c r="H28" s="1887"/>
      <c r="I28" s="1887"/>
      <c r="J28" s="1887"/>
    </row>
    <row r="29" spans="2:19" ht="22.8">
      <c r="B29" s="1887" t="s">
        <v>154</v>
      </c>
      <c r="C29" s="1887"/>
      <c r="D29" s="1887"/>
      <c r="E29" s="1887"/>
      <c r="F29" s="1887"/>
      <c r="G29" s="1887"/>
      <c r="H29" s="1887"/>
      <c r="I29" s="1887"/>
      <c r="J29" s="1887"/>
    </row>
    <row r="30" spans="2:19">
      <c r="B30" s="1054"/>
      <c r="C30" s="1054"/>
      <c r="D30" s="1054"/>
      <c r="E30" s="1054"/>
      <c r="F30" s="1054"/>
      <c r="G30" s="1054"/>
      <c r="H30" s="1054"/>
      <c r="I30" s="1054"/>
      <c r="J30" s="1054"/>
    </row>
    <row r="31" spans="2:19" ht="15.6">
      <c r="B31" s="1883" t="str">
        <f>IF('KEY INPUTS'!C42="State Fiscal Year",(UPPER("Fiscal Year "&amp;'KEY INPUTS'!D33))&amp;"",'KEY INPUTS'!D34+1)&amp;""</f>
        <v>2022</v>
      </c>
      <c r="C31" s="1883"/>
      <c r="D31" s="1883"/>
      <c r="E31" s="1883"/>
      <c r="F31" s="1883"/>
      <c r="G31" s="1883"/>
      <c r="H31" s="1883"/>
      <c r="I31" s="1883"/>
      <c r="J31" s="1883"/>
    </row>
    <row r="32" spans="2:19" ht="13.8" thickBot="1">
      <c r="B32" s="1054"/>
      <c r="C32" s="1054"/>
      <c r="D32" s="1054"/>
      <c r="E32" s="1054"/>
      <c r="F32" s="1054"/>
      <c r="G32" s="1054"/>
      <c r="H32" s="1054"/>
      <c r="I32" s="1054"/>
      <c r="J32" s="1054"/>
    </row>
    <row r="33" spans="2:10" ht="28.5" customHeight="1" thickTop="1" thickBot="1">
      <c r="B33" s="1273"/>
      <c r="C33" s="1273"/>
      <c r="D33" s="1273"/>
      <c r="E33" s="1273"/>
      <c r="F33" s="1273"/>
      <c r="G33" s="1273"/>
      <c r="H33" s="1273"/>
      <c r="I33" s="1055" t="s">
        <v>96</v>
      </c>
      <c r="J33" s="1056" t="s">
        <v>97</v>
      </c>
    </row>
    <row r="34" spans="2:10" ht="21" customHeight="1" thickTop="1">
      <c r="B34" s="1349" t="str">
        <f>IF('KEY INPUTS'!C42 = "State Fiscal Year", 'KEY INPUTS'!F25,'KEY INPUTS'!D25)</f>
        <v>Balance - January 1, 2021</v>
      </c>
      <c r="C34" s="1110"/>
      <c r="D34" s="1110"/>
      <c r="E34" s="1110"/>
      <c r="F34" s="1110"/>
      <c r="G34" s="1110"/>
      <c r="H34" s="1110"/>
      <c r="I34" s="1111" t="s">
        <v>628</v>
      </c>
      <c r="J34" s="606"/>
    </row>
    <row r="35" spans="2:10" ht="21" customHeight="1">
      <c r="B35" s="659" t="s">
        <v>155</v>
      </c>
      <c r="C35" s="659"/>
      <c r="D35" s="659"/>
      <c r="E35" s="659"/>
      <c r="F35" s="659"/>
      <c r="G35" s="659"/>
      <c r="H35" s="659"/>
      <c r="I35" s="1114" t="s">
        <v>628</v>
      </c>
      <c r="J35" s="550"/>
    </row>
    <row r="36" spans="2:10" ht="21" customHeight="1">
      <c r="B36" s="659" t="s">
        <v>156</v>
      </c>
      <c r="C36" s="659"/>
      <c r="D36" s="659"/>
      <c r="E36" s="659"/>
      <c r="F36" s="659"/>
      <c r="G36" s="659"/>
      <c r="H36" s="659"/>
      <c r="I36" s="1114" t="s">
        <v>628</v>
      </c>
      <c r="J36" s="550"/>
    </row>
    <row r="37" spans="2:10" ht="21" customHeight="1">
      <c r="B37" s="617" t="s">
        <v>3215</v>
      </c>
      <c r="C37" s="617"/>
      <c r="D37" s="617"/>
      <c r="E37" s="617"/>
      <c r="F37" s="617"/>
      <c r="G37" s="617"/>
      <c r="H37" s="617"/>
      <c r="I37" s="353"/>
      <c r="J37" s="550"/>
    </row>
    <row r="38" spans="2:10" ht="21" customHeight="1">
      <c r="B38" s="617"/>
      <c r="C38" s="617"/>
      <c r="D38" s="617"/>
      <c r="E38" s="617"/>
      <c r="F38" s="617"/>
      <c r="G38" s="617"/>
      <c r="H38" s="617"/>
      <c r="I38" s="353"/>
      <c r="J38" s="550"/>
    </row>
    <row r="39" spans="2:10" ht="21" customHeight="1">
      <c r="B39" s="617"/>
      <c r="C39" s="617"/>
      <c r="D39" s="617"/>
      <c r="E39" s="617"/>
      <c r="F39" s="617"/>
      <c r="G39" s="617"/>
      <c r="H39" s="617"/>
      <c r="I39" s="353"/>
      <c r="J39" s="550"/>
    </row>
    <row r="40" spans="2:10" ht="21" customHeight="1">
      <c r="B40" s="659" t="s">
        <v>3176</v>
      </c>
      <c r="C40" s="659"/>
      <c r="D40" s="659"/>
      <c r="E40" s="659"/>
      <c r="F40" s="659"/>
      <c r="G40" s="659"/>
      <c r="H40" s="659"/>
      <c r="I40" s="353"/>
      <c r="J40" s="1240" t="s">
        <v>628</v>
      </c>
    </row>
    <row r="41" spans="2:10" ht="21" customHeight="1">
      <c r="B41" s="871" t="str">
        <f>"Appropriation to "&amp;IF('KEY INPUTS'!C42="State Fiscal Year","Fiscal Year "&amp;'KEY INPUTS'!D33&amp;"",'KEY INPUTS'!D34+1)&amp;" Budget Reserve"</f>
        <v>Appropriation to 2022 Budget Reserve</v>
      </c>
      <c r="C41" s="659"/>
      <c r="D41" s="659"/>
      <c r="E41" s="659"/>
      <c r="F41" s="659"/>
      <c r="G41" s="1350"/>
      <c r="H41" s="659"/>
      <c r="I41" s="547"/>
      <c r="J41" s="1240" t="s">
        <v>628</v>
      </c>
    </row>
    <row r="42" spans="2:10" ht="21" customHeight="1">
      <c r="B42" s="659" t="str">
        <f>IF('KEY INPUTS'!C42 = "State Fiscal Year", 'KEY INPUTS'!F26,'KEY INPUTS'!D26)</f>
        <v>Balance - December 31, 2021</v>
      </c>
      <c r="C42" s="659"/>
      <c r="D42" s="659"/>
      <c r="E42" s="659"/>
      <c r="F42" s="659"/>
      <c r="G42" s="659"/>
      <c r="H42" s="659"/>
      <c r="I42" s="800">
        <f>SUM(J34:J39)-SUM(I37:I41)</f>
        <v>0</v>
      </c>
      <c r="J42" s="1240" t="s">
        <v>628</v>
      </c>
    </row>
    <row r="43" spans="2:10" ht="21" customHeight="1" thickBot="1">
      <c r="B43" s="1054"/>
      <c r="C43" s="1054"/>
      <c r="D43" s="1054"/>
      <c r="E43" s="1054"/>
      <c r="F43" s="1054"/>
      <c r="G43" s="1054"/>
      <c r="H43" s="1054"/>
      <c r="I43" s="1049">
        <f>SUM(I34:I42)</f>
        <v>0</v>
      </c>
      <c r="J43" s="1351">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882" t="s">
        <v>3175</v>
      </c>
      <c r="C52" s="1882"/>
      <c r="D52" s="1882"/>
      <c r="E52" s="1882"/>
      <c r="F52" s="1882"/>
      <c r="G52" s="1882"/>
      <c r="H52" s="1882"/>
      <c r="I52" s="1882"/>
      <c r="J52" s="1882"/>
    </row>
  </sheetData>
  <sheetProtection algorithmName="SHA-512" hashValue="T7ugSpk6g10NocQTK835dfxs7SvuaiKeQL+pIzYJ+vjthgaR/1PoA3UmRe7I7P8JkKorM/GR1oaS5KlgyHze+A==" saltValue="ybR8bOyr3IZv2QNgHixXmg==" spinCount="100000"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1">
    <tabColor theme="5" tint="0.59999389629810485"/>
  </sheetPr>
  <dimension ref="B1:R57"/>
  <sheetViews>
    <sheetView topLeftCell="A22" zoomScaleNormal="100" zoomScaleSheetLayoutView="80" workbookViewId="0">
      <selection activeCell="E42" sqref="E42"/>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1" spans="2:18">
      <c r="B1" s="1054"/>
      <c r="C1" s="1054"/>
      <c r="D1" s="1054"/>
      <c r="E1" s="1054"/>
      <c r="F1" s="1054"/>
      <c r="G1" s="1054"/>
      <c r="H1" s="1054"/>
    </row>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INPUTS'!D56)&amp;"  UTILITY  FUND"</f>
        <v>TRIAL  BALANCE -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571"/>
      <c r="H15" s="578"/>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+'47-Utility3'!L24</f>
        <v>0</v>
      </c>
      <c r="H20" s="1063"/>
      <c r="L20" s="309"/>
      <c r="M20" s="309"/>
      <c r="N20" s="309"/>
      <c r="O20" s="309"/>
      <c r="P20" s="309"/>
      <c r="Q20" s="309"/>
      <c r="R20" s="309"/>
    </row>
    <row r="21" spans="2:18" ht="21" customHeight="1">
      <c r="B21" s="659" t="s">
        <v>3207</v>
      </c>
      <c r="C21" s="659"/>
      <c r="D21" s="659"/>
      <c r="E21" s="659"/>
      <c r="F21" s="659"/>
      <c r="G21" s="658">
        <f>+'47-Utility3'!L54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+'44-Utility3'!I37</f>
        <v>0</v>
      </c>
      <c r="J31" s="708"/>
    </row>
    <row r="32" spans="2:18" ht="21" customHeight="1">
      <c r="B32" s="659" t="s">
        <v>3136</v>
      </c>
      <c r="C32" s="659"/>
      <c r="D32" s="659"/>
      <c r="E32" s="659"/>
      <c r="F32" s="659"/>
      <c r="G32" s="571"/>
      <c r="H32" s="578"/>
    </row>
    <row r="33" spans="2:18" ht="21" customHeight="1">
      <c r="B33" s="659" t="s">
        <v>3135</v>
      </c>
      <c r="C33" s="659"/>
      <c r="D33" s="659"/>
      <c r="E33" s="659"/>
      <c r="F33" s="659"/>
      <c r="G33" s="571"/>
      <c r="H33" s="1066">
        <f>+'49-Utility3'!I29+'49a-Utility3'!I29+'50.1-Utility3'!M24+'49a.1-Utility3'!I29</f>
        <v>0</v>
      </c>
      <c r="J33" s="708"/>
    </row>
    <row r="34" spans="2:18" ht="21" customHeight="1">
      <c r="B34" s="617" t="s">
        <v>3217</v>
      </c>
      <c r="C34" s="617"/>
      <c r="D34" s="617"/>
      <c r="E34" s="617"/>
      <c r="F34" s="621"/>
      <c r="G34" s="571"/>
      <c r="H34" s="578"/>
    </row>
    <row r="35" spans="2:18" ht="21" customHeight="1">
      <c r="B35" s="617"/>
      <c r="C35" s="617"/>
      <c r="D35" s="617"/>
      <c r="E35" s="617"/>
      <c r="F35" s="617"/>
      <c r="G35" s="571"/>
      <c r="H35" s="578"/>
      <c r="L35" s="309"/>
      <c r="M35" s="309"/>
      <c r="N35" s="309"/>
      <c r="O35" s="309"/>
      <c r="P35" s="309"/>
      <c r="Q35" s="309"/>
      <c r="R35" s="309"/>
    </row>
    <row r="36" spans="2:18" ht="21" customHeight="1">
      <c r="B36" s="617"/>
      <c r="C36" s="617"/>
      <c r="D36" s="617"/>
      <c r="E36" s="617"/>
      <c r="F36" s="617"/>
      <c r="G36" s="571"/>
      <c r="H36" s="578"/>
      <c r="J36" s="708"/>
      <c r="L36" s="309"/>
      <c r="M36" s="309"/>
      <c r="N36" s="309"/>
      <c r="O36" s="309"/>
      <c r="P36" s="309"/>
      <c r="Q36" s="309"/>
      <c r="R36" s="309"/>
    </row>
    <row r="37" spans="2:18" ht="21" customHeight="1">
      <c r="B37" s="617"/>
      <c r="C37" s="617"/>
      <c r="D37" s="617"/>
      <c r="E37" s="617"/>
      <c r="F37" s="617"/>
      <c r="G37" s="571"/>
      <c r="H37" s="578"/>
      <c r="J37" s="708"/>
      <c r="L37" s="309"/>
      <c r="M37" s="309"/>
      <c r="N37" s="309"/>
      <c r="O37" s="309"/>
      <c r="P37" s="309"/>
      <c r="Q37" s="309"/>
      <c r="R37" s="309"/>
    </row>
    <row r="38" spans="2:18" ht="21" customHeight="1" thickBot="1">
      <c r="B38" s="617"/>
      <c r="C38" s="617"/>
      <c r="D38" s="617"/>
      <c r="E38" s="617"/>
      <c r="F38" s="617"/>
      <c r="G38" s="571"/>
      <c r="H38" s="602"/>
      <c r="L38" s="309"/>
      <c r="M38" s="309"/>
      <c r="N38" s="309"/>
      <c r="O38" s="309"/>
      <c r="P38" s="309"/>
      <c r="Q38" s="309"/>
      <c r="R38" s="309"/>
    </row>
    <row r="39" spans="2:18" ht="21" customHeight="1" thickTop="1">
      <c r="B39" s="659"/>
      <c r="C39" s="659" t="s">
        <v>3134</v>
      </c>
      <c r="D39" s="659"/>
      <c r="E39" s="659"/>
      <c r="F39" s="1224"/>
      <c r="G39" s="1225"/>
      <c r="H39" s="1156">
        <f>SUM(H30:H38)</f>
        <v>0</v>
      </c>
      <c r="I39" s="370" t="s">
        <v>796</v>
      </c>
    </row>
    <row r="40" spans="2:18" ht="21" customHeight="1">
      <c r="B40" s="1068" t="s">
        <v>3218</v>
      </c>
      <c r="C40" s="1068"/>
      <c r="D40" s="1068"/>
      <c r="E40" s="1068"/>
      <c r="F40" s="1068"/>
      <c r="G40" s="1063"/>
      <c r="H40" s="600"/>
    </row>
    <row r="41" spans="2:18" ht="21" customHeight="1">
      <c r="B41" s="617"/>
      <c r="C41" s="617"/>
      <c r="D41" s="617"/>
      <c r="E41" s="617"/>
      <c r="F41" s="617"/>
      <c r="G41" s="571"/>
      <c r="H41" s="578"/>
    </row>
    <row r="42" spans="2:18" ht="21" customHeight="1">
      <c r="B42" s="659" t="s">
        <v>618</v>
      </c>
      <c r="C42" s="659"/>
      <c r="D42" s="659"/>
      <c r="E42" s="659"/>
      <c r="F42" s="659"/>
      <c r="G42" s="658"/>
      <c r="H42" s="1064">
        <f>+'46-Utility3'!K27</f>
        <v>0</v>
      </c>
    </row>
    <row r="43" spans="2:18" ht="21" customHeight="1" thickBot="1">
      <c r="B43" s="659"/>
      <c r="C43" s="659"/>
      <c r="D43" s="659"/>
      <c r="E43" s="659"/>
      <c r="F43" s="659"/>
      <c r="G43" s="1069"/>
      <c r="H43" s="1070"/>
    </row>
    <row r="44" spans="2:18" ht="21" customHeight="1" thickBot="1">
      <c r="B44" s="659" t="s">
        <v>3219</v>
      </c>
      <c r="C44" s="659"/>
      <c r="D44" s="659"/>
      <c r="E44" s="659"/>
      <c r="F44" s="659"/>
      <c r="G44" s="1071">
        <f>SUM(G12:G43)</f>
        <v>0</v>
      </c>
      <c r="H44" s="1072">
        <f>SUM(H39:H43)</f>
        <v>0</v>
      </c>
      <c r="J44" s="371">
        <f>G44-H44</f>
        <v>0</v>
      </c>
    </row>
    <row r="45" spans="2:18" ht="13.8" thickTop="1">
      <c r="B45" s="1992" t="s">
        <v>98</v>
      </c>
      <c r="C45" s="1992"/>
      <c r="D45" s="1992"/>
      <c r="E45" s="1992"/>
      <c r="F45" s="1992"/>
      <c r="G45" s="1992"/>
      <c r="H45" s="1992"/>
    </row>
    <row r="46" spans="2:18">
      <c r="B46" s="1239"/>
      <c r="C46" s="1239"/>
      <c r="D46" s="1239"/>
      <c r="E46" s="1239"/>
      <c r="F46" s="1239"/>
      <c r="G46" s="1239"/>
      <c r="H46" s="1239"/>
    </row>
    <row r="47" spans="2:18">
      <c r="B47" s="1239"/>
      <c r="C47" s="1239"/>
      <c r="D47" s="1239"/>
      <c r="E47" s="1239"/>
      <c r="F47" s="1239"/>
      <c r="G47" s="1239"/>
      <c r="H47" s="1239"/>
    </row>
    <row r="48" spans="2:18">
      <c r="B48" s="1239"/>
      <c r="C48" s="1239"/>
      <c r="D48" s="1239"/>
      <c r="E48" s="1239"/>
      <c r="F48" s="1239"/>
      <c r="G48" s="1239"/>
      <c r="H48" s="1239"/>
    </row>
    <row r="49" spans="2:8">
      <c r="B49" s="1239"/>
      <c r="C49" s="1239"/>
      <c r="D49" s="1239"/>
      <c r="E49" s="1239"/>
      <c r="F49" s="1239"/>
      <c r="G49" s="1239"/>
      <c r="H49" s="1239"/>
    </row>
    <row r="50" spans="2:8" ht="13.8">
      <c r="B50" s="2076" t="s">
        <v>3132</v>
      </c>
      <c r="C50" s="2076"/>
      <c r="D50" s="2076"/>
      <c r="E50" s="2076"/>
      <c r="F50" s="2076"/>
      <c r="G50" s="2076"/>
      <c r="H50" s="2076"/>
    </row>
    <row r="54" spans="2:8">
      <c r="H54" s="371"/>
    </row>
    <row r="57" spans="2:8">
      <c r="H57" s="371">
        <f>+H44-G44</f>
        <v>0</v>
      </c>
    </row>
  </sheetData>
  <sheetProtection algorithmName="SHA-512" hashValue="hUWbdmH9usZKvcYtZG/zTalijk6rf7yYfHTTheIDOw4nHp+CV+o8NcWyUKDE3d/nYjp2hRb8xoBAeTDGaB9WgQ==" saltValue="tGa93WXfF38GWxfXEZ/LiA=="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2">
    <tabColor theme="5" tint="0.59999389629810485"/>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INPUTS'!D56)&amp;"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1054"/>
      <c r="C12" s="1054"/>
      <c r="D12" s="1054"/>
      <c r="E12" s="1054"/>
      <c r="F12" s="1054"/>
      <c r="G12" s="1057"/>
      <c r="H12" s="1058"/>
    </row>
    <row r="13" spans="2:17" ht="21" customHeight="1">
      <c r="B13" s="1065" t="s">
        <v>643</v>
      </c>
      <c r="C13" s="659"/>
      <c r="D13" s="659"/>
      <c r="E13" s="659"/>
      <c r="F13" s="659"/>
      <c r="G13" s="658"/>
      <c r="H13" s="1064"/>
      <c r="K13" s="309"/>
      <c r="L13" s="309"/>
      <c r="M13" s="309"/>
      <c r="N13" s="309"/>
      <c r="O13" s="309"/>
      <c r="P13" s="309"/>
      <c r="Q13" s="309"/>
    </row>
    <row r="14" spans="2:17" ht="21" customHeight="1">
      <c r="B14" s="659"/>
      <c r="C14" s="659"/>
      <c r="D14" s="659"/>
      <c r="E14" s="659"/>
      <c r="F14" s="659"/>
      <c r="G14" s="658"/>
      <c r="H14" s="1064"/>
      <c r="K14" s="309"/>
      <c r="L14" s="309"/>
      <c r="M14" s="309"/>
      <c r="N14" s="309"/>
      <c r="O14" s="309"/>
      <c r="P14" s="309"/>
      <c r="Q14" s="309"/>
    </row>
    <row r="15" spans="2:17" ht="21" customHeight="1">
      <c r="B15" s="1054" t="s">
        <v>192</v>
      </c>
      <c r="C15" s="659"/>
      <c r="D15" s="659"/>
      <c r="E15" s="659"/>
      <c r="F15" s="659"/>
      <c r="G15" s="351"/>
      <c r="H15" s="1240" t="s">
        <v>628</v>
      </c>
      <c r="K15" s="356"/>
      <c r="L15" s="309"/>
      <c r="M15" s="309"/>
      <c r="N15" s="309"/>
      <c r="O15" s="309"/>
      <c r="P15" s="309"/>
      <c r="Q15" s="309"/>
    </row>
    <row r="16" spans="2:17" ht="21" customHeight="1">
      <c r="B16" s="659" t="s">
        <v>193</v>
      </c>
      <c r="C16" s="659"/>
      <c r="D16" s="659"/>
      <c r="E16" s="659"/>
      <c r="F16" s="659"/>
      <c r="G16" s="1114" t="s">
        <v>628</v>
      </c>
      <c r="H16" s="870">
        <f>+G15</f>
        <v>0</v>
      </c>
      <c r="K16" s="309"/>
      <c r="L16" s="309"/>
      <c r="M16" s="309"/>
      <c r="N16" s="309"/>
      <c r="O16" s="309"/>
      <c r="P16" s="309"/>
      <c r="Q16" s="309"/>
    </row>
    <row r="17" spans="2:17" ht="21" customHeight="1">
      <c r="B17" s="659"/>
      <c r="C17" s="659"/>
      <c r="D17" s="659"/>
      <c r="E17" s="659"/>
      <c r="F17" s="659"/>
      <c r="G17" s="864"/>
      <c r="H17" s="870"/>
      <c r="K17" s="309"/>
      <c r="L17" s="309"/>
      <c r="M17" s="309"/>
      <c r="N17" s="309"/>
      <c r="O17" s="309"/>
      <c r="P17" s="309"/>
      <c r="Q17" s="309"/>
    </row>
    <row r="18" spans="2:17" ht="21" customHeight="1">
      <c r="B18" s="659"/>
      <c r="C18" s="659" t="s">
        <v>351</v>
      </c>
      <c r="D18" s="659"/>
      <c r="E18" s="659"/>
      <c r="F18" s="659"/>
      <c r="G18" s="351"/>
      <c r="H18" s="540"/>
      <c r="K18" s="309"/>
      <c r="L18" s="309"/>
      <c r="M18" s="309"/>
      <c r="N18" s="309"/>
      <c r="O18" s="309"/>
      <c r="P18" s="309"/>
      <c r="Q18" s="309"/>
    </row>
    <row r="19" spans="2:17" ht="21" customHeight="1">
      <c r="B19" s="659"/>
      <c r="C19" s="617"/>
      <c r="D19" s="617"/>
      <c r="E19" s="617"/>
      <c r="F19" s="617"/>
      <c r="G19" s="351"/>
      <c r="H19" s="540"/>
      <c r="K19" s="309"/>
      <c r="L19" s="309"/>
      <c r="M19" s="309"/>
      <c r="N19" s="309"/>
      <c r="O19" s="309"/>
      <c r="P19" s="309"/>
      <c r="Q19" s="309"/>
    </row>
    <row r="20" spans="2:17" ht="21" customHeight="1">
      <c r="B20" s="659"/>
      <c r="C20" s="659" t="s">
        <v>889</v>
      </c>
      <c r="D20" s="659"/>
      <c r="E20" s="659"/>
      <c r="F20" s="659"/>
      <c r="G20" s="351"/>
      <c r="H20" s="540"/>
      <c r="K20" s="309"/>
      <c r="L20" s="309"/>
      <c r="M20" s="309"/>
      <c r="N20" s="309"/>
      <c r="O20" s="309"/>
      <c r="P20" s="309"/>
      <c r="Q20" s="309"/>
    </row>
    <row r="21" spans="2:17" ht="21" customHeight="1">
      <c r="B21" s="659"/>
      <c r="C21" s="659" t="s">
        <v>644</v>
      </c>
      <c r="D21" s="659"/>
      <c r="E21" s="659"/>
      <c r="F21" s="659"/>
      <c r="G21" s="864"/>
      <c r="H21" s="865"/>
      <c r="K21" s="309"/>
      <c r="L21" s="309"/>
      <c r="M21" s="309"/>
      <c r="N21" s="309"/>
      <c r="O21" s="309"/>
      <c r="P21" s="309"/>
      <c r="Q21" s="309"/>
    </row>
    <row r="22" spans="2:17" ht="21" customHeight="1">
      <c r="B22" s="659"/>
      <c r="C22" s="659"/>
      <c r="D22" s="659" t="s">
        <v>87</v>
      </c>
      <c r="E22" s="659"/>
      <c r="F22" s="659"/>
      <c r="G22" s="351"/>
      <c r="H22" s="540"/>
      <c r="K22" s="309"/>
      <c r="L22" s="309"/>
      <c r="M22" s="309"/>
      <c r="N22" s="309"/>
      <c r="O22" s="309"/>
      <c r="P22" s="309"/>
      <c r="Q22" s="309"/>
    </row>
    <row r="23" spans="2:17" ht="21" customHeight="1">
      <c r="B23" s="659"/>
      <c r="C23" s="659"/>
      <c r="D23" s="659" t="s">
        <v>672</v>
      </c>
      <c r="E23" s="659"/>
      <c r="F23" s="659"/>
      <c r="G23" s="351"/>
      <c r="H23" s="540"/>
      <c r="K23" s="309"/>
      <c r="L23" s="309"/>
      <c r="M23" s="309"/>
      <c r="N23" s="309"/>
      <c r="O23" s="309"/>
      <c r="P23" s="309"/>
      <c r="Q23" s="309"/>
    </row>
    <row r="24" spans="2:17" ht="21" customHeight="1">
      <c r="B24" s="374"/>
      <c r="C24" s="617"/>
      <c r="D24" s="617" t="s">
        <v>3133</v>
      </c>
      <c r="E24" s="617"/>
      <c r="F24" s="617"/>
      <c r="G24" s="351"/>
      <c r="H24" s="559"/>
      <c r="K24" s="309"/>
      <c r="L24" s="309"/>
      <c r="M24" s="309"/>
      <c r="N24" s="309"/>
      <c r="O24" s="309"/>
      <c r="P24" s="309"/>
      <c r="Q24" s="309"/>
    </row>
    <row r="25" spans="2:17" ht="21" customHeight="1">
      <c r="B25" s="374"/>
      <c r="C25" s="617"/>
      <c r="D25" s="617" t="s">
        <v>3133</v>
      </c>
      <c r="E25" s="617"/>
      <c r="F25" s="617"/>
      <c r="G25" s="351"/>
      <c r="H25" s="559" t="s">
        <v>3133</v>
      </c>
    </row>
    <row r="26" spans="2:17" ht="21" customHeight="1">
      <c r="B26" s="374"/>
      <c r="C26" s="618"/>
      <c r="D26" s="617"/>
      <c r="E26" s="617"/>
      <c r="F26" s="617"/>
      <c r="G26" s="351"/>
      <c r="H26" s="620"/>
    </row>
    <row r="27" spans="2:17" ht="21" customHeight="1">
      <c r="B27" s="374"/>
      <c r="C27" s="617" t="s">
        <v>3133</v>
      </c>
      <c r="D27" s="617"/>
      <c r="E27" s="617"/>
      <c r="F27" s="617"/>
      <c r="G27" s="351"/>
      <c r="H27" s="559" t="s">
        <v>3133</v>
      </c>
    </row>
    <row r="28" spans="2:17" ht="21" customHeight="1">
      <c r="B28" s="374"/>
      <c r="C28" s="617"/>
      <c r="D28" s="617"/>
      <c r="E28" s="617"/>
      <c r="F28" s="617"/>
      <c r="G28" s="351"/>
      <c r="H28" s="559"/>
    </row>
    <row r="29" spans="2:17" ht="21" customHeight="1">
      <c r="B29" s="374"/>
      <c r="C29" s="617"/>
      <c r="D29" s="617" t="s">
        <v>3133</v>
      </c>
      <c r="E29" s="617"/>
      <c r="F29" s="617"/>
      <c r="G29" s="351"/>
      <c r="H29" s="559"/>
      <c r="K29" s="309"/>
      <c r="L29" s="309"/>
      <c r="M29" s="309"/>
      <c r="N29" s="309"/>
      <c r="O29" s="309"/>
      <c r="P29" s="309"/>
      <c r="Q29" s="309"/>
    </row>
    <row r="30" spans="2:17" ht="21" customHeight="1">
      <c r="B30" s="374"/>
      <c r="C30" s="617"/>
      <c r="D30" s="617" t="s">
        <v>3133</v>
      </c>
      <c r="E30" s="617"/>
      <c r="F30" s="617"/>
      <c r="G30" s="351"/>
      <c r="H30" s="559"/>
      <c r="K30" s="309"/>
      <c r="L30" s="309"/>
      <c r="M30" s="309"/>
      <c r="N30" s="309"/>
      <c r="O30" s="309"/>
      <c r="P30" s="309"/>
      <c r="Q30" s="309"/>
    </row>
    <row r="31" spans="2:17" ht="21" customHeight="1">
      <c r="B31" s="374"/>
      <c r="C31" s="617"/>
      <c r="D31" s="617" t="s">
        <v>3133</v>
      </c>
      <c r="E31" s="617"/>
      <c r="F31" s="617"/>
      <c r="G31" s="351"/>
      <c r="H31" s="559" t="s">
        <v>3133</v>
      </c>
    </row>
    <row r="32" spans="2:17" ht="21" customHeight="1">
      <c r="B32" s="374"/>
      <c r="C32" s="618"/>
      <c r="D32" s="617"/>
      <c r="E32" s="617"/>
      <c r="F32" s="617"/>
      <c r="G32" s="351"/>
      <c r="H32" s="620"/>
    </row>
    <row r="33" spans="2:17" ht="21" customHeight="1">
      <c r="B33" s="374"/>
      <c r="C33" s="617" t="s">
        <v>3133</v>
      </c>
      <c r="D33" s="617"/>
      <c r="E33" s="617"/>
      <c r="F33" s="617"/>
      <c r="G33" s="351"/>
      <c r="H33" s="559" t="s">
        <v>3133</v>
      </c>
    </row>
    <row r="34" spans="2:17" ht="21" customHeight="1">
      <c r="B34" s="374"/>
      <c r="C34" s="617"/>
      <c r="D34" s="617"/>
      <c r="E34" s="617"/>
      <c r="F34" s="617"/>
      <c r="G34" s="351"/>
      <c r="H34" s="559"/>
    </row>
    <row r="35" spans="2:17" ht="21" customHeight="1">
      <c r="B35" s="374"/>
      <c r="C35" s="617"/>
      <c r="D35" s="617" t="s">
        <v>3133</v>
      </c>
      <c r="E35" s="617"/>
      <c r="F35" s="617"/>
      <c r="G35" s="351"/>
      <c r="H35" s="559"/>
      <c r="K35" s="309"/>
      <c r="L35" s="309"/>
      <c r="M35" s="309"/>
      <c r="N35" s="309"/>
      <c r="O35" s="309"/>
      <c r="P35" s="309"/>
      <c r="Q35" s="309"/>
    </row>
    <row r="36" spans="2:17" ht="21" customHeight="1">
      <c r="B36" s="374"/>
      <c r="C36" s="617"/>
      <c r="D36" s="617" t="s">
        <v>3133</v>
      </c>
      <c r="E36" s="617"/>
      <c r="F36" s="617"/>
      <c r="G36" s="351"/>
      <c r="H36" s="559" t="s">
        <v>3133</v>
      </c>
    </row>
    <row r="37" spans="2:17" ht="21" customHeight="1">
      <c r="B37" s="374"/>
      <c r="C37" s="618"/>
      <c r="D37" s="617"/>
      <c r="E37" s="617"/>
      <c r="F37" s="617"/>
      <c r="G37" s="351"/>
      <c r="H37" s="620"/>
    </row>
    <row r="38" spans="2:17" ht="21" customHeight="1">
      <c r="B38" s="374"/>
      <c r="C38" s="617" t="s">
        <v>3133</v>
      </c>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t="s">
        <v>3133</v>
      </c>
      <c r="D41" s="617"/>
      <c r="E41" s="617"/>
      <c r="F41" s="617"/>
      <c r="G41" s="351"/>
      <c r="H41" s="559" t="s">
        <v>3133</v>
      </c>
    </row>
    <row r="42" spans="2:17" ht="21" customHeight="1">
      <c r="B42" s="374"/>
      <c r="C42" s="617" t="s">
        <v>3133</v>
      </c>
      <c r="D42" s="617"/>
      <c r="E42" s="617"/>
      <c r="F42" s="617"/>
      <c r="G42" s="351"/>
      <c r="H42" s="559" t="s">
        <v>3133</v>
      </c>
    </row>
    <row r="43" spans="2:17" ht="21" customHeight="1" thickBot="1">
      <c r="B43" s="659"/>
      <c r="C43" s="659"/>
      <c r="D43" s="659"/>
      <c r="E43" s="659"/>
      <c r="F43" s="659"/>
      <c r="G43" s="1234"/>
      <c r="H43" s="1235"/>
      <c r="I43" s="371"/>
      <c r="M43" s="371"/>
    </row>
    <row r="44" spans="2:17" ht="21" customHeight="1" thickBot="1">
      <c r="B44" s="659"/>
      <c r="C44" s="659" t="s">
        <v>3265</v>
      </c>
      <c r="D44" s="659"/>
      <c r="E44" s="659"/>
      <c r="F44" s="659"/>
      <c r="G44" s="1236">
        <f>SUM(G15:G42)</f>
        <v>0</v>
      </c>
      <c r="H44" s="1237">
        <f>SUM(H15:H43)</f>
        <v>0</v>
      </c>
      <c r="I44" s="371"/>
      <c r="K44" s="371"/>
    </row>
    <row r="45" spans="2:17" ht="13.8" thickTop="1">
      <c r="B45" s="2046" t="s">
        <v>98</v>
      </c>
      <c r="C45" s="2046"/>
      <c r="D45" s="2046"/>
      <c r="E45" s="2046"/>
      <c r="F45" s="2046"/>
      <c r="G45" s="2047"/>
      <c r="H45" s="2047"/>
    </row>
    <row r="46" spans="2:17">
      <c r="B46" s="1239"/>
      <c r="C46" s="1239"/>
      <c r="D46" s="1239"/>
      <c r="E46" s="1239"/>
      <c r="F46" s="1239"/>
      <c r="G46" s="1239"/>
      <c r="H46" s="1239"/>
    </row>
    <row r="47" spans="2:17">
      <c r="B47" s="1239"/>
      <c r="C47" s="1239"/>
      <c r="D47" s="1239"/>
      <c r="E47" s="1239"/>
      <c r="F47" s="1239"/>
      <c r="G47" s="1239"/>
      <c r="H47" s="1239"/>
    </row>
    <row r="48" spans="2:17">
      <c r="B48" s="1239"/>
      <c r="C48" s="1239"/>
      <c r="D48" s="1239"/>
      <c r="E48" s="1239"/>
      <c r="F48" s="1239"/>
      <c r="G48" s="1239"/>
      <c r="H48" s="1239"/>
    </row>
    <row r="49" spans="2:8">
      <c r="B49" s="1239"/>
      <c r="C49" s="1239"/>
      <c r="D49" s="1239"/>
      <c r="E49" s="1239"/>
      <c r="F49" s="1239"/>
      <c r="G49" s="1239"/>
      <c r="H49" s="1239"/>
    </row>
    <row r="50" spans="2:8" ht="13.8">
      <c r="B50" s="2076" t="s">
        <v>3138</v>
      </c>
      <c r="C50" s="2076"/>
      <c r="D50" s="2076"/>
      <c r="E50" s="2076"/>
      <c r="F50" s="2076"/>
      <c r="G50" s="2076"/>
      <c r="H50" s="2076"/>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3">
    <tabColor theme="5" tint="0.59999389629810485"/>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INPUTS'!D56)&amp;"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659"/>
      <c r="C12" s="659" t="s">
        <v>3266</v>
      </c>
      <c r="D12" s="659"/>
      <c r="E12" s="659"/>
      <c r="F12" s="659"/>
      <c r="G12" s="864">
        <f>'41a-Utility3'!G44</f>
        <v>0</v>
      </c>
      <c r="H12" s="870">
        <f>'41a-Utility3'!H44</f>
        <v>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+'49-Utility3'!G22</f>
        <v>0</v>
      </c>
      <c r="K17" s="309"/>
      <c r="L17" s="309"/>
      <c r="M17" s="309"/>
      <c r="N17" s="309"/>
      <c r="O17" s="309"/>
      <c r="P17" s="309"/>
      <c r="Q17" s="309"/>
    </row>
    <row r="18" spans="2:17" ht="21" customHeight="1">
      <c r="B18" s="659"/>
      <c r="C18" s="659" t="s">
        <v>3386</v>
      </c>
      <c r="D18" s="659"/>
      <c r="E18" s="659"/>
      <c r="F18" s="659"/>
      <c r="G18" s="864"/>
      <c r="H18" s="870">
        <f>'49a-Utility3'!G11+'49a-Utility3'!G22+'49a.1-Utility3'!G11+'49a.1-Utility3'!G22</f>
        <v>0</v>
      </c>
    </row>
    <row r="19" spans="2:17" ht="21" customHeight="1">
      <c r="B19" s="659"/>
      <c r="C19" s="659" t="s">
        <v>3395</v>
      </c>
      <c r="D19" s="659"/>
      <c r="E19" s="659"/>
      <c r="F19" s="659"/>
      <c r="G19" s="864"/>
      <c r="H19" s="870">
        <f>+'51a-Utility3'!G23</f>
        <v>0</v>
      </c>
      <c r="K19" s="309"/>
      <c r="L19" s="309"/>
      <c r="M19" s="309"/>
      <c r="N19" s="309"/>
      <c r="O19" s="309"/>
      <c r="P19" s="309"/>
      <c r="Q19" s="309"/>
    </row>
    <row r="20" spans="2:17" ht="21" customHeight="1">
      <c r="B20" s="659"/>
      <c r="C20" s="871" t="s">
        <v>3140</v>
      </c>
      <c r="D20" s="659"/>
      <c r="E20" s="659"/>
      <c r="F20" s="659"/>
      <c r="G20" s="864"/>
      <c r="H20" s="870">
        <f>+'50.1-Utility3'!G18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+'52-Utility3'!K27</f>
        <v>0</v>
      </c>
      <c r="J22" s="371"/>
      <c r="K22" s="309"/>
      <c r="L22" s="309"/>
      <c r="M22" s="309"/>
      <c r="N22" s="309"/>
      <c r="O22" s="309"/>
      <c r="P22" s="309"/>
      <c r="Q22" s="309"/>
    </row>
    <row r="23" spans="2:17" ht="21" customHeight="1">
      <c r="B23" s="659"/>
      <c r="C23" s="659"/>
      <c r="D23" s="659" t="s">
        <v>801</v>
      </c>
      <c r="E23" s="659"/>
      <c r="F23" s="659"/>
      <c r="G23" s="864"/>
      <c r="H23" s="870">
        <f>+'52-Utility3'!L27</f>
        <v>0</v>
      </c>
      <c r="J23" s="371"/>
      <c r="K23" s="309"/>
      <c r="L23" s="309"/>
      <c r="M23" s="309"/>
      <c r="N23" s="309"/>
      <c r="O23" s="309"/>
      <c r="P23" s="309"/>
      <c r="Q23" s="309"/>
    </row>
    <row r="24" spans="2:17" ht="21" customHeight="1">
      <c r="B24" s="374"/>
      <c r="C24" s="617" t="s">
        <v>3139</v>
      </c>
      <c r="D24" s="617"/>
      <c r="E24" s="617"/>
      <c r="F24" s="617"/>
      <c r="G24" s="351"/>
      <c r="H24" s="540"/>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374"/>
      <c r="C40" s="374" t="s">
        <v>3202</v>
      </c>
      <c r="D40" s="374"/>
      <c r="E40" s="374"/>
      <c r="F40" s="374"/>
      <c r="G40" s="324"/>
      <c r="H40" s="298">
        <f>+'53-Utility3'!I41</f>
        <v>0</v>
      </c>
    </row>
    <row r="41" spans="2:13" ht="21" customHeight="1">
      <c r="B41" s="374"/>
      <c r="C41" s="374" t="s">
        <v>804</v>
      </c>
      <c r="D41" s="374"/>
      <c r="E41" s="374"/>
      <c r="F41" s="374"/>
      <c r="G41" s="324"/>
      <c r="H41" s="298">
        <f>+'53-Utility3'!I24</f>
        <v>0</v>
      </c>
    </row>
    <row r="42" spans="2:13" ht="21" customHeight="1">
      <c r="B42" s="374"/>
      <c r="C42" s="374" t="s">
        <v>642</v>
      </c>
      <c r="D42" s="374"/>
      <c r="E42" s="374"/>
      <c r="F42" s="374"/>
      <c r="G42" s="324"/>
      <c r="H42" s="298">
        <f>+'54-Utility3'!I42</f>
        <v>0</v>
      </c>
    </row>
    <row r="43" spans="2:13" ht="21" customHeight="1" thickBot="1">
      <c r="B43" s="374"/>
      <c r="C43" s="374"/>
      <c r="D43" s="374"/>
      <c r="E43" s="374"/>
      <c r="F43" s="374"/>
      <c r="G43" s="301"/>
      <c r="H43" s="377"/>
      <c r="I43" s="371"/>
      <c r="M43" s="371"/>
    </row>
    <row r="44" spans="2:13" ht="21" customHeight="1" thickBot="1">
      <c r="B44" s="374"/>
      <c r="C44" s="374" t="s">
        <v>799</v>
      </c>
      <c r="D44" s="374"/>
      <c r="E44" s="374"/>
      <c r="F44" s="374"/>
      <c r="G44" s="330">
        <f>SUM(G12:G42)</f>
        <v>0</v>
      </c>
      <c r="H44" s="376">
        <f>SUM(H12:H43)</f>
        <v>0</v>
      </c>
      <c r="I44" s="371"/>
      <c r="K44" s="371"/>
    </row>
    <row r="45" spans="2:13" ht="13.8" thickTop="1">
      <c r="B45" s="1895" t="s">
        <v>98</v>
      </c>
      <c r="C45" s="1895"/>
      <c r="D45" s="1895"/>
      <c r="E45" s="1895"/>
      <c r="F45" s="1895"/>
      <c r="G45" s="1896"/>
      <c r="H45" s="1896"/>
    </row>
    <row r="46" spans="2:13">
      <c r="B46" s="961"/>
      <c r="C46" s="961"/>
      <c r="D46" s="961"/>
      <c r="E46" s="961"/>
      <c r="F46" s="961"/>
      <c r="G46" s="961"/>
      <c r="H46" s="961"/>
    </row>
    <row r="47" spans="2:13">
      <c r="B47" s="961"/>
      <c r="C47" s="961"/>
      <c r="D47" s="961"/>
      <c r="E47" s="961"/>
      <c r="F47" s="961"/>
      <c r="G47" s="961"/>
      <c r="H47" s="961"/>
    </row>
    <row r="48" spans="2:13">
      <c r="B48" s="961"/>
      <c r="C48" s="961"/>
      <c r="D48" s="961"/>
      <c r="E48" s="961"/>
      <c r="F48" s="961"/>
      <c r="G48" s="961"/>
      <c r="H48" s="961"/>
    </row>
    <row r="49" spans="2:8">
      <c r="B49" s="961"/>
      <c r="C49" s="961"/>
      <c r="D49" s="961"/>
      <c r="E49" s="961"/>
      <c r="F49" s="961"/>
      <c r="G49" s="961"/>
      <c r="H49" s="961"/>
    </row>
    <row r="50" spans="2:8" ht="13.8">
      <c r="B50" s="1882" t="s">
        <v>3397</v>
      </c>
      <c r="C50" s="1882"/>
      <c r="D50" s="1882"/>
      <c r="E50" s="1882"/>
      <c r="F50" s="1882"/>
      <c r="G50" s="1882"/>
      <c r="H50" s="1882"/>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4">
    <tabColor theme="5" tint="0.59999389629810485"/>
  </sheetPr>
  <dimension ref="B1:R49"/>
  <sheetViews>
    <sheetView zoomScaleNormal="100" zoomScaleSheetLayoutView="80" workbookViewId="0">
      <selection activeCell="B10" sqref="B10:F10"/>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1" spans="2:18">
      <c r="B1" s="1086"/>
      <c r="C1" s="1086"/>
      <c r="D1" s="1086"/>
      <c r="E1" s="1086"/>
      <c r="F1" s="1086"/>
      <c r="G1" s="1086"/>
      <c r="H1" s="1086"/>
    </row>
    <row r="2" spans="2:18">
      <c r="B2" s="1086"/>
      <c r="C2" s="1086"/>
      <c r="D2" s="1086"/>
      <c r="E2" s="1086"/>
      <c r="F2" s="1086"/>
      <c r="G2" s="1086"/>
      <c r="H2" s="1086"/>
    </row>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571"/>
      <c r="H38" s="1066">
        <f>+'51-Utility3'!G23</f>
        <v>0</v>
      </c>
    </row>
    <row r="39" spans="2:8" ht="21" customHeight="1">
      <c r="B39" s="1077" t="s">
        <v>3204</v>
      </c>
      <c r="C39" s="1077"/>
      <c r="D39" s="1077"/>
      <c r="E39" s="1077"/>
      <c r="F39" s="1077"/>
      <c r="G39" s="571"/>
      <c r="H39" s="1066">
        <f>+'49-Utility3'!G11</f>
        <v>0</v>
      </c>
    </row>
    <row r="40" spans="2:8" ht="21" customHeight="1">
      <c r="B40" s="1077" t="s">
        <v>798</v>
      </c>
      <c r="C40" s="1077"/>
      <c r="D40" s="1077"/>
      <c r="E40" s="1077"/>
      <c r="F40" s="1077"/>
      <c r="G40" s="571"/>
      <c r="H40" s="1066">
        <f>'43-Utility3'!L20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c r="C43" s="1079"/>
      <c r="D43" s="1079"/>
      <c r="E43" s="1079"/>
      <c r="F43" s="1079"/>
      <c r="G43" s="1046">
        <f>SUM(G11:G42)</f>
        <v>0</v>
      </c>
      <c r="H43" s="1080">
        <f>SUM(H11:H42)</f>
        <v>0</v>
      </c>
    </row>
    <row r="44" spans="2:8">
      <c r="B44" s="1908" t="s">
        <v>98</v>
      </c>
      <c r="C44" s="1908"/>
      <c r="D44" s="1908"/>
      <c r="E44" s="1908"/>
      <c r="F44" s="1908"/>
      <c r="G44" s="1908"/>
      <c r="H44" s="1908"/>
    </row>
    <row r="45" spans="2:8">
      <c r="B45" s="746"/>
      <c r="C45" s="746"/>
      <c r="D45" s="746"/>
      <c r="E45" s="746"/>
      <c r="F45" s="746"/>
      <c r="G45" s="746"/>
      <c r="H45" s="746"/>
    </row>
    <row r="46" spans="2:8">
      <c r="B46" s="746"/>
      <c r="C46" s="746"/>
      <c r="D46" s="746"/>
      <c r="E46" s="746"/>
      <c r="F46" s="746"/>
      <c r="G46" s="746"/>
      <c r="H46" s="746"/>
    </row>
    <row r="47" spans="2:8">
      <c r="B47" s="746"/>
      <c r="C47" s="746"/>
      <c r="D47" s="746"/>
      <c r="E47" s="746"/>
      <c r="F47" s="746"/>
      <c r="G47" s="746"/>
      <c r="H47" s="746"/>
    </row>
    <row r="48" spans="2:8">
      <c r="B48" s="746"/>
      <c r="C48" s="746"/>
      <c r="D48" s="746"/>
      <c r="E48" s="746"/>
      <c r="F48" s="746"/>
      <c r="G48" s="746"/>
      <c r="H48" s="746"/>
    </row>
    <row r="49" spans="2:8" ht="13.8">
      <c r="B49" s="1933" t="s">
        <v>3142</v>
      </c>
      <c r="C49" s="1933"/>
      <c r="D49" s="1933"/>
      <c r="E49" s="1933"/>
      <c r="F49" s="1933"/>
      <c r="G49" s="1933"/>
      <c r="H49" s="1933"/>
    </row>
  </sheetData>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5">
    <tabColor theme="5" tint="0.59999389629810485"/>
  </sheetPr>
  <dimension ref="A2:V27"/>
  <sheetViews>
    <sheetView zoomScaleNormal="100" zoomScaleSheetLayoutView="80" workbookViewId="0">
      <selection activeCell="L7" sqref="L7"/>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INPUTS'!D56)&amp;" UTILITY  ASSESSMENT  TRUST  CASH  AND  INVESTMENTS"</f>
        <v>ANALYSIS  OF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pPd9Jb4Wg5kB7iw7KeZiU9wuntavmAOe+9fTNz4fbzFbzR4JmK6xQXhIrxboSdb4kqudwMpAbgyo1fBbFSueHg==" saltValue="54D+lACZJGrmi9Cm2t7tIA=="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6">
    <tabColor theme="5" tint="0.59999389629810485"/>
  </sheetPr>
  <dimension ref="B1:T55"/>
  <sheetViews>
    <sheetView zoomScaleNormal="100" zoomScaleSheetLayoutView="80" workbookViewId="0">
      <selection activeCell="B2" sqref="B2:J2"/>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1" spans="2:20">
      <c r="B1" s="1054"/>
      <c r="C1" s="1054"/>
      <c r="D1" s="1054"/>
      <c r="E1" s="1054"/>
      <c r="F1" s="1054"/>
      <c r="G1" s="1054"/>
      <c r="H1" s="1054"/>
      <c r="I1" s="1054"/>
      <c r="J1" s="1054"/>
    </row>
    <row r="2" spans="2:20" ht="22.8">
      <c r="B2" s="1887" t="str">
        <f>"SCHEDULE OF "&amp;UPPER('KEY INPUTS'!D56)&amp;" UTILITY BUDGET  -  "&amp;IF('KEY INPUTS'!C42="State Fiscal Year","FY "&amp;'KEY INPUTS'!D33&amp;"",'KEY INPUTS'!D34)&amp;""</f>
        <v>SCHEDULE OF  UTILITY BUDGET  -  2021</v>
      </c>
      <c r="C2" s="1887"/>
      <c r="D2" s="1887"/>
      <c r="E2" s="1887"/>
      <c r="F2" s="1887"/>
      <c r="G2" s="1887"/>
      <c r="H2" s="1887"/>
      <c r="I2" s="1887"/>
      <c r="J2" s="1887"/>
    </row>
    <row r="3" spans="2:20" ht="12" customHeight="1">
      <c r="B3" s="1241"/>
      <c r="C3" s="1241"/>
      <c r="D3" s="1241"/>
      <c r="E3" s="1241"/>
      <c r="F3" s="1241"/>
      <c r="G3" s="1241"/>
      <c r="H3" s="1241"/>
      <c r="I3" s="1241"/>
      <c r="J3" s="1241"/>
    </row>
    <row r="4" spans="2:20" ht="17.25" customHeight="1" thickBot="1">
      <c r="B4" s="2048" t="s">
        <v>832</v>
      </c>
      <c r="C4" s="2048"/>
      <c r="D4" s="2048"/>
      <c r="E4" s="2048"/>
      <c r="F4" s="2048"/>
      <c r="G4" s="2048"/>
      <c r="H4" s="2048"/>
      <c r="I4" s="2048"/>
      <c r="J4" s="2048"/>
    </row>
    <row r="5" spans="2:20" ht="13.8" thickTop="1">
      <c r="B5" s="2049" t="s">
        <v>165</v>
      </c>
      <c r="C5" s="2049"/>
      <c r="D5" s="2049"/>
      <c r="E5" s="2049"/>
      <c r="F5" s="2049"/>
      <c r="G5" s="2013"/>
      <c r="H5" s="1178" t="s">
        <v>535</v>
      </c>
      <c r="I5" s="1178" t="s">
        <v>638</v>
      </c>
      <c r="J5" s="1242" t="s">
        <v>319</v>
      </c>
    </row>
    <row r="6" spans="2:20" ht="13.8" thickBot="1">
      <c r="B6" s="2050"/>
      <c r="C6" s="2050"/>
      <c r="D6" s="2050"/>
      <c r="E6" s="2050"/>
      <c r="F6" s="2050"/>
      <c r="G6" s="2051"/>
      <c r="H6" s="1243"/>
      <c r="I6" s="1243" t="s">
        <v>318</v>
      </c>
      <c r="J6" s="1244" t="s">
        <v>320</v>
      </c>
    </row>
    <row r="7" spans="2:20" ht="21" customHeight="1" thickTop="1">
      <c r="B7" s="1110" t="s">
        <v>3156</v>
      </c>
      <c r="C7" s="1110"/>
      <c r="D7" s="1110"/>
      <c r="E7" s="1110"/>
      <c r="F7" s="1110"/>
      <c r="G7" s="1245"/>
      <c r="H7" s="575"/>
      <c r="I7" s="1249">
        <f>H7</f>
        <v>0</v>
      </c>
      <c r="J7" s="1143">
        <f>+I7-H7</f>
        <v>0</v>
      </c>
    </row>
    <row r="8" spans="2:20" ht="10.5" customHeight="1">
      <c r="B8" s="1149" t="s">
        <v>3155</v>
      </c>
      <c r="C8" s="1054"/>
      <c r="D8" s="1054"/>
      <c r="E8" s="1054"/>
      <c r="F8" s="1054"/>
      <c r="G8" s="1246"/>
      <c r="H8" s="1248"/>
      <c r="I8" s="1248"/>
      <c r="J8" s="1058"/>
    </row>
    <row r="9" spans="2:20">
      <c r="B9" s="1068" t="s">
        <v>168</v>
      </c>
      <c r="C9" s="1068"/>
      <c r="D9" s="1068"/>
      <c r="E9" s="1068"/>
      <c r="F9" s="1068"/>
      <c r="G9" s="1247"/>
      <c r="H9" s="622"/>
      <c r="I9" s="622"/>
      <c r="J9" s="816">
        <f t="shared" ref="J9:J15" si="0">+I9-H9</f>
        <v>0</v>
      </c>
    </row>
    <row r="10" spans="2:20" ht="21" customHeight="1">
      <c r="B10" s="617"/>
      <c r="C10" s="617"/>
      <c r="D10" s="617"/>
      <c r="E10" s="617"/>
      <c r="F10" s="617"/>
      <c r="G10" s="1106"/>
      <c r="H10" s="742"/>
      <c r="I10" s="742"/>
      <c r="J10" s="1250">
        <f t="shared" si="0"/>
        <v>0</v>
      </c>
      <c r="N10" s="309"/>
      <c r="O10" s="309"/>
      <c r="P10" s="309"/>
      <c r="Q10" s="309"/>
      <c r="R10" s="309"/>
      <c r="S10" s="309"/>
      <c r="T10" s="309"/>
    </row>
    <row r="11" spans="2:20" ht="21" customHeight="1">
      <c r="B11" s="617"/>
      <c r="C11" s="617"/>
      <c r="D11" s="617"/>
      <c r="E11" s="617"/>
      <c r="F11" s="617"/>
      <c r="G11" s="1106"/>
      <c r="H11" s="742"/>
      <c r="I11" s="742"/>
      <c r="J11" s="1064">
        <f t="shared" si="0"/>
        <v>0</v>
      </c>
      <c r="N11" s="309"/>
      <c r="O11" s="309"/>
      <c r="P11" s="309"/>
      <c r="Q11" s="309"/>
      <c r="R11" s="309"/>
      <c r="S11" s="309"/>
      <c r="T11" s="309"/>
    </row>
    <row r="12" spans="2:20" ht="21" customHeight="1">
      <c r="B12" s="617"/>
      <c r="C12" s="617"/>
      <c r="D12" s="617"/>
      <c r="E12" s="617"/>
      <c r="F12" s="617"/>
      <c r="G12" s="1106"/>
      <c r="H12" s="742"/>
      <c r="I12" s="742"/>
      <c r="J12" s="1064">
        <f t="shared" si="0"/>
        <v>0</v>
      </c>
      <c r="N12" s="356"/>
      <c r="O12" s="309"/>
      <c r="P12" s="309"/>
      <c r="Q12" s="309"/>
      <c r="R12" s="309"/>
      <c r="S12" s="309"/>
      <c r="T12" s="309"/>
    </row>
    <row r="13" spans="2:20" ht="21" customHeight="1">
      <c r="B13" s="617"/>
      <c r="C13" s="617"/>
      <c r="D13" s="617"/>
      <c r="E13" s="617"/>
      <c r="F13" s="617"/>
      <c r="G13" s="1106"/>
      <c r="H13" s="742"/>
      <c r="I13" s="742"/>
      <c r="J13" s="1064">
        <f t="shared" si="0"/>
        <v>0</v>
      </c>
      <c r="N13" s="309"/>
      <c r="O13" s="309"/>
      <c r="P13" s="309"/>
      <c r="Q13" s="309"/>
      <c r="R13" s="309"/>
      <c r="S13" s="309"/>
      <c r="T13" s="309"/>
    </row>
    <row r="14" spans="2:20" ht="21" customHeight="1">
      <c r="B14" s="617"/>
      <c r="C14" s="617"/>
      <c r="D14" s="617"/>
      <c r="E14" s="617"/>
      <c r="F14" s="617"/>
      <c r="G14" s="1106"/>
      <c r="H14" s="742"/>
      <c r="I14" s="742"/>
      <c r="J14" s="1064">
        <f t="shared" si="0"/>
        <v>0</v>
      </c>
      <c r="N14" s="309"/>
      <c r="O14" s="309"/>
      <c r="P14" s="309"/>
      <c r="Q14" s="309"/>
      <c r="R14" s="309"/>
      <c r="S14" s="309"/>
      <c r="T14" s="309"/>
    </row>
    <row r="15" spans="2:20" ht="21" customHeight="1">
      <c r="B15" s="659" t="s">
        <v>3154</v>
      </c>
      <c r="C15" s="659"/>
      <c r="D15" s="659"/>
      <c r="E15" s="659"/>
      <c r="F15" s="659"/>
      <c r="G15" s="1247"/>
      <c r="H15" s="742"/>
      <c r="I15" s="742"/>
      <c r="J15" s="1064">
        <f t="shared" si="0"/>
        <v>0</v>
      </c>
      <c r="N15" s="309"/>
      <c r="O15" s="309"/>
      <c r="P15" s="309"/>
      <c r="Q15" s="309"/>
      <c r="R15" s="309"/>
      <c r="S15" s="309"/>
      <c r="T15" s="309"/>
    </row>
    <row r="16" spans="2:20" ht="21" customHeight="1">
      <c r="B16" s="659" t="s">
        <v>3153</v>
      </c>
      <c r="C16" s="659"/>
      <c r="D16" s="659"/>
      <c r="E16" s="659"/>
      <c r="F16" s="659"/>
      <c r="G16" s="1247"/>
      <c r="H16" s="742"/>
      <c r="I16" s="742"/>
      <c r="J16" s="1064"/>
      <c r="N16" s="309"/>
      <c r="O16" s="309"/>
      <c r="P16" s="309"/>
      <c r="Q16" s="309"/>
      <c r="R16" s="309"/>
      <c r="S16" s="309"/>
      <c r="T16" s="309"/>
    </row>
    <row r="17" spans="2:20" ht="21" customHeight="1">
      <c r="B17" s="659" t="s">
        <v>3573</v>
      </c>
      <c r="C17" s="659"/>
      <c r="D17" s="659"/>
      <c r="E17" s="659"/>
      <c r="F17" s="659"/>
      <c r="G17" s="1247"/>
      <c r="H17" s="1114" t="s">
        <v>628</v>
      </c>
      <c r="I17" s="1114" t="s">
        <v>628</v>
      </c>
      <c r="J17" s="1240" t="s">
        <v>628</v>
      </c>
      <c r="N17" s="309"/>
      <c r="O17" s="309"/>
      <c r="P17" s="309"/>
      <c r="Q17" s="309"/>
      <c r="R17" s="309"/>
      <c r="S17" s="309"/>
      <c r="T17" s="309"/>
    </row>
    <row r="18" spans="2:20" ht="21" customHeight="1">
      <c r="B18" s="617"/>
      <c r="C18" s="617"/>
      <c r="D18" s="617"/>
      <c r="E18" s="617"/>
      <c r="F18" s="617"/>
      <c r="G18" s="617"/>
      <c r="H18" s="571"/>
      <c r="I18" s="571"/>
      <c r="J18" s="1064">
        <f>I18-H18</f>
        <v>0</v>
      </c>
      <c r="N18" s="309"/>
      <c r="O18" s="309"/>
      <c r="P18" s="309"/>
      <c r="Q18" s="309"/>
      <c r="R18" s="309"/>
      <c r="S18" s="309"/>
      <c r="T18" s="309"/>
    </row>
    <row r="19" spans="2:20" ht="21" customHeight="1" thickBot="1">
      <c r="B19" s="617"/>
      <c r="C19" s="617"/>
      <c r="D19" s="617"/>
      <c r="E19" s="617"/>
      <c r="F19" s="617"/>
      <c r="G19" s="617"/>
      <c r="H19" s="596"/>
      <c r="I19" s="596"/>
      <c r="J19" s="1474">
        <f>I19-H19</f>
        <v>0</v>
      </c>
      <c r="N19" s="309"/>
      <c r="O19" s="309"/>
      <c r="P19" s="309"/>
      <c r="Q19" s="309"/>
      <c r="R19" s="309"/>
      <c r="S19" s="309"/>
      <c r="T19" s="309"/>
    </row>
    <row r="20" spans="2:20" ht="21" customHeight="1" thickTop="1">
      <c r="B20" s="659"/>
      <c r="C20" s="659"/>
      <c r="D20" s="659" t="s">
        <v>317</v>
      </c>
      <c r="E20" s="659"/>
      <c r="F20" s="659"/>
      <c r="G20" s="1252"/>
      <c r="H20" s="1255">
        <f>SUM(H7:H19)</f>
        <v>0</v>
      </c>
      <c r="I20" s="1255">
        <f>SUM(I7:I19)</f>
        <v>0</v>
      </c>
      <c r="J20" s="816">
        <f>SUM(J7:J19)</f>
        <v>0</v>
      </c>
      <c r="N20" s="309"/>
      <c r="O20" s="309"/>
      <c r="P20" s="309"/>
      <c r="Q20" s="309"/>
      <c r="R20" s="309"/>
      <c r="S20" s="309"/>
      <c r="T20" s="309"/>
    </row>
    <row r="21" spans="2:20" ht="21" customHeight="1" thickBot="1">
      <c r="B21" s="659" t="s">
        <v>3152</v>
      </c>
      <c r="C21" s="1253"/>
      <c r="D21" s="1253"/>
      <c r="E21" s="659"/>
      <c r="F21" s="659"/>
      <c r="G21" s="1247"/>
      <c r="H21" s="623"/>
      <c r="I21" s="623"/>
      <c r="J21" s="1058">
        <f>I21-H21</f>
        <v>0</v>
      </c>
      <c r="N21" s="309"/>
      <c r="O21" s="309"/>
      <c r="P21" s="309"/>
      <c r="Q21" s="309"/>
      <c r="R21" s="309"/>
      <c r="S21" s="309"/>
      <c r="T21" s="309"/>
    </row>
    <row r="22" spans="2:20" ht="21" customHeight="1" thickTop="1" thickBot="1">
      <c r="B22" s="1054"/>
      <c r="C22" s="1054"/>
      <c r="D22" s="1054"/>
      <c r="E22" s="1054"/>
      <c r="F22" s="1054"/>
      <c r="G22" s="1254"/>
      <c r="H22" s="1256">
        <f>+H20+H21</f>
        <v>0</v>
      </c>
      <c r="I22" s="1256">
        <f>+I20+I21</f>
        <v>0</v>
      </c>
      <c r="J22" s="1251">
        <f>+J20+J21</f>
        <v>0</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2048" t="s">
        <v>321</v>
      </c>
      <c r="C27" s="2048"/>
      <c r="D27" s="2048"/>
      <c r="E27" s="2048"/>
      <c r="F27" s="2048"/>
      <c r="G27" s="2048"/>
      <c r="H27" s="2048"/>
      <c r="I27" s="2048"/>
      <c r="J27" s="2048"/>
    </row>
    <row r="28" spans="2:20" ht="21" customHeight="1" thickTop="1">
      <c r="B28" s="1257" t="s">
        <v>322</v>
      </c>
      <c r="C28" s="1258"/>
      <c r="D28" s="1258"/>
      <c r="E28" s="1258"/>
      <c r="F28" s="1258"/>
      <c r="G28" s="1258"/>
      <c r="H28" s="1258"/>
      <c r="I28" s="1259"/>
      <c r="J28" s="1260" t="s">
        <v>628</v>
      </c>
    </row>
    <row r="29" spans="2:20" ht="21" customHeight="1">
      <c r="B29" s="1261"/>
      <c r="C29" s="1262" t="s">
        <v>174</v>
      </c>
      <c r="D29" s="1262"/>
      <c r="E29" s="1262"/>
      <c r="F29" s="1262"/>
      <c r="G29" s="1262"/>
      <c r="H29" s="1262"/>
      <c r="I29" s="1263"/>
      <c r="J29" s="624"/>
    </row>
    <row r="30" spans="2:20" ht="21" customHeight="1">
      <c r="B30" s="1261"/>
      <c r="C30" s="1262" t="s">
        <v>3574</v>
      </c>
      <c r="D30" s="1262"/>
      <c r="E30" s="1262"/>
      <c r="F30" s="1262"/>
      <c r="G30" s="1262"/>
      <c r="H30" s="1262"/>
      <c r="I30" s="1263"/>
      <c r="J30" s="624"/>
    </row>
    <row r="31" spans="2:20" ht="21" customHeight="1" thickBot="1">
      <c r="B31" s="1261"/>
      <c r="C31" s="1262" t="s">
        <v>323</v>
      </c>
      <c r="D31" s="1262"/>
      <c r="E31" s="1262"/>
      <c r="F31" s="1262"/>
      <c r="G31" s="1262"/>
      <c r="H31" s="1262"/>
      <c r="I31" s="1263"/>
      <c r="J31" s="626"/>
    </row>
    <row r="32" spans="2:20" ht="21" customHeight="1" thickTop="1">
      <c r="B32" s="1261" t="s">
        <v>324</v>
      </c>
      <c r="C32" s="1262"/>
      <c r="D32" s="1262"/>
      <c r="E32" s="1262"/>
      <c r="F32" s="1262"/>
      <c r="G32" s="1262"/>
      <c r="H32" s="1262"/>
      <c r="I32" s="1264"/>
      <c r="J32" s="1265">
        <f>SUM(J29:J31)</f>
        <v>0</v>
      </c>
    </row>
    <row r="33" spans="2:13" ht="21" customHeight="1" thickBot="1">
      <c r="B33" s="1261" t="s">
        <v>325</v>
      </c>
      <c r="C33" s="1262"/>
      <c r="D33" s="1262"/>
      <c r="E33" s="1262"/>
      <c r="F33" s="1262"/>
      <c r="G33" s="1262"/>
      <c r="H33" s="1262"/>
      <c r="I33" s="1264"/>
      <c r="J33" s="626"/>
    </row>
    <row r="34" spans="2:13" ht="21" customHeight="1" thickTop="1">
      <c r="B34" s="1261" t="s">
        <v>727</v>
      </c>
      <c r="C34" s="1262"/>
      <c r="D34" s="1262"/>
      <c r="E34" s="1262"/>
      <c r="F34" s="1262"/>
      <c r="G34" s="1262"/>
      <c r="H34" s="1262"/>
      <c r="I34" s="1264"/>
      <c r="J34" s="1265">
        <f>+J32+J33</f>
        <v>0</v>
      </c>
    </row>
    <row r="35" spans="2:13" ht="21" customHeight="1">
      <c r="B35" s="1261" t="s">
        <v>326</v>
      </c>
      <c r="C35" s="1262"/>
      <c r="D35" s="1262"/>
      <c r="E35" s="1262"/>
      <c r="F35" s="1262"/>
      <c r="G35" s="1262"/>
      <c r="H35" s="1262"/>
      <c r="I35" s="1264"/>
      <c r="J35" s="1266"/>
    </row>
    <row r="36" spans="2:13" ht="21" customHeight="1">
      <c r="B36" s="1268"/>
      <c r="C36" s="1268" t="s">
        <v>594</v>
      </c>
      <c r="D36" s="1268"/>
      <c r="E36" s="1268"/>
      <c r="F36" s="1268"/>
      <c r="G36" s="1268"/>
      <c r="H36" s="1268"/>
      <c r="I36" s="627"/>
      <c r="J36" s="1267"/>
    </row>
    <row r="37" spans="2:13" ht="21" customHeight="1">
      <c r="B37" s="1268"/>
      <c r="C37" s="1268" t="s">
        <v>731</v>
      </c>
      <c r="D37" s="1268"/>
      <c r="E37" s="1268"/>
      <c r="F37" s="1268"/>
      <c r="G37" s="1268"/>
      <c r="H37" s="1268"/>
      <c r="I37" s="627"/>
      <c r="J37" s="1267"/>
    </row>
    <row r="38" spans="2:13" ht="21" customHeight="1" thickBot="1">
      <c r="B38" s="1268" t="s">
        <v>327</v>
      </c>
      <c r="C38" s="1268"/>
      <c r="D38" s="1268"/>
      <c r="E38" s="1268"/>
      <c r="F38" s="1268"/>
      <c r="G38" s="1268"/>
      <c r="H38" s="1268"/>
      <c r="I38" s="628"/>
      <c r="J38" s="624"/>
      <c r="M38" s="371"/>
    </row>
    <row r="39" spans="2:13" ht="21" customHeight="1" thickTop="1" thickBot="1">
      <c r="B39" s="1268" t="s">
        <v>732</v>
      </c>
      <c r="C39" s="1268"/>
      <c r="D39" s="1268"/>
      <c r="E39" s="1268"/>
      <c r="F39" s="1268"/>
      <c r="G39" s="1268"/>
      <c r="H39" s="1268"/>
      <c r="I39" s="1269"/>
      <c r="J39" s="1271">
        <f>SUM(I36:I38)</f>
        <v>0</v>
      </c>
    </row>
    <row r="40" spans="2:13" ht="21" customHeight="1" thickTop="1" thickBot="1">
      <c r="B40" s="1268" t="s">
        <v>328</v>
      </c>
      <c r="C40" s="1268"/>
      <c r="D40" s="1268"/>
      <c r="E40" s="1268"/>
      <c r="F40" s="1268"/>
      <c r="G40" s="1268"/>
      <c r="H40" s="1268"/>
      <c r="I40" s="1270"/>
      <c r="J40" s="1272">
        <f>+J34-J39</f>
        <v>0</v>
      </c>
      <c r="K40" s="371"/>
    </row>
    <row r="41" spans="2:13" ht="13.8" thickTop="1"/>
    <row r="42" spans="2:13">
      <c r="B42" s="399" t="s">
        <v>3149</v>
      </c>
      <c r="C42" s="399"/>
      <c r="D42" s="399"/>
      <c r="E42" s="399"/>
      <c r="F42" s="399"/>
    </row>
    <row r="43" spans="2:13">
      <c r="B43" s="399"/>
      <c r="C43" s="399" t="s">
        <v>3148</v>
      </c>
      <c r="D43" s="399"/>
      <c r="E43" s="399"/>
      <c r="F43" s="399"/>
    </row>
    <row r="44" spans="2:13">
      <c r="B44" s="399"/>
      <c r="C44" s="399"/>
      <c r="D44" s="399" t="s">
        <v>3147</v>
      </c>
      <c r="E44" s="399"/>
      <c r="F44" s="399"/>
      <c r="M44" s="371"/>
    </row>
    <row r="45" spans="2:13">
      <c r="B45" s="399"/>
      <c r="C45" s="399" t="s">
        <v>39</v>
      </c>
      <c r="D45" s="399"/>
      <c r="E45" s="399"/>
      <c r="F45" s="399"/>
    </row>
    <row r="46" spans="2:13">
      <c r="B46" s="399"/>
      <c r="C46" s="399" t="s">
        <v>3146</v>
      </c>
      <c r="D46" s="399"/>
      <c r="E46" s="399"/>
      <c r="F46" s="399"/>
    </row>
    <row r="47" spans="2:13">
      <c r="B47" s="399"/>
      <c r="C47" s="399"/>
      <c r="D47" s="399" t="s">
        <v>3145</v>
      </c>
      <c r="E47" s="399"/>
      <c r="F47" s="399"/>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jdMXMekGUsEzGqGeAQBIcaSHBXAnZZvVG8BTrtuxPIOTrTY1vcgiUfUVyO1R5q2aFdcWGp3uguwCROxSbSqn5Q==" saltValue="KlTrX3XDqxcnJGtPjpu+1Q=="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7">
    <tabColor theme="5" tint="0.59999389629810485"/>
  </sheetPr>
  <dimension ref="B1:T57"/>
  <sheetViews>
    <sheetView topLeftCell="A25" zoomScaleNormal="100" zoomScaleSheetLayoutView="80" workbookViewId="0">
      <selection activeCell="E50" sqref="E50"/>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1" spans="2:20">
      <c r="B1" s="1054"/>
      <c r="C1" s="1054"/>
      <c r="D1" s="1054"/>
      <c r="E1" s="1054"/>
      <c r="F1" s="1054"/>
      <c r="G1" s="1054"/>
      <c r="H1" s="1054"/>
      <c r="I1" s="1054"/>
      <c r="J1" s="1054"/>
      <c r="K1" s="1054"/>
    </row>
    <row r="2" spans="2:20">
      <c r="B2" s="1054"/>
      <c r="C2" s="1054"/>
      <c r="D2" s="1054"/>
      <c r="E2" s="1054"/>
      <c r="F2" s="1054"/>
      <c r="G2" s="1054"/>
      <c r="H2" s="1054"/>
      <c r="I2" s="1054"/>
      <c r="J2" s="1054"/>
      <c r="K2" s="1054"/>
    </row>
    <row r="3" spans="2:20" ht="22.8">
      <c r="B3" s="1887" t="str">
        <f>"STATEMENT  OF  "&amp;IF('KEY INPUTS'!C42="State Fiscal Year","FISCAL  YEAR  "&amp;'KEY INPUTS'!D33&amp;"",'KEY INPUTS'!D34)&amp;"  OPERATION"</f>
        <v>STATEMENT  OF  2021  OPERATION</v>
      </c>
      <c r="C3" s="1887"/>
      <c r="D3" s="1887"/>
      <c r="E3" s="1887"/>
      <c r="F3" s="1887"/>
      <c r="G3" s="1887"/>
      <c r="H3" s="1887"/>
      <c r="I3" s="1887"/>
      <c r="J3" s="1887"/>
      <c r="K3" s="1887"/>
    </row>
    <row r="4" spans="2:20">
      <c r="B4" s="1054"/>
      <c r="C4" s="1054"/>
      <c r="D4" s="1054"/>
      <c r="E4" s="1054"/>
      <c r="F4" s="1054"/>
      <c r="G4" s="1054"/>
      <c r="H4" s="1054"/>
      <c r="I4" s="1054"/>
      <c r="J4" s="1054"/>
      <c r="K4" s="1054"/>
    </row>
    <row r="5" spans="2:20" ht="20.399999999999999">
      <c r="B5" s="1909" t="str">
        <f>UPPER('KEY INPUTS'!D56)&amp;" UTILITY"</f>
        <v xml:space="preserve"> UTILITY</v>
      </c>
      <c r="C5" s="1909"/>
      <c r="D5" s="1909"/>
      <c r="E5" s="1909"/>
      <c r="F5" s="1909"/>
      <c r="G5" s="1909"/>
      <c r="H5" s="1909"/>
      <c r="I5" s="1909"/>
      <c r="J5" s="1909"/>
      <c r="K5" s="1909"/>
    </row>
    <row r="6" spans="2:20">
      <c r="B6" s="1054"/>
      <c r="C6" s="1054"/>
      <c r="D6" s="1054"/>
      <c r="E6" s="1054"/>
      <c r="F6" s="1054"/>
      <c r="G6" s="1054"/>
      <c r="H6" s="1054"/>
      <c r="I6" s="1054"/>
      <c r="J6" s="1054"/>
      <c r="K6" s="1054"/>
    </row>
    <row r="7" spans="2:20">
      <c r="B7" s="1054"/>
      <c r="C7" s="1054"/>
      <c r="D7" s="1054"/>
      <c r="E7" s="1054"/>
      <c r="F7" s="1054"/>
      <c r="G7" s="1054"/>
      <c r="H7" s="1054"/>
      <c r="I7" s="1054"/>
      <c r="J7" s="1054"/>
      <c r="K7" s="1054"/>
    </row>
    <row r="8" spans="2:20">
      <c r="B8" s="1054" t="s">
        <v>313</v>
      </c>
      <c r="C8" s="1129" t="str">
        <f>"Section 1 of this sheet is required to be filled out ONLY IF the "&amp;IF('KEY INPUTS'!C42="State Fiscal Year","Fiscal Year "&amp;'KEY INPUTS'!D33&amp;"",'KEY INPUTS'!D34)&amp;" "&amp;PROPER('KEY INPUTS'!D56)&amp;" Utility Budget contained"</f>
        <v>Section 1 of this sheet is required to be filled out ONLY IF the 2021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799"/>
      <c r="N15" s="309"/>
      <c r="O15" s="309"/>
      <c r="P15" s="309"/>
      <c r="Q15" s="309"/>
      <c r="R15" s="309"/>
      <c r="S15" s="309"/>
      <c r="T15" s="309"/>
    </row>
    <row r="16" spans="2:20" ht="21" customHeight="1">
      <c r="B16" s="659"/>
      <c r="C16" s="659" t="s">
        <v>333</v>
      </c>
      <c r="D16" s="659"/>
      <c r="E16" s="659"/>
      <c r="F16" s="659"/>
      <c r="G16" s="659"/>
      <c r="H16" s="659"/>
      <c r="I16" s="659"/>
      <c r="J16" s="800">
        <f>+'44-Utility3'!I20</f>
        <v>0</v>
      </c>
      <c r="K16" s="799"/>
      <c r="N16" s="309"/>
      <c r="O16" s="309"/>
      <c r="P16" s="309"/>
      <c r="Q16" s="309"/>
      <c r="R16" s="309"/>
      <c r="S16" s="309"/>
      <c r="T16" s="309"/>
    </row>
    <row r="17" spans="2:20" ht="21" customHeight="1">
      <c r="B17" s="659"/>
      <c r="C17" s="659" t="s">
        <v>334</v>
      </c>
      <c r="D17" s="659"/>
      <c r="E17" s="659"/>
      <c r="F17" s="659"/>
      <c r="G17" s="659"/>
      <c r="H17" s="659"/>
      <c r="I17" s="659"/>
      <c r="J17" s="547"/>
      <c r="K17" s="799"/>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c r="K18" s="799"/>
      <c r="N18" s="309"/>
      <c r="O18" s="309"/>
      <c r="P18" s="309"/>
      <c r="Q18" s="309"/>
      <c r="R18" s="309"/>
      <c r="S18" s="309"/>
      <c r="T18" s="309"/>
    </row>
    <row r="19" spans="2:20" ht="21" customHeight="1">
      <c r="B19" s="659"/>
      <c r="C19" s="617"/>
      <c r="D19" s="617"/>
      <c r="E19" s="617"/>
      <c r="F19" s="617"/>
      <c r="G19" s="617"/>
      <c r="H19" s="617"/>
      <c r="I19" s="617"/>
      <c r="J19" s="353"/>
      <c r="K19" s="799"/>
      <c r="N19" s="309"/>
      <c r="O19" s="309"/>
      <c r="P19" s="309"/>
      <c r="Q19" s="309"/>
      <c r="R19" s="309"/>
      <c r="S19" s="309"/>
      <c r="T19" s="309"/>
    </row>
    <row r="20" spans="2:20" ht="21" customHeight="1">
      <c r="B20" s="659"/>
      <c r="C20" s="617"/>
      <c r="D20" s="617"/>
      <c r="E20" s="617"/>
      <c r="F20" s="617"/>
      <c r="G20" s="617"/>
      <c r="H20" s="617"/>
      <c r="I20" s="617"/>
      <c r="J20" s="353"/>
      <c r="K20" s="799"/>
      <c r="N20" s="309"/>
      <c r="O20" s="309"/>
      <c r="P20" s="309"/>
      <c r="Q20" s="309"/>
      <c r="R20" s="309"/>
      <c r="S20" s="309"/>
      <c r="T20" s="309"/>
    </row>
    <row r="21" spans="2:20" ht="21" customHeight="1">
      <c r="B21" s="659"/>
      <c r="C21" s="659" t="s">
        <v>335</v>
      </c>
      <c r="D21" s="659"/>
      <c r="E21" s="659"/>
      <c r="F21" s="659"/>
      <c r="G21" s="659"/>
      <c r="H21" s="659"/>
      <c r="I21" s="659"/>
      <c r="J21" s="547"/>
      <c r="K21" s="809">
        <f>SUM(J16:J20)</f>
        <v>0</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+'44-Utility3'!I36</f>
        <v>0</v>
      </c>
      <c r="K24" s="799"/>
      <c r="N24" s="309"/>
      <c r="O24" s="309"/>
      <c r="P24" s="309"/>
      <c r="Q24" s="309"/>
      <c r="R24" s="309"/>
      <c r="S24" s="309"/>
      <c r="T24" s="309"/>
    </row>
    <row r="25" spans="2:20" ht="21" customHeight="1">
      <c r="B25" s="659"/>
      <c r="C25" s="659"/>
      <c r="D25" s="659" t="s">
        <v>731</v>
      </c>
      <c r="E25" s="659"/>
      <c r="F25" s="659"/>
      <c r="G25" s="659"/>
      <c r="H25" s="659"/>
      <c r="I25" s="659"/>
      <c r="J25" s="800">
        <f>+'44-Utility3'!I37</f>
        <v>0</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7"/>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0</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0</v>
      </c>
    </row>
    <row r="33" spans="2:15" ht="21" customHeight="1" thickTop="1" thickBot="1">
      <c r="B33" s="1122" t="s">
        <v>760</v>
      </c>
      <c r="C33" s="1122"/>
      <c r="D33" s="1122"/>
      <c r="E33" s="1122"/>
      <c r="F33" s="1122"/>
      <c r="G33" s="1122"/>
      <c r="H33" s="1122"/>
      <c r="I33" s="1122"/>
      <c r="J33" s="1123"/>
      <c r="K33" s="1124">
        <f>IF(M33&gt;0,M33,0)</f>
        <v>0</v>
      </c>
      <c r="M33" s="371">
        <f>+K21-K32</f>
        <v>0</v>
      </c>
      <c r="N33" s="679" t="s">
        <v>3212</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905"/>
      <c r="K35" s="799"/>
    </row>
    <row r="36" spans="2:15" ht="12.75" customHeight="1" thickBot="1">
      <c r="B36" s="1922"/>
      <c r="C36" s="1922"/>
      <c r="D36" s="1922"/>
      <c r="E36" s="1068" t="s">
        <v>3484</v>
      </c>
      <c r="F36" s="1068"/>
      <c r="G36" s="1068"/>
      <c r="H36" s="1068"/>
      <c r="I36" s="1068"/>
      <c r="J36" s="1119">
        <f>+K33-J34</f>
        <v>0</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+'44-Utility3'!I21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B42" s="1054"/>
      <c r="C42" s="1054"/>
      <c r="D42" s="1054"/>
      <c r="E42" s="1054"/>
      <c r="F42" s="1054"/>
      <c r="G42" s="1054"/>
      <c r="H42" s="1054"/>
      <c r="I42" s="1054"/>
      <c r="J42" s="799"/>
      <c r="K42" s="799"/>
    </row>
    <row r="43" spans="2:15" ht="17.399999999999999">
      <c r="B43" s="1108" t="s">
        <v>765</v>
      </c>
      <c r="C43" s="1054"/>
      <c r="D43" s="1054"/>
      <c r="E43" s="1054"/>
      <c r="F43" s="1054"/>
      <c r="G43" s="1054"/>
      <c r="H43" s="1054"/>
      <c r="I43" s="1054"/>
      <c r="J43" s="799"/>
      <c r="K43" s="799"/>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INPUTS'!D56)&amp;" Utility for "&amp;IF('KEY INPUTS'!C42="State Fiscal Year","Fiscal Year "&amp;'KEY INPUTS'!D33-1&amp;"",'KEY INPUTS'!D34-1)&amp;""</f>
        <v>Anticipated Deficit in the  Utility for 2020</v>
      </c>
      <c r="C46" s="1054"/>
      <c r="D46" s="1054"/>
      <c r="E46" s="1054"/>
      <c r="F46" s="1054"/>
      <c r="G46" s="1054"/>
      <c r="H46" s="1054"/>
      <c r="I46" s="1054"/>
      <c r="J46" s="799"/>
      <c r="K46" s="799"/>
      <c r="O46" s="309"/>
    </row>
    <row r="47" spans="2:15">
      <c r="B47" s="1054"/>
      <c r="C47" s="1054"/>
      <c r="D47" s="1054"/>
      <c r="E47" s="1054"/>
      <c r="F47" s="1054"/>
      <c r="G47" s="1054"/>
      <c r="H47" s="1054"/>
      <c r="I47" s="1054"/>
      <c r="J47" s="799"/>
      <c r="K47" s="799"/>
      <c r="O47" s="309"/>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c r="K48" s="799"/>
      <c r="O48" s="309"/>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s="309"/>
    </row>
    <row r="50" spans="2:15" ht="21" customHeight="1">
      <c r="B50" s="659" t="s">
        <v>766</v>
      </c>
      <c r="C50" s="659"/>
      <c r="D50" s="659"/>
      <c r="E50" s="659"/>
      <c r="F50" s="659"/>
      <c r="G50" s="659"/>
      <c r="H50" s="659"/>
      <c r="I50" s="659"/>
      <c r="J50" s="632"/>
      <c r="K50" s="809">
        <f>+MAX(0,J48-J49)</f>
        <v>0</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SCTTvkKM+UTN44O0Y+rethLvdlMtOek0l6y/j+//BRL44VxBb0s4IX7isJfh2O3erFLca9rDe23f3fYSU5AEuA==" saltValue="CP3Hgc0kG9wzgQGOp5ax+w=="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8">
    <tabColor theme="5" tint="0.59999389629810485"/>
  </sheetPr>
  <dimension ref="B1:Z52"/>
  <sheetViews>
    <sheetView zoomScaleNormal="100" zoomScaleSheetLayoutView="80" workbookViewId="0">
      <selection activeCell="B7" sqref="B7"/>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1" spans="2:26">
      <c r="B1" s="1054"/>
      <c r="C1" s="1054"/>
      <c r="D1" s="1054"/>
      <c r="E1" s="1054"/>
      <c r="F1" s="1054"/>
      <c r="G1" s="1054"/>
      <c r="H1" s="1054"/>
      <c r="I1" s="1054"/>
      <c r="J1" s="1054"/>
      <c r="K1" s="1054"/>
      <c r="L1" s="1054"/>
    </row>
    <row r="2" spans="2:26" ht="20.399999999999999">
      <c r="B2" s="1909" t="str">
        <f>"RESULTS  OF  "&amp;IF('KEY INPUTS'!C42="State Fiscal Year","FY  "&amp;'KEY INPUTS'!D33&amp;"",'KEY INPUTS'!D34)&amp;"  OPERATIONS  - "&amp;UPPER('KEY INPUTS'!D56)&amp;" UTILITY"</f>
        <v>RESULTS  OF  2021  OPERATIONS  -  UTILITY</v>
      </c>
      <c r="C2" s="1909"/>
      <c r="D2" s="1909"/>
      <c r="E2" s="1909"/>
      <c r="F2" s="1909"/>
      <c r="G2" s="1909"/>
      <c r="H2" s="1909"/>
      <c r="I2" s="1909"/>
      <c r="J2" s="1909"/>
      <c r="K2" s="1909"/>
      <c r="L2" s="1909"/>
    </row>
    <row r="3" spans="2:26" ht="13.8" thickBot="1">
      <c r="B3" s="1054"/>
      <c r="C3" s="1054"/>
      <c r="D3" s="1054"/>
      <c r="E3" s="1054"/>
      <c r="F3" s="1054"/>
      <c r="G3" s="1054"/>
      <c r="H3" s="1054"/>
      <c r="I3" s="1054"/>
      <c r="J3" s="1054"/>
      <c r="K3" s="1054"/>
      <c r="L3" s="1054"/>
    </row>
    <row r="4" spans="2:26" ht="21" customHeight="1" thickTop="1" thickBot="1">
      <c r="B4" s="1273"/>
      <c r="C4" s="1273"/>
      <c r="D4" s="1273"/>
      <c r="E4" s="1273"/>
      <c r="F4" s="1273"/>
      <c r="G4" s="1273"/>
      <c r="H4" s="1273"/>
      <c r="I4" s="1273"/>
      <c r="J4" s="1273"/>
      <c r="K4" s="1055" t="s">
        <v>96</v>
      </c>
      <c r="L4" s="1056" t="s">
        <v>97</v>
      </c>
    </row>
    <row r="5" spans="2:26" ht="21" customHeight="1" thickTop="1">
      <c r="B5" s="1150" t="s">
        <v>209</v>
      </c>
      <c r="C5" s="1110"/>
      <c r="D5" s="1110"/>
      <c r="E5" s="1110"/>
      <c r="F5" s="1110"/>
      <c r="G5" s="1110"/>
      <c r="H5" s="1110"/>
      <c r="I5" s="1110"/>
      <c r="J5" s="1110"/>
      <c r="K5" s="1142" t="s">
        <v>628</v>
      </c>
      <c r="L5" s="1143">
        <f>IF(+'44-Utility3'!J22&gt;0,+'44-Utility3'!J22,0)</f>
        <v>0</v>
      </c>
      <c r="N5" s="309"/>
      <c r="O5" s="309"/>
      <c r="P5" s="309"/>
      <c r="Q5" s="309"/>
      <c r="R5" s="309"/>
      <c r="S5" s="309"/>
      <c r="T5" s="309"/>
    </row>
    <row r="6" spans="2:26" ht="21" customHeight="1">
      <c r="B6" s="1572" t="s">
        <v>3604</v>
      </c>
      <c r="C6" s="659"/>
      <c r="D6" s="659"/>
      <c r="E6" s="659"/>
      <c r="F6" s="659"/>
      <c r="G6" s="659"/>
      <c r="H6" s="659"/>
      <c r="I6" s="659"/>
      <c r="J6" s="659"/>
      <c r="K6" s="1144" t="s">
        <v>628</v>
      </c>
      <c r="L6" s="1064">
        <f>+'44-Utility3'!J40</f>
        <v>0</v>
      </c>
      <c r="M6" s="708"/>
      <c r="N6" s="309"/>
      <c r="O6" s="309"/>
      <c r="P6" s="309"/>
      <c r="Q6" s="309"/>
      <c r="R6" s="309"/>
      <c r="S6" s="309"/>
      <c r="T6" s="309"/>
    </row>
    <row r="7" spans="2:26" ht="21" customHeight="1">
      <c r="B7" s="665" t="s">
        <v>210</v>
      </c>
      <c r="C7" s="659"/>
      <c r="D7" s="659"/>
      <c r="E7" s="659"/>
      <c r="F7" s="659"/>
      <c r="G7" s="659"/>
      <c r="H7" s="659"/>
      <c r="I7" s="659"/>
      <c r="J7" s="659"/>
      <c r="K7" s="1144" t="s">
        <v>628</v>
      </c>
      <c r="L7" s="1064">
        <f>'45-Utility3'!J17</f>
        <v>0</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659"/>
      <c r="J8" s="659"/>
      <c r="K8" s="1144" t="s">
        <v>628</v>
      </c>
      <c r="L8" s="1064">
        <f>+'45-Utility3'!K50</f>
        <v>0</v>
      </c>
      <c r="N8" s="309"/>
      <c r="O8" s="309"/>
      <c r="P8" s="309"/>
      <c r="Q8" s="309"/>
      <c r="R8" s="309"/>
      <c r="S8" s="309"/>
      <c r="T8" s="309"/>
    </row>
    <row r="9" spans="2:26" ht="21" customHeight="1">
      <c r="B9" s="674"/>
      <c r="C9" s="617"/>
      <c r="D9" s="617"/>
      <c r="E9" s="617"/>
      <c r="F9" s="617"/>
      <c r="G9" s="617"/>
      <c r="H9" s="617"/>
      <c r="I9" s="659"/>
      <c r="J9" s="659"/>
      <c r="K9" s="627"/>
      <c r="L9" s="578"/>
      <c r="N9" s="309"/>
      <c r="O9" s="309"/>
      <c r="P9" s="309"/>
      <c r="Q9" s="309"/>
      <c r="R9" s="309"/>
      <c r="S9" s="309"/>
      <c r="T9" s="309"/>
    </row>
    <row r="10" spans="2:26" ht="21" customHeight="1">
      <c r="B10" s="1054" t="s">
        <v>3164</v>
      </c>
      <c r="C10" s="1054"/>
      <c r="D10" s="1054"/>
      <c r="E10" s="1054"/>
      <c r="F10" s="1054"/>
      <c r="G10" s="1054"/>
      <c r="H10" s="1054"/>
      <c r="I10" s="1054"/>
      <c r="J10" s="1054"/>
      <c r="K10" s="658">
        <f>IF(+'44-Utility3'!J22&lt;0,-'44-Utility3'!J22,0)</f>
        <v>0</v>
      </c>
      <c r="L10" s="1146" t="s">
        <v>628</v>
      </c>
      <c r="M10" s="371">
        <f>+L9+L8+L7+L6+L5-K11-K10-K9</f>
        <v>0</v>
      </c>
      <c r="N10" s="679" t="s">
        <v>3374</v>
      </c>
      <c r="O10" s="309"/>
      <c r="P10" s="309"/>
      <c r="Q10" s="309"/>
      <c r="R10" s="309"/>
      <c r="S10" s="309"/>
      <c r="T10" s="309"/>
      <c r="V10" s="449">
        <f>-'44-Utility3'!U22</f>
        <v>0</v>
      </c>
    </row>
    <row r="11" spans="2:26" ht="21" customHeight="1">
      <c r="B11" s="671"/>
      <c r="C11" s="1139"/>
      <c r="D11" s="617"/>
      <c r="E11" s="617"/>
      <c r="F11" s="617"/>
      <c r="G11" s="617"/>
      <c r="H11" s="617"/>
      <c r="I11" s="659"/>
      <c r="J11" s="659"/>
      <c r="K11" s="571"/>
      <c r="L11" s="1146" t="s">
        <v>628</v>
      </c>
      <c r="N11" s="309"/>
      <c r="O11" s="309"/>
      <c r="P11" s="309"/>
      <c r="Q11" s="309"/>
      <c r="R11" s="309"/>
      <c r="S11" s="309"/>
      <c r="T11" s="309"/>
      <c r="U11" s="309"/>
      <c r="V11" s="309"/>
      <c r="W11" s="309"/>
      <c r="X11" s="309"/>
      <c r="Y11" s="309"/>
      <c r="Z11" s="309"/>
    </row>
    <row r="12" spans="2:26" ht="21" customHeight="1">
      <c r="B12" s="665" t="s">
        <v>211</v>
      </c>
      <c r="C12" s="1112"/>
      <c r="D12" s="659"/>
      <c r="E12" s="659"/>
      <c r="F12" s="659"/>
      <c r="G12" s="659"/>
      <c r="H12" s="659"/>
      <c r="I12" s="659"/>
      <c r="J12" s="659"/>
      <c r="K12" s="1144" t="s">
        <v>628</v>
      </c>
      <c r="L12" s="1145">
        <f>IF(M10&gt;0,0,M10*-1)</f>
        <v>0</v>
      </c>
      <c r="N12" s="309"/>
      <c r="O12" s="309"/>
      <c r="P12" s="309"/>
      <c r="Q12" s="309"/>
      <c r="R12" s="309"/>
      <c r="S12" s="309"/>
      <c r="T12" s="309"/>
      <c r="U12" s="309"/>
      <c r="V12" s="309"/>
      <c r="W12" s="309"/>
      <c r="X12" s="309"/>
      <c r="Y12" s="309"/>
      <c r="Z12" s="309"/>
    </row>
    <row r="13" spans="2:26" ht="21" customHeight="1" thickBot="1">
      <c r="B13" s="665" t="s">
        <v>212</v>
      </c>
      <c r="C13" s="1112"/>
      <c r="D13" s="659"/>
      <c r="E13" s="659"/>
      <c r="F13" s="659"/>
      <c r="G13" s="659"/>
      <c r="H13" s="659"/>
      <c r="I13" s="659"/>
      <c r="J13" s="659"/>
      <c r="K13" s="658">
        <f>IF(M10&gt;0,M10,0)</f>
        <v>0</v>
      </c>
      <c r="L13" s="1147" t="s">
        <v>628</v>
      </c>
      <c r="M13" s="371"/>
      <c r="N13" s="309"/>
      <c r="O13" s="309"/>
      <c r="P13" s="309"/>
      <c r="Q13" s="309"/>
      <c r="R13" s="309"/>
      <c r="S13" s="309"/>
      <c r="T13" s="309"/>
      <c r="U13" s="309"/>
      <c r="V13" s="448">
        <f>U11</f>
        <v>0</v>
      </c>
      <c r="W13" s="309"/>
      <c r="X13" s="309"/>
      <c r="Y13" s="309"/>
      <c r="Z13" s="309"/>
    </row>
    <row r="14" spans="2:26" ht="21" customHeight="1" thickBot="1">
      <c r="B14" s="1149" t="s">
        <v>3163</v>
      </c>
      <c r="C14" s="1054"/>
      <c r="D14" s="1054"/>
      <c r="E14" s="1054"/>
      <c r="F14" s="1054"/>
      <c r="G14" s="1054"/>
      <c r="H14" s="1054"/>
      <c r="I14" s="1054"/>
      <c r="J14" s="1054"/>
      <c r="K14" s="1071">
        <f>SUM(K5:K13)</f>
        <v>0</v>
      </c>
      <c r="L14" s="1072">
        <f>SUM(L5:L13)</f>
        <v>0</v>
      </c>
      <c r="M14" s="371">
        <f>L14-K14</f>
        <v>0</v>
      </c>
      <c r="N14" s="679" t="s">
        <v>3374</v>
      </c>
      <c r="O14" s="309"/>
      <c r="P14" s="309"/>
      <c r="Q14" s="309"/>
      <c r="R14" s="309"/>
      <c r="S14" s="309"/>
      <c r="T14" s="309"/>
      <c r="U14" s="309"/>
      <c r="V14" s="309"/>
      <c r="W14" s="309"/>
      <c r="X14" s="309"/>
      <c r="Y14" s="309"/>
      <c r="Z14" s="309"/>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INPUTS'!D56)&amp;" UTILITY"</f>
        <v>OPERATING  SURPLUS  -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B18" s="1054"/>
      <c r="C18" s="1054"/>
      <c r="D18" s="1054"/>
      <c r="E18" s="1054"/>
      <c r="F18" s="1054"/>
      <c r="G18" s="1054"/>
      <c r="H18" s="1054"/>
      <c r="I18" s="1054"/>
      <c r="J18" s="1054"/>
      <c r="K18" s="1054"/>
      <c r="L18" s="1054"/>
      <c r="N18" s="309"/>
      <c r="O18" s="309"/>
      <c r="P18" s="309"/>
      <c r="Q18" s="309"/>
      <c r="R18" s="309"/>
      <c r="S18" s="309"/>
      <c r="T18" s="309"/>
    </row>
    <row r="19" spans="2:20" ht="25.5" customHeight="1" thickTop="1" thickBot="1">
      <c r="B19" s="1273"/>
      <c r="C19" s="1273"/>
      <c r="D19" s="1273"/>
      <c r="E19" s="1273"/>
      <c r="F19" s="1273"/>
      <c r="G19" s="1273"/>
      <c r="H19" s="1273"/>
      <c r="I19" s="1273"/>
      <c r="J19" s="1273"/>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275" t="s">
        <v>628</v>
      </c>
      <c r="L20" s="881"/>
      <c r="N20" s="309"/>
      <c r="O20" s="309"/>
      <c r="P20" s="309"/>
      <c r="Q20" s="309"/>
      <c r="R20" s="309"/>
      <c r="S20" s="309"/>
      <c r="T20" s="309"/>
    </row>
    <row r="21" spans="2:20" ht="21" customHeight="1">
      <c r="B21" s="1140"/>
      <c r="C21" s="617"/>
      <c r="D21" s="617"/>
      <c r="E21" s="617"/>
      <c r="F21" s="617"/>
      <c r="G21" s="617"/>
      <c r="H21" s="617"/>
      <c r="I21" s="617"/>
      <c r="J21" s="617"/>
      <c r="K21" s="1138"/>
      <c r="L21" s="879"/>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276" t="s">
        <v>628</v>
      </c>
      <c r="L22" s="1277">
        <f>+K13</f>
        <v>0</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1278">
        <f>'44-Utility3'!I7</f>
        <v>0</v>
      </c>
      <c r="L23" s="1279"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2054"/>
      <c r="L24" s="2052" t="s">
        <v>628</v>
      </c>
    </row>
    <row r="25" spans="2:20" ht="12.75" customHeight="1">
      <c r="B25" s="1068" t="s">
        <v>842</v>
      </c>
      <c r="C25" s="1068"/>
      <c r="D25" s="1068"/>
      <c r="E25" s="1068"/>
      <c r="F25" s="1068"/>
      <c r="G25" s="1068"/>
      <c r="H25" s="1068"/>
      <c r="I25" s="1068"/>
      <c r="J25" s="1068"/>
      <c r="K25" s="2055"/>
      <c r="L25" s="2053"/>
    </row>
    <row r="26" spans="2:20" ht="21" customHeight="1">
      <c r="B26" s="1140"/>
      <c r="C26" s="617"/>
      <c r="D26" s="617"/>
      <c r="E26" s="617"/>
      <c r="F26" s="617"/>
      <c r="G26" s="617"/>
      <c r="H26" s="617"/>
      <c r="I26" s="617"/>
      <c r="J26" s="617"/>
      <c r="K26" s="880"/>
      <c r="L26" s="1141"/>
    </row>
    <row r="27" spans="2:20" ht="21" customHeight="1" thickBot="1">
      <c r="B27" s="659" t="str">
        <f>IF('KEY INPUTS'!C42 = "State Fiscal Year", 'KEY INPUTS'!F26,'KEY INPUTS'!D26)</f>
        <v>Balance - December 31, 2021</v>
      </c>
      <c r="C27" s="659"/>
      <c r="D27" s="659"/>
      <c r="E27" s="659"/>
      <c r="F27" s="659"/>
      <c r="G27" s="659"/>
      <c r="H27" s="659"/>
      <c r="I27" s="659"/>
      <c r="J27" s="659"/>
      <c r="K27" s="1280">
        <f>+SUM(L20:L26)-SUM(K21:K26)</f>
        <v>0</v>
      </c>
      <c r="L27" s="1281" t="s">
        <v>628</v>
      </c>
      <c r="N27" s="738" t="s">
        <v>3249</v>
      </c>
    </row>
    <row r="28" spans="2:20" ht="21" customHeight="1" thickBot="1">
      <c r="B28" s="1054"/>
      <c r="C28" s="1054"/>
      <c r="D28" s="1054"/>
      <c r="E28" s="1054"/>
      <c r="F28" s="1054"/>
      <c r="G28" s="1054"/>
      <c r="H28" s="1054"/>
      <c r="I28" s="1054"/>
      <c r="J28" s="1054"/>
      <c r="K28" s="1071">
        <f>SUM(K21:K27)</f>
        <v>0</v>
      </c>
      <c r="L28" s="1072">
        <f>SUM(L20:L27)</f>
        <v>0</v>
      </c>
    </row>
    <row r="29" spans="2:20" ht="13.8" thickTop="1"/>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6" t="str">
        <f>"(FROM "&amp;UPPER('KEY INPUTS'!D56)&amp;" UTILITY  -  TRIAL  BALANCE)"</f>
        <v>(FROM  UTILITY  -  TRIAL  BALANCE)</v>
      </c>
      <c r="C33" s="1926"/>
      <c r="D33" s="1926"/>
      <c r="E33" s="1926"/>
      <c r="F33" s="1926"/>
      <c r="G33" s="1926"/>
      <c r="H33" s="1926"/>
      <c r="I33" s="1926"/>
      <c r="J33" s="1926"/>
      <c r="K33" s="1926"/>
      <c r="L33" s="1926"/>
    </row>
    <row r="34" spans="2:14" ht="13.8" thickBot="1">
      <c r="B34" s="1054"/>
      <c r="C34" s="1054"/>
      <c r="D34" s="1054"/>
      <c r="E34" s="1054"/>
      <c r="F34" s="1054"/>
      <c r="G34" s="1054"/>
      <c r="H34" s="1054"/>
      <c r="I34" s="1054"/>
      <c r="J34" s="1054"/>
      <c r="K34" s="1054"/>
      <c r="L34" s="1054"/>
    </row>
    <row r="35" spans="2:14" ht="21" customHeight="1" thickTop="1">
      <c r="B35" s="1110" t="s">
        <v>194</v>
      </c>
      <c r="C35" s="1110"/>
      <c r="D35" s="1110"/>
      <c r="E35" s="1110"/>
      <c r="F35" s="1110"/>
      <c r="G35" s="1110"/>
      <c r="H35" s="1110"/>
      <c r="I35" s="1110"/>
      <c r="J35" s="1110"/>
      <c r="K35" s="1154"/>
      <c r="L35" s="1153">
        <f>+'41-Utility3'!G13</f>
        <v>0</v>
      </c>
    </row>
    <row r="36" spans="2:14" ht="21" customHeight="1">
      <c r="B36" s="659" t="s">
        <v>315</v>
      </c>
      <c r="C36" s="659"/>
      <c r="D36" s="659"/>
      <c r="E36" s="659"/>
      <c r="F36" s="659"/>
      <c r="G36" s="659"/>
      <c r="H36" s="659"/>
      <c r="I36" s="659"/>
      <c r="J36" s="659"/>
      <c r="K36" s="1155"/>
      <c r="L36" s="600"/>
    </row>
    <row r="37" spans="2:14" ht="21" customHeight="1" thickBot="1">
      <c r="B37" s="659" t="s">
        <v>664</v>
      </c>
      <c r="C37" s="659"/>
      <c r="D37" s="659"/>
      <c r="E37" s="659"/>
      <c r="F37" s="659"/>
      <c r="G37" s="659"/>
      <c r="H37" s="659"/>
      <c r="I37" s="659"/>
      <c r="J37" s="659"/>
      <c r="K37" s="1155"/>
      <c r="L37" s="602"/>
    </row>
    <row r="38" spans="2:14" ht="21" customHeight="1" thickTop="1">
      <c r="B38" s="659"/>
      <c r="C38" s="659"/>
      <c r="D38" s="659" t="s">
        <v>317</v>
      </c>
      <c r="E38" s="659"/>
      <c r="F38" s="659"/>
      <c r="G38" s="659"/>
      <c r="H38" s="659"/>
      <c r="I38" s="659"/>
      <c r="J38" s="659"/>
      <c r="K38" s="1155"/>
      <c r="L38" s="1156">
        <f>SUM(L35:L37)</f>
        <v>0</v>
      </c>
    </row>
    <row r="39" spans="2:14" ht="21" customHeight="1" thickBot="1">
      <c r="B39" s="659" t="s">
        <v>362</v>
      </c>
      <c r="C39" s="659"/>
      <c r="D39" s="659"/>
      <c r="E39" s="659"/>
      <c r="F39" s="659"/>
      <c r="G39" s="659"/>
      <c r="H39" s="659"/>
      <c r="I39" s="659"/>
      <c r="J39" s="659"/>
      <c r="K39" s="1155"/>
      <c r="L39" s="1157">
        <f>+'41-Utility3'!H39</f>
        <v>0</v>
      </c>
    </row>
    <row r="40" spans="2:14" ht="21" customHeight="1" thickTop="1">
      <c r="B40" s="659"/>
      <c r="C40" s="659"/>
      <c r="D40" s="659" t="s">
        <v>207</v>
      </c>
      <c r="E40" s="659"/>
      <c r="F40" s="659"/>
      <c r="G40" s="659"/>
      <c r="H40" s="659"/>
      <c r="I40" s="659"/>
      <c r="J40" s="659"/>
      <c r="K40" s="1155"/>
      <c r="L40" s="1156">
        <f>+L38-L39</f>
        <v>0</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c r="L42" s="1060"/>
    </row>
    <row r="43" spans="2:14" ht="21" customHeight="1">
      <c r="B43" s="659"/>
      <c r="C43" s="659" t="s">
        <v>208</v>
      </c>
      <c r="D43" s="659"/>
      <c r="E43" s="659"/>
      <c r="F43" s="659"/>
      <c r="G43" s="659"/>
      <c r="H43" s="659"/>
      <c r="I43" s="659"/>
      <c r="J43" s="659"/>
      <c r="K43" s="571"/>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1160" t="str">
        <f>"# MAY NOT BE ANTICIPATED AS NON-CASH SURPLUS IN "&amp;TEXT('KEY INPUTS'!D34,"0")&amp;" BUDGET."</f>
        <v># MAY NOT BE ANTICIPATED AS NON-CASH SURPLUS IN 2021 BUDGET.</v>
      </c>
      <c r="C45" s="1054"/>
      <c r="D45" s="1054"/>
      <c r="E45" s="1054"/>
      <c r="F45" s="1054"/>
      <c r="G45" s="1054"/>
      <c r="H45" s="1054"/>
      <c r="I45" s="1054"/>
      <c r="J45" s="1054"/>
      <c r="K45" s="1161"/>
      <c r="L45" s="1158">
        <f>+L40+L44</f>
        <v>0</v>
      </c>
      <c r="M45" s="371"/>
      <c r="N45" s="738" t="s">
        <v>3249</v>
      </c>
    </row>
    <row r="46" spans="2:14" ht="13.8" thickTop="1">
      <c r="B46" s="442" t="s">
        <v>213</v>
      </c>
      <c r="C46" s="442"/>
    </row>
    <row r="47" spans="2:14">
      <c r="B47" s="442"/>
      <c r="C47" s="442" t="s">
        <v>3162</v>
      </c>
    </row>
    <row r="52" spans="2:12" ht="13.8">
      <c r="B52" s="1882" t="s">
        <v>3161</v>
      </c>
      <c r="C52" s="1882"/>
      <c r="D52" s="1882"/>
      <c r="E52" s="1882"/>
      <c r="F52" s="1882"/>
      <c r="G52" s="1882"/>
      <c r="H52" s="1882"/>
      <c r="I52" s="1882"/>
      <c r="J52" s="1882"/>
      <c r="K52" s="1882"/>
      <c r="L52" s="1882"/>
    </row>
  </sheetData>
  <sheetProtection algorithmName="SHA-512" hashValue="MtJoUWZMx5h7llMTRL8wZ3tTkXMPT0x2rtdHdYbTOl1j/U8FoPVNoU7WiPzuBE+116UObLvHjiJEcpslHH8sOQ==" saltValue="sgSa10l+zjsRHu/Z4XJ5Ag=="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9">
    <tabColor theme="5" tint="0.59999389629810485"/>
  </sheetPr>
  <dimension ref="B3:T69"/>
  <sheetViews>
    <sheetView zoomScaleNormal="100" zoomScaleSheetLayoutView="80" workbookViewId="0">
      <selection activeCell="B55" sqref="B55"/>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INPUTS'!D56&amp;"  UTILITY  ACCOUNTS  RECEIVABLE")</f>
        <v>SCHEDULE  OF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132" t="s">
        <v>3485</v>
      </c>
      <c r="E11" s="1132"/>
      <c r="F11" s="1132"/>
      <c r="G11" s="1054"/>
      <c r="J11" s="275"/>
      <c r="K11" s="318" t="s">
        <v>373</v>
      </c>
      <c r="L11" s="552"/>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c r="K16" s="275"/>
      <c r="L16" s="275"/>
      <c r="N16" s="309"/>
      <c r="O16" s="309"/>
      <c r="P16" s="309"/>
      <c r="Q16" s="309"/>
      <c r="R16" s="309"/>
      <c r="S16" s="309"/>
      <c r="T16" s="309"/>
    </row>
    <row r="17" spans="2:20" ht="21" customHeight="1">
      <c r="D17" s="318" t="s">
        <v>217</v>
      </c>
      <c r="I17" s="318" t="s">
        <v>373</v>
      </c>
      <c r="J17" s="552"/>
      <c r="K17" s="275"/>
      <c r="L17" s="275"/>
      <c r="N17" s="309"/>
      <c r="O17" s="309"/>
      <c r="P17" s="309"/>
      <c r="Q17" s="309"/>
      <c r="R17" s="309"/>
      <c r="S17" s="309"/>
      <c r="T17" s="309"/>
    </row>
    <row r="18" spans="2:20" ht="21" customHeight="1">
      <c r="D18" s="1054" t="s">
        <v>3486</v>
      </c>
      <c r="E18" s="1054"/>
      <c r="F18" s="1132"/>
      <c r="G18" s="1132"/>
      <c r="I18" s="318" t="s">
        <v>373</v>
      </c>
      <c r="J18" s="552"/>
      <c r="K18" s="275"/>
      <c r="L18" s="275"/>
      <c r="N18" s="309"/>
      <c r="O18" s="309"/>
      <c r="P18" s="309"/>
      <c r="Q18" s="309"/>
      <c r="R18" s="309"/>
      <c r="S18" s="309"/>
      <c r="T18" s="309"/>
    </row>
    <row r="19" spans="2:20" ht="21" customHeight="1">
      <c r="D19" s="318" t="s">
        <v>218</v>
      </c>
      <c r="I19" s="318" t="s">
        <v>373</v>
      </c>
      <c r="J19" s="552"/>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0</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0</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INPUTS'!D56)&amp;" UTILITY  LIENS"</f>
        <v>SCHEDULE  OF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c r="K41" s="275"/>
      <c r="L41" s="275"/>
    </row>
    <row r="42" spans="2:12" ht="21" customHeight="1">
      <c r="D42" s="318" t="s">
        <v>220</v>
      </c>
      <c r="I42" s="318" t="s">
        <v>373</v>
      </c>
      <c r="J42" s="552"/>
      <c r="K42" s="275"/>
      <c r="L42" s="275"/>
    </row>
    <row r="43" spans="2:12" ht="21" customHeight="1">
      <c r="D43" s="318" t="s">
        <v>218</v>
      </c>
      <c r="I43" s="318" t="s">
        <v>373</v>
      </c>
      <c r="J43" s="552"/>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c r="K48" s="275"/>
      <c r="L48" s="275"/>
    </row>
    <row r="49" spans="2:12" ht="21" customHeight="1">
      <c r="D49" s="318" t="s">
        <v>218</v>
      </c>
      <c r="I49" s="318" t="s">
        <v>373</v>
      </c>
      <c r="J49" s="552"/>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HPucMdv/acKSxbA3mujI4TPGkYdNAR1G6qYZK7/wYC9lcA1Ed4jRvzkbm5HDBpqUzogDJ6fkBfh/5Mb4hr+kmQ==" saltValue="6i5WebPDQrm1ELCMjjUz0g=="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0">
    <tabColor theme="5" tint="0.59999389629810485"/>
  </sheetPr>
  <dimension ref="B1:W69"/>
  <sheetViews>
    <sheetView topLeftCell="A19" zoomScaleNormal="100" zoomScaleSheetLayoutView="80" workbookViewId="0">
      <selection activeCell="N45" sqref="N45"/>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1" spans="2:23">
      <c r="B1" s="1086"/>
      <c r="C1" s="1086"/>
      <c r="D1" s="1086"/>
      <c r="E1" s="1086"/>
      <c r="F1" s="1086"/>
      <c r="G1" s="1086"/>
      <c r="H1" s="1086"/>
      <c r="I1" s="1086"/>
      <c r="J1" s="1086"/>
      <c r="K1" s="1086"/>
      <c r="L1" s="1086"/>
      <c r="M1" s="1086"/>
      <c r="N1" s="1086"/>
    </row>
    <row r="2" spans="2:23">
      <c r="B2" s="1086"/>
      <c r="C2" s="1086"/>
      <c r="D2" s="1086"/>
      <c r="E2" s="1086"/>
      <c r="F2" s="1086"/>
      <c r="G2" s="1086"/>
      <c r="H2" s="1086"/>
      <c r="I2" s="1086"/>
      <c r="J2" s="1086"/>
      <c r="K2" s="1086"/>
      <c r="L2" s="1086"/>
      <c r="M2" s="1086"/>
      <c r="N2" s="1086"/>
    </row>
    <row r="3" spans="2:23" ht="20.399999999999999">
      <c r="B3" s="2000" t="s">
        <v>869</v>
      </c>
      <c r="C3" s="2000"/>
      <c r="D3" s="2000"/>
      <c r="E3" s="2000"/>
      <c r="F3" s="2000"/>
      <c r="G3" s="2000"/>
      <c r="H3" s="2000"/>
      <c r="I3" s="2000"/>
      <c r="J3" s="2000"/>
      <c r="K3" s="2000"/>
      <c r="L3" s="2000"/>
      <c r="M3" s="2000"/>
      <c r="N3" s="2000"/>
    </row>
    <row r="4" spans="2:23" ht="15.6">
      <c r="B4" s="2059" t="s">
        <v>421</v>
      </c>
      <c r="C4" s="2059"/>
      <c r="D4" s="2059"/>
      <c r="E4" s="2059"/>
      <c r="F4" s="2059"/>
      <c r="G4" s="2059"/>
      <c r="H4" s="2059"/>
      <c r="I4" s="2059"/>
      <c r="J4" s="2059"/>
      <c r="K4" s="2059"/>
      <c r="L4" s="2059"/>
      <c r="M4" s="2059"/>
      <c r="N4" s="2059"/>
    </row>
    <row r="5" spans="2:23" ht="20.399999999999999">
      <c r="B5" s="1909" t="str">
        <f>UPPER('KEY INPUTS'!D56)&amp;" UTILITY  FUND"</f>
        <v xml:space="preserve"> UTILITY  FUND</v>
      </c>
      <c r="C5" s="1909"/>
      <c r="D5" s="1909"/>
      <c r="E5" s="1909"/>
      <c r="F5" s="1909"/>
      <c r="G5" s="1909"/>
      <c r="H5" s="1909"/>
      <c r="I5" s="1909"/>
      <c r="J5" s="1909"/>
      <c r="K5" s="1909"/>
      <c r="L5" s="1909"/>
      <c r="M5" s="1909"/>
      <c r="N5" s="1909"/>
    </row>
    <row r="6" spans="2:23">
      <c r="B6" s="2060" t="s">
        <v>3575</v>
      </c>
      <c r="C6" s="2060"/>
      <c r="D6" s="2060"/>
      <c r="E6" s="2060"/>
      <c r="F6" s="2060"/>
      <c r="G6" s="2060"/>
      <c r="H6" s="2060"/>
      <c r="I6" s="2060"/>
      <c r="J6" s="2060"/>
      <c r="K6" s="2060"/>
      <c r="L6" s="2060"/>
      <c r="M6" s="2060"/>
      <c r="N6" s="2060"/>
    </row>
    <row r="7" spans="2:23">
      <c r="B7" s="1086"/>
      <c r="C7" s="1086"/>
      <c r="D7" s="1086"/>
      <c r="E7" s="1086"/>
      <c r="F7" s="1086"/>
      <c r="G7" s="1086"/>
      <c r="H7" s="1086"/>
      <c r="I7" s="1086"/>
      <c r="J7" s="1086"/>
      <c r="K7" s="1086"/>
      <c r="L7" s="1086"/>
      <c r="M7" s="1086"/>
      <c r="N7" s="1086"/>
    </row>
    <row r="8" spans="2:23">
      <c r="B8" s="1086"/>
      <c r="C8" s="1086"/>
      <c r="D8" s="1086"/>
      <c r="E8" s="1086"/>
      <c r="F8" s="1086"/>
      <c r="G8" s="1086"/>
      <c r="H8" s="1081" t="s">
        <v>414</v>
      </c>
      <c r="I8" s="1086"/>
      <c r="J8" s="1086"/>
      <c r="K8" s="1086"/>
      <c r="L8" s="1086"/>
      <c r="M8" s="1086"/>
      <c r="N8" s="1086"/>
    </row>
    <row r="9" spans="2:23">
      <c r="B9" s="1086"/>
      <c r="C9" s="2058" t="s">
        <v>434</v>
      </c>
      <c r="D9" s="2058"/>
      <c r="E9" s="2058"/>
      <c r="F9" s="1086"/>
      <c r="G9" s="1086"/>
      <c r="H9" s="1284" t="str">
        <f>IF('KEY INPUTS'!C42 = "State Fiscal Year", 'KEY INPUTS'!F46,'KEY INPUTS'!D46)</f>
        <v>Dec. 31, 2020</v>
      </c>
      <c r="I9" s="1086"/>
      <c r="J9" s="1081" t="s">
        <v>435</v>
      </c>
      <c r="K9" s="1086"/>
      <c r="L9" s="1081" t="s">
        <v>414</v>
      </c>
      <c r="M9" s="1086"/>
      <c r="N9" s="1081" t="s">
        <v>530</v>
      </c>
    </row>
    <row r="10" spans="2:23">
      <c r="B10" s="1086"/>
      <c r="C10" s="1086"/>
      <c r="D10" s="1086"/>
      <c r="E10" s="1086"/>
      <c r="F10" s="1086"/>
      <c r="G10" s="1086"/>
      <c r="H10" s="1081" t="s">
        <v>433</v>
      </c>
      <c r="I10" s="1086"/>
      <c r="J10" s="1081" t="str">
        <f>IF('KEY INPUTS'!C42="State Fiscal Year","Fiscal Year "&amp;'KEY INPUTS'!D33&amp;"",'KEY INPUTS'!D34)&amp;""</f>
        <v>2021</v>
      </c>
      <c r="K10" s="1086"/>
      <c r="L10" s="1081" t="s">
        <v>436</v>
      </c>
      <c r="M10" s="1086"/>
      <c r="N10" s="1081" t="s">
        <v>437</v>
      </c>
    </row>
    <row r="11" spans="2:23">
      <c r="B11" s="1086"/>
      <c r="C11" s="1086"/>
      <c r="D11" s="1086"/>
      <c r="E11" s="1086"/>
      <c r="F11" s="1086"/>
      <c r="G11" s="1086"/>
      <c r="H11" s="1285" t="s">
        <v>432</v>
      </c>
      <c r="I11" s="1086"/>
      <c r="J11" s="1285" t="s">
        <v>535</v>
      </c>
      <c r="K11" s="1086"/>
      <c r="L11" s="1285" t="str">
        <f>IF('KEY INPUTS'!C42="State Fiscal Year","Fiscal Year "&amp;'KEY INPUTS'!D33&amp;"",'KEY INPUTS'!D34)&amp;""</f>
        <v>2021</v>
      </c>
      <c r="M11" s="1086"/>
      <c r="N11" s="1286" t="str">
        <f>IF('KEY INPUTS'!C42 = "State Fiscal Year", 'KEY INPUTS'!F47,'KEY INPUTS'!D47)</f>
        <v>Dec. 31, 2021</v>
      </c>
      <c r="Q11" s="309"/>
      <c r="R11" s="309"/>
      <c r="S11" s="309"/>
      <c r="T11" s="309"/>
      <c r="U11" s="309"/>
      <c r="V11" s="309"/>
      <c r="W11" s="309"/>
    </row>
    <row r="12" spans="2:23">
      <c r="B12" s="1287" t="s">
        <v>292</v>
      </c>
      <c r="C12" s="1086" t="s">
        <v>870</v>
      </c>
      <c r="D12" s="1086"/>
      <c r="E12" s="1086"/>
      <c r="F12" s="1086"/>
      <c r="G12" s="1086"/>
      <c r="H12" s="1086"/>
      <c r="I12" s="1086"/>
      <c r="J12" s="1086"/>
      <c r="K12" s="1086"/>
      <c r="L12" s="1086"/>
      <c r="M12" s="1086"/>
      <c r="N12" s="1086"/>
      <c r="Q12" s="309"/>
      <c r="R12" s="309"/>
      <c r="S12" s="309"/>
      <c r="T12" s="309"/>
      <c r="U12" s="309"/>
      <c r="V12" s="309"/>
      <c r="W12" s="309"/>
    </row>
    <row r="13" spans="2:23">
      <c r="B13" s="453"/>
      <c r="D13" s="318" t="s">
        <v>871</v>
      </c>
      <c r="G13" s="318" t="s">
        <v>373</v>
      </c>
      <c r="H13" s="552"/>
      <c r="I13" s="318" t="s">
        <v>373</v>
      </c>
      <c r="J13" s="552"/>
      <c r="K13" s="318" t="s">
        <v>373</v>
      </c>
      <c r="L13" s="552"/>
      <c r="M13" s="318" t="s">
        <v>373</v>
      </c>
      <c r="N13" s="639">
        <f>+H13-J13+L13</f>
        <v>0</v>
      </c>
      <c r="Q13" s="356"/>
      <c r="R13" s="309"/>
      <c r="S13" s="309"/>
      <c r="T13" s="309"/>
      <c r="U13" s="309"/>
      <c r="V13" s="309"/>
      <c r="W13" s="309"/>
    </row>
    <row r="14" spans="2:23">
      <c r="B14" s="453"/>
      <c r="H14" s="275"/>
      <c r="J14" s="275"/>
      <c r="L14" s="275"/>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167" t="s">
        <v>3211</v>
      </c>
      <c r="D20" s="1068"/>
      <c r="E20" s="1166"/>
      <c r="F20" s="1166"/>
      <c r="G20" s="709" t="s">
        <v>373</v>
      </c>
      <c r="H20" s="1165">
        <f>H13+H15+H16+H17+H18+H19</f>
        <v>0</v>
      </c>
      <c r="I20" s="709" t="s">
        <v>373</v>
      </c>
      <c r="J20" s="1165">
        <f>J13+J15+J16+J17+J18+J19</f>
        <v>0</v>
      </c>
      <c r="K20" s="709"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709" t="s">
        <v>373</v>
      </c>
      <c r="H23" s="1165">
        <f>H21+H22</f>
        <v>0</v>
      </c>
      <c r="I23" s="709" t="s">
        <v>373</v>
      </c>
      <c r="J23" s="1165">
        <f>J21+J22</f>
        <v>0</v>
      </c>
      <c r="K23" s="709" t="s">
        <v>373</v>
      </c>
      <c r="L23" s="1165">
        <f>L21+L22</f>
        <v>0</v>
      </c>
      <c r="M23" s="318" t="s">
        <v>373</v>
      </c>
      <c r="N23" s="1164">
        <f t="shared" si="0"/>
        <v>0</v>
      </c>
      <c r="Q23" s="309"/>
      <c r="R23" s="309"/>
      <c r="S23" s="309"/>
      <c r="T23" s="309"/>
      <c r="U23" s="309"/>
      <c r="V23" s="309"/>
      <c r="W23" s="309"/>
    </row>
    <row r="24" spans="2:23">
      <c r="B24" s="453"/>
      <c r="Q24" s="309"/>
      <c r="R24" s="309"/>
      <c r="S24" s="309"/>
      <c r="T24" s="309"/>
      <c r="U24" s="309"/>
      <c r="V24" s="309"/>
      <c r="W24" s="309"/>
    </row>
    <row r="25" spans="2:23">
      <c r="B25" s="1287"/>
      <c r="C25" s="1086" t="s">
        <v>873</v>
      </c>
      <c r="D25" s="1086"/>
      <c r="E25" s="1086"/>
      <c r="F25" s="1086"/>
      <c r="G25" s="1086"/>
      <c r="H25" s="1086"/>
      <c r="I25" s="1086"/>
      <c r="J25" s="1086"/>
      <c r="K25" s="1086"/>
      <c r="L25" s="1086"/>
      <c r="M25" s="1086"/>
      <c r="N25" s="1086"/>
      <c r="Q25" s="309"/>
      <c r="R25" s="309"/>
      <c r="S25" s="309"/>
      <c r="T25" s="309"/>
      <c r="U25" s="309"/>
      <c r="V25" s="309"/>
      <c r="W25" s="309"/>
    </row>
    <row r="26" spans="2:23">
      <c r="B26" s="1287"/>
      <c r="C26" s="1086"/>
      <c r="D26" s="1086"/>
      <c r="E26" s="1086"/>
      <c r="F26" s="1086"/>
      <c r="G26" s="1086"/>
      <c r="H26" s="1086"/>
      <c r="I26" s="1086"/>
      <c r="J26" s="1086"/>
      <c r="K26" s="1086"/>
      <c r="L26" s="1086"/>
      <c r="M26" s="1086"/>
      <c r="N26" s="1086"/>
      <c r="Q26" s="309"/>
      <c r="R26" s="309"/>
      <c r="S26" s="309"/>
      <c r="T26" s="309"/>
      <c r="U26" s="309"/>
      <c r="V26" s="309"/>
      <c r="W26" s="309"/>
    </row>
    <row r="27" spans="2:23">
      <c r="B27" s="1287"/>
      <c r="C27" s="1086"/>
      <c r="D27" s="1086"/>
      <c r="E27" s="1086"/>
      <c r="F27" s="1086"/>
      <c r="G27" s="1086"/>
      <c r="H27" s="1086"/>
      <c r="I27" s="1086"/>
      <c r="J27" s="1086"/>
      <c r="K27" s="1086"/>
      <c r="L27" s="1086"/>
      <c r="M27" s="1086"/>
      <c r="N27" s="1086"/>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1289"/>
      <c r="C30" s="1289"/>
      <c r="D30" s="1289"/>
      <c r="E30" s="1289"/>
      <c r="F30" s="1289"/>
      <c r="G30" s="1289"/>
      <c r="H30" s="1289"/>
      <c r="I30" s="1289"/>
      <c r="J30" s="1289"/>
      <c r="K30" s="1289"/>
      <c r="L30" s="1289"/>
      <c r="M30" s="1289"/>
      <c r="N30" s="1289"/>
    </row>
    <row r="31" spans="2:23" ht="18" customHeight="1">
      <c r="B31" s="1287"/>
      <c r="C31" s="1086"/>
      <c r="D31" s="2056" t="s">
        <v>17</v>
      </c>
      <c r="E31" s="2056"/>
      <c r="F31" s="1290"/>
      <c r="G31" s="2056" t="s">
        <v>413</v>
      </c>
      <c r="H31" s="2056"/>
      <c r="I31" s="2056"/>
      <c r="J31" s="2056"/>
      <c r="K31" s="2056"/>
      <c r="L31" s="2056"/>
      <c r="M31" s="1290"/>
      <c r="N31" s="1291" t="s">
        <v>414</v>
      </c>
    </row>
    <row r="32" spans="2:23" ht="21" customHeight="1">
      <c r="B32" s="453"/>
      <c r="C32" s="453" t="s">
        <v>292</v>
      </c>
      <c r="D32" s="637"/>
      <c r="E32" s="637"/>
      <c r="G32" s="637"/>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453"/>
    </row>
    <row r="38" spans="2:14">
      <c r="B38" s="453"/>
    </row>
    <row r="39" spans="2:14">
      <c r="B39" s="1287"/>
      <c r="C39" s="1086"/>
      <c r="D39" s="1086"/>
      <c r="E39" s="1086"/>
      <c r="F39" s="1086"/>
      <c r="G39" s="1086"/>
      <c r="H39" s="1086"/>
      <c r="I39" s="1086"/>
      <c r="J39" s="1086"/>
      <c r="K39" s="1086"/>
      <c r="L39" s="1086"/>
      <c r="M39" s="1086"/>
      <c r="N39" s="1086"/>
    </row>
    <row r="40" spans="2:14" ht="15.6">
      <c r="B40" s="2057" t="s">
        <v>250</v>
      </c>
      <c r="C40" s="2057"/>
      <c r="D40" s="2057"/>
      <c r="E40" s="2057"/>
      <c r="F40" s="2057"/>
      <c r="G40" s="2057"/>
      <c r="H40" s="2057"/>
      <c r="I40" s="2057"/>
      <c r="J40" s="2057"/>
      <c r="K40" s="2057"/>
      <c r="L40" s="2057"/>
      <c r="M40" s="2057"/>
      <c r="N40" s="2057"/>
    </row>
    <row r="41" spans="2:14">
      <c r="B41" s="1287"/>
      <c r="C41" s="1086"/>
      <c r="D41" s="1086"/>
      <c r="E41" s="1086"/>
      <c r="F41" s="1086"/>
      <c r="G41" s="1086"/>
      <c r="H41" s="1086"/>
      <c r="I41" s="1086"/>
      <c r="J41" s="1086"/>
      <c r="K41" s="1086"/>
      <c r="L41" s="1086"/>
      <c r="M41" s="1086"/>
      <c r="N41" s="1086"/>
    </row>
    <row r="42" spans="2:14">
      <c r="B42" s="1287"/>
      <c r="C42" s="1086"/>
      <c r="D42" s="1086"/>
      <c r="E42" s="1086"/>
      <c r="F42" s="1086"/>
      <c r="G42" s="1086"/>
      <c r="H42" s="1086"/>
      <c r="I42" s="1086"/>
      <c r="J42" s="1086"/>
      <c r="K42" s="1086"/>
      <c r="L42" s="1086"/>
      <c r="M42" s="1086"/>
      <c r="N42" s="1081" t="s">
        <v>419</v>
      </c>
    </row>
    <row r="43" spans="2:14">
      <c r="B43" s="1287"/>
      <c r="C43" s="1086"/>
      <c r="D43" s="1086"/>
      <c r="E43" s="1086"/>
      <c r="F43" s="1086"/>
      <c r="G43" s="1086"/>
      <c r="H43" s="1086"/>
      <c r="I43" s="1086"/>
      <c r="J43" s="1086"/>
      <c r="K43" s="1086"/>
      <c r="L43" s="1086"/>
      <c r="M43" s="1086"/>
      <c r="N43" s="1081" t="s">
        <v>420</v>
      </c>
    </row>
    <row r="44" spans="2:14">
      <c r="B44" s="1287"/>
      <c r="C44" s="1086"/>
      <c r="D44" s="2058" t="s">
        <v>416</v>
      </c>
      <c r="E44" s="2058"/>
      <c r="F44" s="1086"/>
      <c r="G44" s="1086"/>
      <c r="H44" s="2058" t="s">
        <v>417</v>
      </c>
      <c r="I44" s="2058"/>
      <c r="J44" s="1285" t="s">
        <v>418</v>
      </c>
      <c r="K44" s="1086"/>
      <c r="L44" s="1285" t="s">
        <v>414</v>
      </c>
      <c r="M44" s="1086"/>
      <c r="N44" s="1285" t="str">
        <f>IF('KEY INPUTS'!C42="State Fiscal Year","Fiscal Year "&amp;'KEY INPUTS'!D33&amp;"",'KEY INPUTS'!D34)&amp;""</f>
        <v>2021</v>
      </c>
    </row>
    <row r="45" spans="2:14">
      <c r="B45" s="1287"/>
      <c r="C45" s="1086"/>
      <c r="D45" s="1086"/>
      <c r="E45" s="1086"/>
      <c r="F45" s="1086"/>
      <c r="G45" s="1086"/>
      <c r="H45" s="1086"/>
      <c r="I45" s="1086"/>
      <c r="J45" s="1086"/>
      <c r="K45" s="1086"/>
      <c r="L45" s="1086"/>
      <c r="M45" s="1086"/>
      <c r="N45" s="1086"/>
    </row>
    <row r="46" spans="2:14" ht="21" customHeight="1">
      <c r="B46" s="453"/>
      <c r="C46" s="453" t="s">
        <v>292</v>
      </c>
      <c r="D46" s="637"/>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zYreLTcWhRFzIVBjFSEs4wftDmJHg+JceBgWru4YTvt0tkvm+3i2Amy+O37AZLZmuJsr017nC29W2O8YyExW/g==" saltValue="Z8o98o7Zlm/n2K7cF9XnNA=="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2">
    <tabColor theme="5" tint="0.59999389629810485"/>
  </sheetPr>
  <dimension ref="A1:O36"/>
  <sheetViews>
    <sheetView zoomScaleNormal="100" workbookViewId="0">
      <selection activeCell="J9" sqref="J9"/>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1"/>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qAlPI1M60N3NwZdYTkV6Y6MerY0edn/hKDLyvZ5luB5OklGQxNy8rBPWEW+8erOX0zt5ZKTJT6B3a6h4DvV/sw==" saltValue="vDwLkgY/cW3y1cTpE+dvrA=="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1">
    <tabColor theme="5" tint="0.59999389629810485"/>
  </sheetPr>
  <dimension ref="B2:U50"/>
  <sheetViews>
    <sheetView zoomScaleNormal="100" zoomScaleSheetLayoutView="80" workbookViewId="0">
      <selection activeCell="G37" sqref="G37"/>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INPUTS'!D56)&amp;" UTILITY  ASSESSMENT  BONDS"</f>
        <v xml:space="preserve"> UTILITY  ASSESSMENT  BONDS</v>
      </c>
      <c r="C4" s="1889"/>
      <c r="D4" s="1889"/>
      <c r="E4" s="1889"/>
      <c r="F4" s="1889"/>
      <c r="G4" s="1889"/>
      <c r="H4" s="1889"/>
      <c r="I4" s="1889"/>
      <c r="J4" s="1889"/>
      <c r="K4" s="1889"/>
      <c r="L4" s="1889"/>
    </row>
    <row r="5" spans="2:21" ht="9.75" customHeight="1" thickBot="1">
      <c r="B5" s="1318"/>
      <c r="C5" s="1318"/>
      <c r="D5" s="1318"/>
      <c r="E5" s="1318"/>
      <c r="F5" s="1318"/>
      <c r="G5" s="1318"/>
      <c r="H5" s="1318"/>
      <c r="I5" s="1318"/>
      <c r="J5" s="1318"/>
      <c r="K5" s="1318"/>
      <c r="L5" s="1318"/>
    </row>
    <row r="6" spans="2:21" ht="27.75" customHeight="1" thickTop="1" thickBot="1">
      <c r="B6" s="1273"/>
      <c r="C6" s="1273"/>
      <c r="D6" s="1273"/>
      <c r="E6" s="1273"/>
      <c r="F6" s="1273"/>
      <c r="G6" s="1055" t="s">
        <v>96</v>
      </c>
      <c r="H6" s="2061" t="s">
        <v>97</v>
      </c>
      <c r="I6" s="1880"/>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'32-Bond Schedule'!B7</f>
        <v>Outstanding - January 1, 2021</v>
      </c>
      <c r="C7" s="1110"/>
      <c r="D7" s="1110"/>
      <c r="E7" s="1110"/>
      <c r="F7" s="1110"/>
      <c r="G7" s="1111" t="s">
        <v>628</v>
      </c>
      <c r="H7" s="1809"/>
      <c r="I7" s="1810"/>
      <c r="O7" s="309"/>
      <c r="P7" s="309"/>
      <c r="Q7" s="309"/>
      <c r="R7" s="309"/>
      <c r="S7" s="309"/>
      <c r="T7" s="309"/>
      <c r="U7" s="309"/>
    </row>
    <row r="8" spans="2:21" ht="21" customHeight="1">
      <c r="B8" s="659" t="s">
        <v>92</v>
      </c>
      <c r="C8" s="659"/>
      <c r="D8" s="659"/>
      <c r="E8" s="659"/>
      <c r="F8" s="659"/>
      <c r="G8" s="1114" t="s">
        <v>628</v>
      </c>
      <c r="H8" s="1807"/>
      <c r="I8" s="1808"/>
      <c r="O8" s="356"/>
      <c r="P8" s="309"/>
      <c r="Q8" s="309"/>
      <c r="R8" s="309"/>
      <c r="S8" s="309"/>
      <c r="T8" s="309"/>
      <c r="U8" s="309"/>
    </row>
    <row r="9" spans="2:21" ht="21" customHeight="1">
      <c r="B9" s="659"/>
      <c r="C9" s="659"/>
      <c r="D9" s="659"/>
      <c r="E9" s="659"/>
      <c r="F9" s="659"/>
      <c r="G9" s="1114"/>
      <c r="H9" s="1319"/>
      <c r="I9" s="1168"/>
      <c r="O9" s="309"/>
      <c r="P9" s="309"/>
      <c r="Q9" s="309"/>
      <c r="R9" s="309"/>
      <c r="S9" s="309"/>
      <c r="T9" s="309"/>
      <c r="U9" s="309"/>
    </row>
    <row r="10" spans="2:21" ht="21" customHeight="1">
      <c r="B10" s="659" t="s">
        <v>254</v>
      </c>
      <c r="C10" s="659"/>
      <c r="D10" s="659"/>
      <c r="E10" s="659"/>
      <c r="F10" s="659"/>
      <c r="G10" s="571"/>
      <c r="H10" s="1957" t="s">
        <v>628</v>
      </c>
      <c r="I10" s="1958"/>
      <c r="O10" s="309"/>
      <c r="P10" s="309"/>
      <c r="Q10" s="309"/>
      <c r="R10" s="309"/>
      <c r="S10" s="309"/>
      <c r="T10" s="309"/>
      <c r="U10" s="309"/>
    </row>
    <row r="11" spans="2:21" ht="21" customHeight="1" thickBot="1">
      <c r="B11" s="659" t="str">
        <f>'32-Bond Schedule'!B11</f>
        <v>Outstanding - December 31, 2021</v>
      </c>
      <c r="C11" s="659"/>
      <c r="D11" s="659"/>
      <c r="E11" s="659"/>
      <c r="F11" s="659"/>
      <c r="G11" s="1069">
        <f>+H7+H8-G10</f>
        <v>0</v>
      </c>
      <c r="H11" s="1953" t="s">
        <v>628</v>
      </c>
      <c r="I11" s="1954"/>
      <c r="O11" s="309"/>
      <c r="P11" s="309"/>
      <c r="Q11" s="309"/>
      <c r="R11" s="309"/>
      <c r="S11" s="309"/>
      <c r="T11" s="309"/>
      <c r="U11" s="309"/>
    </row>
    <row r="12" spans="2:21" ht="21" customHeight="1" thickBot="1">
      <c r="B12" s="1054"/>
      <c r="C12" s="1054"/>
      <c r="D12" s="1054"/>
      <c r="E12" s="1054"/>
      <c r="F12" s="1054"/>
      <c r="G12" s="1071">
        <f>SUM(G7:G11)</f>
        <v>0</v>
      </c>
      <c r="H12" s="1941">
        <f>SUM(H7:I11)</f>
        <v>0</v>
      </c>
      <c r="I12" s="1942"/>
      <c r="O12" s="309"/>
      <c r="P12" s="309"/>
      <c r="Q12" s="309"/>
      <c r="R12" s="309"/>
      <c r="S12" s="309"/>
      <c r="T12" s="309"/>
      <c r="U12" s="309"/>
    </row>
    <row r="13" spans="2:21" ht="21" customHeight="1" thickTop="1">
      <c r="B13" s="1321" t="str">
        <f>'49-Utility1'!B13</f>
        <v>2022 Bond Maturities - Assessment Bonds</v>
      </c>
      <c r="C13" s="1068"/>
      <c r="D13" s="1068"/>
      <c r="E13" s="1068"/>
      <c r="F13" s="1068"/>
      <c r="G13" s="1068"/>
      <c r="H13" s="1068"/>
      <c r="I13" s="1320"/>
      <c r="J13" s="423" t="s">
        <v>373</v>
      </c>
      <c r="K13" s="1834"/>
      <c r="L13" s="1834"/>
      <c r="O13" s="309"/>
      <c r="P13" s="309"/>
      <c r="Q13" s="309"/>
      <c r="R13" s="309"/>
      <c r="S13" s="309"/>
      <c r="T13" s="309"/>
      <c r="U13" s="309"/>
    </row>
    <row r="14" spans="2:21" ht="21" customHeight="1" thickBot="1">
      <c r="B14" s="1322" t="str">
        <f>'49-Utility1'!B14</f>
        <v>2022 Interest on Bonds</v>
      </c>
      <c r="C14" s="1172"/>
      <c r="D14" s="1172"/>
      <c r="E14" s="1172"/>
      <c r="F14" s="1172"/>
      <c r="G14" s="1197"/>
      <c r="H14" s="460" t="s">
        <v>373</v>
      </c>
      <c r="I14" s="577"/>
      <c r="O14" s="309"/>
      <c r="P14" s="309"/>
      <c r="Q14" s="309"/>
      <c r="R14" s="309"/>
      <c r="S14" s="309"/>
      <c r="T14" s="309"/>
      <c r="U14" s="309"/>
    </row>
    <row r="15" spans="2:21" ht="16.5" customHeight="1" thickTop="1">
      <c r="B15" s="2079"/>
      <c r="C15" s="2079"/>
      <c r="D15" s="2079"/>
      <c r="E15" s="2079"/>
      <c r="F15" s="2079"/>
      <c r="G15" s="2079"/>
      <c r="H15" s="2079"/>
      <c r="I15" s="2080"/>
      <c r="O15" s="309"/>
      <c r="P15" s="309"/>
      <c r="Q15" s="309"/>
      <c r="R15" s="309"/>
      <c r="S15" s="309"/>
      <c r="T15" s="309"/>
      <c r="U15" s="309"/>
    </row>
    <row r="16" spans="2:21" ht="26.25" customHeight="1" thickBot="1">
      <c r="B16" s="1977" t="str">
        <f>UPPER('KEY INPUTS'!D56) &amp;" UTILITY  CAPITAL  BONDS"</f>
        <v xml:space="preserve"> UTILITY  CAPITAL  BONDS</v>
      </c>
      <c r="C16" s="1977"/>
      <c r="D16" s="1977"/>
      <c r="E16" s="1977"/>
      <c r="F16" s="1977"/>
      <c r="G16" s="1977"/>
      <c r="H16" s="1977"/>
      <c r="I16" s="1978"/>
      <c r="O16" s="309"/>
      <c r="P16" s="309"/>
      <c r="Q16" s="309"/>
      <c r="R16" s="309"/>
      <c r="S16" s="309"/>
      <c r="T16" s="309"/>
      <c r="U16" s="309"/>
    </row>
    <row r="17" spans="2:21" ht="21" customHeight="1" thickTop="1">
      <c r="B17" s="1151" t="str">
        <f>'32-Bond Schedule'!B7</f>
        <v>Outstanding - January 1, 2021</v>
      </c>
      <c r="C17" s="1110"/>
      <c r="D17" s="1110"/>
      <c r="E17" s="1110"/>
      <c r="F17" s="1110"/>
      <c r="G17" s="1111" t="s">
        <v>628</v>
      </c>
      <c r="H17" s="1809"/>
      <c r="I17" s="1810"/>
      <c r="O17" s="309"/>
      <c r="P17" s="309"/>
      <c r="Q17" s="309"/>
      <c r="R17" s="309"/>
      <c r="S17" s="309"/>
      <c r="T17" s="309"/>
      <c r="U17" s="309"/>
    </row>
    <row r="18" spans="2:21" ht="21" customHeight="1">
      <c r="B18" s="659" t="s">
        <v>92</v>
      </c>
      <c r="C18" s="659"/>
      <c r="D18" s="659"/>
      <c r="E18" s="659"/>
      <c r="F18" s="659"/>
      <c r="G18" s="1114" t="s">
        <v>628</v>
      </c>
      <c r="H18" s="1807"/>
      <c r="I18" s="1808"/>
      <c r="O18" s="309"/>
      <c r="P18" s="309"/>
      <c r="Q18" s="309"/>
      <c r="R18" s="309"/>
      <c r="S18" s="309"/>
      <c r="T18" s="309"/>
      <c r="U18" s="309"/>
    </row>
    <row r="19" spans="2:21" ht="21" customHeight="1">
      <c r="B19" s="659" t="s">
        <v>254</v>
      </c>
      <c r="C19" s="659"/>
      <c r="D19" s="659"/>
      <c r="E19" s="659"/>
      <c r="F19" s="659"/>
      <c r="G19" s="571"/>
      <c r="H19" s="1957" t="s">
        <v>628</v>
      </c>
      <c r="I19" s="1958"/>
      <c r="O19" s="309"/>
      <c r="P19" s="309"/>
      <c r="Q19" s="309"/>
      <c r="R19" s="309"/>
      <c r="S19" s="309"/>
      <c r="T19" s="309"/>
      <c r="U19" s="309"/>
    </row>
    <row r="20" spans="2:21" ht="21" customHeight="1">
      <c r="B20" s="659"/>
      <c r="C20" s="659"/>
      <c r="D20" s="659"/>
      <c r="E20" s="659"/>
      <c r="F20" s="659"/>
      <c r="G20" s="658"/>
      <c r="H20" s="1943"/>
      <c r="I20" s="1944"/>
      <c r="O20" s="309"/>
      <c r="P20" s="309"/>
      <c r="Q20" s="309"/>
      <c r="R20" s="309"/>
      <c r="S20" s="309"/>
      <c r="T20" s="309"/>
      <c r="U20" s="309"/>
    </row>
    <row r="21" spans="2:21" ht="21" customHeight="1">
      <c r="B21" s="659"/>
      <c r="C21" s="659"/>
      <c r="D21" s="659"/>
      <c r="E21" s="659"/>
      <c r="F21" s="659"/>
      <c r="G21" s="658"/>
      <c r="H21" s="1943"/>
      <c r="I21" s="1944"/>
      <c r="O21" s="309"/>
      <c r="P21" s="309"/>
      <c r="Q21" s="309"/>
      <c r="R21" s="309"/>
      <c r="S21" s="309"/>
      <c r="T21" s="309"/>
      <c r="U21" s="309"/>
    </row>
    <row r="22" spans="2:21" ht="21" customHeight="1" thickBot="1">
      <c r="B22" s="659" t="str">
        <f>'32-Bond Schedule'!B11</f>
        <v>Outstanding - December 31, 2021</v>
      </c>
      <c r="C22" s="659"/>
      <c r="D22" s="659"/>
      <c r="E22" s="659"/>
      <c r="F22" s="659"/>
      <c r="G22" s="1069">
        <f>+H17+H18-G19-G20-G21+H20+H21</f>
        <v>0</v>
      </c>
      <c r="H22" s="1953" t="s">
        <v>628</v>
      </c>
      <c r="I22" s="1954"/>
      <c r="O22" s="309"/>
      <c r="P22" s="309"/>
      <c r="Q22" s="309"/>
      <c r="R22" s="309"/>
      <c r="S22" s="309"/>
      <c r="T22" s="309"/>
      <c r="U22" s="309"/>
    </row>
    <row r="23" spans="2:21" ht="21" customHeight="1" thickBot="1">
      <c r="B23" s="1054"/>
      <c r="C23" s="1054"/>
      <c r="D23" s="1054"/>
      <c r="E23" s="1054"/>
      <c r="F23" s="1054"/>
      <c r="G23" s="1071">
        <f>SUM(G17:G22)</f>
        <v>0</v>
      </c>
      <c r="H23" s="1941">
        <f>SUM(H17:I22)</f>
        <v>0</v>
      </c>
      <c r="I23" s="1942"/>
    </row>
    <row r="24" spans="2:21" ht="21" customHeight="1" thickTop="1">
      <c r="B24" s="1321" t="str">
        <f>'49-Utility1'!B24</f>
        <v>2022 Bond Maturities - Capital Bonds</v>
      </c>
      <c r="C24" s="1068"/>
      <c r="D24" s="1068"/>
      <c r="E24" s="1068"/>
      <c r="F24" s="1068"/>
      <c r="G24" s="1068"/>
      <c r="H24" s="1068"/>
      <c r="I24" s="1323"/>
      <c r="J24" s="423" t="s">
        <v>373</v>
      </c>
      <c r="K24" s="1834"/>
      <c r="L24" s="1834"/>
    </row>
    <row r="25" spans="2:21" ht="21" customHeight="1" thickBot="1">
      <c r="B25" s="1322" t="str">
        <f>'49-Utility1'!B25</f>
        <v>2022 Interest on Bonds</v>
      </c>
      <c r="C25" s="1172"/>
      <c r="D25" s="1172"/>
      <c r="E25" s="1172"/>
      <c r="F25" s="1172"/>
      <c r="G25" s="1197"/>
      <c r="H25" s="460" t="s">
        <v>373</v>
      </c>
      <c r="I25" s="577"/>
      <c r="J25" s="461"/>
      <c r="K25" s="460"/>
      <c r="L25" s="470" t="s">
        <v>3133</v>
      </c>
    </row>
    <row r="26" spans="2:21" ht="21" customHeight="1" thickTop="1"/>
    <row r="27" spans="2:21" ht="19.5" customHeight="1" thickBot="1">
      <c r="B27" s="1977" t="str">
        <f>"INTEREST  ON  BONDS  -  "&amp;UPPER('KEY INPUTS'!D56)&amp;"  UTILITY  BUDGET"</f>
        <v>INTEREST  ON  BONDS  -    UTILITY  BUDGET</v>
      </c>
      <c r="C27" s="1977"/>
      <c r="D27" s="1977"/>
      <c r="E27" s="1977"/>
      <c r="F27" s="1977"/>
      <c r="G27" s="1977"/>
      <c r="H27" s="1977"/>
      <c r="I27" s="1977"/>
      <c r="J27" s="1977"/>
      <c r="K27" s="1977"/>
      <c r="L27" s="1977"/>
    </row>
    <row r="28" spans="2:21" ht="21" customHeight="1" thickTop="1">
      <c r="B28" s="1333" t="str">
        <f>'49-Utility1'!B28</f>
        <v>2022 Interest on Bonds (*Items)</v>
      </c>
      <c r="C28" s="1110"/>
      <c r="D28" s="1110"/>
      <c r="E28" s="1110"/>
      <c r="F28" s="1110"/>
      <c r="G28" s="1110"/>
      <c r="H28" s="429" t="s">
        <v>373</v>
      </c>
      <c r="I28" s="1170">
        <f>+I14+I25</f>
        <v>0</v>
      </c>
      <c r="J28" s="1054"/>
      <c r="K28" s="1054"/>
      <c r="L28" s="1054"/>
      <c r="O28" s="436"/>
      <c r="P28" s="436"/>
      <c r="Q28" s="436"/>
      <c r="R28" s="436"/>
    </row>
    <row r="29" spans="2:21" ht="21" customHeight="1">
      <c r="B29" s="871" t="str">
        <f>'49-Utility1'!B29</f>
        <v>Less: Interest Accrued to 12/31/2021 (Trial Balance)</v>
      </c>
      <c r="C29" s="659"/>
      <c r="D29" s="659"/>
      <c r="E29" s="659"/>
      <c r="F29" s="659"/>
      <c r="G29" s="659"/>
      <c r="H29" s="374" t="s">
        <v>373</v>
      </c>
      <c r="I29" s="641"/>
      <c r="O29" s="436"/>
      <c r="P29" s="436"/>
      <c r="Q29" s="436"/>
      <c r="R29" s="436"/>
    </row>
    <row r="30" spans="2:21" ht="21" customHeight="1">
      <c r="B30" s="659"/>
      <c r="C30" s="659" t="s">
        <v>317</v>
      </c>
      <c r="D30" s="659"/>
      <c r="E30" s="659"/>
      <c r="F30" s="659"/>
      <c r="G30" s="659"/>
      <c r="H30" s="374" t="s">
        <v>373</v>
      </c>
      <c r="I30" s="1171">
        <f>+I28-I29</f>
        <v>0</v>
      </c>
      <c r="O30" s="436"/>
      <c r="P30" s="436"/>
      <c r="Q30" s="436"/>
      <c r="R30" s="436"/>
    </row>
    <row r="31" spans="2:21" ht="21" customHeight="1">
      <c r="B31" s="871" t="str">
        <f>'49-Utility1'!B31</f>
        <v>Add: Interest to be Accrued as of 12/31/2022</v>
      </c>
      <c r="C31" s="659"/>
      <c r="D31" s="659"/>
      <c r="E31" s="659"/>
      <c r="F31" s="659"/>
      <c r="G31" s="659"/>
      <c r="H31" s="374" t="s">
        <v>373</v>
      </c>
      <c r="I31" s="641"/>
      <c r="O31" s="436"/>
      <c r="P31" s="436"/>
      <c r="Q31" s="436"/>
      <c r="R31" s="436"/>
    </row>
    <row r="32" spans="2:21" ht="21" customHeight="1">
      <c r="B32" s="871" t="str">
        <f>'49-Utility1'!B32</f>
        <v>Required Appropriation 2022</v>
      </c>
      <c r="C32" s="659"/>
      <c r="D32" s="659"/>
      <c r="E32" s="659"/>
      <c r="F32" s="659"/>
      <c r="G32" s="659"/>
      <c r="H32" s="659"/>
      <c r="I32" s="1353"/>
      <c r="J32" s="463" t="s">
        <v>373</v>
      </c>
      <c r="K32" s="1963">
        <f>+I30+I31</f>
        <v>0</v>
      </c>
      <c r="L32" s="1964"/>
      <c r="O32" s="436"/>
      <c r="P32" s="436"/>
      <c r="Q32" s="436"/>
      <c r="R32" s="436"/>
    </row>
    <row r="33" spans="2:12" ht="13.5" customHeight="1">
      <c r="B33" s="439"/>
      <c r="C33" s="439"/>
      <c r="D33" s="439"/>
      <c r="E33" s="439"/>
      <c r="F33" s="439"/>
      <c r="G33" s="439"/>
      <c r="H33" s="439"/>
      <c r="I33" s="439"/>
      <c r="J33" s="439"/>
      <c r="K33" s="467"/>
      <c r="L33" s="745"/>
    </row>
    <row r="34" spans="2:12" ht="13.5" customHeight="1">
      <c r="B34" s="439"/>
      <c r="C34" s="439"/>
      <c r="D34" s="439"/>
      <c r="E34" s="439"/>
      <c r="F34" s="439"/>
      <c r="G34" s="439"/>
      <c r="H34" s="439"/>
      <c r="I34" s="439"/>
      <c r="J34" s="439"/>
      <c r="K34" s="467"/>
      <c r="L34" s="745"/>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879" t="s">
        <v>413</v>
      </c>
      <c r="C36" s="1879"/>
      <c r="D36" s="1879"/>
      <c r="E36" s="1879"/>
      <c r="F36" s="1879"/>
      <c r="G36" s="1336" t="str">
        <f>'49-Utility1'!G36</f>
        <v>2022 Maturity</v>
      </c>
      <c r="H36" s="2061" t="s">
        <v>91</v>
      </c>
      <c r="I36" s="1880"/>
      <c r="J36" s="2077" t="s">
        <v>89</v>
      </c>
      <c r="K36" s="2078"/>
      <c r="L36" s="1352" t="s">
        <v>90</v>
      </c>
    </row>
    <row r="37" spans="2:12" ht="21" customHeight="1" thickTop="1">
      <c r="B37" s="642"/>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72"/>
      <c r="C41" s="1172"/>
      <c r="D41" s="1172"/>
      <c r="E41" s="1172"/>
      <c r="F41" s="1324"/>
      <c r="G41" s="1071">
        <f>SUM(G37:G40)</f>
        <v>0</v>
      </c>
      <c r="H41" s="1959">
        <f>SUM(H37:I40)</f>
        <v>0</v>
      </c>
      <c r="I41" s="1960"/>
      <c r="J41" s="1325"/>
      <c r="K41" s="1172"/>
      <c r="L41" s="1173"/>
    </row>
    <row r="42" spans="2:12" ht="13.8" thickTop="1">
      <c r="G42" s="744"/>
      <c r="H42" s="744"/>
      <c r="I42" s="744"/>
    </row>
    <row r="50" spans="2:12" ht="13.8">
      <c r="B50" s="1882" t="s">
        <v>3167</v>
      </c>
      <c r="C50" s="1882"/>
      <c r="D50" s="1882"/>
      <c r="E50" s="1882"/>
      <c r="F50" s="1882"/>
      <c r="G50" s="1882"/>
      <c r="H50" s="1882"/>
      <c r="I50" s="1882"/>
      <c r="J50" s="1882"/>
      <c r="K50" s="1882"/>
      <c r="L50" s="1882"/>
    </row>
  </sheetData>
  <sheetProtection algorithmName="SHA-512" hashValue="Zx7oXyEqYobkWSIx1GseyCy1oekR/0PTnsE70f5LdM2ttsAP1Vg8zOkzE8i3Xfofxz/sK8JhYDA5CW7yIL/zsQ==" saltValue="0NGOl9a/5BjUx5T1Hwjkx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2">
    <tabColor theme="5" tint="0.59999389629810485"/>
  </sheetPr>
  <dimension ref="B2:U51"/>
  <sheetViews>
    <sheetView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INPUTS'!D$56)&amp;"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O7" s="309"/>
      <c r="P7" s="309"/>
      <c r="Q7" s="309"/>
      <c r="R7" s="309"/>
      <c r="S7" s="309"/>
      <c r="T7" s="309"/>
      <c r="U7" s="309"/>
    </row>
    <row r="8" spans="2:21" ht="21" customHeight="1">
      <c r="B8" s="659" t="s">
        <v>92</v>
      </c>
      <c r="C8" s="1079"/>
      <c r="D8" s="1079"/>
      <c r="E8" s="1079"/>
      <c r="F8" s="1079"/>
      <c r="G8" s="926" t="s">
        <v>628</v>
      </c>
      <c r="H8" s="1807"/>
      <c r="I8" s="1808"/>
      <c r="O8" s="356"/>
      <c r="P8" s="309"/>
      <c r="Q8" s="309"/>
      <c r="R8" s="309"/>
      <c r="S8" s="309"/>
      <c r="T8" s="309"/>
      <c r="U8" s="309"/>
    </row>
    <row r="9" spans="2:21" ht="21" customHeight="1">
      <c r="B9" s="659"/>
      <c r="C9" s="1079"/>
      <c r="D9" s="1079"/>
      <c r="E9" s="1079"/>
      <c r="F9" s="1079"/>
      <c r="G9" s="926"/>
      <c r="H9" s="1328"/>
      <c r="I9" s="1329"/>
      <c r="O9" s="309"/>
      <c r="P9" s="309"/>
      <c r="Q9" s="309"/>
      <c r="R9" s="309"/>
      <c r="S9" s="309"/>
      <c r="T9" s="309"/>
      <c r="U9" s="309"/>
    </row>
    <row r="10" spans="2:21" ht="21" customHeight="1">
      <c r="B10" s="659" t="s">
        <v>254</v>
      </c>
      <c r="C10" s="1079"/>
      <c r="D10" s="1079"/>
      <c r="E10" s="1079"/>
      <c r="F10" s="1079"/>
      <c r="G10" s="571"/>
      <c r="H10" s="1829" t="s">
        <v>628</v>
      </c>
      <c r="I10" s="1830"/>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O11" s="309"/>
      <c r="P11" s="309"/>
      <c r="Q11" s="309"/>
      <c r="R11" s="309"/>
      <c r="S11" s="309"/>
      <c r="T11" s="309"/>
      <c r="U11" s="309"/>
    </row>
    <row r="12" spans="2:21" ht="21" customHeight="1" thickBot="1">
      <c r="B12" s="1054"/>
      <c r="C12" s="1086"/>
      <c r="D12" s="1086"/>
      <c r="E12" s="1086"/>
      <c r="F12" s="1086"/>
      <c r="G12" s="133">
        <f>SUM(G7:G11)</f>
        <v>0</v>
      </c>
      <c r="H12" s="1827">
        <f>SUM(H7:I11)</f>
        <v>0</v>
      </c>
      <c r="I12" s="1828"/>
      <c r="O12" s="309"/>
      <c r="P12" s="309"/>
      <c r="Q12" s="309"/>
      <c r="R12" s="309"/>
      <c r="S12" s="309"/>
      <c r="T12" s="309"/>
      <c r="U12" s="309"/>
    </row>
    <row r="13" spans="2:21" ht="21" customHeight="1" thickTop="1">
      <c r="B13" s="473" t="str">
        <f>'49a-Utility1'!B24</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470" t="str">
        <f>'49a-Utility1'!B25</f>
        <v>2022 Interest on Loans</v>
      </c>
      <c r="C14" s="1102"/>
      <c r="D14" s="1102"/>
      <c r="E14" s="1102"/>
      <c r="F14" s="1102"/>
      <c r="G14" s="1314"/>
      <c r="H14" s="385" t="s">
        <v>373</v>
      </c>
      <c r="I14" s="643"/>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ht="16.2" thickBot="1">
      <c r="B16" s="1977" t="str">
        <f>UPPER('KEY INPUTS'!D$56)&amp;" UTILITY "&amp;IF(R16&lt;&gt;"",(UPPER(R16)),"")&amp;" LOAN"</f>
        <v xml:space="preserve"> UTILITY  LOAN</v>
      </c>
      <c r="C16" s="1977"/>
      <c r="D16" s="1977"/>
      <c r="E16" s="1977"/>
      <c r="F16" s="1977"/>
      <c r="G16" s="1977"/>
      <c r="H16" s="1977"/>
      <c r="I16" s="1978"/>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O17" s="309"/>
      <c r="P17" s="309"/>
      <c r="Q17" s="309"/>
      <c r="R17" s="309"/>
      <c r="S17" s="309"/>
      <c r="T17" s="309"/>
      <c r="U17" s="309"/>
    </row>
    <row r="18" spans="2:21" ht="21" customHeight="1">
      <c r="B18" s="659" t="s">
        <v>92</v>
      </c>
      <c r="C18" s="1079"/>
      <c r="D18" s="1079"/>
      <c r="E18" s="1079"/>
      <c r="F18" s="1079"/>
      <c r="G18" s="926" t="s">
        <v>628</v>
      </c>
      <c r="H18" s="1807"/>
      <c r="I18" s="1808"/>
      <c r="O18" s="309"/>
      <c r="P18" s="309"/>
      <c r="Q18" s="309"/>
      <c r="R18" s="309"/>
      <c r="S18" s="309"/>
      <c r="T18" s="309"/>
      <c r="U18" s="309"/>
    </row>
    <row r="19" spans="2:21" ht="21" customHeight="1">
      <c r="B19" s="659" t="s">
        <v>254</v>
      </c>
      <c r="C19" s="1079"/>
      <c r="D19" s="1079"/>
      <c r="E19" s="1079"/>
      <c r="F19" s="1079"/>
      <c r="G19" s="571"/>
      <c r="H19" s="1829" t="s">
        <v>628</v>
      </c>
      <c r="I19" s="1830"/>
      <c r="O19" s="309"/>
      <c r="P19" s="309"/>
      <c r="Q19" s="309"/>
      <c r="R19" s="309"/>
      <c r="S19" s="309"/>
      <c r="T19" s="309"/>
      <c r="U19" s="309"/>
    </row>
    <row r="20" spans="2:21" ht="21" customHeight="1">
      <c r="B20" s="659"/>
      <c r="C20" s="1079"/>
      <c r="D20" s="1079"/>
      <c r="E20" s="1079"/>
      <c r="F20" s="1079"/>
      <c r="G20" s="1046"/>
      <c r="H20" s="1831"/>
      <c r="I20" s="1832"/>
      <c r="O20" s="309"/>
      <c r="P20" s="309"/>
      <c r="Q20" s="309"/>
      <c r="R20" s="309"/>
      <c r="S20" s="309"/>
      <c r="T20" s="309"/>
      <c r="U20" s="309"/>
    </row>
    <row r="21" spans="2:21" ht="21" customHeight="1">
      <c r="B21" s="659"/>
      <c r="C21" s="1079"/>
      <c r="D21" s="1079"/>
      <c r="E21" s="1079"/>
      <c r="F21" s="1079"/>
      <c r="G21" s="1046"/>
      <c r="H21" s="1831"/>
      <c r="I21" s="1832"/>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O22" s="309"/>
      <c r="P22" s="309"/>
      <c r="Q22" s="309"/>
      <c r="R22" s="309"/>
      <c r="S22" s="309"/>
      <c r="T22" s="309"/>
      <c r="U22" s="309"/>
    </row>
    <row r="23" spans="2:21" ht="21" customHeight="1" thickBot="1">
      <c r="B23" s="1054"/>
      <c r="C23" s="1086"/>
      <c r="D23" s="1086"/>
      <c r="E23" s="1086"/>
      <c r="F23" s="1086"/>
      <c r="G23" s="1027">
        <f>SUM(G17:G22)</f>
        <v>0</v>
      </c>
      <c r="H23" s="1827">
        <f>SUM(H17:I22)</f>
        <v>0</v>
      </c>
      <c r="I23" s="1828"/>
    </row>
    <row r="24" spans="2:21" ht="21" customHeight="1" thickTop="1">
      <c r="B24" s="473" t="str">
        <f>B13</f>
        <v>2022 Loan Maturities</v>
      </c>
      <c r="C24" s="1330"/>
      <c r="D24" s="1330"/>
      <c r="E24" s="1330"/>
      <c r="F24" s="1330"/>
      <c r="G24" s="1330"/>
      <c r="H24" s="451"/>
      <c r="I24" s="487"/>
      <c r="J24" s="451" t="s">
        <v>373</v>
      </c>
      <c r="K24" s="1834"/>
      <c r="L24" s="1834"/>
    </row>
    <row r="25" spans="2:21" ht="21" customHeight="1" thickBot="1">
      <c r="B25" s="470" t="str">
        <f>B14</f>
        <v>2022 Interest on Loans</v>
      </c>
      <c r="C25" s="1102"/>
      <c r="D25" s="1102"/>
      <c r="E25" s="1102"/>
      <c r="F25" s="1102"/>
      <c r="G25" s="1314"/>
      <c r="H25" s="385" t="s">
        <v>373</v>
      </c>
      <c r="I25" s="577"/>
      <c r="J25" s="477"/>
      <c r="K25" s="385"/>
      <c r="L25" s="385"/>
    </row>
    <row r="26" spans="2:21" ht="21" customHeight="1" thickTop="1"/>
    <row r="27" spans="2:21" ht="19.5" customHeight="1" thickBot="1">
      <c r="B27" s="1977" t="str">
        <f>"INTEREST  ON  LOANS  - "&amp;UPPER('KEY INPUTS'!D56)&amp;"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387" t="s">
        <v>373</v>
      </c>
      <c r="I28" s="1332">
        <f>+I25+I14</f>
        <v>0</v>
      </c>
    </row>
    <row r="29" spans="2:21" ht="21" customHeight="1">
      <c r="B29" s="871" t="str">
        <f>'49a-Utility1'!B29</f>
        <v>Less: Interest Accrued to 12/31/2021 (Trial Balance)</v>
      </c>
      <c r="C29" s="659"/>
      <c r="D29" s="1079"/>
      <c r="E29" s="1079"/>
      <c r="F29" s="1079"/>
      <c r="G29" s="1079"/>
      <c r="H29" s="321" t="s">
        <v>373</v>
      </c>
      <c r="I29" s="570"/>
    </row>
    <row r="30" spans="2:21" ht="21" customHeight="1">
      <c r="B30" s="659"/>
      <c r="C30" s="659" t="s">
        <v>317</v>
      </c>
      <c r="D30" s="1079"/>
      <c r="E30" s="1079"/>
      <c r="F30" s="1079"/>
      <c r="G30" s="1079"/>
      <c r="H30" s="321" t="s">
        <v>373</v>
      </c>
      <c r="I30" s="1334">
        <f>+I28-I29</f>
        <v>0</v>
      </c>
    </row>
    <row r="31" spans="2:21" ht="21" customHeight="1">
      <c r="B31" s="871" t="str">
        <f>'49a-Utility1'!B31</f>
        <v>Add: Interest to be Accrued as of 12/31/2022</v>
      </c>
      <c r="C31" s="659"/>
      <c r="D31" s="1079"/>
      <c r="E31" s="1079"/>
      <c r="F31" s="1079"/>
      <c r="G31" s="1079"/>
      <c r="H31" s="321" t="s">
        <v>373</v>
      </c>
      <c r="I31" s="570"/>
    </row>
    <row r="32" spans="2:21" ht="21" customHeight="1">
      <c r="B32" s="871" t="str">
        <f>'49a-Utility1'!B32</f>
        <v>Required Appropriation 2022</v>
      </c>
      <c r="C32" s="659"/>
      <c r="D32" s="1079"/>
      <c r="E32" s="1079"/>
      <c r="F32" s="1079"/>
      <c r="G32" s="1079"/>
      <c r="H32" s="321"/>
      <c r="I32" s="386"/>
      <c r="J32" s="478" t="s">
        <v>373</v>
      </c>
      <c r="K32" s="2068">
        <f>+I30+I31</f>
        <v>0</v>
      </c>
      <c r="L32" s="2069"/>
    </row>
    <row r="33" spans="2:12" ht="13.5" customHeight="1">
      <c r="B33" s="482"/>
      <c r="C33" s="482"/>
      <c r="D33" s="482"/>
      <c r="E33" s="482"/>
      <c r="F33" s="482"/>
      <c r="G33" s="482"/>
      <c r="H33" s="482"/>
      <c r="I33" s="482"/>
      <c r="J33" s="482"/>
      <c r="K33" s="481"/>
      <c r="L33" s="749"/>
    </row>
    <row r="34" spans="2:12" ht="13.5" customHeight="1">
      <c r="B34" s="482"/>
      <c r="C34" s="482"/>
      <c r="D34" s="482"/>
      <c r="E34" s="482"/>
      <c r="F34" s="482"/>
      <c r="G34" s="482"/>
      <c r="H34" s="482"/>
      <c r="I34" s="482"/>
      <c r="J34" s="482"/>
      <c r="K34" s="481"/>
      <c r="L34" s="749"/>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nscktTS4S3nMZovn6vxU8cSirT1fF9BaauA6QQGoRRFy13s6m1Z/BwIo/UPn0+jx2ioZWynBKn8W0ZEGll5/Pw==" saltValue="V/Xa+besX0Jeh7byTXMS9w=="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3">
    <tabColor theme="5" tint="0.59999389629810485"/>
  </sheetPr>
  <dimension ref="B2:U51"/>
  <sheetViews>
    <sheetView topLeftCell="A16"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INPUTS'!D$56)&amp;"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769"/>
      <c r="C5" s="769"/>
      <c r="D5" s="769"/>
      <c r="E5" s="769"/>
      <c r="F5" s="769"/>
      <c r="G5" s="769"/>
      <c r="H5" s="769"/>
      <c r="I5" s="769"/>
      <c r="J5" s="769"/>
      <c r="K5" s="769"/>
      <c r="L5" s="769"/>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O7" s="309"/>
      <c r="P7" s="309"/>
      <c r="Q7" s="309"/>
      <c r="R7" s="309"/>
      <c r="S7" s="309"/>
      <c r="T7" s="309"/>
      <c r="U7" s="309"/>
    </row>
    <row r="8" spans="2:21" ht="21" customHeight="1">
      <c r="B8" s="659" t="s">
        <v>92</v>
      </c>
      <c r="C8" s="1079"/>
      <c r="D8" s="1079"/>
      <c r="E8" s="1079"/>
      <c r="F8" s="1079"/>
      <c r="G8" s="926" t="s">
        <v>628</v>
      </c>
      <c r="H8" s="1807"/>
      <c r="I8" s="1808"/>
      <c r="O8" s="356"/>
      <c r="P8" s="309"/>
      <c r="Q8" s="309"/>
      <c r="R8" s="309"/>
      <c r="S8" s="309"/>
      <c r="T8" s="309"/>
      <c r="U8" s="309"/>
    </row>
    <row r="9" spans="2:21" ht="21" customHeight="1">
      <c r="B9" s="659"/>
      <c r="C9" s="1079"/>
      <c r="D9" s="1079"/>
      <c r="E9" s="1079"/>
      <c r="F9" s="1079"/>
      <c r="G9" s="926"/>
      <c r="H9" s="1328"/>
      <c r="I9" s="1329"/>
      <c r="O9" s="309"/>
      <c r="P9" s="309"/>
      <c r="Q9" s="309"/>
      <c r="R9" s="309"/>
      <c r="S9" s="309"/>
      <c r="T9" s="309"/>
      <c r="U9" s="309"/>
    </row>
    <row r="10" spans="2:21" ht="21" customHeight="1">
      <c r="B10" s="659" t="s">
        <v>254</v>
      </c>
      <c r="C10" s="1079"/>
      <c r="D10" s="1079"/>
      <c r="E10" s="1079"/>
      <c r="F10" s="1079"/>
      <c r="G10" s="571"/>
      <c r="H10" s="1829" t="s">
        <v>628</v>
      </c>
      <c r="I10" s="1830"/>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O11" s="309"/>
      <c r="P11" s="309"/>
      <c r="Q11" s="309"/>
      <c r="R11" s="309"/>
      <c r="S11" s="309"/>
      <c r="T11" s="309"/>
      <c r="U11" s="309"/>
    </row>
    <row r="12" spans="2:21" ht="21" customHeight="1" thickBot="1">
      <c r="B12" s="1054"/>
      <c r="C12" s="1086"/>
      <c r="D12" s="1086"/>
      <c r="E12" s="1086"/>
      <c r="F12" s="1086"/>
      <c r="G12" s="1027">
        <f>SUM(G7:G11)</f>
        <v>0</v>
      </c>
      <c r="H12" s="1827">
        <f>SUM(H7:I11)</f>
        <v>0</v>
      </c>
      <c r="I12" s="1828"/>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O14" s="309"/>
      <c r="P14" s="309"/>
      <c r="Q14" s="309"/>
      <c r="R14" s="309"/>
      <c r="S14" s="309"/>
      <c r="T14" s="309"/>
      <c r="U14" s="309"/>
    </row>
    <row r="15" spans="2:21" ht="16.5" customHeight="1" thickTop="1" thickBot="1">
      <c r="B15" s="1974"/>
      <c r="C15" s="1974"/>
      <c r="D15" s="1974"/>
      <c r="E15" s="1974"/>
      <c r="F15" s="1974"/>
      <c r="G15" s="1974"/>
      <c r="H15" s="1974"/>
      <c r="I15" s="1975"/>
      <c r="O15" s="309"/>
      <c r="P15" s="309"/>
      <c r="Q15" s="309"/>
      <c r="R15" s="309"/>
      <c r="S15" s="309"/>
      <c r="T15" s="309"/>
      <c r="U15" s="309"/>
    </row>
    <row r="16" spans="2:21" ht="16.2" thickBot="1">
      <c r="B16" s="1977" t="str">
        <f>UPPER('KEY INPUTS'!D$56)&amp;" UTILITY "&amp;IF(R16&lt;&gt;"",(UPPER(R16)),"")&amp;" LOAN"</f>
        <v xml:space="preserve"> UTILITY  LOAN</v>
      </c>
      <c r="C16" s="1977"/>
      <c r="D16" s="1977"/>
      <c r="E16" s="1977"/>
      <c r="F16" s="1977"/>
      <c r="G16" s="1977"/>
      <c r="H16" s="1977"/>
      <c r="I16" s="1978"/>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O17" s="309"/>
      <c r="P17" s="309"/>
      <c r="Q17" s="309"/>
      <c r="R17" s="309"/>
      <c r="S17" s="309"/>
      <c r="T17" s="309"/>
      <c r="U17" s="309"/>
    </row>
    <row r="18" spans="2:21" ht="21" customHeight="1">
      <c r="B18" s="659" t="s">
        <v>92</v>
      </c>
      <c r="C18" s="1079"/>
      <c r="D18" s="1079"/>
      <c r="E18" s="1079"/>
      <c r="F18" s="1079"/>
      <c r="G18" s="926" t="s">
        <v>628</v>
      </c>
      <c r="H18" s="1807"/>
      <c r="I18" s="1808"/>
      <c r="O18" s="309"/>
      <c r="P18" s="309"/>
      <c r="Q18" s="309"/>
      <c r="R18" s="309"/>
      <c r="S18" s="309"/>
      <c r="T18" s="309"/>
      <c r="U18" s="309"/>
    </row>
    <row r="19" spans="2:21" ht="21" customHeight="1">
      <c r="B19" s="659" t="s">
        <v>254</v>
      </c>
      <c r="C19" s="1079"/>
      <c r="D19" s="1079"/>
      <c r="E19" s="1079"/>
      <c r="F19" s="1079"/>
      <c r="G19" s="571"/>
      <c r="H19" s="1829" t="s">
        <v>628</v>
      </c>
      <c r="I19" s="1830"/>
      <c r="O19" s="309"/>
      <c r="P19" s="309"/>
      <c r="Q19" s="309"/>
      <c r="R19" s="309"/>
      <c r="S19" s="309"/>
      <c r="T19" s="309"/>
      <c r="U19" s="309"/>
    </row>
    <row r="20" spans="2:21" ht="21" customHeight="1">
      <c r="B20" s="659"/>
      <c r="C20" s="1079"/>
      <c r="D20" s="1079"/>
      <c r="E20" s="1079"/>
      <c r="F20" s="1079"/>
      <c r="G20" s="1046"/>
      <c r="H20" s="1831"/>
      <c r="I20" s="1832"/>
      <c r="O20" s="309"/>
      <c r="P20" s="309"/>
      <c r="Q20" s="309"/>
      <c r="R20" s="309"/>
      <c r="S20" s="309"/>
      <c r="T20" s="309"/>
      <c r="U20" s="309"/>
    </row>
    <row r="21" spans="2:21" ht="21" customHeight="1">
      <c r="B21" s="659"/>
      <c r="C21" s="1079"/>
      <c r="D21" s="1079"/>
      <c r="E21" s="1079"/>
      <c r="F21" s="1079"/>
      <c r="G21" s="1046"/>
      <c r="H21" s="1831"/>
      <c r="I21" s="1832"/>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O22" s="309"/>
      <c r="P22" s="309"/>
      <c r="Q22" s="309"/>
      <c r="R22" s="309"/>
      <c r="S22" s="309"/>
      <c r="T22" s="309"/>
      <c r="U22" s="309"/>
    </row>
    <row r="23" spans="2:21" ht="21" customHeight="1" thickBot="1">
      <c r="B23" s="1054"/>
      <c r="C23" s="1086"/>
      <c r="D23" s="1086"/>
      <c r="E23" s="1086"/>
      <c r="F23" s="1086"/>
      <c r="G23" s="1027">
        <f>SUM(G17:G22)</f>
        <v>0</v>
      </c>
      <c r="H23" s="1827">
        <f>SUM(H17:I22)</f>
        <v>0</v>
      </c>
      <c r="I23" s="1828"/>
    </row>
    <row r="24" spans="2:21" ht="21" customHeight="1" thickTop="1">
      <c r="B24" s="1321" t="str">
        <f>B13</f>
        <v>2022 Loan Maturities</v>
      </c>
      <c r="C24" s="1330"/>
      <c r="D24" s="1330"/>
      <c r="E24" s="1330"/>
      <c r="F24" s="1330"/>
      <c r="G24" s="1330"/>
      <c r="H24" s="451"/>
      <c r="I24" s="487"/>
      <c r="J24" s="451" t="s">
        <v>373</v>
      </c>
      <c r="K24" s="1834"/>
      <c r="L24" s="1834"/>
    </row>
    <row r="25" spans="2:21" ht="21" customHeight="1" thickBot="1">
      <c r="B25" s="1322" t="str">
        <f>B14</f>
        <v>2022 Interest on Loans</v>
      </c>
      <c r="C25" s="1102"/>
      <c r="D25" s="1102"/>
      <c r="E25" s="1102"/>
      <c r="F25" s="1102"/>
      <c r="G25" s="1314"/>
      <c r="H25" s="385" t="s">
        <v>373</v>
      </c>
      <c r="I25" s="577"/>
      <c r="J25" s="477"/>
      <c r="K25" s="385"/>
      <c r="L25" s="385"/>
    </row>
    <row r="26" spans="2:21" ht="21" customHeight="1" thickTop="1"/>
    <row r="27" spans="2:21" ht="19.5" customHeight="1" thickBot="1">
      <c r="B27" s="1977" t="str">
        <f>"INTEREST  ON  LOANS  - "&amp;UPPER('KEY INPUTS'!D56)&amp;"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387" t="s">
        <v>373</v>
      </c>
      <c r="I28" s="1332">
        <f>+I25+I14</f>
        <v>0</v>
      </c>
    </row>
    <row r="29" spans="2:21" ht="21" customHeight="1">
      <c r="B29" s="871" t="str">
        <f>'49a-Utility1'!B29</f>
        <v>Less: Interest Accrued to 12/31/2021 (Trial Balance)</v>
      </c>
      <c r="C29" s="659"/>
      <c r="D29" s="1079"/>
      <c r="E29" s="1079"/>
      <c r="F29" s="1079"/>
      <c r="G29" s="1079"/>
      <c r="H29" s="321" t="s">
        <v>373</v>
      </c>
      <c r="I29" s="570"/>
    </row>
    <row r="30" spans="2:21" ht="21" customHeight="1">
      <c r="B30" s="659"/>
      <c r="C30" s="659" t="s">
        <v>317</v>
      </c>
      <c r="D30" s="1079"/>
      <c r="E30" s="1079"/>
      <c r="F30" s="1079"/>
      <c r="G30" s="1079"/>
      <c r="H30" s="321" t="s">
        <v>373</v>
      </c>
      <c r="I30" s="1334">
        <f>+I28-I29</f>
        <v>0</v>
      </c>
    </row>
    <row r="31" spans="2:21" ht="21" customHeight="1">
      <c r="B31" s="871" t="str">
        <f>'49a-Utility1'!B31</f>
        <v>Add: Interest to be Accrued as of 12/31/2022</v>
      </c>
      <c r="C31" s="659"/>
      <c r="D31" s="1079"/>
      <c r="E31" s="1079"/>
      <c r="F31" s="1079"/>
      <c r="G31" s="1079"/>
      <c r="H31" s="321" t="s">
        <v>373</v>
      </c>
      <c r="I31" s="570"/>
    </row>
    <row r="32" spans="2:21" ht="21" customHeight="1">
      <c r="B32" s="871" t="str">
        <f>'49a-Utility1'!B32</f>
        <v>Required Appropriation 2022</v>
      </c>
      <c r="C32" s="659"/>
      <c r="D32" s="1079"/>
      <c r="E32" s="1079"/>
      <c r="F32" s="1079"/>
      <c r="G32" s="1079"/>
      <c r="H32" s="321"/>
      <c r="I32" s="386"/>
      <c r="J32" s="478" t="s">
        <v>373</v>
      </c>
      <c r="K32" s="1979">
        <f>+I30+I31</f>
        <v>0</v>
      </c>
      <c r="L32" s="1980"/>
    </row>
    <row r="33" spans="2:12" ht="13.5" customHeight="1">
      <c r="B33" s="482"/>
      <c r="C33" s="482"/>
      <c r="D33" s="482"/>
      <c r="E33" s="482"/>
      <c r="F33" s="482"/>
      <c r="G33" s="482"/>
      <c r="H33" s="482"/>
      <c r="I33" s="482"/>
      <c r="J33" s="482"/>
      <c r="K33" s="481"/>
      <c r="L33" s="771"/>
    </row>
    <row r="34" spans="2:12" ht="13.5" customHeight="1">
      <c r="B34" s="482"/>
      <c r="C34" s="482"/>
      <c r="D34" s="482"/>
      <c r="E34" s="482"/>
      <c r="F34" s="482"/>
      <c r="G34" s="482"/>
      <c r="H34" s="482"/>
      <c r="I34" s="482"/>
      <c r="J34" s="482"/>
      <c r="K34" s="481"/>
      <c r="L34" s="771"/>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oFXiyL/t+vx2iJrQQHAAOya8lT6rEVWJtT6YJvcnhLXZI6B/h/vuKKEUfwGMZjGTzFsjr1lLKkdZNnsrihgvlg==" saltValue="yU3f8xzNfDKKnH0t/QmkHw=="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6">
    <tabColor theme="5" tint="0.59999389629810485"/>
  </sheetPr>
  <dimension ref="A2:V30"/>
  <sheetViews>
    <sheetView zoomScaleNormal="100" zoomScaleSheetLayoutView="80" workbookViewId="0">
      <selection activeCell="D23" sqref="D23:D27"/>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INPUTS'!D56)&amp;"  UTILITY  NOTES  (OTHER  THAN  UTILITY  ASSESSMENT  NOTES)"</f>
        <v>DEBT  SERVICE  FOR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c r="D9" s="645"/>
      <c r="E9" s="575"/>
      <c r="F9" s="1432"/>
      <c r="G9" s="575"/>
      <c r="H9" s="1433"/>
      <c r="I9" s="760"/>
      <c r="J9" s="575"/>
      <c r="K9" s="575">
        <f>+I9*G9</f>
        <v>0</v>
      </c>
      <c r="L9" s="1434"/>
      <c r="M9" s="1435"/>
      <c r="P9" s="309"/>
      <c r="Q9" s="309"/>
      <c r="R9" s="309"/>
      <c r="S9" s="309"/>
      <c r="T9" s="309"/>
      <c r="U9" s="309"/>
      <c r="V9" s="309"/>
    </row>
    <row r="10" spans="1:22" ht="21" customHeight="1">
      <c r="B10" s="1436" t="s">
        <v>293</v>
      </c>
      <c r="C10" s="1437"/>
      <c r="D10" s="621"/>
      <c r="E10" s="571"/>
      <c r="F10" s="1438"/>
      <c r="G10" s="571"/>
      <c r="H10" s="1439"/>
      <c r="I10" s="592"/>
      <c r="J10" s="1440"/>
      <c r="K10" s="571">
        <f>+I10*G10</f>
        <v>0</v>
      </c>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mFF9nn4b96V9o10+zV6lNPjuFSy9pc42MQZAvO0tVfsJng1im0IaXbFndL9bLEb9fybGy/yAPOifsQgL4oiOfQ==" saltValue="Kgche3hFjVdTzqzXyCkpk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4">
    <tabColor theme="5" tint="0.59999389629810485"/>
  </sheetPr>
  <dimension ref="A2:V31"/>
  <sheetViews>
    <sheetView zoomScaleNormal="100" zoomScaleSheetLayoutView="80" workbookViewId="0">
      <selection activeCell="R13" sqref="R13"/>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2" spans="1:22" ht="20.399999999999999">
      <c r="B2" s="1909" t="str">
        <f>"DEBT  SERVICE  FOR  "&amp;UPPER('KEY INPUTS'!D56)&amp;"  UTILITY  NOTES  (OTHER  THAN  UTILITY  ASSESSMENT  NOTES)"</f>
        <v>DEBT  SERVICE  FOR    UTILITY  NOTES  (OTHER  THAN  UTILITY  ASSESSMENT  NOTES)</v>
      </c>
      <c r="C2" s="1909"/>
      <c r="D2" s="1909"/>
      <c r="E2" s="1909"/>
      <c r="F2" s="1909"/>
      <c r="G2" s="1909"/>
      <c r="H2" s="1909"/>
      <c r="I2" s="1909"/>
      <c r="J2" s="1909"/>
      <c r="K2" s="1909"/>
      <c r="L2" s="1909"/>
      <c r="M2" s="1909"/>
    </row>
    <row r="3" spans="1:22" ht="21" thickBot="1">
      <c r="B3" s="1909"/>
      <c r="C3" s="1909"/>
      <c r="D3" s="1909"/>
      <c r="E3" s="1909"/>
      <c r="F3" s="1909"/>
      <c r="G3" s="1909"/>
      <c r="H3" s="1909"/>
      <c r="I3" s="1909"/>
      <c r="J3" s="1909"/>
      <c r="K3" s="1909"/>
      <c r="L3" s="1909"/>
      <c r="M3" s="1909"/>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183"/>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IF('KEY INPUTS'!C42 = "State Fiscal Year", 'KEY INPUTS'!F47,'KEY INPUTS'!D47)</f>
        <v>Dec. 31, 2021</v>
      </c>
      <c r="H8" s="1186"/>
      <c r="I8" s="1186"/>
      <c r="J8" s="1188"/>
      <c r="K8" s="1189"/>
      <c r="L8" s="1190"/>
      <c r="M8" s="1191"/>
      <c r="P8" s="309"/>
      <c r="Q8" s="309"/>
      <c r="R8" s="309"/>
      <c r="S8" s="309"/>
      <c r="T8" s="309"/>
      <c r="U8" s="309"/>
      <c r="V8" s="309"/>
    </row>
    <row r="9" spans="1:22" ht="21" customHeight="1" thickTop="1">
      <c r="B9" s="509" t="s">
        <v>292</v>
      </c>
      <c r="C9" s="644"/>
      <c r="D9" s="645"/>
      <c r="E9" s="587"/>
      <c r="F9" s="646"/>
      <c r="G9" s="587"/>
      <c r="H9" s="647"/>
      <c r="I9" s="589"/>
      <c r="J9" s="587"/>
      <c r="K9" s="587"/>
      <c r="L9" s="598"/>
      <c r="M9" s="648"/>
      <c r="P9" s="309"/>
      <c r="Q9" s="309"/>
      <c r="R9" s="309"/>
      <c r="S9" s="309"/>
      <c r="T9" s="309"/>
      <c r="U9" s="309"/>
      <c r="V9" s="309"/>
    </row>
    <row r="10" spans="1:22" ht="21" customHeight="1">
      <c r="B10" s="508" t="s">
        <v>293</v>
      </c>
      <c r="C10" s="649"/>
      <c r="D10" s="621"/>
      <c r="E10" s="571"/>
      <c r="F10" s="650"/>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654"/>
      <c r="G11" s="571"/>
      <c r="H11" s="571"/>
      <c r="I11" s="592"/>
      <c r="J11" s="571"/>
      <c r="K11" s="571"/>
      <c r="L11" s="600"/>
      <c r="M11" s="653"/>
      <c r="P11" s="309"/>
      <c r="Q11" s="309"/>
      <c r="R11" s="309"/>
      <c r="S11" s="309"/>
      <c r="T11" s="309"/>
      <c r="U11" s="309"/>
      <c r="V11" s="309"/>
    </row>
    <row r="12" spans="1:22" ht="21" customHeight="1">
      <c r="B12" s="508" t="s">
        <v>295</v>
      </c>
      <c r="C12" s="617"/>
      <c r="D12" s="621"/>
      <c r="E12" s="571"/>
      <c r="F12" s="654"/>
      <c r="G12" s="571"/>
      <c r="H12" s="571"/>
      <c r="I12" s="592"/>
      <c r="J12" s="571"/>
      <c r="K12" s="571"/>
      <c r="L12" s="600"/>
      <c r="M12" s="653"/>
      <c r="P12" s="309"/>
      <c r="Q12" s="309"/>
      <c r="R12" s="309"/>
      <c r="S12" s="309"/>
      <c r="T12" s="309"/>
      <c r="U12" s="309"/>
      <c r="V12" s="309"/>
    </row>
    <row r="13" spans="1:22" ht="21" customHeight="1">
      <c r="B13" s="508" t="s">
        <v>296</v>
      </c>
      <c r="C13" s="617"/>
      <c r="D13" s="621"/>
      <c r="E13" s="571"/>
      <c r="F13" s="654"/>
      <c r="G13" s="571"/>
      <c r="H13" s="571"/>
      <c r="I13" s="592"/>
      <c r="J13" s="571"/>
      <c r="K13" s="571"/>
      <c r="L13" s="600"/>
      <c r="M13" s="653"/>
      <c r="P13" s="309"/>
      <c r="Q13" s="309"/>
      <c r="R13" s="309"/>
      <c r="S13" s="309"/>
      <c r="T13" s="309"/>
      <c r="U13" s="309"/>
      <c r="V13" s="309"/>
    </row>
    <row r="14" spans="1:22" ht="21" customHeight="1">
      <c r="B14" s="508" t="s">
        <v>297</v>
      </c>
      <c r="C14" s="617"/>
      <c r="D14" s="621"/>
      <c r="E14" s="574"/>
      <c r="F14" s="65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65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65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65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SUM(E9:E17)+'50-Utility3'!E18</f>
        <v>0</v>
      </c>
      <c r="F18" s="661"/>
      <c r="G18" s="658">
        <f>SUM(G9:G17)+'50-Utility3'!G18</f>
        <v>0</v>
      </c>
      <c r="H18" s="658"/>
      <c r="I18" s="662"/>
      <c r="J18" s="658">
        <f>SUM(J9:J17)+'50-Utility3'!J18</f>
        <v>0</v>
      </c>
      <c r="K18" s="658">
        <f>SUM(K9:K17)+'50-Utility3'!K18</f>
        <v>0</v>
      </c>
      <c r="L18" s="663"/>
      <c r="M18" s="664"/>
      <c r="P18" s="309"/>
      <c r="Q18" s="309"/>
      <c r="R18" s="309"/>
      <c r="S18" s="309"/>
      <c r="T18" s="309"/>
      <c r="U18" s="309"/>
      <c r="V18" s="309"/>
    </row>
    <row r="19" spans="1:22" ht="21" customHeight="1">
      <c r="A19" s="507"/>
      <c r="B19" s="1292"/>
      <c r="C19" s="1132"/>
      <c r="D19" s="1132"/>
      <c r="E19" s="1293"/>
      <c r="F19" s="1132"/>
      <c r="G19" s="1293"/>
      <c r="H19" s="1293"/>
      <c r="I19" s="1294"/>
      <c r="J19" s="1293"/>
      <c r="K19" s="1293"/>
      <c r="L19" s="1293"/>
      <c r="M19" s="1132"/>
      <c r="P19" s="309"/>
      <c r="Q19" s="309"/>
      <c r="R19" s="309"/>
      <c r="S19" s="309"/>
      <c r="T19" s="309"/>
      <c r="U19" s="309"/>
      <c r="V19" s="309"/>
    </row>
    <row r="20" spans="1:22" ht="21" customHeight="1">
      <c r="A20" s="507"/>
      <c r="B20" s="1292"/>
      <c r="C20" s="1132"/>
      <c r="D20" s="1132"/>
      <c r="E20" s="1293"/>
      <c r="F20" s="1132"/>
      <c r="G20" s="1293"/>
      <c r="H20" s="1293"/>
      <c r="I20" s="1294"/>
      <c r="J20" s="1293"/>
      <c r="K20" s="1293"/>
      <c r="L20" s="1293"/>
      <c r="M20" s="1132"/>
      <c r="P20" s="309"/>
      <c r="Q20" s="309"/>
      <c r="R20" s="309"/>
      <c r="S20" s="309"/>
      <c r="T20" s="309"/>
      <c r="U20" s="309"/>
      <c r="V20" s="309"/>
    </row>
    <row r="21" spans="1:22" ht="13.5" customHeight="1" thickBot="1">
      <c r="B21" s="1295"/>
      <c r="C21" s="1296"/>
      <c r="D21" s="1297"/>
      <c r="E21" s="1132"/>
      <c r="F21" s="1132"/>
      <c r="G21" s="1132"/>
      <c r="H21" s="1132"/>
      <c r="I21" s="1132"/>
      <c r="J21" s="1298"/>
      <c r="K21" s="1132"/>
      <c r="L21" s="1132"/>
      <c r="M21" s="1132"/>
      <c r="P21" s="309"/>
      <c r="Q21" s="309"/>
      <c r="R21" s="309"/>
      <c r="S21" s="309"/>
      <c r="T21" s="309"/>
      <c r="U21" s="309"/>
      <c r="V21" s="309"/>
    </row>
    <row r="22" spans="1:22" ht="14.4" thickTop="1" thickBot="1">
      <c r="B22" s="1160" t="s">
        <v>40</v>
      </c>
      <c r="C22" s="1059"/>
      <c r="D22" s="1299"/>
      <c r="E22" s="1059"/>
      <c r="F22" s="1054"/>
      <c r="G22" s="1054"/>
      <c r="H22" s="1054"/>
      <c r="I22" s="1988" t="str">
        <f>"INTEREST  ON  NOTES  -  "&amp;UPPER('KEY INPUTS'!D56)&amp;" UTILITY  BUDGET"</f>
        <v>INTEREST  ON  NOTES  -   UTILITY  BUDGET</v>
      </c>
      <c r="J22" s="1989"/>
      <c r="K22" s="1989"/>
      <c r="L22" s="1989"/>
      <c r="M22" s="1990"/>
      <c r="P22" s="309"/>
      <c r="Q22" s="309"/>
      <c r="R22" s="309"/>
      <c r="S22" s="309"/>
      <c r="T22" s="309"/>
      <c r="U22" s="309"/>
      <c r="V22" s="309"/>
    </row>
    <row r="23" spans="1:22" ht="15.6" customHeight="1">
      <c r="B23" s="1300" t="s">
        <v>41</v>
      </c>
      <c r="C23" s="1300"/>
      <c r="D23" s="1449" t="s">
        <v>3580</v>
      </c>
      <c r="E23" s="1059"/>
      <c r="F23" s="1054"/>
      <c r="G23" s="1054"/>
      <c r="H23" s="1054"/>
      <c r="I23" s="499" t="str">
        <f>IF('KEY INPUTS'!C42="State Fiscal Year","Fiscal Year "&amp;'KEY INPUTS'!D33+1&amp;"",'KEY INPUTS'!D34+1)&amp;" Interest on Notes"</f>
        <v>2022 Interest on Notes</v>
      </c>
      <c r="J23" s="1131"/>
      <c r="K23" s="1131"/>
      <c r="L23" s="498" t="s">
        <v>373</v>
      </c>
      <c r="M23" s="1174">
        <f>K18</f>
        <v>0</v>
      </c>
      <c r="P23" s="309"/>
      <c r="Q23" s="309"/>
      <c r="R23" s="309"/>
      <c r="S23" s="309"/>
      <c r="T23" s="309"/>
      <c r="U23" s="309"/>
      <c r="V23" s="309"/>
    </row>
    <row r="24" spans="1:22" ht="15.6" customHeight="1">
      <c r="B24" s="1160"/>
      <c r="C24" s="1160"/>
      <c r="D24" s="1451" t="s">
        <v>42</v>
      </c>
      <c r="E24" s="1059"/>
      <c r="F24" s="1054"/>
      <c r="G24" s="1054"/>
      <c r="H24" s="1054"/>
      <c r="I24" s="497" t="str">
        <f>"Less: Interest Accrued to "&amp;IF('KEY INPUTS'!C42="State Fiscal Year",(TEXT('KEY INPUTS'!F29,"mm/dd/yyy")),(TEXT('KEY INPUTS'!D29,"mm/dd/yyy")))&amp;" (Trial Balance)"</f>
        <v>Less: Interest Accrued to 12/31/2021 (Trial Balance)</v>
      </c>
      <c r="J24" s="659"/>
      <c r="K24" s="659"/>
      <c r="L24" s="496" t="s">
        <v>373</v>
      </c>
      <c r="M24" s="641"/>
      <c r="P24" s="309"/>
      <c r="Q24" s="309"/>
      <c r="R24" s="309"/>
      <c r="S24" s="309"/>
      <c r="T24" s="309"/>
      <c r="U24" s="309"/>
      <c r="V24" s="309"/>
    </row>
    <row r="25" spans="1:22" ht="15.6" customHeight="1">
      <c r="B25" s="1160"/>
      <c r="C25" s="1160"/>
      <c r="D25" s="1449" t="s">
        <v>43</v>
      </c>
      <c r="E25" s="1059"/>
      <c r="F25" s="1054"/>
      <c r="G25" s="1054"/>
      <c r="H25" s="1054"/>
      <c r="I25" s="463"/>
      <c r="J25" s="659" t="s">
        <v>317</v>
      </c>
      <c r="K25" s="659"/>
      <c r="L25" s="496" t="s">
        <v>373</v>
      </c>
      <c r="M25" s="1175">
        <f>+M23-M24</f>
        <v>0</v>
      </c>
    </row>
    <row r="26" spans="1:22" ht="15.6" customHeight="1">
      <c r="B26" s="1160"/>
      <c r="C26" s="1160"/>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1059"/>
      <c r="F26" s="1054"/>
      <c r="G26" s="1054"/>
      <c r="H26" s="1054"/>
      <c r="I26" s="497" t="str">
        <f>"Add: Interest to be Accrued as of "&amp;IF('KEY INPUTS'!C42="State Fiscal Year",(TEXT('KEY INPUTS'!F30,"mm/dd/yyy")),(TEXT('KEY INPUTS'!D30,"mm/dd/yyy")))&amp;""</f>
        <v>Add: Interest to be Accrued as of 12/31/2022</v>
      </c>
      <c r="J26" s="659"/>
      <c r="K26" s="659"/>
      <c r="L26" s="496" t="s">
        <v>373</v>
      </c>
      <c r="M26" s="641"/>
    </row>
    <row r="27" spans="1:22" ht="15.6" customHeight="1" thickBot="1">
      <c r="B27" s="1160"/>
      <c r="C27" s="1160"/>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1059"/>
      <c r="F27" s="1054"/>
      <c r="G27" s="1054"/>
      <c r="H27" s="1054"/>
      <c r="I27" s="495" t="str">
        <f>"Required Appropriation "&amp;IF('KEY INPUTS'!C42="State Fiscal Year","Fiscal Year "&amp;'KEY INPUTS'!D33+1&amp;"",'KEY INPUTS'!D34+1)&amp;""</f>
        <v>Required Appropriation 2022</v>
      </c>
      <c r="J27" s="1109"/>
      <c r="K27" s="1109"/>
      <c r="L27" s="494" t="s">
        <v>373</v>
      </c>
      <c r="M27" s="1176">
        <f>+M25+M26</f>
        <v>0</v>
      </c>
    </row>
    <row r="28" spans="1:22" ht="13.8" thickTop="1">
      <c r="B28" s="1160"/>
      <c r="C28" s="1160"/>
      <c r="D28" s="1160" t="s">
        <v>44</v>
      </c>
      <c r="E28" s="1059"/>
      <c r="F28" s="1054"/>
      <c r="G28" s="1054"/>
      <c r="H28" s="1054"/>
      <c r="I28" s="1054"/>
      <c r="J28" s="1054"/>
      <c r="K28" s="1054"/>
      <c r="L28" s="1054"/>
      <c r="M28" s="1054"/>
    </row>
    <row r="29" spans="1:22">
      <c r="B29" s="1059"/>
      <c r="C29" s="1059"/>
      <c r="D29" s="1300" t="s">
        <v>45</v>
      </c>
      <c r="E29" s="1059"/>
      <c r="F29" s="1054"/>
      <c r="G29" s="1054"/>
      <c r="H29" s="1054"/>
      <c r="I29" s="1054"/>
      <c r="J29" s="1054"/>
      <c r="K29" s="1054"/>
      <c r="L29" s="1054"/>
      <c r="M29" s="1054"/>
    </row>
    <row r="30" spans="1:22">
      <c r="I30" s="1054"/>
      <c r="J30" s="1298" t="s">
        <v>98</v>
      </c>
      <c r="K30" s="1054"/>
      <c r="L30" s="1054"/>
      <c r="M30" s="1054"/>
    </row>
    <row r="31" spans="1:22">
      <c r="I31" s="1054"/>
      <c r="J31" s="1054"/>
      <c r="K31" s="1054"/>
      <c r="L31" s="1054"/>
      <c r="M31" s="1054"/>
    </row>
  </sheetData>
  <sheetProtection algorithmName="SHA-512" hashValue="EeT6bx7Swvqq6KCWaCh8Yolg9fKDnUjcnBIrwMAzOdnDeEz5CWyAhF0bEAUJU6s5Ua5jPPM4hYUqAa5qE6s9jw==" saltValue="J80pxRb3giHGuQUEe+xFC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5">
    <tabColor theme="5" tint="0.59999389629810485"/>
  </sheetPr>
  <dimension ref="A1:T29"/>
  <sheetViews>
    <sheetView zoomScaleNormal="100" zoomScaleSheetLayoutView="80" workbookViewId="0">
      <selection activeCell="C27" sqref="C27"/>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1" spans="1:20">
      <c r="B1" s="1086"/>
      <c r="C1" s="1086"/>
      <c r="D1" s="1086"/>
      <c r="E1" s="1086"/>
      <c r="F1" s="1086"/>
      <c r="G1" s="1086"/>
      <c r="H1" s="1086"/>
      <c r="I1" s="1086"/>
      <c r="J1" s="1086"/>
      <c r="K1" s="1086"/>
      <c r="L1" s="1086"/>
    </row>
    <row r="2" spans="1:20" ht="20.399999999999999">
      <c r="B2" s="1909" t="str">
        <f>"DEBT  SERVICE  SCHEDULE  FOR  "&amp;UPPER('KEY INPUTS'!D56) &amp;"  UTILITY  ASSESSMENT  NOTES"</f>
        <v>DEBT  SERVICE  SCHEDULE  FOR    UTILITY  ASSESSMENT  NOTES</v>
      </c>
      <c r="C2" s="1909"/>
      <c r="D2" s="1909"/>
      <c r="E2" s="1909"/>
      <c r="F2" s="1909"/>
      <c r="G2" s="1909"/>
      <c r="H2" s="1909"/>
      <c r="I2" s="1909"/>
      <c r="J2" s="1909"/>
      <c r="K2" s="1909"/>
      <c r="L2" s="1909"/>
    </row>
    <row r="3" spans="1:20" ht="21" thickBot="1">
      <c r="B3" s="2000"/>
      <c r="C3" s="2000"/>
      <c r="D3" s="2000"/>
      <c r="E3" s="2000"/>
      <c r="F3" s="2000"/>
      <c r="G3" s="2000"/>
      <c r="H3" s="2000"/>
      <c r="I3" s="2000"/>
      <c r="J3" s="2000"/>
      <c r="K3" s="2000"/>
      <c r="L3" s="2000"/>
    </row>
    <row r="4" spans="1:20" ht="13.5" customHeight="1" thickTop="1">
      <c r="B4" s="2070"/>
      <c r="C4" s="2070"/>
      <c r="D4" s="2071"/>
      <c r="E4" s="1178"/>
      <c r="F4" s="1083"/>
      <c r="G4" s="1083"/>
      <c r="H4" s="1083"/>
      <c r="I4" s="1083"/>
      <c r="J4" s="1082"/>
      <c r="K4" s="1082"/>
      <c r="L4" s="1085"/>
    </row>
    <row r="5" spans="1:20" ht="13.5" customHeight="1">
      <c r="B5" s="1086"/>
      <c r="C5" s="1086"/>
      <c r="D5" s="1086"/>
      <c r="E5" s="1087" t="s">
        <v>139</v>
      </c>
      <c r="F5" s="1091" t="s">
        <v>139</v>
      </c>
      <c r="G5" s="1091" t="s">
        <v>414</v>
      </c>
      <c r="H5" s="1091" t="s">
        <v>17</v>
      </c>
      <c r="I5" s="1091" t="s">
        <v>543</v>
      </c>
      <c r="J5" s="1994" t="str">
        <f>IF('KEY INPUTS'!C42="State Fiscal Year","Fiscal Year "&amp;'KEY INPUTS'!D33+1&amp;"",'KEY INPUTS'!D34+1)&amp;""</f>
        <v>2022</v>
      </c>
      <c r="K5" s="1995"/>
      <c r="L5" s="1089" t="s">
        <v>544</v>
      </c>
    </row>
    <row r="6" spans="1:20" ht="13.5" customHeight="1">
      <c r="B6" s="1086"/>
      <c r="C6" s="1908" t="s">
        <v>138</v>
      </c>
      <c r="D6" s="2001"/>
      <c r="E6" s="1087" t="s">
        <v>414</v>
      </c>
      <c r="F6" s="1091" t="s">
        <v>140</v>
      </c>
      <c r="G6" s="1091" t="s">
        <v>540</v>
      </c>
      <c r="H6" s="1091" t="s">
        <v>541</v>
      </c>
      <c r="I6" s="1091" t="s">
        <v>541</v>
      </c>
      <c r="J6" s="1996"/>
      <c r="K6" s="1997"/>
      <c r="L6" s="1089" t="s">
        <v>547</v>
      </c>
    </row>
    <row r="7" spans="1:20" ht="13.5" customHeight="1">
      <c r="B7" s="1086"/>
      <c r="C7" s="1086"/>
      <c r="D7" s="1086"/>
      <c r="E7" s="1087" t="s">
        <v>92</v>
      </c>
      <c r="F7" s="1087" t="s">
        <v>141</v>
      </c>
      <c r="G7" s="1087" t="s">
        <v>198</v>
      </c>
      <c r="H7" s="1087" t="s">
        <v>542</v>
      </c>
      <c r="I7" s="1087" t="s">
        <v>544</v>
      </c>
      <c r="J7" s="1087" t="s">
        <v>113</v>
      </c>
      <c r="K7" s="1087" t="s">
        <v>545</v>
      </c>
      <c r="L7" s="1089" t="s">
        <v>548</v>
      </c>
      <c r="N7" s="309"/>
      <c r="O7" s="309"/>
      <c r="P7" s="309"/>
      <c r="Q7" s="309"/>
      <c r="R7" s="309"/>
      <c r="S7" s="309"/>
      <c r="T7" s="309"/>
    </row>
    <row r="8" spans="1:20" ht="13.5" customHeight="1" thickBot="1">
      <c r="B8" s="1093"/>
      <c r="C8" s="1093"/>
      <c r="D8" s="1093"/>
      <c r="E8" s="1094"/>
      <c r="F8" s="1094"/>
      <c r="G8" s="1303" t="str">
        <f>IF('KEY INPUTS'!C42 = "State Fiscal Year", 'KEY INPUTS'!F47,'KEY INPUTS'!D47)</f>
        <v>Dec. 31, 2021</v>
      </c>
      <c r="H8" s="1094"/>
      <c r="I8" s="1094"/>
      <c r="J8" s="1095"/>
      <c r="K8" s="1195" t="s">
        <v>546</v>
      </c>
      <c r="L8" s="1097"/>
      <c r="N8" s="309"/>
      <c r="O8" s="309"/>
      <c r="P8" s="309"/>
      <c r="Q8" s="309"/>
      <c r="R8" s="309"/>
      <c r="S8" s="309"/>
      <c r="T8" s="309"/>
    </row>
    <row r="9" spans="1:20" ht="21" customHeight="1" thickTop="1">
      <c r="B9" s="2004"/>
      <c r="C9" s="2004"/>
      <c r="D9" s="2005"/>
      <c r="E9" s="575"/>
      <c r="F9" s="759"/>
      <c r="G9" s="575"/>
      <c r="H9" s="575"/>
      <c r="I9" s="760"/>
      <c r="J9" s="575"/>
      <c r="K9" s="575"/>
      <c r="L9" s="761"/>
      <c r="N9" s="356"/>
      <c r="O9" s="309"/>
      <c r="P9" s="309"/>
      <c r="Q9" s="309"/>
      <c r="R9" s="309"/>
      <c r="S9" s="309"/>
      <c r="T9" s="309"/>
    </row>
    <row r="10" spans="1:20" ht="21" customHeight="1">
      <c r="B10" s="674"/>
      <c r="C10" s="674"/>
      <c r="D10" s="1409"/>
      <c r="E10" s="571"/>
      <c r="F10" s="654"/>
      <c r="G10" s="571"/>
      <c r="H10" s="571"/>
      <c r="I10" s="592"/>
      <c r="J10" s="571"/>
      <c r="K10" s="571"/>
      <c r="L10" s="668"/>
      <c r="N10" s="309"/>
      <c r="O10" s="309"/>
      <c r="P10" s="309"/>
      <c r="Q10" s="309"/>
      <c r="R10" s="309"/>
      <c r="S10" s="309"/>
      <c r="T10" s="309"/>
    </row>
    <row r="11" spans="1:20" ht="21" customHeight="1">
      <c r="B11" s="674"/>
      <c r="C11" s="674"/>
      <c r="D11" s="1409"/>
      <c r="E11" s="571"/>
      <c r="F11" s="654"/>
      <c r="G11" s="571"/>
      <c r="H11" s="571"/>
      <c r="I11" s="592"/>
      <c r="J11" s="571"/>
      <c r="K11" s="571"/>
      <c r="L11" s="668"/>
      <c r="N11" s="309"/>
      <c r="O11" s="309"/>
      <c r="P11" s="309"/>
      <c r="Q11" s="309"/>
      <c r="R11" s="309"/>
      <c r="S11" s="309"/>
      <c r="T11" s="309"/>
    </row>
    <row r="12" spans="1:20" ht="21" customHeight="1">
      <c r="B12" s="674"/>
      <c r="C12" s="674"/>
      <c r="D12" s="1409"/>
      <c r="E12" s="571"/>
      <c r="F12" s="654"/>
      <c r="G12" s="571"/>
      <c r="H12" s="571"/>
      <c r="I12" s="592"/>
      <c r="J12" s="571"/>
      <c r="K12" s="571"/>
      <c r="L12" s="668"/>
      <c r="N12" s="309"/>
      <c r="O12" s="309"/>
      <c r="P12" s="309"/>
      <c r="Q12" s="309"/>
      <c r="R12" s="309"/>
      <c r="S12" s="309"/>
      <c r="T12" s="309"/>
    </row>
    <row r="13" spans="1:20" ht="21" customHeight="1">
      <c r="B13" s="674"/>
      <c r="C13" s="674"/>
      <c r="D13" s="1409"/>
      <c r="E13" s="571"/>
      <c r="F13" s="654"/>
      <c r="G13" s="571"/>
      <c r="H13" s="571"/>
      <c r="I13" s="592"/>
      <c r="J13" s="571"/>
      <c r="K13" s="571"/>
      <c r="L13" s="668"/>
      <c r="N13" s="309"/>
      <c r="O13" s="309"/>
      <c r="P13" s="309"/>
      <c r="Q13" s="309"/>
      <c r="R13" s="309"/>
      <c r="S13" s="309"/>
      <c r="T13" s="309"/>
    </row>
    <row r="14" spans="1:20" ht="21" customHeight="1">
      <c r="B14" s="674"/>
      <c r="C14" s="674"/>
      <c r="D14" s="1409"/>
      <c r="E14" s="574"/>
      <c r="F14" s="655"/>
      <c r="G14" s="574"/>
      <c r="H14" s="574"/>
      <c r="I14" s="595"/>
      <c r="J14" s="571"/>
      <c r="K14" s="571"/>
      <c r="L14" s="668"/>
      <c r="N14" s="309"/>
      <c r="O14" s="309"/>
      <c r="P14" s="309"/>
      <c r="Q14" s="309"/>
      <c r="R14" s="309"/>
      <c r="S14" s="309"/>
      <c r="T14" s="309"/>
    </row>
    <row r="15" spans="1:20" ht="21" customHeight="1">
      <c r="A15" s="1913" t="s">
        <v>3170</v>
      </c>
      <c r="B15" s="674"/>
      <c r="C15" s="674"/>
      <c r="D15" s="1409"/>
      <c r="E15" s="571"/>
      <c r="F15" s="654"/>
      <c r="G15" s="571"/>
      <c r="H15" s="571"/>
      <c r="I15" s="592"/>
      <c r="J15" s="571"/>
      <c r="K15" s="571"/>
      <c r="L15" s="668"/>
      <c r="N15" s="309"/>
      <c r="O15" s="309"/>
      <c r="P15" s="309"/>
      <c r="Q15" s="309"/>
      <c r="R15" s="309"/>
      <c r="S15" s="309"/>
      <c r="T15" s="309"/>
    </row>
    <row r="16" spans="1:20" ht="21" customHeight="1">
      <c r="A16" s="1913"/>
      <c r="B16" s="674"/>
      <c r="C16" s="674"/>
      <c r="D16" s="1409"/>
      <c r="E16" s="571"/>
      <c r="F16" s="654"/>
      <c r="G16" s="571"/>
      <c r="H16" s="571"/>
      <c r="I16" s="592"/>
      <c r="J16" s="571"/>
      <c r="K16" s="571"/>
      <c r="L16" s="668"/>
      <c r="N16" s="309"/>
      <c r="O16" s="309"/>
      <c r="P16" s="309"/>
      <c r="Q16" s="309"/>
      <c r="R16" s="309"/>
      <c r="S16" s="309"/>
      <c r="T16" s="309"/>
    </row>
    <row r="17" spans="1:20" ht="21" customHeight="1">
      <c r="A17" s="1913"/>
      <c r="B17" s="674"/>
      <c r="C17" s="674"/>
      <c r="D17" s="1409"/>
      <c r="E17" s="571"/>
      <c r="F17" s="654"/>
      <c r="G17" s="571"/>
      <c r="H17" s="571"/>
      <c r="I17" s="592"/>
      <c r="J17" s="571"/>
      <c r="K17" s="571"/>
      <c r="L17" s="668"/>
      <c r="N17" s="309"/>
      <c r="O17" s="309"/>
      <c r="P17" s="309"/>
      <c r="Q17" s="309"/>
      <c r="R17" s="309"/>
      <c r="S17" s="309"/>
      <c r="T17" s="309"/>
    </row>
    <row r="18" spans="1:20" ht="21" customHeight="1">
      <c r="A18" s="517"/>
      <c r="B18" s="674"/>
      <c r="C18" s="674"/>
      <c r="D18" s="1409"/>
      <c r="E18" s="571"/>
      <c r="F18" s="654"/>
      <c r="G18" s="571"/>
      <c r="H18" s="571"/>
      <c r="I18" s="592"/>
      <c r="J18" s="571"/>
      <c r="K18" s="571"/>
      <c r="L18" s="668"/>
      <c r="N18" s="309"/>
      <c r="O18" s="309"/>
      <c r="P18" s="309"/>
      <c r="Q18" s="309"/>
      <c r="R18" s="309"/>
      <c r="S18" s="309"/>
      <c r="T18" s="309"/>
    </row>
    <row r="19" spans="1:20" ht="21" customHeight="1">
      <c r="B19" s="674"/>
      <c r="C19" s="674"/>
      <c r="D19" s="1409"/>
      <c r="E19" s="571"/>
      <c r="F19" s="654"/>
      <c r="G19" s="571"/>
      <c r="H19" s="571"/>
      <c r="I19" s="592"/>
      <c r="J19" s="571"/>
      <c r="K19" s="571"/>
      <c r="L19" s="668"/>
      <c r="N19" s="309"/>
      <c r="O19" s="309"/>
      <c r="P19" s="309"/>
      <c r="Q19" s="309"/>
      <c r="R19" s="309"/>
      <c r="S19" s="309"/>
      <c r="T19" s="309"/>
    </row>
    <row r="20" spans="1:20" ht="21" customHeight="1">
      <c r="B20" s="674"/>
      <c r="C20" s="674"/>
      <c r="D20" s="1409"/>
      <c r="E20" s="571"/>
      <c r="F20" s="654"/>
      <c r="G20" s="571"/>
      <c r="H20" s="571"/>
      <c r="I20" s="592"/>
      <c r="J20" s="571"/>
      <c r="K20" s="571"/>
      <c r="L20" s="668"/>
      <c r="N20" s="309"/>
      <c r="O20" s="309"/>
      <c r="P20" s="309"/>
      <c r="Q20" s="309"/>
      <c r="R20" s="309"/>
      <c r="S20" s="309"/>
      <c r="T20" s="309"/>
    </row>
    <row r="21" spans="1:20" ht="21" customHeight="1">
      <c r="B21" s="674"/>
      <c r="C21" s="674"/>
      <c r="D21" s="1409"/>
      <c r="E21" s="571"/>
      <c r="F21" s="654"/>
      <c r="G21" s="571"/>
      <c r="H21" s="571"/>
      <c r="I21" s="592"/>
      <c r="J21" s="571"/>
      <c r="K21" s="571"/>
      <c r="L21" s="668"/>
      <c r="N21" s="309"/>
      <c r="O21" s="309"/>
      <c r="P21" s="309"/>
      <c r="Q21" s="309"/>
      <c r="R21" s="309"/>
      <c r="S21" s="309"/>
      <c r="T21" s="309"/>
    </row>
    <row r="22" spans="1:20" ht="21" customHeight="1">
      <c r="B22" s="674"/>
      <c r="C22" s="674"/>
      <c r="D22" s="1409"/>
      <c r="E22" s="571"/>
      <c r="F22" s="654"/>
      <c r="G22" s="571"/>
      <c r="H22" s="571"/>
      <c r="I22" s="592"/>
      <c r="J22" s="571"/>
      <c r="K22" s="571"/>
      <c r="L22" s="668"/>
      <c r="N22" s="309"/>
      <c r="O22" s="309"/>
      <c r="P22" s="309"/>
      <c r="Q22" s="309"/>
      <c r="R22" s="309"/>
      <c r="S22" s="309"/>
      <c r="T22" s="309"/>
    </row>
    <row r="23" spans="1:20" ht="21" customHeight="1" thickBot="1">
      <c r="B23" s="1196"/>
      <c r="C23" s="1354"/>
      <c r="D23" s="1355"/>
      <c r="E23" s="1304">
        <f>SUM(E9:E22)</f>
        <v>0</v>
      </c>
      <c r="F23" s="1356"/>
      <c r="G23" s="1304">
        <f>SUM(G9:G22)</f>
        <v>0</v>
      </c>
      <c r="H23" s="1304"/>
      <c r="I23" s="1304"/>
      <c r="J23" s="1304">
        <f>SUM(J9:J22)</f>
        <v>0</v>
      </c>
      <c r="K23" s="1304">
        <f>SUM(K9:K22)</f>
        <v>0</v>
      </c>
      <c r="L23" s="1357"/>
      <c r="N23" s="309"/>
      <c r="O23" s="309"/>
      <c r="P23" s="309"/>
      <c r="Q23" s="309"/>
      <c r="R23" s="309"/>
      <c r="S23" s="309"/>
      <c r="T23" s="309"/>
    </row>
    <row r="24" spans="1:20" ht="13.5" customHeight="1" thickTop="1">
      <c r="B24" s="1305" t="s">
        <v>40</v>
      </c>
      <c r="C24" s="1306"/>
      <c r="D24" s="1307"/>
      <c r="E24" s="1086"/>
      <c r="F24" s="1086"/>
      <c r="G24" s="1086"/>
      <c r="H24" s="1086"/>
      <c r="I24" s="1086"/>
      <c r="J24" s="1308"/>
      <c r="K24" s="1308"/>
      <c r="L24" s="1086"/>
    </row>
    <row r="25" spans="1:20" ht="13.5" customHeight="1">
      <c r="B25" s="1305" t="s">
        <v>550</v>
      </c>
      <c r="C25" s="1306"/>
      <c r="D25" s="1307"/>
      <c r="E25" s="1086"/>
      <c r="F25" s="1086"/>
      <c r="G25" s="1086"/>
      <c r="H25" s="1086"/>
      <c r="I25" s="1086"/>
      <c r="J25" s="1086"/>
      <c r="K25" s="1086"/>
      <c r="L25" s="1086"/>
    </row>
    <row r="26" spans="1:20" ht="13.5" customHeight="1">
      <c r="B26" s="1305"/>
      <c r="C26" s="1306"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307"/>
      <c r="E26" s="1086"/>
      <c r="F26" s="1086"/>
      <c r="G26" s="1086"/>
      <c r="H26" s="1086"/>
      <c r="I26" s="1086"/>
      <c r="J26" s="1086"/>
      <c r="K26" s="1086"/>
      <c r="L26" s="1086"/>
    </row>
    <row r="27" spans="1:20" ht="13.5" customHeight="1">
      <c r="B27" s="1305"/>
      <c r="C27" s="1306"/>
      <c r="D27" s="1309" t="s">
        <v>503</v>
      </c>
      <c r="E27" s="1086"/>
      <c r="F27" s="1086"/>
      <c r="G27" s="1086"/>
      <c r="H27" s="1086"/>
      <c r="I27" s="1086"/>
      <c r="J27" s="1086"/>
      <c r="K27" s="1086"/>
      <c r="L27" s="1086"/>
    </row>
    <row r="28" spans="1:20" ht="13.5" customHeight="1">
      <c r="B28" s="1305"/>
      <c r="C28" s="1306" t="s">
        <v>302</v>
      </c>
      <c r="D28" s="1307"/>
      <c r="E28" s="1086"/>
      <c r="F28" s="1086"/>
      <c r="G28" s="1086"/>
      <c r="H28" s="1086"/>
      <c r="I28" s="1086"/>
      <c r="J28" s="1310"/>
      <c r="K28" s="1086"/>
      <c r="L28" s="1086"/>
    </row>
    <row r="29" spans="1:20">
      <c r="B29" s="513"/>
      <c r="C29" s="383"/>
      <c r="D29" s="383"/>
    </row>
  </sheetData>
  <sheetProtection algorithmName="SHA-512" hashValue="ppaGuF3cdd9xEnDKgTvC4CsgKBbnfTOWjMEl+ltGjkK6tPNY4HBxHBCa+rfZShoWXMq4mjBUzCxpn6Tm82ouFw==" saltValue="4rqc5m++zhiom1hU/bnzMw==" spinCount="100000" sheet="1" objects="1" scenarios="1"/>
  <mergeCells count="7">
    <mergeCell ref="B9:D9"/>
    <mergeCell ref="A15:A17"/>
    <mergeCell ref="B2:L2"/>
    <mergeCell ref="B3:L3"/>
    <mergeCell ref="B4:D4"/>
    <mergeCell ref="J5:K6"/>
    <mergeCell ref="C6:D6"/>
  </mergeCells>
  <pageMargins left="0.25" right="0.25" top="0.5" bottom="0.5" header="0.25" footer="0.25"/>
  <pageSetup paperSize="5" orientation="landscape" r:id="rId1"/>
  <headerFooter alignWithMargins="0"/>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6">
    <tabColor theme="5" tint="0.59999389629810485"/>
  </sheetPr>
  <dimension ref="A2:R27"/>
  <sheetViews>
    <sheetView zoomScaleNormal="100" zoomScaleSheetLayoutView="80" workbookViewId="0">
      <selection activeCell="H7" sqref="H7"/>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2" spans="1:18" ht="20.399999999999999">
      <c r="B2" s="1909" t="str">
        <f>"SCHEDULE  OF  CAPITAL  LEASE  PROGRAM  OBLIGATIONS "&amp;UPPER('KEY INPUTS'!D56)&amp;"  UTILITY"</f>
        <v>SCHEDULE  OF  CAPITAL  LEASE  PROGRAM  OBLIGATIONS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70"/>
      <c r="C4" s="2070"/>
      <c r="D4" s="2070"/>
      <c r="E4" s="2070"/>
      <c r="F4" s="2071"/>
      <c r="G4" s="1206"/>
      <c r="H4" s="1082"/>
      <c r="I4" s="1207"/>
    </row>
    <row r="5" spans="1:18" ht="13.5" customHeight="1">
      <c r="B5" s="1086"/>
      <c r="C5" s="1086"/>
      <c r="D5" s="1086"/>
      <c r="E5" s="1081"/>
      <c r="F5" s="1081"/>
      <c r="G5" s="1091" t="s">
        <v>414</v>
      </c>
      <c r="H5" s="2072" t="str">
        <f>IF('KEY INPUTS'!C42="State Fiscal Year","Fiscal Year "&amp;'KEY INPUTS'!D33+1&amp;"",'KEY INPUTS'!D34+1)&amp;" Budget Requirements"</f>
        <v>2022 Budget Requirements</v>
      </c>
      <c r="I5" s="2073"/>
      <c r="J5" s="736"/>
    </row>
    <row r="6" spans="1:18" ht="13.5" customHeight="1">
      <c r="B6" s="1086"/>
      <c r="C6" s="1908" t="s">
        <v>413</v>
      </c>
      <c r="D6" s="1908"/>
      <c r="E6" s="1081"/>
      <c r="F6" s="1081"/>
      <c r="G6" s="1091" t="s">
        <v>430</v>
      </c>
      <c r="H6" s="2074"/>
      <c r="I6" s="2075"/>
      <c r="J6" s="736"/>
    </row>
    <row r="7" spans="1:18" ht="13.5" customHeight="1">
      <c r="B7" s="1086"/>
      <c r="C7" s="1086"/>
      <c r="D7" s="1086"/>
      <c r="E7" s="1081"/>
      <c r="F7" s="1211"/>
      <c r="G7" s="1212" t="str">
        <f>IF('KEY INPUTS'!C42 = "State Fiscal Year", 'KEY INPUTS'!F47,'KEY INPUTS'!D47)</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04"/>
      <c r="C9" s="2004"/>
      <c r="D9" s="2004"/>
      <c r="E9" s="2004"/>
      <c r="F9" s="2005"/>
      <c r="G9" s="763"/>
      <c r="H9" s="575"/>
      <c r="I9" s="764"/>
      <c r="L9" s="356"/>
      <c r="M9" s="309"/>
      <c r="N9" s="309"/>
      <c r="O9" s="309"/>
      <c r="P9" s="309"/>
      <c r="Q9" s="309"/>
      <c r="R9" s="309"/>
    </row>
    <row r="10" spans="1:18" ht="21" customHeight="1">
      <c r="B10" s="1998"/>
      <c r="C10" s="1998"/>
      <c r="D10" s="1998"/>
      <c r="E10" s="1998"/>
      <c r="F10" s="1999"/>
      <c r="G10" s="600"/>
      <c r="H10" s="571"/>
      <c r="I10" s="572"/>
      <c r="L10" s="309"/>
      <c r="M10" s="309"/>
      <c r="N10" s="309"/>
      <c r="O10" s="309"/>
      <c r="P10" s="309"/>
      <c r="Q10" s="309"/>
      <c r="R10" s="309"/>
    </row>
    <row r="11" spans="1:18" ht="21" customHeight="1">
      <c r="B11" s="1998"/>
      <c r="C11" s="1998"/>
      <c r="D11" s="1998"/>
      <c r="E11" s="1998"/>
      <c r="F11" s="1999"/>
      <c r="G11" s="600"/>
      <c r="H11" s="571"/>
      <c r="I11" s="572"/>
      <c r="L11" s="309"/>
      <c r="M11" s="309"/>
      <c r="N11" s="309"/>
      <c r="O11" s="309"/>
      <c r="P11" s="309"/>
      <c r="Q11" s="309"/>
      <c r="R11" s="309"/>
    </row>
    <row r="12" spans="1:18" ht="21" customHeight="1">
      <c r="B12" s="1998"/>
      <c r="C12" s="1998"/>
      <c r="D12" s="1998"/>
      <c r="E12" s="1998"/>
      <c r="F12" s="1999"/>
      <c r="G12" s="600"/>
      <c r="H12" s="571"/>
      <c r="I12" s="572"/>
      <c r="L12" s="309"/>
      <c r="M12" s="309"/>
      <c r="N12" s="309"/>
      <c r="O12" s="309"/>
      <c r="P12" s="309"/>
      <c r="Q12" s="309"/>
      <c r="R12" s="309"/>
    </row>
    <row r="13" spans="1:18" ht="21" customHeight="1">
      <c r="B13" s="1998"/>
      <c r="C13" s="1998"/>
      <c r="D13" s="1998"/>
      <c r="E13" s="1998"/>
      <c r="F13" s="1999"/>
      <c r="G13" s="600"/>
      <c r="H13" s="571"/>
      <c r="I13" s="572"/>
      <c r="L13" s="309"/>
      <c r="M13" s="309"/>
      <c r="N13" s="309"/>
      <c r="O13" s="309"/>
      <c r="P13" s="309"/>
      <c r="Q13" s="309"/>
      <c r="R13" s="309"/>
    </row>
    <row r="14" spans="1:18" ht="21" customHeight="1">
      <c r="B14" s="1998"/>
      <c r="C14" s="1998"/>
      <c r="D14" s="1998"/>
      <c r="E14" s="1998"/>
      <c r="F14" s="1999"/>
      <c r="G14" s="601"/>
      <c r="H14" s="571"/>
      <c r="I14" s="572"/>
      <c r="L14" s="309"/>
      <c r="M14" s="309"/>
      <c r="N14" s="309"/>
      <c r="O14" s="309"/>
      <c r="P14" s="309"/>
      <c r="Q14" s="309"/>
      <c r="R14" s="309"/>
    </row>
    <row r="15" spans="1:18" ht="21" customHeight="1">
      <c r="A15" s="1913" t="s">
        <v>3171</v>
      </c>
      <c r="B15" s="1998"/>
      <c r="C15" s="1998"/>
      <c r="D15" s="1998"/>
      <c r="E15" s="1998"/>
      <c r="F15" s="1999"/>
      <c r="G15" s="600"/>
      <c r="H15" s="571"/>
      <c r="I15" s="572"/>
      <c r="L15" s="309"/>
      <c r="M15" s="309"/>
      <c r="N15" s="309"/>
      <c r="O15" s="309"/>
      <c r="P15" s="309"/>
      <c r="Q15" s="309"/>
      <c r="R15" s="309"/>
    </row>
    <row r="16" spans="1:18" ht="21" customHeight="1">
      <c r="A16" s="1913"/>
      <c r="B16" s="1998"/>
      <c r="C16" s="1998"/>
      <c r="D16" s="1998"/>
      <c r="E16" s="1998"/>
      <c r="F16" s="1999"/>
      <c r="G16" s="600"/>
      <c r="H16" s="571"/>
      <c r="I16" s="572"/>
      <c r="L16" s="309"/>
      <c r="M16" s="309"/>
      <c r="N16" s="309"/>
      <c r="O16" s="309"/>
      <c r="P16" s="309"/>
      <c r="Q16" s="309"/>
      <c r="R16" s="309"/>
    </row>
    <row r="17" spans="1:18" ht="21" customHeight="1">
      <c r="A17" s="1913"/>
      <c r="B17" s="1998"/>
      <c r="C17" s="1998"/>
      <c r="D17" s="1998"/>
      <c r="E17" s="1998"/>
      <c r="F17" s="1999"/>
      <c r="G17" s="600"/>
      <c r="H17" s="571"/>
      <c r="I17" s="572"/>
      <c r="L17" s="309"/>
      <c r="M17" s="309"/>
      <c r="N17" s="309"/>
      <c r="O17" s="309"/>
      <c r="P17" s="309"/>
      <c r="Q17" s="309"/>
      <c r="R17" s="309"/>
    </row>
    <row r="18" spans="1:18" ht="21" customHeight="1">
      <c r="A18" s="517"/>
      <c r="B18" s="1998"/>
      <c r="C18" s="1998"/>
      <c r="D18" s="1998"/>
      <c r="E18" s="1998"/>
      <c r="F18" s="1999"/>
      <c r="G18" s="600"/>
      <c r="H18" s="571"/>
      <c r="I18" s="572"/>
      <c r="L18" s="309"/>
      <c r="M18" s="309"/>
      <c r="N18" s="309"/>
      <c r="O18" s="309"/>
      <c r="P18" s="309"/>
      <c r="Q18" s="309"/>
      <c r="R18" s="309"/>
    </row>
    <row r="19" spans="1:18" ht="21" customHeight="1">
      <c r="B19" s="1998"/>
      <c r="C19" s="1998"/>
      <c r="D19" s="1998"/>
      <c r="E19" s="1998"/>
      <c r="F19" s="1999"/>
      <c r="G19" s="600"/>
      <c r="H19" s="571"/>
      <c r="I19" s="572"/>
      <c r="L19" s="309"/>
      <c r="M19" s="309"/>
      <c r="N19" s="309"/>
      <c r="O19" s="309"/>
      <c r="P19" s="309"/>
      <c r="Q19" s="309"/>
      <c r="R19" s="309"/>
    </row>
    <row r="20" spans="1:18" ht="21" customHeight="1">
      <c r="B20" s="1998"/>
      <c r="C20" s="1998"/>
      <c r="D20" s="1998"/>
      <c r="E20" s="1998"/>
      <c r="F20" s="1999"/>
      <c r="G20" s="600"/>
      <c r="H20" s="571"/>
      <c r="I20" s="572"/>
      <c r="L20" s="309"/>
      <c r="M20" s="309"/>
      <c r="N20" s="309"/>
      <c r="O20" s="309"/>
      <c r="P20" s="309"/>
      <c r="Q20" s="309"/>
      <c r="R20" s="309"/>
    </row>
    <row r="21" spans="1:18" ht="21" customHeight="1">
      <c r="B21" s="1998"/>
      <c r="C21" s="1998"/>
      <c r="D21" s="1998"/>
      <c r="E21" s="1998"/>
      <c r="F21" s="1999"/>
      <c r="G21" s="600"/>
      <c r="H21" s="571"/>
      <c r="I21" s="572"/>
      <c r="L21" s="309"/>
      <c r="M21" s="309"/>
      <c r="N21" s="309"/>
      <c r="O21" s="309"/>
      <c r="P21" s="309"/>
      <c r="Q21" s="309"/>
      <c r="R21" s="309"/>
    </row>
    <row r="22" spans="1:18" ht="21" customHeight="1" thickBot="1">
      <c r="B22" s="1998"/>
      <c r="C22" s="1998"/>
      <c r="D22" s="1998"/>
      <c r="E22" s="1998"/>
      <c r="F22" s="1999"/>
      <c r="G22" s="602"/>
      <c r="H22" s="596"/>
      <c r="I22" s="603"/>
      <c r="L22" s="309"/>
      <c r="M22" s="309"/>
      <c r="N22" s="309"/>
      <c r="O22" s="309"/>
      <c r="P22" s="309"/>
      <c r="Q22" s="309"/>
      <c r="R22" s="309"/>
    </row>
    <row r="23" spans="1:18" ht="21" customHeight="1" thickTop="1" thickBot="1">
      <c r="B23" s="1196"/>
      <c r="C23" s="1102"/>
      <c r="D23" s="1312" t="s">
        <v>137</v>
      </c>
      <c r="E23" s="1006"/>
      <c r="F23" s="1213"/>
      <c r="G23" s="1313">
        <f>SUM(G9:G22)</f>
        <v>0</v>
      </c>
      <c r="H23" s="1027">
        <f>SUM(H9:H22)</f>
        <v>0</v>
      </c>
      <c r="I23" s="1101">
        <f>SUM(I9:I22)</f>
        <v>0</v>
      </c>
      <c r="L23" s="309"/>
      <c r="M23" s="309"/>
      <c r="N23" s="309"/>
      <c r="O23" s="309"/>
      <c r="P23" s="309"/>
      <c r="Q23" s="309"/>
      <c r="R23" s="309"/>
    </row>
    <row r="24" spans="1:18" ht="13.5" customHeight="1" thickTop="1">
      <c r="B24" s="765"/>
      <c r="C24" s="383"/>
      <c r="D24" s="766"/>
      <c r="H24" s="476"/>
      <c r="I24" s="476"/>
    </row>
    <row r="25" spans="1:18" ht="13.5" customHeight="1">
      <c r="B25" s="765"/>
      <c r="C25" s="383"/>
      <c r="D25" s="766"/>
    </row>
    <row r="26" spans="1:18" ht="13.5" customHeight="1">
      <c r="B26" s="765"/>
      <c r="C26" s="383"/>
      <c r="D26" s="766"/>
      <c r="H26" s="762"/>
    </row>
    <row r="27" spans="1:18">
      <c r="B27" s="513"/>
      <c r="C27" s="383"/>
      <c r="D27" s="383"/>
    </row>
  </sheetData>
  <sheetProtection algorithmName="SHA-512" hashValue="lRcU132DF5mZkCjzd4p6K3WCusROKnZ7KUIUvoxaLzRF9mz7AmHEmQX0pmBTLV9GEJ87nMX121HSG9THDVnHGw==" saltValue="+dMUg4ZjYVDs+nYRvQz57Q=="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7">
    <tabColor theme="5" tint="0.59999389629810485"/>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INPUTS'!D56)&amp;"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670"/>
      <c r="C9" s="642"/>
      <c r="D9" s="645"/>
      <c r="E9" s="587"/>
      <c r="F9" s="587"/>
      <c r="G9" s="587"/>
      <c r="H9" s="587"/>
      <c r="I9" s="587"/>
      <c r="J9" s="587"/>
      <c r="K9" s="587"/>
      <c r="L9" s="599"/>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3173</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3583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orSdZs3An3u9IFE7ChilafW3wOD3g6RuWRpLDLLFnsKtlMG39iJaJ+QAvaGwJYkL/d32IXn75ntVW2PnvJimBA==" saltValue="k2ugeOM/kkHB38BncsqS7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8">
    <tabColor theme="5" tint="0.59999389629810485"/>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INPUTS'!D56)&amp;"  (UTILITY  CAPITAL  FUND)"</f>
        <v>SCHEDULE  OF  IMPROVEMENT  AUTHORIZATIONS    (UTILITY  CAPITAL  FUND)</v>
      </c>
      <c r="C2" s="1909"/>
      <c r="D2" s="1909"/>
      <c r="E2" s="1909"/>
      <c r="F2" s="1909"/>
      <c r="G2" s="1909"/>
      <c r="H2" s="1909"/>
      <c r="I2" s="1909"/>
      <c r="J2" s="1909"/>
      <c r="K2" s="1909"/>
      <c r="L2" s="1909"/>
    </row>
    <row r="3" spans="2:21" ht="9.75" customHeight="1" thickBot="1">
      <c r="B3" s="2081"/>
      <c r="C3" s="2081"/>
      <c r="D3" s="2081"/>
      <c r="E3" s="2081"/>
      <c r="F3" s="2081"/>
      <c r="G3" s="2081"/>
      <c r="H3" s="2081"/>
      <c r="I3" s="2081"/>
      <c r="J3" s="2081"/>
      <c r="K3" s="2081"/>
      <c r="L3" s="2081"/>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3265</v>
      </c>
      <c r="C9" s="1219"/>
      <c r="D9" s="1220"/>
      <c r="E9" s="1217">
        <f>+'52-Utility3'!E27</f>
        <v>0</v>
      </c>
      <c r="F9" s="1217">
        <f>+'52-Utility3'!F27</f>
        <v>0</v>
      </c>
      <c r="G9" s="1217">
        <f>+'52-Utility3'!G27</f>
        <v>0</v>
      </c>
      <c r="H9" s="1217">
        <f>+'52-Utility3'!H27</f>
        <v>0</v>
      </c>
      <c r="I9" s="1217">
        <f>+'52-Utility3'!I27</f>
        <v>0</v>
      </c>
      <c r="J9" s="1217">
        <f>+'52-Utility3'!J27</f>
        <v>0</v>
      </c>
      <c r="K9" s="1217">
        <f>+'52-Utility3'!K27</f>
        <v>0</v>
      </c>
      <c r="L9" s="1221">
        <f>+'52-Utility3'!L27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MH41GRAxgxP9+gW2kVtwrXAoN7cFzDrf/8pvhdo+rpDQKXfmOyGBD2Sv/NxpUXRojflzV6L+T+gmS8qPc7vlww==" saltValue="7JXSF3xbnxjsQMW+zxywr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9">
    <tabColor theme="5" tint="0.59999389629810485"/>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INPUTS'!D56)&amp;"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3265</v>
      </c>
      <c r="C9" s="1219"/>
      <c r="D9" s="1220"/>
      <c r="E9" s="1217">
        <f>+'52.1-Utility3'!E27</f>
        <v>0</v>
      </c>
      <c r="F9" s="1217">
        <f>+'52.1-Utility3'!F27</f>
        <v>0</v>
      </c>
      <c r="G9" s="1217">
        <f>+'52.1-Utility3'!G27</f>
        <v>0</v>
      </c>
      <c r="H9" s="1217">
        <f>+'52.1-Utility3'!H27</f>
        <v>0</v>
      </c>
      <c r="I9" s="1217">
        <f>+'52.1-Utility3'!I27</f>
        <v>0</v>
      </c>
      <c r="J9" s="1217">
        <f>+'52.1-Utility3'!J27</f>
        <v>0</v>
      </c>
      <c r="K9" s="1217">
        <f>+'52.1-Utility3'!K27</f>
        <v>0</v>
      </c>
      <c r="L9" s="1221">
        <f>+'52.1-Utility3'!L27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JxIKojGbZ4mZBdNHP5VCvZHAZWzqzADbBy37Kiq3HEMXG1o8iXUmxryAUM1CgWl/g3MN9CcJDdM8OpwGW/1yiw==" saltValue="nGPVqFzaD6taW62W4n2n9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0">
    <tabColor theme="5" tint="0.59999389629810485"/>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INPUTS'!D56)&amp;"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3265</v>
      </c>
      <c r="C9" s="1219"/>
      <c r="D9" s="1220"/>
      <c r="E9" s="1217">
        <f>+'52.2-Utility3'!E27</f>
        <v>0</v>
      </c>
      <c r="F9" s="1217">
        <f>+'52.2-Utility3'!F27</f>
        <v>0</v>
      </c>
      <c r="G9" s="1217">
        <f>+'52.2-Utility3'!G27</f>
        <v>0</v>
      </c>
      <c r="H9" s="1217">
        <f>+'52.2-Utility3'!H27</f>
        <v>0</v>
      </c>
      <c r="I9" s="1217">
        <f>+'52.2-Utility3'!I27</f>
        <v>0</v>
      </c>
      <c r="J9" s="1217">
        <f>+'52.2-Utility3'!J27</f>
        <v>0</v>
      </c>
      <c r="K9" s="1217">
        <f>+'52.2-Utility3'!K27</f>
        <v>0</v>
      </c>
      <c r="L9" s="1221">
        <f>+'52.2-Utility3'!L27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1Yoxjdy8h6qllvqctL0J+9Jkql9kLjgmuYcFiX5ltvlfqI8QA+Rp4RkusS1gw73layzwU5rNg2B+ZsUKRNgaLQ==" saltValue="VZk5M58sJ+xIH4lCrxkER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1">
    <tabColor theme="5" tint="0.59999389629810485"/>
  </sheetPr>
  <dimension ref="A1:U42"/>
  <sheetViews>
    <sheetView zoomScaleNormal="100" zoomScaleSheetLayoutView="80" workbookViewId="0">
      <selection activeCell="L21" sqref="L21"/>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INPUTS'!D56)&amp;"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12" t="str">
        <f>IF('KEY INPUTS'!C42 = "State Fiscal Year", 'KEY INPUTS'!F25,'KEY INPUTS'!D25)</f>
        <v>Balance - January 1, 2021</v>
      </c>
      <c r="F4" s="2013"/>
      <c r="G4" s="1083"/>
      <c r="H4" s="1083"/>
      <c r="I4" s="1083"/>
      <c r="J4" s="1083"/>
      <c r="K4" s="2018" t="str">
        <f>IF('KEY INPUTS'!C42 = "State Fiscal Year", 'KEY INPUTS'!F26,'KEY INPUTS'!D26)</f>
        <v>Balance - December 31, 2021</v>
      </c>
      <c r="L4" s="2019"/>
    </row>
    <row r="5" spans="2:21" ht="13.5" customHeight="1">
      <c r="B5" s="1908" t="s">
        <v>515</v>
      </c>
      <c r="C5" s="1908"/>
      <c r="D5" s="2001"/>
      <c r="E5" s="2014"/>
      <c r="F5" s="2015"/>
      <c r="G5" s="1091"/>
      <c r="H5" s="1091"/>
      <c r="I5" s="1091"/>
      <c r="J5" s="1091"/>
      <c r="K5" s="2020"/>
      <c r="L5" s="2021"/>
    </row>
    <row r="6" spans="2:21" ht="13.5" customHeight="1">
      <c r="B6" s="1908" t="s">
        <v>516</v>
      </c>
      <c r="C6" s="1908"/>
      <c r="D6" s="2001"/>
      <c r="E6" s="2016"/>
      <c r="F6" s="2017"/>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3265</v>
      </c>
      <c r="C9" s="1219"/>
      <c r="D9" s="1220"/>
      <c r="E9" s="1217">
        <f>+'52.3-Utility3'!E27</f>
        <v>0</v>
      </c>
      <c r="F9" s="1217">
        <f>+'52.3-Utility3'!F27</f>
        <v>0</v>
      </c>
      <c r="G9" s="1217">
        <f>+'52.3-Utility3'!G27</f>
        <v>0</v>
      </c>
      <c r="H9" s="1217">
        <f>+'52.3-Utility3'!H27</f>
        <v>0</v>
      </c>
      <c r="I9" s="1217">
        <f>+'52.3-Utility3'!I27</f>
        <v>0</v>
      </c>
      <c r="J9" s="1217">
        <f>+'52.3-Utility3'!J27</f>
        <v>0</v>
      </c>
      <c r="K9" s="1217">
        <f>+'52.3-Utility3'!K27</f>
        <v>0</v>
      </c>
      <c r="L9" s="1221">
        <f>+'52.3-Utility3'!L27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3364</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3363</v>
      </c>
      <c r="E27" s="133">
        <f t="shared" ref="E27:L27" si="0">SUM(E9:E26)</f>
        <v>0</v>
      </c>
      <c r="F27" s="133">
        <f t="shared" si="0"/>
        <v>0</v>
      </c>
      <c r="G27" s="133">
        <f t="shared" si="0"/>
        <v>0</v>
      </c>
      <c r="H27" s="133">
        <f t="shared" si="0"/>
        <v>0</v>
      </c>
      <c r="I27" s="133">
        <f t="shared" si="0"/>
        <v>0</v>
      </c>
      <c r="J27" s="133">
        <f t="shared" si="0"/>
        <v>0</v>
      </c>
      <c r="K27" s="133">
        <f t="shared" si="0"/>
        <v>0</v>
      </c>
      <c r="L27" s="153">
        <f t="shared" si="0"/>
        <v>0</v>
      </c>
    </row>
    <row r="28" spans="1:21" ht="13.5" customHeight="1" thickTop="1">
      <c r="B28" s="521"/>
      <c r="C28" s="520" t="s">
        <v>522</v>
      </c>
      <c r="D28" s="519"/>
      <c r="E28" s="482"/>
      <c r="F28" s="482"/>
      <c r="G28" s="482"/>
      <c r="H28" s="482"/>
      <c r="I28" s="482"/>
      <c r="J28" s="482"/>
      <c r="K28" s="515"/>
      <c r="L28" s="515"/>
    </row>
    <row r="42" spans="11:12">
      <c r="K42" s="318" t="s">
        <v>3214</v>
      </c>
      <c r="L42" s="525">
        <f>K27+L27</f>
        <v>0</v>
      </c>
    </row>
  </sheetData>
  <sheetProtection algorithmName="SHA-512" hashValue="RJxtOGIEdro58HOu38D23XOgmbP4ZaI6z2IKZaVA2lxbpaYV7gZWSEiQ6gonSomwoOlVnI8x6NX3HdWAw2gQ/w==" saltValue="YlKkCRlNZO5OdncJ0v0w7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2">
    <tabColor theme="5" tint="0.59999389629810485"/>
  </sheetPr>
  <dimension ref="B1:S54"/>
  <sheetViews>
    <sheetView zoomScaleNormal="100" zoomScaleSheetLayoutView="80" workbookViewId="0">
      <selection activeCell="C47" sqref="C47"/>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1" spans="2:19">
      <c r="B1" s="1086"/>
      <c r="C1" s="1086"/>
      <c r="D1" s="1086"/>
      <c r="E1" s="1086"/>
      <c r="F1" s="1086"/>
      <c r="G1" s="1086"/>
      <c r="H1" s="1086"/>
      <c r="I1" s="1086"/>
      <c r="J1" s="1086"/>
    </row>
    <row r="2" spans="2:19">
      <c r="B2" s="1086"/>
      <c r="C2" s="1086"/>
      <c r="D2" s="1086"/>
      <c r="E2" s="1086"/>
      <c r="F2" s="1086"/>
      <c r="G2" s="1086"/>
      <c r="H2" s="1086"/>
      <c r="I2" s="1086"/>
      <c r="J2" s="1086"/>
    </row>
    <row r="3" spans="2:19" ht="22.8">
      <c r="B3" s="1887" t="str">
        <f>UPPER('KEY INPUTS'!D$56)&amp;" UTILITY  CAPITAL  FUND"</f>
        <v xml:space="preserve"> UTILITY  CAPITAL  FUND</v>
      </c>
      <c r="C3" s="1887"/>
      <c r="D3" s="1887"/>
      <c r="E3" s="1887"/>
      <c r="F3" s="1887"/>
      <c r="G3" s="1887"/>
      <c r="H3" s="1887"/>
      <c r="I3" s="1887"/>
      <c r="J3" s="1887"/>
    </row>
    <row r="4" spans="2:19">
      <c r="B4" s="1086"/>
      <c r="C4" s="1086"/>
      <c r="D4" s="1086"/>
      <c r="E4" s="1086"/>
      <c r="F4" s="1086"/>
      <c r="G4" s="1086"/>
      <c r="H4" s="1086"/>
      <c r="I4" s="1086"/>
      <c r="J4" s="1086"/>
    </row>
    <row r="5" spans="2:19" ht="15.6">
      <c r="B5" s="1904" t="s">
        <v>526</v>
      </c>
      <c r="C5" s="1904"/>
      <c r="D5" s="1904"/>
      <c r="E5" s="1904"/>
      <c r="F5" s="1904"/>
      <c r="G5" s="1904"/>
      <c r="H5" s="1904"/>
      <c r="I5" s="1904"/>
      <c r="J5" s="1904"/>
    </row>
    <row r="6" spans="2:19" ht="13.8" thickBot="1">
      <c r="B6" s="1086"/>
      <c r="C6" s="1086"/>
      <c r="D6" s="1086"/>
      <c r="E6" s="1086"/>
      <c r="F6" s="1086"/>
      <c r="G6" s="1086"/>
      <c r="H6" s="1086"/>
      <c r="I6" s="1086"/>
      <c r="J6" s="1086"/>
    </row>
    <row r="7" spans="2:19" ht="28.5" customHeight="1" thickTop="1" thickBot="1">
      <c r="B7" s="1327"/>
      <c r="C7" s="1327"/>
      <c r="D7" s="1327"/>
      <c r="E7" s="1327"/>
      <c r="F7" s="1327"/>
      <c r="G7" s="1327"/>
      <c r="H7" s="1327"/>
      <c r="I7" s="1074" t="s">
        <v>96</v>
      </c>
      <c r="J7" s="1075" t="s">
        <v>97</v>
      </c>
    </row>
    <row r="8" spans="2:19" ht="21" customHeight="1" thickTop="1">
      <c r="B8" s="1098" t="str">
        <f>IF('KEY INPUTS'!C42 = "State Fiscal Year", 'KEY INPUTS'!F25,'KEY INPUTS'!D25)</f>
        <v>Balance - January 1, 2021</v>
      </c>
      <c r="C8" s="1098"/>
      <c r="D8" s="1098"/>
      <c r="E8" s="1098"/>
      <c r="F8" s="1098"/>
      <c r="G8" s="1098"/>
      <c r="H8" s="1339"/>
      <c r="I8" s="1029" t="s">
        <v>628</v>
      </c>
      <c r="J8" s="607"/>
    </row>
    <row r="9" spans="2:19" ht="21" customHeight="1">
      <c r="B9" s="1079" t="str">
        <f>"Received from "&amp;IF('KEY INPUTS'!C42="State Fiscal Year","Fiscal Year "&amp;'KEY INPUTS'!D33)&amp;" Budget Appropriation"</f>
        <v>Received from FALSE Budget Appropriation</v>
      </c>
      <c r="C9" s="1079"/>
      <c r="D9" s="1079"/>
      <c r="E9" s="1079"/>
      <c r="F9" s="1079"/>
      <c r="G9" s="1079"/>
      <c r="H9" s="1340"/>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1341" t="s">
        <v>176</v>
      </c>
      <c r="C11" s="1342"/>
      <c r="D11" s="1342"/>
      <c r="E11" s="1342"/>
      <c r="F11" s="1342"/>
      <c r="G11" s="1342"/>
      <c r="H11" s="1343"/>
      <c r="I11" s="2033" t="s">
        <v>628</v>
      </c>
      <c r="J11" s="2031"/>
      <c r="M11" s="356"/>
      <c r="N11" s="309"/>
      <c r="O11" s="309"/>
      <c r="P11" s="309"/>
      <c r="Q11" s="309"/>
      <c r="R11" s="309"/>
      <c r="S11" s="309"/>
    </row>
    <row r="12" spans="2:19" ht="12.75" customHeight="1">
      <c r="B12" s="1330"/>
      <c r="C12" s="1344" t="s">
        <v>177</v>
      </c>
      <c r="D12" s="1330"/>
      <c r="E12" s="1330"/>
      <c r="F12" s="1330"/>
      <c r="G12" s="1330"/>
      <c r="H12" s="1345"/>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1079" t="s">
        <v>179</v>
      </c>
      <c r="C22" s="1079"/>
      <c r="D22" s="1079"/>
      <c r="E22" s="1079"/>
      <c r="F22" s="1079"/>
      <c r="G22" s="1079"/>
      <c r="H22" s="1340"/>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1079" t="str">
        <f>IF('KEY INPUTS'!C42 = "State Fiscal Year", 'KEY INPUTS'!F26,'KEY INPUTS'!D26)</f>
        <v>Balance - December 31, 2021</v>
      </c>
      <c r="C24" s="1079"/>
      <c r="D24" s="1079"/>
      <c r="E24" s="1079"/>
      <c r="F24" s="1079"/>
      <c r="G24" s="1079"/>
      <c r="H24" s="1340"/>
      <c r="I24" s="1047">
        <f>+SUM(J8:J13)-SUM(I13:I23)</f>
        <v>0</v>
      </c>
      <c r="J24" s="1045" t="s">
        <v>628</v>
      </c>
      <c r="M24" s="309"/>
      <c r="N24" s="309"/>
      <c r="O24" s="309"/>
      <c r="P24" s="309"/>
      <c r="Q24" s="309"/>
      <c r="R24" s="309"/>
      <c r="S24" s="309"/>
    </row>
    <row r="25" spans="2:19" ht="21" customHeight="1" thickTop="1" thickBot="1">
      <c r="I25" s="1008">
        <f>SUM(I8:I24)</f>
        <v>0</v>
      </c>
      <c r="J25" s="1048">
        <f>SUM(J8:J24)</f>
        <v>0</v>
      </c>
      <c r="M25" s="309"/>
      <c r="N25" s="309"/>
      <c r="O25" s="309"/>
      <c r="P25" s="309"/>
      <c r="Q25" s="309"/>
      <c r="R25" s="309"/>
      <c r="S25" s="309"/>
    </row>
    <row r="26" spans="2:19" ht="13.8" thickTop="1"/>
    <row r="30" spans="2:19" ht="22.8">
      <c r="B30" s="1887" t="str">
        <f>UPPER('KEY INPUTS'!D$56)&amp;" UTILITY  CAPITAL  FUND"</f>
        <v xml:space="preserve"> UTILITY  CAPITAL  FUND</v>
      </c>
      <c r="C30" s="1887"/>
      <c r="D30" s="1887"/>
      <c r="E30" s="1887"/>
      <c r="F30" s="1887"/>
      <c r="G30" s="1887"/>
      <c r="H30" s="1887"/>
      <c r="I30" s="1887"/>
      <c r="J30" s="1887"/>
    </row>
    <row r="31" spans="2:19" ht="7.5" customHeight="1">
      <c r="B31" s="1086"/>
      <c r="C31" s="1086"/>
      <c r="D31" s="1086"/>
      <c r="E31" s="1086"/>
      <c r="F31" s="1086"/>
      <c r="G31" s="1086"/>
      <c r="H31" s="1086"/>
      <c r="I31" s="1086"/>
      <c r="J31" s="1086"/>
    </row>
    <row r="32" spans="2:19" ht="15.6">
      <c r="B32" s="1904" t="s">
        <v>180</v>
      </c>
      <c r="C32" s="1904"/>
      <c r="D32" s="1904"/>
      <c r="E32" s="1904"/>
      <c r="F32" s="1904"/>
      <c r="G32" s="1904"/>
      <c r="H32" s="1904"/>
      <c r="I32" s="1904"/>
      <c r="J32" s="1904"/>
    </row>
    <row r="33" spans="2:10" ht="13.8" thickBot="1">
      <c r="B33" s="1086"/>
      <c r="C33" s="1086"/>
      <c r="D33" s="1086"/>
      <c r="E33" s="1086"/>
      <c r="F33" s="1086"/>
      <c r="G33" s="1086"/>
      <c r="H33" s="1086"/>
      <c r="I33" s="1086"/>
      <c r="J33" s="1086"/>
    </row>
    <row r="34" spans="2:10" ht="26.25" customHeight="1" thickTop="1" thickBot="1">
      <c r="B34" s="1327"/>
      <c r="C34" s="1327"/>
      <c r="D34" s="1327"/>
      <c r="E34" s="1327"/>
      <c r="F34" s="1327"/>
      <c r="G34" s="1327"/>
      <c r="H34" s="1327"/>
      <c r="I34" s="1074" t="s">
        <v>96</v>
      </c>
      <c r="J34" s="1075" t="s">
        <v>97</v>
      </c>
    </row>
    <row r="35" spans="2:10" ht="21" customHeight="1" thickTop="1">
      <c r="B35" s="1098" t="str">
        <f>IF('KEY INPUTS'!C42 = "State Fiscal Year", 'KEY INPUTS'!F25,'KEY INPUTS'!D25)</f>
        <v>Balance - January 1, 2021</v>
      </c>
      <c r="C35" s="1098"/>
      <c r="D35" s="1098"/>
      <c r="E35" s="1098"/>
      <c r="F35" s="1098"/>
      <c r="G35" s="1098"/>
      <c r="H35" s="1339"/>
      <c r="I35" s="1029" t="s">
        <v>628</v>
      </c>
      <c r="J35" s="607"/>
    </row>
    <row r="36" spans="2:10" ht="21" customHeight="1">
      <c r="B36" s="1079" t="str">
        <f>"Received from "&amp;IF('KEY INPUTS'!C42="State Fiscal Year","Fiscal Year "&amp;'KEY INPUTS'!D33)&amp;" Budget Appropriation *"</f>
        <v>Received from FALSE Budget Appropriation *</v>
      </c>
      <c r="C36" s="1079"/>
      <c r="D36" s="1079"/>
      <c r="E36" s="1079"/>
      <c r="F36" s="1079"/>
      <c r="G36" s="1079"/>
      <c r="H36" s="1340"/>
      <c r="I36" s="926" t="s">
        <v>628</v>
      </c>
      <c r="J36" s="578"/>
    </row>
    <row r="37" spans="2:10" ht="21" customHeight="1">
      <c r="B37" s="1079" t="str">
        <f>"Received from "&amp;IF('KEY INPUTS'!C42="State Fiscal Year","Fiscal Year "&amp;'KEY INPUTS'!D33)&amp;" Emergency Appropriation *"</f>
        <v>Received from FALSE Emergency Appropriation *</v>
      </c>
      <c r="C37" s="1079"/>
      <c r="D37" s="1079"/>
      <c r="E37" s="1079"/>
      <c r="F37" s="1079"/>
      <c r="G37" s="1079"/>
      <c r="H37" s="1340"/>
      <c r="I37" s="926" t="s">
        <v>628</v>
      </c>
      <c r="J37" s="578"/>
    </row>
    <row r="38" spans="2:10" ht="21" customHeight="1">
      <c r="B38" s="637"/>
      <c r="C38" s="1222"/>
      <c r="D38" s="637"/>
      <c r="E38" s="637"/>
      <c r="F38" s="637"/>
      <c r="G38" s="637"/>
      <c r="H38" s="637"/>
      <c r="I38" s="652"/>
      <c r="J38" s="355"/>
    </row>
    <row r="39" spans="2:10" ht="21" customHeight="1">
      <c r="B39" s="1079" t="s">
        <v>179</v>
      </c>
      <c r="C39" s="1079"/>
      <c r="D39" s="1079"/>
      <c r="E39" s="1079"/>
      <c r="F39" s="1079"/>
      <c r="G39" s="1079"/>
      <c r="H39" s="1340"/>
      <c r="I39" s="571"/>
      <c r="J39" s="930" t="s">
        <v>628</v>
      </c>
    </row>
    <row r="40" spans="2:10" ht="21" customHeight="1">
      <c r="B40" s="617"/>
      <c r="C40" s="617"/>
      <c r="D40" s="617"/>
      <c r="E40" s="617"/>
      <c r="F40" s="617"/>
      <c r="G40" s="617"/>
      <c r="H40" s="617"/>
      <c r="I40" s="571"/>
      <c r="J40" s="930" t="s">
        <v>628</v>
      </c>
    </row>
    <row r="41" spans="2:10" ht="21" customHeight="1" thickBot="1">
      <c r="B41" s="1079" t="str">
        <f>IF('KEY INPUTS'!C42 = "State Fiscal Year", 'KEY INPUTS'!F26,'KEY INPUTS'!D26)</f>
        <v>Balance - December 31, 2021</v>
      </c>
      <c r="C41" s="1079"/>
      <c r="D41" s="1079"/>
      <c r="E41" s="1079"/>
      <c r="F41" s="1079"/>
      <c r="G41" s="1079"/>
      <c r="H41" s="1340"/>
      <c r="I41" s="1223">
        <f>SUM(J35:J38)-SUM(I38:I40)</f>
        <v>0</v>
      </c>
      <c r="J41" s="1045" t="s">
        <v>628</v>
      </c>
    </row>
    <row r="42" spans="2:10" ht="21" customHeight="1" thickTop="1" thickBot="1">
      <c r="B42" s="1086"/>
      <c r="C42" s="1086"/>
      <c r="D42" s="1086"/>
      <c r="E42" s="1086"/>
      <c r="F42" s="1086"/>
      <c r="G42" s="1086"/>
      <c r="H42" s="1086"/>
      <c r="I42" s="1008">
        <f>SUM(I35:I41)</f>
        <v>0</v>
      </c>
      <c r="J42" s="1358">
        <f>SUM(J35:J41)</f>
        <v>0</v>
      </c>
    </row>
    <row r="43" spans="2:10" ht="21" customHeight="1" thickTop="1">
      <c r="I43" s="186"/>
      <c r="J43" s="186"/>
    </row>
    <row r="44" spans="2:10" ht="21" customHeight="1"/>
    <row r="45" spans="2:10" ht="13.5" customHeight="1">
      <c r="B45" s="526" t="str">
        <f>"*The full amount of the "&amp;IF('KEY INPUTS'!C42="State Fiscal Year","Fiscal Year "&amp;'KEY INPUTS'!D33)&amp;" budget appropriation should be transferred to this account unless the balance of"</f>
        <v>*The full amount of the FALSE budget appropriation should be transferred to this account unless the balance of</v>
      </c>
      <c r="C45" s="526"/>
    </row>
    <row r="46" spans="2:10" ht="13.5" customHeight="1">
      <c r="B46" s="526"/>
      <c r="C46" s="526" t="s">
        <v>3584</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kVZZPRr5r8XstoeMzwX837oV7MH5OuOEPr2ZAQKJ/YBCuRc+8gbJhilpVCnH6mxde7lzFyU55SMb57DaD+bQAQ==" saltValue="Z9/EHEkl19WL3jc0nA1S7A=="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3">
    <tabColor theme="5" tint="0.59999389629810485"/>
  </sheetPr>
  <dimension ref="A1:AC52"/>
  <sheetViews>
    <sheetView zoomScaleNormal="100" zoomScaleSheetLayoutView="80" workbookViewId="0">
      <selection activeCell="K48" sqref="K48"/>
    </sheetView>
  </sheetViews>
  <sheetFormatPr defaultColWidth="8.88671875" defaultRowHeight="13.2"/>
  <cols>
    <col min="1" max="3" width="4.6640625" style="370" customWidth="1"/>
    <col min="4" max="4" width="4.5546875" style="370" customWidth="1"/>
    <col min="5" max="5" width="8.88671875" style="370"/>
    <col min="6" max="6" width="6.6640625" style="370" customWidth="1"/>
    <col min="7" max="10" width="16.6640625" style="370" customWidth="1"/>
    <col min="11" max="20" width="8.88671875" style="370"/>
    <col min="21" max="23" width="4.6640625" style="309" customWidth="1"/>
    <col min="24" max="24" width="8.88671875" style="309"/>
    <col min="25" max="25" width="6.6640625" style="309" customWidth="1"/>
    <col min="26" max="29" width="16.6640625" style="309" customWidth="1"/>
    <col min="30" max="16384" width="8.88671875" style="370"/>
  </cols>
  <sheetData>
    <row r="1" spans="2:19">
      <c r="B1" s="1054"/>
      <c r="C1" s="1054"/>
      <c r="D1" s="1162"/>
      <c r="E1" s="1162"/>
      <c r="F1" s="1054"/>
      <c r="G1" s="1054"/>
      <c r="H1" s="1054"/>
      <c r="I1" s="1054"/>
      <c r="J1" s="1054"/>
    </row>
    <row r="2" spans="2:19">
      <c r="B2" s="1054"/>
      <c r="C2" s="1054"/>
      <c r="D2" s="1162"/>
      <c r="E2" s="1162"/>
      <c r="F2" s="1054"/>
      <c r="G2" s="1054"/>
      <c r="H2" s="1054"/>
      <c r="I2" s="1054"/>
      <c r="J2" s="1054"/>
    </row>
    <row r="3" spans="2:19" ht="24.6">
      <c r="B3" s="2035" t="str">
        <f>UPPER('KEY INPUTS'!D$56)&amp;" UTILITY FUND"</f>
        <v xml:space="preserve"> UTILITY FUND</v>
      </c>
      <c r="C3" s="2035"/>
      <c r="D3" s="2035"/>
      <c r="E3" s="2035"/>
      <c r="F3" s="2035"/>
      <c r="G3" s="2035"/>
      <c r="H3" s="2035"/>
      <c r="I3" s="2035"/>
      <c r="J3" s="2035"/>
    </row>
    <row r="4" spans="2:19">
      <c r="B4" s="1054"/>
      <c r="C4" s="1054"/>
      <c r="D4" s="1054"/>
      <c r="E4" s="1054"/>
      <c r="F4" s="1054"/>
      <c r="G4" s="1054"/>
      <c r="H4" s="1054"/>
      <c r="I4" s="1054"/>
      <c r="J4" s="1054"/>
    </row>
    <row r="5" spans="2:19" ht="17.399999999999999">
      <c r="B5" s="1926" t="str">
        <f>"CAPITAL  IMPROVEMENTS  AUTHORIZED  IN  "&amp;IF('KEY INPUTS'!C42="State Fiscal Year","FISCAL  YEAR  "&amp;'KEY INPUTS'!D33&amp;"",'KEY INPUTS'!D34+1)&amp;""</f>
        <v>CAPITAL  IMPROVEMENTS  AUTHORIZED  IN  2022</v>
      </c>
      <c r="C5" s="1926"/>
      <c r="D5" s="1926"/>
      <c r="E5" s="1926"/>
      <c r="F5" s="1926"/>
      <c r="G5" s="1926"/>
      <c r="H5" s="1926"/>
      <c r="I5" s="1926"/>
      <c r="J5" s="1926"/>
    </row>
    <row r="6" spans="2:19" ht="17.399999999999999">
      <c r="B6" s="1926" t="s">
        <v>3572</v>
      </c>
      <c r="C6" s="1926"/>
      <c r="D6" s="1926"/>
      <c r="E6" s="1926"/>
      <c r="F6" s="1926"/>
      <c r="G6" s="1926"/>
      <c r="H6" s="1926"/>
      <c r="I6" s="1926"/>
      <c r="J6" s="1926"/>
    </row>
    <row r="7" spans="2:19" ht="13.8" thickBot="1">
      <c r="B7" s="1054"/>
      <c r="C7" s="1054"/>
      <c r="D7" s="1054"/>
      <c r="E7" s="1054"/>
      <c r="F7" s="1054"/>
      <c r="G7" s="1054"/>
      <c r="H7" s="1054"/>
      <c r="I7" s="1054"/>
      <c r="J7" s="1054"/>
    </row>
    <row r="8" spans="2:19" ht="13.8" thickTop="1">
      <c r="B8" s="1177"/>
      <c r="C8" s="1177"/>
      <c r="D8" s="1177"/>
      <c r="E8" s="1177"/>
      <c r="F8" s="1177"/>
      <c r="G8" s="1178"/>
      <c r="H8" s="1178"/>
      <c r="I8" s="1178"/>
      <c r="J8" s="1242" t="s">
        <v>240</v>
      </c>
    </row>
    <row r="9" spans="2:19">
      <c r="B9" s="1054"/>
      <c r="C9" s="1992" t="s">
        <v>413</v>
      </c>
      <c r="D9" s="1992"/>
      <c r="E9" s="1992"/>
      <c r="F9" s="1054"/>
      <c r="G9" s="1181" t="s">
        <v>414</v>
      </c>
      <c r="H9" s="1181" t="s">
        <v>201</v>
      </c>
      <c r="I9" s="1181" t="s">
        <v>204</v>
      </c>
      <c r="J9" s="1239" t="s">
        <v>241</v>
      </c>
    </row>
    <row r="10" spans="2:19">
      <c r="B10" s="1054"/>
      <c r="C10" s="1054"/>
      <c r="D10" s="1054"/>
      <c r="E10" s="1054"/>
      <c r="F10" s="1054"/>
      <c r="G10" s="1181" t="s">
        <v>202</v>
      </c>
      <c r="H10" s="1181" t="s">
        <v>203</v>
      </c>
      <c r="I10" s="1181" t="s">
        <v>205</v>
      </c>
      <c r="J10" s="1346" t="str">
        <f>"of " &amp;IF('KEY INPUTS'!C42="State Fiscal Year","FY "&amp;'KEY INPUTS'!D33&amp;"",'KEY INPUTS'!D34+1)&amp;" or"</f>
        <v>of 2022 or</v>
      </c>
    </row>
    <row r="11" spans="2:19" ht="13.8" thickBot="1">
      <c r="B11" s="1109"/>
      <c r="C11" s="1109"/>
      <c r="D11" s="1109"/>
      <c r="E11" s="1109"/>
      <c r="F11" s="1109"/>
      <c r="G11" s="1188"/>
      <c r="H11" s="1188" t="s">
        <v>441</v>
      </c>
      <c r="I11" s="1188" t="s">
        <v>239</v>
      </c>
      <c r="J11" s="1347"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1109"/>
      <c r="C22" s="1109"/>
      <c r="D22" s="1109"/>
      <c r="E22" s="1109"/>
      <c r="F22" s="1109"/>
      <c r="G22" s="1071">
        <f>SUM(G12:G21)</f>
        <v>0</v>
      </c>
      <c r="H22" s="1071">
        <f>SUM(H12:H21)</f>
        <v>0</v>
      </c>
      <c r="I22" s="1071">
        <f>SUM(I12:I21)</f>
        <v>0</v>
      </c>
      <c r="J22" s="1348">
        <f>SUM(J12:J21)</f>
        <v>0</v>
      </c>
      <c r="M22" s="309"/>
      <c r="N22" s="309"/>
      <c r="O22" s="309"/>
      <c r="P22" s="309"/>
      <c r="Q22" s="309"/>
      <c r="R22" s="309"/>
      <c r="S22" s="309"/>
    </row>
    <row r="23" spans="2:19" ht="13.8" thickTop="1">
      <c r="B23" s="1054"/>
      <c r="C23" s="1054"/>
      <c r="D23" s="1054"/>
      <c r="E23" s="1054"/>
      <c r="F23" s="1054"/>
      <c r="G23" s="1054"/>
      <c r="H23" s="1054"/>
      <c r="I23" s="1054"/>
      <c r="J23" s="1054"/>
      <c r="M23" s="309"/>
      <c r="N23" s="309"/>
      <c r="O23" s="309"/>
      <c r="P23" s="309"/>
      <c r="Q23" s="309"/>
      <c r="R23" s="309"/>
      <c r="S23" s="309"/>
    </row>
    <row r="24" spans="2:19">
      <c r="B24" s="1054"/>
      <c r="C24" s="1054"/>
      <c r="D24" s="1054"/>
      <c r="E24" s="1054"/>
      <c r="F24" s="1054"/>
      <c r="G24" s="1054"/>
      <c r="H24" s="1054"/>
      <c r="I24" s="1054"/>
      <c r="J24" s="1054"/>
      <c r="M24" s="309"/>
      <c r="N24" s="309"/>
      <c r="O24" s="309"/>
      <c r="P24" s="309"/>
      <c r="Q24" s="309"/>
      <c r="R24" s="309"/>
      <c r="S24" s="309"/>
    </row>
    <row r="25" spans="2:19">
      <c r="B25" s="1054"/>
      <c r="C25" s="1054"/>
      <c r="D25" s="1054"/>
      <c r="E25" s="1054"/>
      <c r="F25" s="1054"/>
      <c r="G25" s="1054"/>
      <c r="H25" s="1054"/>
      <c r="I25" s="1054"/>
      <c r="J25" s="1054"/>
      <c r="M25" s="309"/>
      <c r="N25" s="309"/>
      <c r="O25" s="309"/>
      <c r="P25" s="309"/>
      <c r="Q25" s="309"/>
      <c r="R25" s="309"/>
      <c r="S25" s="309"/>
    </row>
    <row r="26" spans="2:19">
      <c r="B26" s="1054"/>
      <c r="C26" s="1054"/>
      <c r="D26" s="1054"/>
      <c r="E26" s="1054"/>
      <c r="F26" s="1054"/>
      <c r="G26" s="1054"/>
      <c r="H26" s="1054"/>
      <c r="I26" s="1054"/>
      <c r="J26" s="1054"/>
      <c r="M26" s="309"/>
      <c r="N26" s="309"/>
      <c r="O26" s="309"/>
      <c r="P26" s="309"/>
      <c r="Q26" s="309"/>
      <c r="R26" s="309"/>
      <c r="S26" s="309"/>
    </row>
    <row r="27" spans="2:19">
      <c r="B27" s="1054"/>
      <c r="C27" s="1054"/>
      <c r="D27" s="1054"/>
      <c r="E27" s="1054"/>
      <c r="F27" s="1054"/>
      <c r="G27" s="1054"/>
      <c r="H27" s="1054"/>
      <c r="I27" s="1054"/>
      <c r="J27" s="1054"/>
      <c r="M27" s="309"/>
      <c r="N27" s="309"/>
      <c r="O27" s="309"/>
      <c r="P27" s="309"/>
      <c r="Q27" s="309"/>
      <c r="R27" s="309"/>
      <c r="S27" s="309"/>
    </row>
    <row r="28" spans="2:19" ht="22.8">
      <c r="B28" s="1887" t="str">
        <f>UPPER('KEY INPUTS'!D$56)&amp;" UTILITY  CAPITAL  FUND"</f>
        <v xml:space="preserve"> UTILITY  CAPITAL  FUND</v>
      </c>
      <c r="C28" s="1887"/>
      <c r="D28" s="1887"/>
      <c r="E28" s="1887"/>
      <c r="F28" s="1887"/>
      <c r="G28" s="1887"/>
      <c r="H28" s="1887"/>
      <c r="I28" s="1887"/>
      <c r="J28" s="1887"/>
    </row>
    <row r="29" spans="2:19" ht="22.8">
      <c r="B29" s="1887" t="s">
        <v>154</v>
      </c>
      <c r="C29" s="1887"/>
      <c r="D29" s="1887"/>
      <c r="E29" s="1887"/>
      <c r="F29" s="1887"/>
      <c r="G29" s="1887"/>
      <c r="H29" s="1887"/>
      <c r="I29" s="1887"/>
      <c r="J29" s="1887"/>
    </row>
    <row r="30" spans="2:19">
      <c r="B30" s="1054"/>
      <c r="C30" s="1054"/>
      <c r="D30" s="1054"/>
      <c r="E30" s="1054"/>
      <c r="F30" s="1054"/>
      <c r="G30" s="1054"/>
      <c r="H30" s="1054"/>
      <c r="I30" s="1054"/>
      <c r="J30" s="1054"/>
    </row>
    <row r="31" spans="2:19" ht="15.6">
      <c r="B31" s="1883" t="str">
        <f>IF('KEY INPUTS'!C42="State Fiscal Year",(UPPER("Fiscal Year "&amp;'KEY INPUTS'!D33))&amp;"",'KEY INPUTS'!D34+1)&amp;""</f>
        <v>2022</v>
      </c>
      <c r="C31" s="1883"/>
      <c r="D31" s="1883"/>
      <c r="E31" s="1883"/>
      <c r="F31" s="1883"/>
      <c r="G31" s="1883"/>
      <c r="H31" s="1883"/>
      <c r="I31" s="1883"/>
      <c r="J31" s="1883"/>
    </row>
    <row r="32" spans="2:19" ht="13.8" thickBot="1">
      <c r="B32" s="1054"/>
      <c r="C32" s="1054"/>
      <c r="D32" s="1054"/>
      <c r="E32" s="1054"/>
      <c r="F32" s="1054"/>
      <c r="G32" s="1054"/>
      <c r="H32" s="1054"/>
      <c r="I32" s="1054"/>
      <c r="J32" s="1054"/>
    </row>
    <row r="33" spans="1:10" ht="28.5" customHeight="1" thickTop="1" thickBot="1">
      <c r="B33" s="1273"/>
      <c r="C33" s="1273"/>
      <c r="D33" s="1273"/>
      <c r="E33" s="1273"/>
      <c r="F33" s="1273"/>
      <c r="G33" s="1273"/>
      <c r="H33" s="1273"/>
      <c r="I33" s="1055" t="s">
        <v>96</v>
      </c>
      <c r="J33" s="1056" t="s">
        <v>97</v>
      </c>
    </row>
    <row r="34" spans="1:10" ht="21" customHeight="1" thickTop="1">
      <c r="B34" s="1349" t="str">
        <f>IF('KEY INPUTS'!C42 = "State Fiscal Year", 'KEY INPUTS'!F25,'KEY INPUTS'!D25)</f>
        <v>Balance - January 1, 2021</v>
      </c>
      <c r="C34" s="1110"/>
      <c r="D34" s="1110"/>
      <c r="E34" s="1110"/>
      <c r="F34" s="1110"/>
      <c r="G34" s="1110"/>
      <c r="H34" s="1110"/>
      <c r="I34" s="1111" t="s">
        <v>628</v>
      </c>
      <c r="J34" s="606"/>
    </row>
    <row r="35" spans="1:10" ht="21" customHeight="1">
      <c r="B35" s="659" t="s">
        <v>155</v>
      </c>
      <c r="C35" s="659"/>
      <c r="D35" s="659"/>
      <c r="E35" s="659"/>
      <c r="F35" s="659"/>
      <c r="G35" s="659"/>
      <c r="H35" s="659"/>
      <c r="I35" s="1114" t="s">
        <v>628</v>
      </c>
      <c r="J35" s="550"/>
    </row>
    <row r="36" spans="1:10" ht="21" customHeight="1">
      <c r="B36" s="659" t="s">
        <v>156</v>
      </c>
      <c r="C36" s="659"/>
      <c r="D36" s="659"/>
      <c r="E36" s="659"/>
      <c r="F36" s="659"/>
      <c r="G36" s="659"/>
      <c r="H36" s="659"/>
      <c r="I36" s="1114" t="s">
        <v>628</v>
      </c>
      <c r="J36" s="550"/>
    </row>
    <row r="37" spans="1:10" ht="21" customHeight="1">
      <c r="B37" s="617" t="s">
        <v>3215</v>
      </c>
      <c r="C37" s="617"/>
      <c r="D37" s="617"/>
      <c r="E37" s="617"/>
      <c r="F37" s="617"/>
      <c r="G37" s="617"/>
      <c r="H37" s="617"/>
      <c r="I37" s="353"/>
      <c r="J37" s="550"/>
    </row>
    <row r="38" spans="1:10" ht="21" customHeight="1">
      <c r="B38" s="617"/>
      <c r="C38" s="617"/>
      <c r="D38" s="617"/>
      <c r="E38" s="617"/>
      <c r="F38" s="617"/>
      <c r="G38" s="617"/>
      <c r="H38" s="617"/>
      <c r="I38" s="353"/>
      <c r="J38" s="550"/>
    </row>
    <row r="39" spans="1:10" ht="21" customHeight="1">
      <c r="B39" s="617"/>
      <c r="C39" s="617"/>
      <c r="D39" s="617"/>
      <c r="E39" s="617"/>
      <c r="F39" s="617"/>
      <c r="G39" s="617"/>
      <c r="H39" s="617"/>
      <c r="I39" s="353"/>
      <c r="J39" s="550"/>
    </row>
    <row r="40" spans="1:10" ht="21" customHeight="1">
      <c r="A40" s="1054"/>
      <c r="B40" s="659" t="s">
        <v>3176</v>
      </c>
      <c r="C40" s="659"/>
      <c r="D40" s="659"/>
      <c r="E40" s="659"/>
      <c r="F40" s="659"/>
      <c r="G40" s="659"/>
      <c r="H40" s="659"/>
      <c r="I40" s="353"/>
      <c r="J40" s="1240" t="s">
        <v>628</v>
      </c>
    </row>
    <row r="41" spans="1:10" ht="21" customHeight="1">
      <c r="A41" s="1054"/>
      <c r="B41" s="871" t="str">
        <f>"Appropriation to "&amp;IF('KEY INPUTS'!C42="State Fiscal Year","Fiscal Year "&amp;'KEY INPUTS'!D33&amp;"",'KEY INPUTS'!D34+1)&amp;" Budget Reserve"</f>
        <v>Appropriation to 2022 Budget Reserve</v>
      </c>
      <c r="C41" s="659"/>
      <c r="D41" s="659"/>
      <c r="E41" s="659"/>
      <c r="F41" s="659"/>
      <c r="G41" s="1350"/>
      <c r="H41" s="659"/>
      <c r="I41" s="547"/>
      <c r="J41" s="1240" t="s">
        <v>628</v>
      </c>
    </row>
    <row r="42" spans="1:10" ht="21" customHeight="1">
      <c r="A42" s="1054"/>
      <c r="B42" s="659" t="str">
        <f>IF('KEY INPUTS'!C42 = "State Fiscal Year", 'KEY INPUTS'!F26,'KEY INPUTS'!D26)</f>
        <v>Balance - December 31, 2021</v>
      </c>
      <c r="C42" s="659"/>
      <c r="D42" s="659"/>
      <c r="E42" s="659"/>
      <c r="F42" s="659"/>
      <c r="G42" s="659"/>
      <c r="H42" s="659"/>
      <c r="I42" s="800">
        <f>SUM(J34:J39)-SUM(I37:I41)</f>
        <v>0</v>
      </c>
      <c r="J42" s="1240" t="s">
        <v>628</v>
      </c>
    </row>
    <row r="43" spans="1:10" ht="21" customHeight="1" thickBot="1">
      <c r="B43" s="1054"/>
      <c r="C43" s="1054"/>
      <c r="D43" s="1054"/>
      <c r="E43" s="1054"/>
      <c r="F43" s="1054"/>
      <c r="G43" s="1054"/>
      <c r="H43" s="1054"/>
      <c r="I43" s="1049">
        <f>SUM(I34:I42)</f>
        <v>0</v>
      </c>
      <c r="J43" s="1351">
        <f>SUM(J34:J42)</f>
        <v>0</v>
      </c>
    </row>
    <row r="44" spans="1:10" ht="21" customHeight="1" thickTop="1"/>
    <row r="45" spans="1:10" ht="21" customHeight="1"/>
    <row r="46" spans="1:10" ht="21" customHeight="1"/>
    <row r="47" spans="1:10" ht="21" customHeight="1"/>
    <row r="48" spans="1:10" ht="21" customHeight="1"/>
    <row r="49" spans="2:10" ht="21" customHeight="1"/>
    <row r="52" spans="2:10" ht="13.8">
      <c r="B52" s="1882" t="s">
        <v>3175</v>
      </c>
      <c r="C52" s="1882"/>
      <c r="D52" s="1882"/>
      <c r="E52" s="1882"/>
      <c r="F52" s="1882"/>
      <c r="G52" s="1882"/>
      <c r="H52" s="1882"/>
      <c r="I52" s="1882"/>
      <c r="J52" s="1882"/>
    </row>
  </sheetData>
  <sheetProtection algorithmName="SHA-512" hashValue="UUXhsZbzwez8FjjXoLt31nuxRF7byaCq07VDeNTh5pIAeQG4lMgS0MxClzTig1Ig+MASNjjCCbkX4fCcC3k8ng==" saltValue="1z6tGDnMM1EbPJbFn32HZA==" spinCount="100000"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4">
    <tabColor theme="2" tint="-0.249977111117893"/>
  </sheetPr>
  <dimension ref="B1:R57"/>
  <sheetViews>
    <sheetView topLeftCell="A22" zoomScaleNormal="100" zoomScaleSheetLayoutView="80" workbookViewId="0">
      <selection activeCell="N39" sqref="N39"/>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1" spans="2:18">
      <c r="B1" s="1054"/>
      <c r="C1" s="1054"/>
      <c r="D1" s="1054"/>
      <c r="E1" s="1054"/>
      <c r="F1" s="1054"/>
      <c r="G1" s="1054"/>
      <c r="H1" s="1054"/>
    </row>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INPUTS'!D57)&amp;"  UTILITY  FUND"</f>
        <v>TRIAL  BALANCE -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571"/>
      <c r="H15" s="578"/>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+'47-Utility4'!L24</f>
        <v>0</v>
      </c>
      <c r="H20" s="1063"/>
      <c r="L20" s="309"/>
      <c r="M20" s="309"/>
      <c r="N20" s="309"/>
      <c r="O20" s="309"/>
      <c r="P20" s="309"/>
      <c r="Q20" s="309"/>
      <c r="R20" s="309"/>
    </row>
    <row r="21" spans="2:18" ht="21" customHeight="1">
      <c r="B21" s="659" t="s">
        <v>3207</v>
      </c>
      <c r="C21" s="659"/>
      <c r="D21" s="659"/>
      <c r="E21" s="659"/>
      <c r="F21" s="659"/>
      <c r="G21" s="658">
        <f>+'47-Utility4'!L54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+'44-Utility4'!I37</f>
        <v>0</v>
      </c>
      <c r="J31" s="708"/>
    </row>
    <row r="32" spans="2:18" ht="21" customHeight="1">
      <c r="B32" s="659" t="s">
        <v>3136</v>
      </c>
      <c r="C32" s="659"/>
      <c r="D32" s="659"/>
      <c r="E32" s="659"/>
      <c r="F32" s="659"/>
      <c r="G32" s="571"/>
      <c r="H32" s="578"/>
    </row>
    <row r="33" spans="2:18" ht="21" customHeight="1">
      <c r="B33" s="659" t="s">
        <v>3135</v>
      </c>
      <c r="C33" s="659"/>
      <c r="D33" s="659"/>
      <c r="E33" s="659"/>
      <c r="F33" s="659"/>
      <c r="G33" s="571"/>
      <c r="H33" s="1066">
        <f>+'49-Utility4'!I29+'49a-Utility4'!I29+'50.1-Utility4'!M24+'49a.1-Utility4'!I29</f>
        <v>0</v>
      </c>
      <c r="J33" s="708"/>
    </row>
    <row r="34" spans="2:18" ht="21" customHeight="1">
      <c r="B34" s="617" t="s">
        <v>3217</v>
      </c>
      <c r="C34" s="617"/>
      <c r="D34" s="617"/>
      <c r="E34" s="617"/>
      <c r="F34" s="621"/>
      <c r="G34" s="571"/>
      <c r="H34" s="578"/>
    </row>
    <row r="35" spans="2:18" ht="21" customHeight="1">
      <c r="B35" s="617"/>
      <c r="C35" s="617"/>
      <c r="D35" s="617"/>
      <c r="E35" s="617"/>
      <c r="F35" s="617"/>
      <c r="G35" s="571"/>
      <c r="H35" s="578"/>
      <c r="L35" s="309"/>
      <c r="M35" s="309"/>
      <c r="N35" s="309"/>
      <c r="O35" s="309"/>
      <c r="P35" s="309"/>
      <c r="Q35" s="309"/>
      <c r="R35" s="309"/>
    </row>
    <row r="36" spans="2:18" ht="21" customHeight="1">
      <c r="B36" s="617"/>
      <c r="C36" s="617"/>
      <c r="D36" s="617"/>
      <c r="E36" s="617"/>
      <c r="F36" s="617"/>
      <c r="G36" s="571"/>
      <c r="H36" s="578"/>
      <c r="J36" s="708"/>
      <c r="L36" s="309"/>
      <c r="M36" s="309"/>
      <c r="N36" s="309"/>
      <c r="O36" s="309"/>
      <c r="P36" s="309"/>
      <c r="Q36" s="309"/>
      <c r="R36" s="309"/>
    </row>
    <row r="37" spans="2:18" ht="21" customHeight="1">
      <c r="B37" s="617"/>
      <c r="C37" s="617"/>
      <c r="D37" s="617"/>
      <c r="E37" s="617"/>
      <c r="F37" s="617"/>
      <c r="G37" s="571"/>
      <c r="H37" s="578"/>
      <c r="J37" s="708"/>
      <c r="L37" s="309"/>
      <c r="M37" s="309"/>
      <c r="N37" s="309"/>
      <c r="O37" s="309"/>
      <c r="P37" s="309"/>
      <c r="Q37" s="309"/>
      <c r="R37" s="309"/>
    </row>
    <row r="38" spans="2:18" ht="21" customHeight="1" thickBot="1">
      <c r="B38" s="617"/>
      <c r="C38" s="617"/>
      <c r="D38" s="617"/>
      <c r="E38" s="617"/>
      <c r="F38" s="617"/>
      <c r="G38" s="571"/>
      <c r="H38" s="602"/>
      <c r="L38" s="309"/>
      <c r="M38" s="309"/>
      <c r="N38" s="309"/>
      <c r="O38" s="309"/>
      <c r="P38" s="309"/>
      <c r="Q38" s="309"/>
      <c r="R38" s="309"/>
    </row>
    <row r="39" spans="2:18" ht="21" customHeight="1" thickTop="1">
      <c r="B39" s="659"/>
      <c r="C39" s="659" t="s">
        <v>3134</v>
      </c>
      <c r="D39" s="659"/>
      <c r="E39" s="659"/>
      <c r="F39" s="1224"/>
      <c r="G39" s="1225"/>
      <c r="H39" s="1067">
        <f>SUM(H30:H38)</f>
        <v>0</v>
      </c>
      <c r="I39" s="370" t="s">
        <v>796</v>
      </c>
    </row>
    <row r="40" spans="2:18" ht="21" customHeight="1">
      <c r="B40" s="1068" t="s">
        <v>3218</v>
      </c>
      <c r="C40" s="1068"/>
      <c r="D40" s="1068"/>
      <c r="E40" s="1068"/>
      <c r="F40" s="1068"/>
      <c r="G40" s="1063"/>
      <c r="H40" s="600"/>
    </row>
    <row r="41" spans="2:18" ht="21" customHeight="1">
      <c r="B41" s="617"/>
      <c r="C41" s="617"/>
      <c r="D41" s="617"/>
      <c r="E41" s="617"/>
      <c r="F41" s="617"/>
      <c r="G41" s="571"/>
      <c r="H41" s="578"/>
    </row>
    <row r="42" spans="2:18" ht="21" customHeight="1">
      <c r="B42" s="659" t="s">
        <v>618</v>
      </c>
      <c r="C42" s="659"/>
      <c r="D42" s="659"/>
      <c r="E42" s="659"/>
      <c r="F42" s="659"/>
      <c r="G42" s="658"/>
      <c r="H42" s="1064">
        <f>+'46-Utility4'!K27</f>
        <v>0</v>
      </c>
    </row>
    <row r="43" spans="2:18" ht="21" customHeight="1" thickBot="1">
      <c r="B43" s="659"/>
      <c r="C43" s="659"/>
      <c r="D43" s="659"/>
      <c r="E43" s="659"/>
      <c r="F43" s="659"/>
      <c r="G43" s="1069"/>
      <c r="H43" s="1070"/>
    </row>
    <row r="44" spans="2:18" ht="21" customHeight="1" thickBot="1">
      <c r="B44" s="659" t="s">
        <v>3219</v>
      </c>
      <c r="C44" s="659"/>
      <c r="D44" s="659"/>
      <c r="E44" s="659"/>
      <c r="F44" s="659"/>
      <c r="G44" s="1071">
        <f>SUM(G12:G43)</f>
        <v>0</v>
      </c>
      <c r="H44" s="1072">
        <f>SUM(H39:H43)</f>
        <v>0</v>
      </c>
      <c r="J44" s="371">
        <f>G44-H44</f>
        <v>0</v>
      </c>
    </row>
    <row r="45" spans="2:18" ht="13.8" thickTop="1">
      <c r="B45" s="1992" t="s">
        <v>98</v>
      </c>
      <c r="C45" s="1992"/>
      <c r="D45" s="1992"/>
      <c r="E45" s="1992"/>
      <c r="F45" s="1992"/>
      <c r="G45" s="1992"/>
      <c r="H45" s="1992"/>
    </row>
    <row r="46" spans="2:18">
      <c r="B46" s="1239"/>
      <c r="C46" s="1239"/>
      <c r="D46" s="1239"/>
      <c r="E46" s="1239"/>
      <c r="F46" s="1239"/>
      <c r="G46" s="1239"/>
      <c r="H46" s="1239"/>
    </row>
    <row r="47" spans="2:18">
      <c r="B47" s="1239"/>
      <c r="C47" s="1239"/>
      <c r="D47" s="1239"/>
      <c r="E47" s="1239"/>
      <c r="F47" s="1239"/>
      <c r="G47" s="1239"/>
      <c r="H47" s="1239"/>
    </row>
    <row r="48" spans="2:18">
      <c r="B48" s="1239"/>
      <c r="C48" s="1239"/>
      <c r="D48" s="1239"/>
      <c r="E48" s="1239"/>
      <c r="F48" s="1239"/>
      <c r="G48" s="1239"/>
      <c r="H48" s="1239"/>
    </row>
    <row r="49" spans="2:8">
      <c r="B49" s="1239"/>
      <c r="C49" s="1239"/>
      <c r="D49" s="1239"/>
      <c r="E49" s="1239"/>
      <c r="F49" s="1239"/>
      <c r="G49" s="1239"/>
      <c r="H49" s="1239"/>
    </row>
    <row r="50" spans="2:8" ht="13.8">
      <c r="B50" s="2076" t="s">
        <v>3132</v>
      </c>
      <c r="C50" s="2076"/>
      <c r="D50" s="2076"/>
      <c r="E50" s="2076"/>
      <c r="F50" s="2076"/>
      <c r="G50" s="2076"/>
      <c r="H50" s="2076"/>
    </row>
    <row r="54" spans="2:8">
      <c r="H54" s="371"/>
    </row>
    <row r="57" spans="2:8">
      <c r="H57" s="371">
        <f>+H44-G44</f>
        <v>0</v>
      </c>
    </row>
  </sheetData>
  <sheetProtection algorithmName="SHA-512" hashValue="bD7/SlZYpONrkxbg8KEbwtDCyPGl6vad2uU23KVx8qQnrw0M9dWo6uiBXJ5j0h2os7+jqA2hcN693dNO0g7i7w==" saltValue="kEJinh3N/WZt9pP3YXUkGg=="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5">
    <tabColor theme="2" tint="-0.249977111117893"/>
  </sheetPr>
  <dimension ref="B1:Q55"/>
  <sheetViews>
    <sheetView zoomScaleNormal="100" zoomScaleSheetLayoutView="80" workbookViewId="0">
      <selection activeCell="P29" sqref="P29"/>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INPUTS'!D57)&amp;"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1054"/>
      <c r="C12" s="1054"/>
      <c r="D12" s="1054"/>
      <c r="E12" s="1054"/>
      <c r="F12" s="1054"/>
      <c r="G12" s="1057"/>
      <c r="H12" s="1058"/>
    </row>
    <row r="13" spans="2:17" ht="21" customHeight="1">
      <c r="B13" s="1065" t="s">
        <v>643</v>
      </c>
      <c r="C13" s="659"/>
      <c r="D13" s="659"/>
      <c r="E13" s="659"/>
      <c r="F13" s="659"/>
      <c r="G13" s="658"/>
      <c r="H13" s="1064"/>
      <c r="K13" s="309"/>
      <c r="L13" s="309"/>
      <c r="M13" s="309"/>
      <c r="N13" s="309"/>
      <c r="O13" s="309"/>
      <c r="P13" s="309"/>
      <c r="Q13" s="309"/>
    </row>
    <row r="14" spans="2:17" ht="21" customHeight="1">
      <c r="B14" s="659"/>
      <c r="C14" s="659"/>
      <c r="D14" s="659"/>
      <c r="E14" s="659"/>
      <c r="F14" s="659"/>
      <c r="G14" s="658"/>
      <c r="H14" s="1064"/>
      <c r="K14" s="309"/>
      <c r="L14" s="309"/>
      <c r="M14" s="309"/>
      <c r="N14" s="309"/>
      <c r="O14" s="309"/>
      <c r="P14" s="309"/>
      <c r="Q14" s="309"/>
    </row>
    <row r="15" spans="2:17" ht="21" customHeight="1">
      <c r="B15" s="1054" t="s">
        <v>192</v>
      </c>
      <c r="C15" s="659"/>
      <c r="D15" s="659"/>
      <c r="E15" s="659"/>
      <c r="F15" s="659"/>
      <c r="G15" s="351"/>
      <c r="H15" s="1240" t="s">
        <v>628</v>
      </c>
      <c r="K15" s="356"/>
      <c r="L15" s="309"/>
      <c r="M15" s="309"/>
      <c r="N15" s="309"/>
      <c r="O15" s="309"/>
      <c r="P15" s="309"/>
      <c r="Q15" s="309"/>
    </row>
    <row r="16" spans="2:17" ht="21" customHeight="1">
      <c r="B16" s="659" t="s">
        <v>193</v>
      </c>
      <c r="C16" s="659"/>
      <c r="D16" s="659"/>
      <c r="E16" s="659"/>
      <c r="F16" s="659"/>
      <c r="G16" s="1114" t="s">
        <v>628</v>
      </c>
      <c r="H16" s="870">
        <f>+G15</f>
        <v>0</v>
      </c>
      <c r="K16" s="309"/>
      <c r="L16" s="309"/>
      <c r="M16" s="309"/>
      <c r="N16" s="309"/>
      <c r="O16" s="309"/>
      <c r="P16" s="309"/>
      <c r="Q16" s="309"/>
    </row>
    <row r="17" spans="2:17" ht="21" customHeight="1">
      <c r="B17" s="659"/>
      <c r="C17" s="659"/>
      <c r="D17" s="659"/>
      <c r="E17" s="659"/>
      <c r="F17" s="659"/>
      <c r="G17" s="864"/>
      <c r="H17" s="870"/>
      <c r="K17" s="309"/>
      <c r="L17" s="309"/>
      <c r="M17" s="309"/>
      <c r="N17" s="309"/>
      <c r="O17" s="309"/>
      <c r="P17" s="309"/>
      <c r="Q17" s="309"/>
    </row>
    <row r="18" spans="2:17" ht="21" customHeight="1">
      <c r="B18" s="659"/>
      <c r="C18" s="659" t="s">
        <v>351</v>
      </c>
      <c r="D18" s="659"/>
      <c r="E18" s="659"/>
      <c r="F18" s="659"/>
      <c r="G18" s="351"/>
      <c r="H18" s="540"/>
      <c r="K18" s="309"/>
      <c r="L18" s="309"/>
      <c r="M18" s="309"/>
      <c r="N18" s="309"/>
      <c r="O18" s="309"/>
      <c r="P18" s="309"/>
      <c r="Q18" s="309"/>
    </row>
    <row r="19" spans="2:17" ht="21" customHeight="1">
      <c r="B19" s="659"/>
      <c r="C19" s="617"/>
      <c r="D19" s="617"/>
      <c r="E19" s="617"/>
      <c r="F19" s="617"/>
      <c r="G19" s="351"/>
      <c r="H19" s="540"/>
      <c r="K19" s="309"/>
      <c r="L19" s="309"/>
      <c r="M19" s="309"/>
      <c r="N19" s="309"/>
      <c r="O19" s="309"/>
      <c r="P19" s="309"/>
      <c r="Q19" s="309"/>
    </row>
    <row r="20" spans="2:17" ht="21" customHeight="1">
      <c r="B20" s="659"/>
      <c r="C20" s="659" t="s">
        <v>889</v>
      </c>
      <c r="D20" s="659"/>
      <c r="E20" s="659"/>
      <c r="F20" s="659"/>
      <c r="G20" s="351"/>
      <c r="H20" s="540"/>
      <c r="K20" s="309"/>
      <c r="L20" s="309"/>
      <c r="M20" s="309"/>
      <c r="N20" s="309"/>
      <c r="O20" s="309"/>
      <c r="P20" s="309"/>
      <c r="Q20" s="309"/>
    </row>
    <row r="21" spans="2:17" ht="21" customHeight="1">
      <c r="B21" s="659"/>
      <c r="C21" s="659" t="s">
        <v>644</v>
      </c>
      <c r="D21" s="659"/>
      <c r="E21" s="659"/>
      <c r="F21" s="659"/>
      <c r="G21" s="864"/>
      <c r="H21" s="865"/>
      <c r="K21" s="309"/>
      <c r="L21" s="309"/>
      <c r="M21" s="309"/>
      <c r="N21" s="309"/>
      <c r="O21" s="309"/>
      <c r="P21" s="309"/>
      <c r="Q21" s="309"/>
    </row>
    <row r="22" spans="2:17" ht="21" customHeight="1">
      <c r="B22" s="659"/>
      <c r="C22" s="659"/>
      <c r="D22" s="659" t="s">
        <v>87</v>
      </c>
      <c r="E22" s="659"/>
      <c r="F22" s="659"/>
      <c r="G22" s="351"/>
      <c r="H22" s="540"/>
      <c r="K22" s="309"/>
      <c r="L22" s="309"/>
      <c r="M22" s="309"/>
      <c r="N22" s="309"/>
      <c r="O22" s="309"/>
      <c r="P22" s="309"/>
      <c r="Q22" s="309"/>
    </row>
    <row r="23" spans="2:17" ht="21" customHeight="1">
      <c r="B23" s="659"/>
      <c r="C23" s="659"/>
      <c r="D23" s="659" t="s">
        <v>672</v>
      </c>
      <c r="E23" s="659"/>
      <c r="F23" s="659"/>
      <c r="G23" s="351"/>
      <c r="H23" s="540"/>
      <c r="K23" s="309"/>
      <c r="L23" s="309"/>
      <c r="M23" s="309"/>
      <c r="N23" s="309"/>
      <c r="O23" s="309"/>
      <c r="P23" s="309"/>
      <c r="Q23" s="309"/>
    </row>
    <row r="24" spans="2:17" ht="21" customHeight="1">
      <c r="B24" s="374"/>
      <c r="C24" s="617"/>
      <c r="D24" s="617" t="s">
        <v>3133</v>
      </c>
      <c r="E24" s="617"/>
      <c r="F24" s="617"/>
      <c r="G24" s="351"/>
      <c r="H24" s="559"/>
      <c r="K24" s="309"/>
      <c r="L24" s="309"/>
      <c r="M24" s="309"/>
      <c r="N24" s="309"/>
      <c r="O24" s="309"/>
      <c r="P24" s="309"/>
      <c r="Q24" s="309"/>
    </row>
    <row r="25" spans="2:17" ht="21" customHeight="1">
      <c r="B25" s="374"/>
      <c r="C25" s="617"/>
      <c r="D25" s="617" t="s">
        <v>3133</v>
      </c>
      <c r="E25" s="617"/>
      <c r="F25" s="617"/>
      <c r="G25" s="351"/>
      <c r="H25" s="559" t="s">
        <v>3133</v>
      </c>
    </row>
    <row r="26" spans="2:17" ht="21" customHeight="1">
      <c r="B26" s="374"/>
      <c r="C26" s="618"/>
      <c r="D26" s="617"/>
      <c r="E26" s="617"/>
      <c r="F26" s="617"/>
      <c r="G26" s="351"/>
      <c r="H26" s="620"/>
    </row>
    <row r="27" spans="2:17" ht="21" customHeight="1">
      <c r="B27" s="374"/>
      <c r="C27" s="617" t="s">
        <v>3133</v>
      </c>
      <c r="D27" s="617"/>
      <c r="E27" s="617"/>
      <c r="F27" s="617"/>
      <c r="G27" s="351"/>
      <c r="H27" s="559" t="s">
        <v>3133</v>
      </c>
    </row>
    <row r="28" spans="2:17" ht="21" customHeight="1">
      <c r="B28" s="374"/>
      <c r="C28" s="617"/>
      <c r="D28" s="617"/>
      <c r="E28" s="617"/>
      <c r="F28" s="617"/>
      <c r="G28" s="351"/>
      <c r="H28" s="559"/>
    </row>
    <row r="29" spans="2:17" ht="21" customHeight="1">
      <c r="B29" s="374"/>
      <c r="C29" s="617"/>
      <c r="D29" s="617" t="s">
        <v>3133</v>
      </c>
      <c r="E29" s="617"/>
      <c r="F29" s="617"/>
      <c r="G29" s="351"/>
      <c r="H29" s="559"/>
      <c r="K29" s="309"/>
      <c r="L29" s="309"/>
      <c r="M29" s="309"/>
      <c r="N29" s="309"/>
      <c r="O29" s="309"/>
      <c r="P29" s="309"/>
      <c r="Q29" s="309"/>
    </row>
    <row r="30" spans="2:17" ht="21" customHeight="1">
      <c r="B30" s="374"/>
      <c r="C30" s="617"/>
      <c r="D30" s="617" t="s">
        <v>3133</v>
      </c>
      <c r="E30" s="617"/>
      <c r="F30" s="617"/>
      <c r="G30" s="351"/>
      <c r="H30" s="559"/>
      <c r="K30" s="309"/>
      <c r="L30" s="309"/>
      <c r="M30" s="309"/>
      <c r="N30" s="309"/>
      <c r="O30" s="309"/>
      <c r="P30" s="309"/>
      <c r="Q30" s="309"/>
    </row>
    <row r="31" spans="2:17" ht="21" customHeight="1">
      <c r="B31" s="374"/>
      <c r="C31" s="617"/>
      <c r="D31" s="617" t="s">
        <v>3133</v>
      </c>
      <c r="E31" s="617"/>
      <c r="F31" s="617"/>
      <c r="G31" s="351"/>
      <c r="H31" s="559" t="s">
        <v>3133</v>
      </c>
    </row>
    <row r="32" spans="2:17" ht="21" customHeight="1">
      <c r="B32" s="374"/>
      <c r="C32" s="618"/>
      <c r="D32" s="617"/>
      <c r="E32" s="617"/>
      <c r="F32" s="617"/>
      <c r="G32" s="351"/>
      <c r="H32" s="620"/>
    </row>
    <row r="33" spans="2:17" ht="21" customHeight="1">
      <c r="B33" s="374"/>
      <c r="C33" s="617" t="s">
        <v>3133</v>
      </c>
      <c r="D33" s="617"/>
      <c r="E33" s="617"/>
      <c r="F33" s="617"/>
      <c r="G33" s="351"/>
      <c r="H33" s="559" t="s">
        <v>3133</v>
      </c>
    </row>
    <row r="34" spans="2:17" ht="21" customHeight="1">
      <c r="B34" s="374"/>
      <c r="C34" s="617"/>
      <c r="D34" s="617"/>
      <c r="E34" s="617"/>
      <c r="F34" s="617"/>
      <c r="G34" s="351"/>
      <c r="H34" s="559"/>
    </row>
    <row r="35" spans="2:17" ht="21" customHeight="1">
      <c r="B35" s="374"/>
      <c r="C35" s="617"/>
      <c r="D35" s="617" t="s">
        <v>3133</v>
      </c>
      <c r="E35" s="617"/>
      <c r="F35" s="617"/>
      <c r="G35" s="351"/>
      <c r="H35" s="559"/>
      <c r="K35" s="309"/>
      <c r="L35" s="309"/>
      <c r="M35" s="309"/>
      <c r="N35" s="309"/>
      <c r="O35" s="309"/>
      <c r="P35" s="309"/>
      <c r="Q35" s="309"/>
    </row>
    <row r="36" spans="2:17" ht="21" customHeight="1">
      <c r="B36" s="374"/>
      <c r="C36" s="617"/>
      <c r="D36" s="617" t="s">
        <v>3133</v>
      </c>
      <c r="E36" s="617"/>
      <c r="F36" s="617"/>
      <c r="G36" s="351"/>
      <c r="H36" s="559" t="s">
        <v>3133</v>
      </c>
    </row>
    <row r="37" spans="2:17" ht="21" customHeight="1">
      <c r="B37" s="374"/>
      <c r="C37" s="618"/>
      <c r="D37" s="617"/>
      <c r="E37" s="617"/>
      <c r="F37" s="617"/>
      <c r="G37" s="351"/>
      <c r="H37" s="620"/>
    </row>
    <row r="38" spans="2:17" ht="21" customHeight="1">
      <c r="B38" s="374"/>
      <c r="C38" s="617" t="s">
        <v>3133</v>
      </c>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t="s">
        <v>3133</v>
      </c>
      <c r="D41" s="617"/>
      <c r="E41" s="617"/>
      <c r="F41" s="617"/>
      <c r="G41" s="351"/>
      <c r="H41" s="559" t="s">
        <v>3133</v>
      </c>
    </row>
    <row r="42" spans="2:17" ht="21" customHeight="1">
      <c r="B42" s="374"/>
      <c r="C42" s="617" t="s">
        <v>3133</v>
      </c>
      <c r="D42" s="617"/>
      <c r="E42" s="617"/>
      <c r="F42" s="617"/>
      <c r="G42" s="351"/>
      <c r="H42" s="559" t="s">
        <v>3133</v>
      </c>
    </row>
    <row r="43" spans="2:17" ht="21" customHeight="1" thickBot="1">
      <c r="B43" s="659"/>
      <c r="C43" s="659"/>
      <c r="D43" s="659"/>
      <c r="E43" s="659"/>
      <c r="F43" s="659"/>
      <c r="G43" s="1234"/>
      <c r="H43" s="1235"/>
      <c r="I43" s="371"/>
      <c r="M43" s="371"/>
    </row>
    <row r="44" spans="2:17" ht="21" customHeight="1" thickBot="1">
      <c r="B44" s="659"/>
      <c r="C44" s="659" t="s">
        <v>3265</v>
      </c>
      <c r="D44" s="659"/>
      <c r="E44" s="659"/>
      <c r="F44" s="659"/>
      <c r="G44" s="1236">
        <f>SUM(G15:G42)</f>
        <v>0</v>
      </c>
      <c r="H44" s="1237">
        <f>SUM(H15:H43)</f>
        <v>0</v>
      </c>
      <c r="I44" s="371"/>
      <c r="K44" s="371"/>
    </row>
    <row r="45" spans="2:17" ht="13.8" thickTop="1">
      <c r="B45" s="1895" t="s">
        <v>98</v>
      </c>
      <c r="C45" s="1895"/>
      <c r="D45" s="1895"/>
      <c r="E45" s="1895"/>
      <c r="F45" s="1895"/>
      <c r="G45" s="1896"/>
      <c r="H45" s="1896"/>
    </row>
    <row r="46" spans="2:17">
      <c r="B46" s="875"/>
      <c r="C46" s="875"/>
      <c r="D46" s="875"/>
      <c r="E46" s="875"/>
      <c r="F46" s="875"/>
      <c r="G46" s="875"/>
      <c r="H46" s="875"/>
    </row>
    <row r="47" spans="2:17">
      <c r="B47" s="875"/>
      <c r="C47" s="875"/>
      <c r="D47" s="875"/>
      <c r="E47" s="875"/>
      <c r="F47" s="875"/>
      <c r="G47" s="875"/>
      <c r="H47" s="875"/>
    </row>
    <row r="48" spans="2:17">
      <c r="B48" s="875"/>
      <c r="C48" s="875"/>
      <c r="D48" s="875"/>
      <c r="E48" s="875"/>
      <c r="F48" s="875"/>
      <c r="G48" s="875"/>
      <c r="H48" s="875"/>
    </row>
    <row r="49" spans="2:8">
      <c r="B49" s="875"/>
      <c r="C49" s="875"/>
      <c r="D49" s="875"/>
      <c r="E49" s="875"/>
      <c r="F49" s="875"/>
      <c r="G49" s="875"/>
      <c r="H49" s="875"/>
    </row>
    <row r="50" spans="2:8" ht="13.8">
      <c r="B50" s="1882" t="s">
        <v>3138</v>
      </c>
      <c r="C50" s="1882"/>
      <c r="D50" s="1882"/>
      <c r="E50" s="1882"/>
      <c r="F50" s="1882"/>
      <c r="G50" s="1882"/>
      <c r="H50" s="1882"/>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6">
    <tabColor theme="2" tint="-0.249977111117893"/>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INPUTS'!D57)&amp;"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659"/>
      <c r="C12" s="659" t="s">
        <v>3266</v>
      </c>
      <c r="D12" s="659"/>
      <c r="E12" s="659"/>
      <c r="F12" s="659"/>
      <c r="G12" s="864">
        <f>'41a-Utility4'!G44</f>
        <v>0</v>
      </c>
      <c r="H12" s="870">
        <f>'41a-Utility4'!H44</f>
        <v>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+'49-Utility4'!G22</f>
        <v>0</v>
      </c>
      <c r="K17" s="309"/>
      <c r="L17" s="309"/>
      <c r="M17" s="309"/>
      <c r="N17" s="309"/>
      <c r="O17" s="309"/>
      <c r="P17" s="309"/>
      <c r="Q17" s="309"/>
    </row>
    <row r="18" spans="2:17" ht="21" customHeight="1">
      <c r="B18" s="659"/>
      <c r="C18" s="659" t="s">
        <v>3386</v>
      </c>
      <c r="D18" s="659"/>
      <c r="E18" s="659"/>
      <c r="F18" s="659"/>
      <c r="G18" s="864"/>
      <c r="H18" s="870">
        <f>'49a-Utility4'!G11+'49a-Utility4'!G22+'49a.1-Utility4'!G11+'49a.1-Utility4'!G22</f>
        <v>0</v>
      </c>
    </row>
    <row r="19" spans="2:17" ht="21" customHeight="1">
      <c r="B19" s="659"/>
      <c r="C19" s="659" t="s">
        <v>3395</v>
      </c>
      <c r="D19" s="659"/>
      <c r="E19" s="659"/>
      <c r="F19" s="659"/>
      <c r="G19" s="864"/>
      <c r="H19" s="870">
        <f>+'51a-Utility4'!G23</f>
        <v>0</v>
      </c>
      <c r="K19" s="309"/>
      <c r="L19" s="309"/>
      <c r="M19" s="309"/>
      <c r="N19" s="309"/>
      <c r="O19" s="309"/>
      <c r="P19" s="309"/>
      <c r="Q19" s="309"/>
    </row>
    <row r="20" spans="2:17" ht="21" customHeight="1">
      <c r="B20" s="659"/>
      <c r="C20" s="871" t="s">
        <v>3140</v>
      </c>
      <c r="D20" s="659"/>
      <c r="E20" s="659"/>
      <c r="F20" s="659"/>
      <c r="G20" s="864"/>
      <c r="H20" s="870">
        <f>+'50.1-Utility4'!G18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+'52-Utility4'!K27</f>
        <v>0</v>
      </c>
      <c r="J22" s="371"/>
      <c r="K22" s="309"/>
      <c r="L22" s="309"/>
      <c r="M22" s="309"/>
      <c r="N22" s="309"/>
      <c r="O22" s="309"/>
      <c r="P22" s="309"/>
      <c r="Q22" s="309"/>
    </row>
    <row r="23" spans="2:17" ht="21" customHeight="1">
      <c r="B23" s="659"/>
      <c r="C23" s="659"/>
      <c r="D23" s="659" t="s">
        <v>801</v>
      </c>
      <c r="E23" s="659"/>
      <c r="F23" s="659"/>
      <c r="G23" s="864"/>
      <c r="H23" s="870">
        <f>+'52-Utility4'!L27</f>
        <v>0</v>
      </c>
      <c r="J23" s="371"/>
      <c r="K23" s="309"/>
      <c r="L23" s="309"/>
      <c r="M23" s="309"/>
      <c r="N23" s="309"/>
      <c r="O23" s="309"/>
      <c r="P23" s="309"/>
      <c r="Q23" s="309"/>
    </row>
    <row r="24" spans="2:17" ht="21" customHeight="1">
      <c r="B24" s="374"/>
      <c r="C24" s="617" t="s">
        <v>3139</v>
      </c>
      <c r="D24" s="617"/>
      <c r="E24" s="617"/>
      <c r="F24" s="617"/>
      <c r="G24" s="351"/>
      <c r="H24" s="540"/>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659"/>
      <c r="C40" s="659" t="s">
        <v>3202</v>
      </c>
      <c r="D40" s="659"/>
      <c r="E40" s="659"/>
      <c r="F40" s="659"/>
      <c r="G40" s="864"/>
      <c r="H40" s="870">
        <f>+'53-Utility4'!I41</f>
        <v>0</v>
      </c>
    </row>
    <row r="41" spans="2:13" ht="21" customHeight="1">
      <c r="B41" s="659"/>
      <c r="C41" s="659" t="s">
        <v>804</v>
      </c>
      <c r="D41" s="659"/>
      <c r="E41" s="659"/>
      <c r="F41" s="659"/>
      <c r="G41" s="864"/>
      <c r="H41" s="870">
        <f>+'53-Utility4'!I24</f>
        <v>0</v>
      </c>
    </row>
    <row r="42" spans="2:13" ht="21" customHeight="1">
      <c r="B42" s="659"/>
      <c r="C42" s="659" t="s">
        <v>642</v>
      </c>
      <c r="D42" s="659"/>
      <c r="E42" s="659"/>
      <c r="F42" s="659"/>
      <c r="G42" s="864"/>
      <c r="H42" s="870">
        <f>+'54-Utility4'!I42</f>
        <v>0</v>
      </c>
    </row>
    <row r="43" spans="2:13" ht="21" customHeight="1" thickBot="1">
      <c r="B43" s="659"/>
      <c r="C43" s="659"/>
      <c r="D43" s="659"/>
      <c r="E43" s="659"/>
      <c r="F43" s="659"/>
      <c r="G43" s="1234"/>
      <c r="H43" s="1235"/>
      <c r="I43" s="371"/>
      <c r="M43" s="371"/>
    </row>
    <row r="44" spans="2:13" ht="21" customHeight="1" thickBot="1">
      <c r="B44" s="659"/>
      <c r="C44" s="659" t="s">
        <v>799</v>
      </c>
      <c r="D44" s="659"/>
      <c r="E44" s="659"/>
      <c r="F44" s="659"/>
      <c r="G44" s="1236">
        <f>SUM(G12:G42)</f>
        <v>0</v>
      </c>
      <c r="H44" s="1237">
        <f>SUM(H12:H43)</f>
        <v>0</v>
      </c>
      <c r="I44" s="371"/>
      <c r="K44" s="371"/>
    </row>
    <row r="45" spans="2:13" ht="13.8" thickTop="1">
      <c r="B45" s="2046" t="s">
        <v>98</v>
      </c>
      <c r="C45" s="2046"/>
      <c r="D45" s="2046"/>
      <c r="E45" s="2046"/>
      <c r="F45" s="2046"/>
      <c r="G45" s="2047"/>
      <c r="H45" s="2047"/>
    </row>
    <row r="46" spans="2:13">
      <c r="B46" s="1239"/>
      <c r="C46" s="1239"/>
      <c r="D46" s="1239"/>
      <c r="E46" s="1239"/>
      <c r="F46" s="1239"/>
      <c r="G46" s="1239"/>
      <c r="H46" s="1239"/>
    </row>
    <row r="47" spans="2:13">
      <c r="B47" s="1239"/>
      <c r="C47" s="1239"/>
      <c r="D47" s="1239"/>
      <c r="E47" s="1239"/>
      <c r="F47" s="1239"/>
      <c r="G47" s="1239"/>
      <c r="H47" s="1239"/>
    </row>
    <row r="48" spans="2:13">
      <c r="B48" s="1239"/>
      <c r="C48" s="1239"/>
      <c r="D48" s="1239"/>
      <c r="E48" s="1239"/>
      <c r="F48" s="1239"/>
      <c r="G48" s="1239"/>
      <c r="H48" s="1239"/>
    </row>
    <row r="49" spans="2:8">
      <c r="B49" s="1239"/>
      <c r="C49" s="1239"/>
      <c r="D49" s="1239"/>
      <c r="E49" s="1239"/>
      <c r="F49" s="1239"/>
      <c r="G49" s="1239"/>
      <c r="H49" s="1239"/>
    </row>
    <row r="50" spans="2:8" ht="13.8">
      <c r="B50" s="2076" t="s">
        <v>3397</v>
      </c>
      <c r="C50" s="2076"/>
      <c r="D50" s="2076"/>
      <c r="E50" s="2076"/>
      <c r="F50" s="2076"/>
      <c r="G50" s="2076"/>
      <c r="H50" s="2076"/>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7">
    <tabColor theme="2" tint="-0.249977111117893"/>
  </sheetPr>
  <dimension ref="B1:R49"/>
  <sheetViews>
    <sheetView zoomScaleNormal="100" zoomScaleSheetLayoutView="80" workbookViewId="0">
      <selection activeCell="B10" sqref="B10:F10"/>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1" spans="2:18">
      <c r="B1" s="1086"/>
      <c r="C1" s="1086"/>
      <c r="D1" s="1086"/>
      <c r="E1" s="1086"/>
      <c r="F1" s="1086"/>
      <c r="G1" s="1086"/>
      <c r="H1" s="1086"/>
    </row>
    <row r="2" spans="2:18">
      <c r="B2" s="1086"/>
      <c r="C2" s="1086"/>
      <c r="D2" s="1086"/>
      <c r="E2" s="1086"/>
      <c r="F2" s="1086"/>
      <c r="G2" s="1086"/>
      <c r="H2" s="1086"/>
    </row>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571"/>
      <c r="H38" s="1066">
        <f>+'51-Utility4'!G23</f>
        <v>0</v>
      </c>
    </row>
    <row r="39" spans="2:8" ht="21" customHeight="1">
      <c r="B39" s="1077" t="s">
        <v>3204</v>
      </c>
      <c r="C39" s="1077"/>
      <c r="D39" s="1077"/>
      <c r="E39" s="1077"/>
      <c r="F39" s="1077"/>
      <c r="G39" s="571"/>
      <c r="H39" s="1066">
        <f>+'49-Utility4'!G11</f>
        <v>0</v>
      </c>
    </row>
    <row r="40" spans="2:8" ht="21" customHeight="1">
      <c r="B40" s="1077" t="s">
        <v>798</v>
      </c>
      <c r="C40" s="1077"/>
      <c r="D40" s="1077"/>
      <c r="E40" s="1077"/>
      <c r="F40" s="1077"/>
      <c r="G40" s="571"/>
      <c r="H40" s="1066">
        <f>'43-Utility4'!L20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c r="C43" s="1079"/>
      <c r="D43" s="1079"/>
      <c r="E43" s="1079"/>
      <c r="F43" s="1079"/>
      <c r="G43" s="1046">
        <f>SUM(G11:G42)</f>
        <v>0</v>
      </c>
      <c r="H43" s="1080">
        <f>SUM(H11:H42)</f>
        <v>0</v>
      </c>
    </row>
    <row r="44" spans="2:8">
      <c r="B44" s="1908" t="s">
        <v>98</v>
      </c>
      <c r="C44" s="1908"/>
      <c r="D44" s="1908"/>
      <c r="E44" s="1908"/>
      <c r="F44" s="1908"/>
      <c r="G44" s="1908"/>
      <c r="H44" s="1908"/>
    </row>
    <row r="45" spans="2:8">
      <c r="B45" s="1081"/>
      <c r="C45" s="1081"/>
      <c r="D45" s="1081"/>
      <c r="E45" s="1081"/>
      <c r="F45" s="1081"/>
      <c r="G45" s="1081"/>
      <c r="H45" s="1081"/>
    </row>
    <row r="46" spans="2:8">
      <c r="B46" s="1081"/>
      <c r="C46" s="1081"/>
      <c r="D46" s="1081"/>
      <c r="E46" s="1081"/>
      <c r="F46" s="1081"/>
      <c r="G46" s="1081"/>
      <c r="H46" s="1081"/>
    </row>
    <row r="47" spans="2:8">
      <c r="B47" s="1081"/>
      <c r="C47" s="1081"/>
      <c r="D47" s="1081"/>
      <c r="E47" s="1081"/>
      <c r="F47" s="1081"/>
      <c r="G47" s="1081"/>
      <c r="H47" s="1081"/>
    </row>
    <row r="48" spans="2:8">
      <c r="B48" s="1081"/>
      <c r="C48" s="1081"/>
      <c r="D48" s="1081"/>
      <c r="E48" s="1081"/>
      <c r="F48" s="1081"/>
      <c r="G48" s="1081"/>
      <c r="H48" s="1081"/>
    </row>
    <row r="49" spans="2:8" ht="13.8">
      <c r="B49" s="1901" t="s">
        <v>3142</v>
      </c>
      <c r="C49" s="1901"/>
      <c r="D49" s="1901"/>
      <c r="E49" s="1901"/>
      <c r="F49" s="1901"/>
      <c r="G49" s="1901"/>
      <c r="H49" s="1901"/>
    </row>
  </sheetData>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8">
    <tabColor theme="2" tint="-0.249977111117893"/>
  </sheetPr>
  <dimension ref="A2:V27"/>
  <sheetViews>
    <sheetView zoomScaleNormal="100" zoomScaleSheetLayoutView="80" workbookViewId="0">
      <selection activeCell="L7" sqref="L7"/>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INPUTS'!D57)&amp;" UTILITY  ASSESSMENT  TRUST  CASH  AND  INVESTMENTS"</f>
        <v>ANALYSIS  OF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2Q3HOhMku92B4hsOBIR6N8xOCwXFPyrzOqKadoMzT7cpjMkXgM0DRidNgx3lLG2W3JwMe8m9D62bHaGp5yaULw==" saltValue="GdEFfGBBpUHahNP3S/iZcw=="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9">
    <tabColor theme="2" tint="-0.249977111117893"/>
  </sheetPr>
  <dimension ref="B1:T55"/>
  <sheetViews>
    <sheetView zoomScaleNormal="100" zoomScaleSheetLayoutView="80" workbookViewId="0">
      <selection activeCell="B2" sqref="B2:J2"/>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1" spans="2:20">
      <c r="B1" s="1054"/>
      <c r="C1" s="1054"/>
      <c r="D1" s="1054"/>
      <c r="E1" s="1054"/>
      <c r="F1" s="1054"/>
      <c r="G1" s="1054"/>
      <c r="H1" s="1054"/>
      <c r="I1" s="1054"/>
      <c r="J1" s="1054"/>
    </row>
    <row r="2" spans="2:20" ht="22.8">
      <c r="B2" s="1887" t="str">
        <f>"SCHEDULE OF "&amp;UPPER('KEY INPUTS'!D57)&amp;" UTILITY BUDGET  -  "&amp;IF('KEY INPUTS'!C42="State Fiscal Year","FY "&amp;'KEY INPUTS'!D33&amp;"",'KEY INPUTS'!D34)&amp;""</f>
        <v>SCHEDULE OF  UTILITY BUDGET  -  2021</v>
      </c>
      <c r="C2" s="1887"/>
      <c r="D2" s="1887"/>
      <c r="E2" s="1887"/>
      <c r="F2" s="1887"/>
      <c r="G2" s="1887"/>
      <c r="H2" s="1887"/>
      <c r="I2" s="1887"/>
      <c r="J2" s="1887"/>
    </row>
    <row r="3" spans="2:20" ht="12" customHeight="1">
      <c r="B3" s="1241"/>
      <c r="C3" s="1241"/>
      <c r="D3" s="1241"/>
      <c r="E3" s="1241"/>
      <c r="F3" s="1241"/>
      <c r="G3" s="1241"/>
      <c r="H3" s="1241"/>
      <c r="I3" s="1241"/>
      <c r="J3" s="1241"/>
    </row>
    <row r="4" spans="2:20" ht="17.25" customHeight="1" thickBot="1">
      <c r="B4" s="2048" t="s">
        <v>832</v>
      </c>
      <c r="C4" s="2048"/>
      <c r="D4" s="2048"/>
      <c r="E4" s="2048"/>
      <c r="F4" s="2048"/>
      <c r="G4" s="2048"/>
      <c r="H4" s="2048"/>
      <c r="I4" s="2048"/>
      <c r="J4" s="2048"/>
    </row>
    <row r="5" spans="2:20" ht="13.8" thickTop="1">
      <c r="B5" s="2049" t="s">
        <v>165</v>
      </c>
      <c r="C5" s="2049"/>
      <c r="D5" s="2049"/>
      <c r="E5" s="2049"/>
      <c r="F5" s="2049"/>
      <c r="G5" s="2013"/>
      <c r="H5" s="1178" t="s">
        <v>535</v>
      </c>
      <c r="I5" s="1178" t="s">
        <v>638</v>
      </c>
      <c r="J5" s="1242" t="s">
        <v>319</v>
      </c>
    </row>
    <row r="6" spans="2:20" ht="13.8" thickBot="1">
      <c r="B6" s="2050"/>
      <c r="C6" s="2050"/>
      <c r="D6" s="2050"/>
      <c r="E6" s="2050"/>
      <c r="F6" s="2050"/>
      <c r="G6" s="2051"/>
      <c r="H6" s="1243"/>
      <c r="I6" s="1243" t="s">
        <v>318</v>
      </c>
      <c r="J6" s="1244" t="s">
        <v>320</v>
      </c>
    </row>
    <row r="7" spans="2:20" ht="21" customHeight="1" thickTop="1">
      <c r="B7" s="1110" t="s">
        <v>3156</v>
      </c>
      <c r="C7" s="1110"/>
      <c r="D7" s="1110"/>
      <c r="E7" s="1110"/>
      <c r="F7" s="1110"/>
      <c r="G7" s="1245"/>
      <c r="H7" s="575"/>
      <c r="I7" s="1249">
        <f>H7</f>
        <v>0</v>
      </c>
      <c r="J7" s="1143">
        <f>+I7-H7</f>
        <v>0</v>
      </c>
    </row>
    <row r="8" spans="2:20" ht="10.5" customHeight="1">
      <c r="B8" s="1149" t="s">
        <v>3155</v>
      </c>
      <c r="C8" s="1054"/>
      <c r="D8" s="1054"/>
      <c r="E8" s="1054"/>
      <c r="F8" s="1054"/>
      <c r="G8" s="1246"/>
      <c r="H8" s="1248"/>
      <c r="I8" s="1248"/>
      <c r="J8" s="1058"/>
    </row>
    <row r="9" spans="2:20">
      <c r="B9" s="1068" t="s">
        <v>168</v>
      </c>
      <c r="C9" s="1068"/>
      <c r="D9" s="1068"/>
      <c r="E9" s="1068"/>
      <c r="F9" s="1068"/>
      <c r="G9" s="1247"/>
      <c r="H9" s="622"/>
      <c r="I9" s="622"/>
      <c r="J9" s="816">
        <f t="shared" ref="J9:J15" si="0">+I9-H9</f>
        <v>0</v>
      </c>
    </row>
    <row r="10" spans="2:20" ht="21" customHeight="1">
      <c r="B10" s="617"/>
      <c r="C10" s="617"/>
      <c r="D10" s="617"/>
      <c r="E10" s="617"/>
      <c r="F10" s="617"/>
      <c r="G10" s="1106"/>
      <c r="H10" s="742"/>
      <c r="I10" s="742"/>
      <c r="J10" s="1250">
        <f t="shared" si="0"/>
        <v>0</v>
      </c>
      <c r="N10" s="309"/>
      <c r="O10" s="309"/>
      <c r="P10" s="309"/>
      <c r="Q10" s="309"/>
      <c r="R10" s="309"/>
      <c r="S10" s="309"/>
      <c r="T10" s="309"/>
    </row>
    <row r="11" spans="2:20" ht="21" customHeight="1">
      <c r="B11" s="617"/>
      <c r="C11" s="617"/>
      <c r="D11" s="617"/>
      <c r="E11" s="617"/>
      <c r="F11" s="617"/>
      <c r="G11" s="1106"/>
      <c r="H11" s="742"/>
      <c r="I11" s="742"/>
      <c r="J11" s="1064">
        <f t="shared" si="0"/>
        <v>0</v>
      </c>
      <c r="N11" s="309"/>
      <c r="O11" s="309"/>
      <c r="P11" s="309"/>
      <c r="Q11" s="309"/>
      <c r="R11" s="309"/>
      <c r="S11" s="309"/>
      <c r="T11" s="309"/>
    </row>
    <row r="12" spans="2:20" ht="21" customHeight="1">
      <c r="B12" s="617"/>
      <c r="C12" s="617"/>
      <c r="D12" s="617"/>
      <c r="E12" s="617"/>
      <c r="F12" s="617"/>
      <c r="G12" s="1106"/>
      <c r="H12" s="742"/>
      <c r="I12" s="742"/>
      <c r="J12" s="1064">
        <f t="shared" si="0"/>
        <v>0</v>
      </c>
      <c r="N12" s="356"/>
      <c r="O12" s="309"/>
      <c r="P12" s="309"/>
      <c r="Q12" s="309"/>
      <c r="R12" s="309"/>
      <c r="S12" s="309"/>
      <c r="T12" s="309"/>
    </row>
    <row r="13" spans="2:20" ht="21" customHeight="1">
      <c r="B13" s="617"/>
      <c r="C13" s="617"/>
      <c r="D13" s="617"/>
      <c r="E13" s="617"/>
      <c r="F13" s="617"/>
      <c r="G13" s="1106"/>
      <c r="H13" s="742"/>
      <c r="I13" s="742"/>
      <c r="J13" s="1064">
        <f t="shared" si="0"/>
        <v>0</v>
      </c>
      <c r="N13" s="309"/>
      <c r="O13" s="309"/>
      <c r="P13" s="309"/>
      <c r="Q13" s="309"/>
      <c r="R13" s="309"/>
      <c r="S13" s="309"/>
      <c r="T13" s="309"/>
    </row>
    <row r="14" spans="2:20" ht="21" customHeight="1">
      <c r="B14" s="617"/>
      <c r="C14" s="617"/>
      <c r="D14" s="617"/>
      <c r="E14" s="617"/>
      <c r="F14" s="617"/>
      <c r="G14" s="1106"/>
      <c r="H14" s="742"/>
      <c r="I14" s="742"/>
      <c r="J14" s="1064">
        <f t="shared" si="0"/>
        <v>0</v>
      </c>
      <c r="N14" s="309"/>
      <c r="O14" s="309"/>
      <c r="P14" s="309"/>
      <c r="Q14" s="309"/>
      <c r="R14" s="309"/>
      <c r="S14" s="309"/>
      <c r="T14" s="309"/>
    </row>
    <row r="15" spans="2:20" ht="21" customHeight="1">
      <c r="B15" s="659" t="s">
        <v>3154</v>
      </c>
      <c r="C15" s="659"/>
      <c r="D15" s="659"/>
      <c r="E15" s="659"/>
      <c r="F15" s="659"/>
      <c r="G15" s="1247"/>
      <c r="H15" s="742"/>
      <c r="I15" s="742"/>
      <c r="J15" s="1064">
        <f t="shared" si="0"/>
        <v>0</v>
      </c>
      <c r="N15" s="309"/>
      <c r="O15" s="309"/>
      <c r="P15" s="309"/>
      <c r="Q15" s="309"/>
      <c r="R15" s="309"/>
      <c r="S15" s="309"/>
      <c r="T15" s="309"/>
    </row>
    <row r="16" spans="2:20" ht="21" customHeight="1">
      <c r="B16" s="659" t="s">
        <v>3153</v>
      </c>
      <c r="C16" s="659"/>
      <c r="D16" s="659"/>
      <c r="E16" s="659"/>
      <c r="F16" s="659"/>
      <c r="G16" s="1247"/>
      <c r="H16" s="742"/>
      <c r="I16" s="742"/>
      <c r="J16" s="1064"/>
      <c r="N16" s="309"/>
      <c r="O16" s="309"/>
      <c r="P16" s="309"/>
      <c r="Q16" s="309"/>
      <c r="R16" s="309"/>
      <c r="S16" s="309"/>
      <c r="T16" s="309"/>
    </row>
    <row r="17" spans="2:20" ht="21" customHeight="1">
      <c r="B17" s="659" t="s">
        <v>3573</v>
      </c>
      <c r="C17" s="659"/>
      <c r="D17" s="659"/>
      <c r="E17" s="659"/>
      <c r="F17" s="659"/>
      <c r="G17" s="1247"/>
      <c r="H17" s="1114" t="s">
        <v>628</v>
      </c>
      <c r="I17" s="1114" t="s">
        <v>628</v>
      </c>
      <c r="J17" s="1240" t="s">
        <v>628</v>
      </c>
      <c r="N17" s="309"/>
      <c r="O17" s="309"/>
      <c r="P17" s="309"/>
      <c r="Q17" s="309"/>
      <c r="R17" s="309"/>
      <c r="S17" s="309"/>
      <c r="T17" s="309"/>
    </row>
    <row r="18" spans="2:20" ht="21" customHeight="1">
      <c r="B18" s="617"/>
      <c r="C18" s="617"/>
      <c r="D18" s="617"/>
      <c r="E18" s="617"/>
      <c r="F18" s="617"/>
      <c r="G18" s="617"/>
      <c r="H18" s="571"/>
      <c r="I18" s="571"/>
      <c r="J18" s="1064">
        <f>I18-H18</f>
        <v>0</v>
      </c>
      <c r="N18" s="309"/>
      <c r="O18" s="309"/>
      <c r="P18" s="309"/>
      <c r="Q18" s="309"/>
      <c r="R18" s="309"/>
      <c r="S18" s="309"/>
      <c r="T18" s="309"/>
    </row>
    <row r="19" spans="2:20" ht="21" customHeight="1" thickBot="1">
      <c r="B19" s="617"/>
      <c r="C19" s="617"/>
      <c r="D19" s="617"/>
      <c r="E19" s="617"/>
      <c r="F19" s="617"/>
      <c r="G19" s="617"/>
      <c r="H19" s="596"/>
      <c r="I19" s="596"/>
      <c r="J19" s="1474">
        <f>I19-H19</f>
        <v>0</v>
      </c>
      <c r="N19" s="309"/>
      <c r="O19" s="309"/>
      <c r="P19" s="309"/>
      <c r="Q19" s="309"/>
      <c r="R19" s="309"/>
      <c r="S19" s="309"/>
      <c r="T19" s="309"/>
    </row>
    <row r="20" spans="2:20" ht="21" customHeight="1" thickTop="1">
      <c r="B20" s="659"/>
      <c r="C20" s="659"/>
      <c r="D20" s="659" t="s">
        <v>317</v>
      </c>
      <c r="E20" s="659"/>
      <c r="F20" s="659"/>
      <c r="G20" s="1252"/>
      <c r="H20" s="1255">
        <f>SUM(H7:H19)</f>
        <v>0</v>
      </c>
      <c r="I20" s="1255">
        <f>SUM(I7:I19)</f>
        <v>0</v>
      </c>
      <c r="J20" s="816">
        <f>SUM(J7:J19)</f>
        <v>0</v>
      </c>
      <c r="N20" s="309"/>
      <c r="O20" s="309"/>
      <c r="P20" s="309"/>
      <c r="Q20" s="309"/>
      <c r="R20" s="309"/>
      <c r="S20" s="309"/>
      <c r="T20" s="309"/>
    </row>
    <row r="21" spans="2:20" ht="21" customHeight="1" thickBot="1">
      <c r="B21" s="659" t="s">
        <v>3152</v>
      </c>
      <c r="C21" s="1253"/>
      <c r="D21" s="1253"/>
      <c r="E21" s="659"/>
      <c r="F21" s="659"/>
      <c r="G21" s="1247"/>
      <c r="H21" s="623"/>
      <c r="I21" s="623"/>
      <c r="J21" s="1058">
        <f>I21-H21</f>
        <v>0</v>
      </c>
      <c r="N21" s="309"/>
      <c r="O21" s="309"/>
      <c r="P21" s="309"/>
      <c r="Q21" s="309"/>
      <c r="R21" s="309"/>
      <c r="S21" s="309"/>
      <c r="T21" s="309"/>
    </row>
    <row r="22" spans="2:20" ht="21" customHeight="1" thickTop="1" thickBot="1">
      <c r="B22" s="1054"/>
      <c r="C22" s="1054"/>
      <c r="D22" s="1054"/>
      <c r="E22" s="1054"/>
      <c r="F22" s="1054"/>
      <c r="G22" s="1254"/>
      <c r="H22" s="1256">
        <f>+H20+H21</f>
        <v>0</v>
      </c>
      <c r="I22" s="1256">
        <f>+I20+I21</f>
        <v>0</v>
      </c>
      <c r="J22" s="1251">
        <f>+J20+J21</f>
        <v>0</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2048" t="s">
        <v>321</v>
      </c>
      <c r="C27" s="2048"/>
      <c r="D27" s="2048"/>
      <c r="E27" s="2048"/>
      <c r="F27" s="2048"/>
      <c r="G27" s="2048"/>
      <c r="H27" s="2048"/>
      <c r="I27" s="2048"/>
      <c r="J27" s="2048"/>
    </row>
    <row r="28" spans="2:20" ht="21" customHeight="1" thickTop="1">
      <c r="B28" s="1257" t="s">
        <v>322</v>
      </c>
      <c r="C28" s="1258"/>
      <c r="D28" s="1258"/>
      <c r="E28" s="1258"/>
      <c r="F28" s="1258"/>
      <c r="G28" s="1258"/>
      <c r="H28" s="1258"/>
      <c r="I28" s="1259"/>
      <c r="J28" s="1260" t="s">
        <v>628</v>
      </c>
    </row>
    <row r="29" spans="2:20" ht="21" customHeight="1">
      <c r="B29" s="1261"/>
      <c r="C29" s="1262" t="s">
        <v>174</v>
      </c>
      <c r="D29" s="1262"/>
      <c r="E29" s="1262"/>
      <c r="F29" s="1262"/>
      <c r="G29" s="1262"/>
      <c r="H29" s="1262"/>
      <c r="I29" s="1263"/>
      <c r="J29" s="624"/>
    </row>
    <row r="30" spans="2:20" ht="21" customHeight="1">
      <c r="B30" s="1261"/>
      <c r="C30" s="1262" t="s">
        <v>3574</v>
      </c>
      <c r="D30" s="1262"/>
      <c r="E30" s="1262"/>
      <c r="F30" s="1262"/>
      <c r="G30" s="1262"/>
      <c r="H30" s="1262"/>
      <c r="I30" s="1263"/>
      <c r="J30" s="624"/>
    </row>
    <row r="31" spans="2:20" ht="21" customHeight="1" thickBot="1">
      <c r="B31" s="1261"/>
      <c r="C31" s="1262" t="s">
        <v>323</v>
      </c>
      <c r="D31" s="1262"/>
      <c r="E31" s="1262"/>
      <c r="F31" s="1262"/>
      <c r="G31" s="1262"/>
      <c r="H31" s="1262"/>
      <c r="I31" s="1263"/>
      <c r="J31" s="626"/>
    </row>
    <row r="32" spans="2:20" ht="21" customHeight="1" thickTop="1">
      <c r="B32" s="1261" t="s">
        <v>324</v>
      </c>
      <c r="C32" s="1262"/>
      <c r="D32" s="1262"/>
      <c r="E32" s="1262"/>
      <c r="F32" s="1262"/>
      <c r="G32" s="1262"/>
      <c r="H32" s="1262"/>
      <c r="I32" s="1264"/>
      <c r="J32" s="1265">
        <f>SUM(J29:J31)</f>
        <v>0</v>
      </c>
    </row>
    <row r="33" spans="2:13" ht="21" customHeight="1" thickBot="1">
      <c r="B33" s="1261" t="s">
        <v>325</v>
      </c>
      <c r="C33" s="1262"/>
      <c r="D33" s="1262"/>
      <c r="E33" s="1262"/>
      <c r="F33" s="1262"/>
      <c r="G33" s="1262"/>
      <c r="H33" s="1262"/>
      <c r="I33" s="1264"/>
      <c r="J33" s="626"/>
    </row>
    <row r="34" spans="2:13" ht="21" customHeight="1" thickTop="1">
      <c r="B34" s="1261" t="s">
        <v>727</v>
      </c>
      <c r="C34" s="1262"/>
      <c r="D34" s="1262"/>
      <c r="E34" s="1262"/>
      <c r="F34" s="1262"/>
      <c r="G34" s="1262"/>
      <c r="H34" s="1262"/>
      <c r="I34" s="1264"/>
      <c r="J34" s="1265">
        <f>+J32+J33</f>
        <v>0</v>
      </c>
    </row>
    <row r="35" spans="2:13" ht="21" customHeight="1">
      <c r="B35" s="1261" t="s">
        <v>326</v>
      </c>
      <c r="C35" s="1262"/>
      <c r="D35" s="1262"/>
      <c r="E35" s="1262"/>
      <c r="F35" s="1262"/>
      <c r="G35" s="1262"/>
      <c r="H35" s="1262"/>
      <c r="I35" s="1264"/>
      <c r="J35" s="1266"/>
    </row>
    <row r="36" spans="2:13" ht="21" customHeight="1">
      <c r="B36" s="1268"/>
      <c r="C36" s="1268" t="s">
        <v>594</v>
      </c>
      <c r="D36" s="1268"/>
      <c r="E36" s="1268"/>
      <c r="F36" s="1268"/>
      <c r="G36" s="1268"/>
      <c r="H36" s="1268"/>
      <c r="I36" s="627"/>
      <c r="J36" s="1267"/>
    </row>
    <row r="37" spans="2:13" ht="21" customHeight="1">
      <c r="B37" s="1268"/>
      <c r="C37" s="1268" t="s">
        <v>731</v>
      </c>
      <c r="D37" s="1268"/>
      <c r="E37" s="1268"/>
      <c r="F37" s="1268"/>
      <c r="G37" s="1268"/>
      <c r="H37" s="1268"/>
      <c r="I37" s="627"/>
      <c r="J37" s="1267"/>
    </row>
    <row r="38" spans="2:13" ht="21" customHeight="1" thickBot="1">
      <c r="B38" s="1268" t="s">
        <v>327</v>
      </c>
      <c r="C38" s="1268"/>
      <c r="D38" s="1268"/>
      <c r="E38" s="1268"/>
      <c r="F38" s="1268"/>
      <c r="G38" s="1268"/>
      <c r="H38" s="1268"/>
      <c r="I38" s="628"/>
      <c r="J38" s="624"/>
      <c r="M38" s="371"/>
    </row>
    <row r="39" spans="2:13" ht="21" customHeight="1" thickTop="1" thickBot="1">
      <c r="B39" s="1268" t="s">
        <v>732</v>
      </c>
      <c r="C39" s="1268"/>
      <c r="D39" s="1268"/>
      <c r="E39" s="1268"/>
      <c r="F39" s="1268"/>
      <c r="G39" s="1268"/>
      <c r="H39" s="1268"/>
      <c r="I39" s="1269"/>
      <c r="J39" s="1271">
        <f>SUM(I36:I38)</f>
        <v>0</v>
      </c>
    </row>
    <row r="40" spans="2:13" ht="21" customHeight="1" thickTop="1" thickBot="1">
      <c r="B40" s="1268" t="s">
        <v>328</v>
      </c>
      <c r="C40" s="1268"/>
      <c r="D40" s="1268"/>
      <c r="E40" s="1268"/>
      <c r="F40" s="1268"/>
      <c r="G40" s="1268"/>
      <c r="H40" s="1268"/>
      <c r="I40" s="1270"/>
      <c r="J40" s="1272">
        <f>+J34-J39</f>
        <v>0</v>
      </c>
      <c r="K40" s="371"/>
    </row>
    <row r="41" spans="2:13" ht="13.8" thickTop="1"/>
    <row r="42" spans="2:13">
      <c r="B42" s="399" t="s">
        <v>3149</v>
      </c>
      <c r="C42" s="399"/>
      <c r="D42" s="399"/>
      <c r="E42" s="399"/>
      <c r="F42" s="399"/>
    </row>
    <row r="43" spans="2:13">
      <c r="B43" s="399"/>
      <c r="C43" s="399" t="s">
        <v>3148</v>
      </c>
      <c r="D43" s="399"/>
      <c r="E43" s="399"/>
      <c r="F43" s="399"/>
    </row>
    <row r="44" spans="2:13">
      <c r="B44" s="399"/>
      <c r="C44" s="399"/>
      <c r="D44" s="399" t="s">
        <v>3147</v>
      </c>
      <c r="E44" s="399"/>
      <c r="F44" s="399"/>
      <c r="M44" s="371"/>
    </row>
    <row r="45" spans="2:13">
      <c r="B45" s="399"/>
      <c r="C45" s="399" t="s">
        <v>39</v>
      </c>
      <c r="D45" s="399"/>
      <c r="E45" s="399"/>
      <c r="F45" s="399"/>
    </row>
    <row r="46" spans="2:13">
      <c r="B46" s="399"/>
      <c r="C46" s="399" t="s">
        <v>3146</v>
      </c>
      <c r="D46" s="399"/>
      <c r="E46" s="399"/>
      <c r="F46" s="399"/>
    </row>
    <row r="47" spans="2:13">
      <c r="B47" s="399"/>
      <c r="C47" s="399"/>
      <c r="D47" s="399" t="s">
        <v>3145</v>
      </c>
      <c r="E47" s="399"/>
      <c r="F47" s="399"/>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4ZQCh2MaU32YCJdwhL6FLwwyGwRUqAlIseQVOxsvQRxkHF1ZCyiEod9tVYv8+Yl1n0ES9bFAIOh6ptRAYO181A==" saltValue="E9w/HbWoLQUFC7lnBFc8ig=="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0">
    <tabColor theme="2" tint="-0.249977111117893"/>
  </sheetPr>
  <dimension ref="B1:T57"/>
  <sheetViews>
    <sheetView topLeftCell="A22" zoomScaleNormal="100" zoomScaleSheetLayoutView="80" workbookViewId="0">
      <selection activeCell="E50" sqref="E50"/>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1" spans="2:20">
      <c r="B1" s="1054"/>
      <c r="C1" s="1054"/>
      <c r="D1" s="1054"/>
      <c r="E1" s="1054"/>
      <c r="F1" s="1054"/>
      <c r="G1" s="1054"/>
      <c r="H1" s="1054"/>
      <c r="I1" s="1054"/>
      <c r="J1" s="1054"/>
      <c r="K1" s="1054"/>
    </row>
    <row r="2" spans="2:20">
      <c r="B2" s="1054"/>
      <c r="C2" s="1054"/>
      <c r="D2" s="1054"/>
      <c r="E2" s="1054"/>
      <c r="F2" s="1054"/>
      <c r="G2" s="1054"/>
      <c r="H2" s="1054"/>
      <c r="I2" s="1054"/>
      <c r="J2" s="1054"/>
      <c r="K2" s="1054"/>
    </row>
    <row r="3" spans="2:20" ht="22.8">
      <c r="B3" s="1887" t="str">
        <f>"STATEMENT  OF  "&amp;IF('KEY INPUTS'!C42="State Fiscal Year","FISCAL  YEAR  "&amp;'KEY INPUTS'!D33&amp;"",'KEY INPUTS'!D34)&amp;"  OPERATION"</f>
        <v>STATEMENT  OF  2021  OPERATION</v>
      </c>
      <c r="C3" s="1887"/>
      <c r="D3" s="1887"/>
      <c r="E3" s="1887"/>
      <c r="F3" s="1887"/>
      <c r="G3" s="1887"/>
      <c r="H3" s="1887"/>
      <c r="I3" s="1887"/>
      <c r="J3" s="1887"/>
      <c r="K3" s="1887"/>
    </row>
    <row r="4" spans="2:20">
      <c r="B4" s="1054"/>
      <c r="C4" s="1054"/>
      <c r="D4" s="1054"/>
      <c r="E4" s="1054"/>
      <c r="F4" s="1054"/>
      <c r="G4" s="1054"/>
      <c r="H4" s="1054"/>
      <c r="I4" s="1054"/>
      <c r="J4" s="1054"/>
      <c r="K4" s="1054"/>
    </row>
    <row r="5" spans="2:20" ht="20.399999999999999">
      <c r="B5" s="1909" t="str">
        <f>UPPER('KEY INPUTS'!D57)&amp;" UTILITY"</f>
        <v xml:space="preserve"> UTILITY</v>
      </c>
      <c r="C5" s="1909"/>
      <c r="D5" s="1909"/>
      <c r="E5" s="1909"/>
      <c r="F5" s="1909"/>
      <c r="G5" s="1909"/>
      <c r="H5" s="1909"/>
      <c r="I5" s="1909"/>
      <c r="J5" s="1909"/>
      <c r="K5" s="1909"/>
    </row>
    <row r="6" spans="2:20">
      <c r="B6" s="1054"/>
      <c r="C6" s="1054"/>
      <c r="D6" s="1054"/>
      <c r="E6" s="1054"/>
      <c r="F6" s="1054"/>
      <c r="G6" s="1054"/>
      <c r="H6" s="1054"/>
      <c r="I6" s="1054"/>
      <c r="J6" s="1054"/>
      <c r="K6" s="1054"/>
    </row>
    <row r="7" spans="2:20">
      <c r="B7" s="1054"/>
      <c r="C7" s="1054"/>
      <c r="D7" s="1054"/>
      <c r="E7" s="1054"/>
      <c r="F7" s="1054"/>
      <c r="G7" s="1054"/>
      <c r="H7" s="1054"/>
      <c r="I7" s="1054"/>
      <c r="J7" s="1054"/>
      <c r="K7" s="1054"/>
    </row>
    <row r="8" spans="2:20">
      <c r="B8" s="1054" t="s">
        <v>313</v>
      </c>
      <c r="C8" s="1129" t="str">
        <f>"Section 1 of this sheet is required to be filled out ONLY IF the "&amp;IF('KEY INPUTS'!C42="State Fiscal Year","Fiscal Year "&amp;'KEY INPUTS'!D33&amp;"",'KEY INPUTS'!D34)&amp;" "&amp;PROPER('KEY INPUTS'!D57)&amp;" Utility Budget contained"</f>
        <v>Section 1 of this sheet is required to be filled out ONLY IF the 2021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799"/>
      <c r="N15" s="309"/>
      <c r="O15" s="309"/>
      <c r="P15" s="309"/>
      <c r="Q15" s="309"/>
      <c r="R15" s="309"/>
      <c r="S15" s="309"/>
      <c r="T15" s="309"/>
    </row>
    <row r="16" spans="2:20" ht="21" customHeight="1">
      <c r="B16" s="659"/>
      <c r="C16" s="659" t="s">
        <v>333</v>
      </c>
      <c r="D16" s="659"/>
      <c r="E16" s="659"/>
      <c r="F16" s="659"/>
      <c r="G16" s="659"/>
      <c r="H16" s="659"/>
      <c r="I16" s="659"/>
      <c r="J16" s="800">
        <f>+'44-Utility4'!I20</f>
        <v>0</v>
      </c>
      <c r="K16" s="799"/>
      <c r="N16" s="309"/>
      <c r="O16" s="309"/>
      <c r="P16" s="309"/>
      <c r="Q16" s="309"/>
      <c r="R16" s="309"/>
      <c r="S16" s="309"/>
      <c r="T16" s="309"/>
    </row>
    <row r="17" spans="2:20" ht="21" customHeight="1">
      <c r="B17" s="659"/>
      <c r="C17" s="659" t="s">
        <v>334</v>
      </c>
      <c r="D17" s="659"/>
      <c r="E17" s="659"/>
      <c r="F17" s="659"/>
      <c r="G17" s="659"/>
      <c r="H17" s="659"/>
      <c r="I17" s="659"/>
      <c r="J17" s="547"/>
      <c r="K17" s="799"/>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c r="K18" s="799"/>
      <c r="N18" s="309"/>
      <c r="O18" s="309"/>
      <c r="P18" s="309"/>
      <c r="Q18" s="309"/>
      <c r="R18" s="309"/>
      <c r="S18" s="309"/>
      <c r="T18" s="309"/>
    </row>
    <row r="19" spans="2:20" ht="21" customHeight="1">
      <c r="B19" s="659"/>
      <c r="C19" s="617"/>
      <c r="D19" s="617"/>
      <c r="E19" s="617"/>
      <c r="F19" s="617"/>
      <c r="G19" s="617"/>
      <c r="H19" s="617"/>
      <c r="I19" s="617"/>
      <c r="J19" s="353"/>
      <c r="K19" s="799"/>
      <c r="N19" s="309"/>
      <c r="O19" s="309"/>
      <c r="P19" s="309"/>
      <c r="Q19" s="309"/>
      <c r="R19" s="309"/>
      <c r="S19" s="309"/>
      <c r="T19" s="309"/>
    </row>
    <row r="20" spans="2:20" ht="21" customHeight="1">
      <c r="B20" s="659"/>
      <c r="C20" s="617"/>
      <c r="D20" s="617"/>
      <c r="E20" s="617"/>
      <c r="F20" s="617"/>
      <c r="G20" s="617"/>
      <c r="H20" s="617"/>
      <c r="I20" s="617"/>
      <c r="J20" s="353"/>
      <c r="K20" s="799"/>
      <c r="N20" s="309"/>
      <c r="O20" s="309"/>
      <c r="P20" s="309"/>
      <c r="Q20" s="309"/>
      <c r="R20" s="309"/>
      <c r="S20" s="309"/>
      <c r="T20" s="309"/>
    </row>
    <row r="21" spans="2:20" ht="21" customHeight="1">
      <c r="B21" s="659"/>
      <c r="C21" s="659" t="s">
        <v>335</v>
      </c>
      <c r="D21" s="659"/>
      <c r="E21" s="659"/>
      <c r="F21" s="659"/>
      <c r="G21" s="659"/>
      <c r="H21" s="659"/>
      <c r="I21" s="659"/>
      <c r="J21" s="547"/>
      <c r="K21" s="809">
        <f>SUM(J16:J20)</f>
        <v>0</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+'44-Utility4'!I36</f>
        <v>0</v>
      </c>
      <c r="K24" s="799"/>
      <c r="N24" s="309"/>
      <c r="O24" s="309"/>
      <c r="P24" s="309"/>
      <c r="Q24" s="309"/>
      <c r="R24" s="309"/>
      <c r="S24" s="309"/>
      <c r="T24" s="309"/>
    </row>
    <row r="25" spans="2:20" ht="21" customHeight="1">
      <c r="B25" s="659"/>
      <c r="C25" s="659"/>
      <c r="D25" s="659" t="s">
        <v>731</v>
      </c>
      <c r="E25" s="659"/>
      <c r="F25" s="659"/>
      <c r="G25" s="659"/>
      <c r="H25" s="659"/>
      <c r="I25" s="659"/>
      <c r="J25" s="800">
        <f>+'44-Utility4'!I37</f>
        <v>0</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7"/>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0</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0</v>
      </c>
    </row>
    <row r="33" spans="2:15" ht="21" customHeight="1" thickTop="1" thickBot="1">
      <c r="B33" s="1122" t="s">
        <v>760</v>
      </c>
      <c r="C33" s="1122"/>
      <c r="D33" s="1122"/>
      <c r="E33" s="1122"/>
      <c r="F33" s="1122"/>
      <c r="G33" s="1122"/>
      <c r="H33" s="1122"/>
      <c r="I33" s="1122"/>
      <c r="J33" s="1123"/>
      <c r="K33" s="1124">
        <f>IF(M33&gt;0,M33,0)</f>
        <v>0</v>
      </c>
      <c r="M33" s="371">
        <f>+K21-K32</f>
        <v>0</v>
      </c>
      <c r="N33" s="679" t="s">
        <v>3374</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1117"/>
      <c r="K35" s="799"/>
    </row>
    <row r="36" spans="2:15" ht="12.75" customHeight="1" thickBot="1">
      <c r="B36" s="1922"/>
      <c r="C36" s="1922"/>
      <c r="D36" s="1922"/>
      <c r="E36" s="1068" t="s">
        <v>3484</v>
      </c>
      <c r="F36" s="1068"/>
      <c r="G36" s="1068"/>
      <c r="H36" s="1068"/>
      <c r="I36" s="1068"/>
      <c r="J36" s="1119">
        <f>+K33-J34</f>
        <v>0</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+'44-Utility4'!I21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J42" s="436"/>
      <c r="K42" s="436"/>
    </row>
    <row r="43" spans="2:15" ht="17.399999999999999">
      <c r="B43" s="1108" t="s">
        <v>765</v>
      </c>
      <c r="C43" s="1054"/>
      <c r="D43" s="1054"/>
      <c r="E43" s="1054"/>
      <c r="F43" s="1054"/>
      <c r="G43" s="1054"/>
      <c r="H43" s="1054"/>
      <c r="I43" s="1054"/>
      <c r="J43" s="799"/>
      <c r="K43" s="799"/>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INPUTS'!D57)&amp;" Utility for "&amp;IF('KEY INPUTS'!C42="State Fiscal Year","Fiscal Year "&amp;'KEY INPUTS'!D33-1&amp;"",'KEY INPUTS'!D34-1)&amp;""</f>
        <v>Anticipated Deficit in the  Utility for 2020</v>
      </c>
      <c r="C46" s="1054"/>
      <c r="D46" s="1054"/>
      <c r="E46" s="1054"/>
      <c r="F46" s="1054"/>
      <c r="G46" s="1054"/>
      <c r="H46" s="1054"/>
      <c r="I46" s="1054"/>
      <c r="J46" s="799"/>
      <c r="K46" s="799"/>
      <c r="O46" s="309"/>
    </row>
    <row r="47" spans="2:15">
      <c r="B47" s="1054"/>
      <c r="C47" s="1054"/>
      <c r="D47" s="1054"/>
      <c r="E47" s="1054"/>
      <c r="F47" s="1054"/>
      <c r="G47" s="1054"/>
      <c r="H47" s="1054"/>
      <c r="I47" s="1054"/>
      <c r="J47" s="799"/>
      <c r="K47" s="799"/>
      <c r="O47" s="309"/>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c r="K48" s="799"/>
      <c r="O48" s="309"/>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s="309"/>
    </row>
    <row r="50" spans="2:15" ht="21" customHeight="1">
      <c r="B50" s="659" t="s">
        <v>766</v>
      </c>
      <c r="C50" s="659"/>
      <c r="D50" s="659"/>
      <c r="E50" s="659"/>
      <c r="F50" s="659"/>
      <c r="G50" s="659"/>
      <c r="H50" s="659"/>
      <c r="I50" s="659"/>
      <c r="J50" s="632"/>
      <c r="K50" s="809">
        <f>+MAX(0,J48-J49)</f>
        <v>0</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gmn4EXUs8ehJ5p1XA2kC28cCJpdrGB1Rr2/BU3DJdP26JDKDiGbidA9DpASeFsr+YxVpafnxhzkhK5tt/oBOiw==" saltValue="3vuPl0T0WEo/3HRYhlYfEw=="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1">
    <tabColor theme="2" tint="-0.249977111117893"/>
  </sheetPr>
  <dimension ref="B1:Z52"/>
  <sheetViews>
    <sheetView zoomScaleNormal="100" zoomScaleSheetLayoutView="80" workbookViewId="0">
      <selection activeCell="B7" sqref="B7"/>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1" spans="2:26">
      <c r="B1" s="1054"/>
      <c r="C1" s="1054"/>
      <c r="D1" s="1054"/>
      <c r="E1" s="1054"/>
      <c r="F1" s="1054"/>
      <c r="G1" s="1054"/>
      <c r="H1" s="1054"/>
      <c r="I1" s="1054"/>
      <c r="J1" s="1054"/>
      <c r="K1" s="1054"/>
      <c r="L1" s="1054"/>
    </row>
    <row r="2" spans="2:26" ht="20.399999999999999">
      <c r="B2" s="1909" t="str">
        <f>"RESULTS  OF  "&amp;IF('KEY INPUTS'!C42="State Fiscal Year","FY  "&amp;'KEY INPUTS'!D33&amp;"",'KEY INPUTS'!D34)&amp;"  OPERATIONS  - "&amp;UPPER('KEY INPUTS'!D57)&amp;" UTILITY"</f>
        <v>RESULTS  OF  2021  OPERATIONS  -  UTILITY</v>
      </c>
      <c r="C2" s="1909"/>
      <c r="D2" s="1909"/>
      <c r="E2" s="1909"/>
      <c r="F2" s="1909"/>
      <c r="G2" s="1909"/>
      <c r="H2" s="1909"/>
      <c r="I2" s="1909"/>
      <c r="J2" s="1909"/>
      <c r="K2" s="1909"/>
      <c r="L2" s="1909"/>
    </row>
    <row r="3" spans="2:26" ht="13.8" thickBot="1">
      <c r="B3" s="1054"/>
      <c r="C3" s="1054"/>
      <c r="D3" s="1054"/>
      <c r="E3" s="1054"/>
      <c r="F3" s="1054"/>
      <c r="G3" s="1054"/>
      <c r="H3" s="1054"/>
      <c r="I3" s="1054"/>
      <c r="J3" s="1054"/>
      <c r="K3" s="1054"/>
      <c r="L3" s="1054"/>
    </row>
    <row r="4" spans="2:26" ht="21" customHeight="1" thickTop="1" thickBot="1">
      <c r="B4" s="1273"/>
      <c r="C4" s="1273"/>
      <c r="D4" s="1273"/>
      <c r="E4" s="1273"/>
      <c r="F4" s="1273"/>
      <c r="G4" s="1273"/>
      <c r="H4" s="1273"/>
      <c r="I4" s="1273"/>
      <c r="J4" s="1273"/>
      <c r="K4" s="1055" t="s">
        <v>96</v>
      </c>
      <c r="L4" s="1056" t="s">
        <v>97</v>
      </c>
    </row>
    <row r="5" spans="2:26" ht="21" customHeight="1" thickTop="1">
      <c r="B5" s="1150" t="s">
        <v>209</v>
      </c>
      <c r="C5" s="1110"/>
      <c r="D5" s="1110"/>
      <c r="E5" s="1110"/>
      <c r="F5" s="1110"/>
      <c r="G5" s="1110"/>
      <c r="H5" s="1110"/>
      <c r="I5" s="1110"/>
      <c r="J5" s="1110"/>
      <c r="K5" s="1142" t="s">
        <v>628</v>
      </c>
      <c r="L5" s="1143">
        <f>IF(+'44-Utility4'!J22&gt;0,+'44-Utility4'!J22,0)</f>
        <v>0</v>
      </c>
      <c r="N5" s="309"/>
      <c r="O5" s="309"/>
      <c r="P5" s="309"/>
      <c r="Q5" s="309"/>
      <c r="R5" s="309"/>
      <c r="S5" s="309"/>
      <c r="T5" s="309"/>
    </row>
    <row r="6" spans="2:26" ht="21" customHeight="1">
      <c r="B6" s="1572" t="s">
        <v>3604</v>
      </c>
      <c r="C6" s="659"/>
      <c r="D6" s="659"/>
      <c r="E6" s="659"/>
      <c r="F6" s="659"/>
      <c r="G6" s="659"/>
      <c r="H6" s="659"/>
      <c r="I6" s="659"/>
      <c r="J6" s="659"/>
      <c r="K6" s="1144" t="s">
        <v>628</v>
      </c>
      <c r="L6" s="1064">
        <f>+'44-Utility4'!J40</f>
        <v>0</v>
      </c>
      <c r="M6" s="708"/>
      <c r="N6" s="309"/>
      <c r="O6" s="309"/>
      <c r="P6" s="309"/>
      <c r="Q6" s="309"/>
      <c r="R6" s="309"/>
      <c r="S6" s="309"/>
      <c r="T6" s="309"/>
    </row>
    <row r="7" spans="2:26" ht="21" customHeight="1">
      <c r="B7" s="665" t="s">
        <v>210</v>
      </c>
      <c r="C7" s="659"/>
      <c r="D7" s="659"/>
      <c r="E7" s="659"/>
      <c r="F7" s="659"/>
      <c r="G7" s="659"/>
      <c r="H7" s="659"/>
      <c r="I7" s="659"/>
      <c r="J7" s="659"/>
      <c r="K7" s="1144" t="s">
        <v>628</v>
      </c>
      <c r="L7" s="1064">
        <f>'45-Utility4'!J17</f>
        <v>0</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659"/>
      <c r="J8" s="659"/>
      <c r="K8" s="1144" t="s">
        <v>628</v>
      </c>
      <c r="L8" s="1064">
        <f>+'45-Utility4'!K50</f>
        <v>0</v>
      </c>
      <c r="N8" s="309"/>
      <c r="O8" s="309"/>
      <c r="P8" s="309"/>
      <c r="Q8" s="309"/>
      <c r="R8" s="309"/>
      <c r="S8" s="309"/>
      <c r="T8" s="309"/>
    </row>
    <row r="9" spans="2:26" ht="21" customHeight="1">
      <c r="B9" s="674"/>
      <c r="C9" s="617"/>
      <c r="D9" s="617"/>
      <c r="E9" s="617"/>
      <c r="F9" s="617"/>
      <c r="G9" s="617"/>
      <c r="H9" s="617"/>
      <c r="I9" s="659"/>
      <c r="J9" s="659"/>
      <c r="K9" s="627"/>
      <c r="L9" s="578"/>
      <c r="N9" s="309"/>
      <c r="O9" s="309"/>
      <c r="P9" s="309"/>
      <c r="Q9" s="309"/>
      <c r="R9" s="309"/>
      <c r="S9" s="309"/>
      <c r="T9" s="309"/>
    </row>
    <row r="10" spans="2:26" ht="21" customHeight="1">
      <c r="B10" s="1054" t="s">
        <v>3164</v>
      </c>
      <c r="C10" s="1054"/>
      <c r="D10" s="1054"/>
      <c r="E10" s="1054"/>
      <c r="F10" s="1054"/>
      <c r="G10" s="1054"/>
      <c r="H10" s="1054"/>
      <c r="I10" s="1054"/>
      <c r="J10" s="1054"/>
      <c r="K10" s="658">
        <f>IF(+'44-Utility4'!J22&lt;0,-'44-Utility4'!J22,0)</f>
        <v>0</v>
      </c>
      <c r="L10" s="1146" t="s">
        <v>628</v>
      </c>
      <c r="M10" s="371">
        <f>+L9+L8+L7+L6+L5-K11-K10-K9</f>
        <v>0</v>
      </c>
      <c r="N10" s="679" t="s">
        <v>3213</v>
      </c>
      <c r="O10" s="309"/>
      <c r="P10" s="309"/>
      <c r="Q10" s="309"/>
      <c r="R10" s="309"/>
      <c r="S10" s="309"/>
      <c r="T10" s="309"/>
      <c r="V10" s="449">
        <f>-'44-Utility4'!U22</f>
        <v>0</v>
      </c>
    </row>
    <row r="11" spans="2:26" ht="21" customHeight="1">
      <c r="B11" s="671"/>
      <c r="C11" s="1139"/>
      <c r="D11" s="617"/>
      <c r="E11" s="617"/>
      <c r="F11" s="617"/>
      <c r="G11" s="617"/>
      <c r="H11" s="617"/>
      <c r="I11" s="659"/>
      <c r="J11" s="659"/>
      <c r="K11" s="571"/>
      <c r="L11" s="1146" t="s">
        <v>628</v>
      </c>
      <c r="N11" s="309"/>
      <c r="O11" s="309"/>
      <c r="P11" s="309"/>
      <c r="Q11" s="309"/>
      <c r="R11" s="309"/>
      <c r="S11" s="309"/>
      <c r="T11" s="309"/>
      <c r="U11" s="309"/>
      <c r="V11" s="309"/>
      <c r="W11" s="309"/>
      <c r="X11" s="309"/>
      <c r="Y11" s="309"/>
      <c r="Z11" s="309"/>
    </row>
    <row r="12" spans="2:26" ht="21" customHeight="1">
      <c r="B12" s="665" t="s">
        <v>211</v>
      </c>
      <c r="C12" s="1112"/>
      <c r="D12" s="659"/>
      <c r="E12" s="659"/>
      <c r="F12" s="659"/>
      <c r="G12" s="659"/>
      <c r="H12" s="659"/>
      <c r="I12" s="659"/>
      <c r="J12" s="659"/>
      <c r="K12" s="1144" t="s">
        <v>628</v>
      </c>
      <c r="L12" s="1145">
        <f>IF(M10&gt;0,0,M10*-1)</f>
        <v>0</v>
      </c>
      <c r="N12" s="309"/>
      <c r="O12" s="309"/>
      <c r="P12" s="309"/>
      <c r="Q12" s="309"/>
      <c r="R12" s="309"/>
      <c r="S12" s="309"/>
      <c r="T12" s="309"/>
      <c r="U12" s="309"/>
      <c r="V12" s="309"/>
      <c r="W12" s="309"/>
      <c r="X12" s="309"/>
      <c r="Y12" s="309"/>
      <c r="Z12" s="309"/>
    </row>
    <row r="13" spans="2:26" ht="21" customHeight="1" thickBot="1">
      <c r="B13" s="665" t="s">
        <v>212</v>
      </c>
      <c r="C13" s="1112"/>
      <c r="D13" s="659"/>
      <c r="E13" s="659"/>
      <c r="F13" s="659"/>
      <c r="G13" s="659"/>
      <c r="H13" s="659"/>
      <c r="I13" s="659"/>
      <c r="J13" s="659"/>
      <c r="K13" s="658">
        <f>IF(M10&gt;0,M10,0)</f>
        <v>0</v>
      </c>
      <c r="L13" s="1147" t="s">
        <v>628</v>
      </c>
      <c r="M13" s="371"/>
      <c r="N13" s="309"/>
      <c r="O13" s="309"/>
      <c r="P13" s="309"/>
      <c r="Q13" s="309"/>
      <c r="R13" s="309"/>
      <c r="S13" s="309"/>
      <c r="T13" s="309"/>
      <c r="U13" s="309"/>
      <c r="V13" s="448">
        <f>U11</f>
        <v>0</v>
      </c>
      <c r="W13" s="309"/>
      <c r="X13" s="309"/>
      <c r="Y13" s="309"/>
      <c r="Z13" s="309"/>
    </row>
    <row r="14" spans="2:26" ht="21" customHeight="1" thickBot="1">
      <c r="B14" s="1149" t="s">
        <v>3163</v>
      </c>
      <c r="C14" s="1054"/>
      <c r="D14" s="1054"/>
      <c r="E14" s="1054"/>
      <c r="F14" s="1054"/>
      <c r="G14" s="1054"/>
      <c r="H14" s="1054"/>
      <c r="I14" s="1054"/>
      <c r="J14" s="1054"/>
      <c r="K14" s="1071">
        <f>SUM(K5:K13)</f>
        <v>0</v>
      </c>
      <c r="L14" s="1072">
        <f>SUM(L5:L13)</f>
        <v>0</v>
      </c>
      <c r="M14" s="371">
        <f>L14-K14</f>
        <v>0</v>
      </c>
      <c r="N14" s="309"/>
      <c r="O14" s="309"/>
      <c r="P14" s="309"/>
      <c r="Q14" s="309"/>
      <c r="R14" s="309"/>
      <c r="S14" s="309"/>
      <c r="T14" s="309"/>
      <c r="U14" s="309"/>
      <c r="V14" s="309"/>
      <c r="W14" s="309"/>
      <c r="X14" s="309"/>
      <c r="Y14" s="309"/>
      <c r="Z14" s="309"/>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INPUTS'!D57)&amp;" UTILITY"</f>
        <v>OPERATING  SURPLUS  -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B18" s="1054"/>
      <c r="C18" s="1054"/>
      <c r="D18" s="1054"/>
      <c r="E18" s="1054"/>
      <c r="F18" s="1054"/>
      <c r="G18" s="1054"/>
      <c r="H18" s="1054"/>
      <c r="I18" s="1054"/>
      <c r="J18" s="1054"/>
      <c r="K18" s="1054"/>
      <c r="L18" s="1054"/>
      <c r="N18" s="309"/>
      <c r="O18" s="309"/>
      <c r="P18" s="309"/>
      <c r="Q18" s="309"/>
      <c r="R18" s="309"/>
      <c r="S18" s="309"/>
      <c r="T18" s="309"/>
    </row>
    <row r="19" spans="2:20" ht="25.5" customHeight="1" thickTop="1" thickBot="1">
      <c r="B19" s="1273"/>
      <c r="C19" s="1273"/>
      <c r="D19" s="1273"/>
      <c r="E19" s="1273"/>
      <c r="F19" s="1273"/>
      <c r="G19" s="1273"/>
      <c r="H19" s="1273"/>
      <c r="I19" s="1273"/>
      <c r="J19" s="1273"/>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275" t="s">
        <v>628</v>
      </c>
      <c r="L20" s="881"/>
      <c r="N20" s="309"/>
      <c r="O20" s="309"/>
      <c r="P20" s="309"/>
      <c r="Q20" s="309"/>
      <c r="R20" s="309"/>
      <c r="S20" s="309"/>
      <c r="T20" s="309"/>
    </row>
    <row r="21" spans="2:20" ht="21" customHeight="1">
      <c r="B21" s="1140"/>
      <c r="C21" s="617"/>
      <c r="D21" s="617"/>
      <c r="E21" s="617"/>
      <c r="F21" s="617"/>
      <c r="G21" s="617"/>
      <c r="H21" s="617"/>
      <c r="I21" s="617"/>
      <c r="J21" s="617"/>
      <c r="K21" s="1138"/>
      <c r="L21" s="879"/>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276" t="s">
        <v>628</v>
      </c>
      <c r="L22" s="1277">
        <f>+K13</f>
        <v>0</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1278">
        <f>'44-Utility4'!I7</f>
        <v>0</v>
      </c>
      <c r="L23" s="1279"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2054"/>
      <c r="L24" s="2052" t="s">
        <v>628</v>
      </c>
    </row>
    <row r="25" spans="2:20" ht="12.75" customHeight="1">
      <c r="B25" s="1068" t="s">
        <v>842</v>
      </c>
      <c r="C25" s="1068"/>
      <c r="D25" s="1068"/>
      <c r="E25" s="1068"/>
      <c r="F25" s="1068"/>
      <c r="G25" s="1068"/>
      <c r="H25" s="1068"/>
      <c r="I25" s="1068"/>
      <c r="J25" s="1068"/>
      <c r="K25" s="2055"/>
      <c r="L25" s="2053"/>
    </row>
    <row r="26" spans="2:20" ht="21" customHeight="1">
      <c r="B26" s="1140"/>
      <c r="C26" s="617"/>
      <c r="D26" s="617"/>
      <c r="E26" s="617"/>
      <c r="F26" s="617"/>
      <c r="G26" s="617"/>
      <c r="H26" s="617"/>
      <c r="I26" s="617"/>
      <c r="J26" s="617"/>
      <c r="K26" s="880"/>
      <c r="L26" s="1141"/>
    </row>
    <row r="27" spans="2:20" ht="21" customHeight="1" thickBot="1">
      <c r="B27" s="659" t="str">
        <f>IF('KEY INPUTS'!C42 = "State Fiscal Year", 'KEY INPUTS'!F26,'KEY INPUTS'!D26)</f>
        <v>Balance - December 31, 2021</v>
      </c>
      <c r="C27" s="659"/>
      <c r="D27" s="659"/>
      <c r="E27" s="659"/>
      <c r="F27" s="659"/>
      <c r="G27" s="659"/>
      <c r="H27" s="659"/>
      <c r="I27" s="659"/>
      <c r="J27" s="659"/>
      <c r="K27" s="1280">
        <f>+SUM(L20:L26)-SUM(K21:K26)</f>
        <v>0</v>
      </c>
      <c r="L27" s="1281" t="s">
        <v>628</v>
      </c>
      <c r="N27" s="738" t="s">
        <v>3249</v>
      </c>
    </row>
    <row r="28" spans="2:20" ht="21" customHeight="1" thickBot="1">
      <c r="B28" s="1054"/>
      <c r="C28" s="1054"/>
      <c r="D28" s="1054"/>
      <c r="E28" s="1054"/>
      <c r="F28" s="1054"/>
      <c r="G28" s="1054"/>
      <c r="H28" s="1054"/>
      <c r="I28" s="1054"/>
      <c r="J28" s="1054"/>
      <c r="K28" s="1071">
        <f>SUM(K21:K27)</f>
        <v>0</v>
      </c>
      <c r="L28" s="1072">
        <f>SUM(L20:L27)</f>
        <v>0</v>
      </c>
    </row>
    <row r="29" spans="2:20" ht="13.8" thickTop="1"/>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6" t="str">
        <f>"(FROM "&amp;UPPER('KEY INPUTS'!D57)&amp;" UTILITY  -  TRIAL  BALANCE)"</f>
        <v>(FROM  UTILITY  -  TRIAL  BALANCE)</v>
      </c>
      <c r="C33" s="1926"/>
      <c r="D33" s="1926"/>
      <c r="E33" s="1926"/>
      <c r="F33" s="1926"/>
      <c r="G33" s="1926"/>
      <c r="H33" s="1926"/>
      <c r="I33" s="1926"/>
      <c r="J33" s="1926"/>
      <c r="K33" s="1926"/>
      <c r="L33" s="1926"/>
    </row>
    <row r="34" spans="2:14" ht="13.8" thickBot="1">
      <c r="B34" s="1054"/>
      <c r="C34" s="1054"/>
      <c r="D34" s="1054"/>
      <c r="E34" s="1054"/>
      <c r="F34" s="1054"/>
      <c r="G34" s="1054"/>
      <c r="H34" s="1054"/>
      <c r="I34" s="1054"/>
      <c r="J34" s="1054"/>
      <c r="K34" s="1054"/>
      <c r="L34" s="1054"/>
    </row>
    <row r="35" spans="2:14" ht="21" customHeight="1" thickTop="1">
      <c r="B35" s="1110" t="s">
        <v>194</v>
      </c>
      <c r="C35" s="1110"/>
      <c r="D35" s="1110"/>
      <c r="E35" s="1110"/>
      <c r="F35" s="1110"/>
      <c r="G35" s="1110"/>
      <c r="H35" s="1110"/>
      <c r="I35" s="1110"/>
      <c r="J35" s="1110"/>
      <c r="K35" s="1154"/>
      <c r="L35" s="1153">
        <f>+'41-Utility4'!G13</f>
        <v>0</v>
      </c>
    </row>
    <row r="36" spans="2:14" ht="21" customHeight="1">
      <c r="B36" s="659" t="s">
        <v>315</v>
      </c>
      <c r="C36" s="659"/>
      <c r="D36" s="659"/>
      <c r="E36" s="659"/>
      <c r="F36" s="659"/>
      <c r="G36" s="659"/>
      <c r="H36" s="659"/>
      <c r="I36" s="659"/>
      <c r="J36" s="659"/>
      <c r="K36" s="1155"/>
      <c r="L36" s="600"/>
    </row>
    <row r="37" spans="2:14" ht="21" customHeight="1" thickBot="1">
      <c r="B37" s="659" t="s">
        <v>664</v>
      </c>
      <c r="C37" s="659"/>
      <c r="D37" s="659"/>
      <c r="E37" s="659"/>
      <c r="F37" s="659"/>
      <c r="G37" s="659"/>
      <c r="H37" s="659"/>
      <c r="I37" s="659"/>
      <c r="J37" s="659"/>
      <c r="K37" s="1155"/>
      <c r="L37" s="602"/>
    </row>
    <row r="38" spans="2:14" ht="21" customHeight="1" thickTop="1">
      <c r="B38" s="659"/>
      <c r="C38" s="659"/>
      <c r="D38" s="659" t="s">
        <v>317</v>
      </c>
      <c r="E38" s="659"/>
      <c r="F38" s="659"/>
      <c r="G38" s="659"/>
      <c r="H38" s="659"/>
      <c r="I38" s="659"/>
      <c r="J38" s="659"/>
      <c r="K38" s="1155"/>
      <c r="L38" s="1156">
        <f>SUM(L35:L37)</f>
        <v>0</v>
      </c>
    </row>
    <row r="39" spans="2:14" ht="21" customHeight="1" thickBot="1">
      <c r="B39" s="659" t="s">
        <v>362</v>
      </c>
      <c r="C39" s="659"/>
      <c r="D39" s="659"/>
      <c r="E39" s="659"/>
      <c r="F39" s="659"/>
      <c r="G39" s="659"/>
      <c r="H39" s="659"/>
      <c r="I39" s="659"/>
      <c r="J39" s="659"/>
      <c r="K39" s="1155"/>
      <c r="L39" s="1157">
        <f>+'41-Utility4'!H39</f>
        <v>0</v>
      </c>
    </row>
    <row r="40" spans="2:14" ht="21" customHeight="1" thickTop="1">
      <c r="B40" s="659"/>
      <c r="C40" s="659"/>
      <c r="D40" s="659" t="s">
        <v>207</v>
      </c>
      <c r="E40" s="659"/>
      <c r="F40" s="659"/>
      <c r="G40" s="659"/>
      <c r="H40" s="659"/>
      <c r="I40" s="659"/>
      <c r="J40" s="659"/>
      <c r="K40" s="1155"/>
      <c r="L40" s="1156">
        <f>+L38-L39</f>
        <v>0</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c r="L42" s="1060"/>
    </row>
    <row r="43" spans="2:14" ht="21" customHeight="1">
      <c r="B43" s="659"/>
      <c r="C43" s="659" t="s">
        <v>208</v>
      </c>
      <c r="D43" s="659"/>
      <c r="E43" s="659"/>
      <c r="F43" s="659"/>
      <c r="G43" s="659"/>
      <c r="H43" s="659"/>
      <c r="I43" s="659"/>
      <c r="J43" s="659"/>
      <c r="K43" s="571"/>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1160" t="str">
        <f>"# MAY NOT BE ANTICIPATED AS NON-CASH SURPLUS IN "&amp;TEXT('KEY INPUTS'!D34,"0")&amp;" BUDGET."</f>
        <v># MAY NOT BE ANTICIPATED AS NON-CASH SURPLUS IN 2021 BUDGET.</v>
      </c>
      <c r="C45" s="1054"/>
      <c r="D45" s="1054"/>
      <c r="E45" s="1054"/>
      <c r="F45" s="1054"/>
      <c r="G45" s="1054"/>
      <c r="H45" s="1054"/>
      <c r="I45" s="1054"/>
      <c r="J45" s="1054"/>
      <c r="K45" s="1161"/>
      <c r="L45" s="1158">
        <f>+L40+L44</f>
        <v>0</v>
      </c>
      <c r="M45" s="371"/>
      <c r="N45" s="738" t="s">
        <v>3249</v>
      </c>
    </row>
    <row r="46" spans="2:14" ht="13.8" thickTop="1">
      <c r="B46" s="442" t="s">
        <v>213</v>
      </c>
      <c r="C46" s="442"/>
    </row>
    <row r="47" spans="2:14">
      <c r="B47" s="442"/>
      <c r="C47" s="442" t="s">
        <v>3162</v>
      </c>
    </row>
    <row r="52" spans="2:12" ht="13.8">
      <c r="B52" s="1882" t="s">
        <v>3161</v>
      </c>
      <c r="C52" s="1882"/>
      <c r="D52" s="1882"/>
      <c r="E52" s="1882"/>
      <c r="F52" s="1882"/>
      <c r="G52" s="1882"/>
      <c r="H52" s="1882"/>
      <c r="I52" s="1882"/>
      <c r="J52" s="1882"/>
      <c r="K52" s="1882"/>
      <c r="L52" s="1882"/>
    </row>
  </sheetData>
  <sheetProtection algorithmName="SHA-512" hashValue="eic4s97smwjuKMGCtSGQG3iLr+n8fZQqCT+XdoEMR+1t45Y9mX8S5UQ8EzaM9FB8HciwuhFKb06nY8Jn+9L19g==" saltValue="Noq7OhuYiJLsrRUtOrTJWQ=="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2">
    <tabColor theme="2" tint="-0.249977111117893"/>
  </sheetPr>
  <dimension ref="B3:T69"/>
  <sheetViews>
    <sheetView zoomScaleNormal="100" zoomScaleSheetLayoutView="80" workbookViewId="0">
      <selection activeCell="B55" sqref="B55"/>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INPUTS'!D57&amp;"  UTILITY  ACCOUNTS  RECEIVABLE")</f>
        <v>SCHEDULE  OF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132" t="s">
        <v>3485</v>
      </c>
      <c r="E11" s="1132"/>
      <c r="F11" s="1132"/>
      <c r="G11" s="1054"/>
      <c r="J11" s="275"/>
      <c r="K11" s="318" t="s">
        <v>373</v>
      </c>
      <c r="L11" s="552"/>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c r="K16" s="275"/>
      <c r="L16" s="275"/>
      <c r="N16" s="309"/>
      <c r="O16" s="309"/>
      <c r="P16" s="309"/>
      <c r="Q16" s="309"/>
      <c r="R16" s="309"/>
      <c r="S16" s="309"/>
      <c r="T16" s="309"/>
    </row>
    <row r="17" spans="2:20" ht="21" customHeight="1">
      <c r="D17" s="318" t="s">
        <v>217</v>
      </c>
      <c r="I17" s="318" t="s">
        <v>373</v>
      </c>
      <c r="J17" s="552"/>
      <c r="K17" s="275"/>
      <c r="L17" s="275"/>
      <c r="N17" s="309"/>
      <c r="O17" s="309"/>
      <c r="P17" s="309"/>
      <c r="Q17" s="309"/>
      <c r="R17" s="309"/>
      <c r="S17" s="309"/>
      <c r="T17" s="309"/>
    </row>
    <row r="18" spans="2:20" ht="21" customHeight="1">
      <c r="D18" s="1054" t="s">
        <v>3486</v>
      </c>
      <c r="E18" s="1054"/>
      <c r="F18" s="1132"/>
      <c r="G18" s="1132"/>
      <c r="I18" s="318" t="s">
        <v>373</v>
      </c>
      <c r="J18" s="552"/>
      <c r="K18" s="275"/>
      <c r="L18" s="275"/>
      <c r="N18" s="309"/>
      <c r="O18" s="309"/>
      <c r="P18" s="309"/>
      <c r="Q18" s="309"/>
      <c r="R18" s="309"/>
      <c r="S18" s="309"/>
      <c r="T18" s="309"/>
    </row>
    <row r="19" spans="2:20" ht="21" customHeight="1">
      <c r="D19" s="318" t="s">
        <v>218</v>
      </c>
      <c r="I19" s="318" t="s">
        <v>373</v>
      </c>
      <c r="J19" s="552"/>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0</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0</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INPUTS'!D57)&amp;" UTILITY  LIENS"</f>
        <v>SCHEDULE  OF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c r="K41" s="275"/>
      <c r="L41" s="275"/>
    </row>
    <row r="42" spans="2:12" ht="21" customHeight="1">
      <c r="D42" s="318" t="s">
        <v>220</v>
      </c>
      <c r="I42" s="318" t="s">
        <v>373</v>
      </c>
      <c r="J42" s="552"/>
      <c r="K42" s="275"/>
      <c r="L42" s="275"/>
    </row>
    <row r="43" spans="2:12" ht="21" customHeight="1">
      <c r="D43" s="318" t="s">
        <v>218</v>
      </c>
      <c r="I43" s="318" t="s">
        <v>373</v>
      </c>
      <c r="J43" s="552"/>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c r="K48" s="275"/>
      <c r="L48" s="275"/>
    </row>
    <row r="49" spans="2:12" ht="21" customHeight="1">
      <c r="D49" s="318" t="s">
        <v>218</v>
      </c>
      <c r="I49" s="318" t="s">
        <v>373</v>
      </c>
      <c r="J49" s="552"/>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Mh1wRqiKz6RJ+9R/zEH1lqRRM6l6SSUp8TiOpySvjgPX4iCX167K/DMwUwooN4ydPRVhO6cpeZ6EIlwisjNywA==" saltValue="44xWm2K063CCfV/6dj7X0w=="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3">
    <tabColor theme="2" tint="-0.249977111117893"/>
  </sheetPr>
  <dimension ref="B1:W69"/>
  <sheetViews>
    <sheetView topLeftCell="A16" zoomScaleNormal="100" zoomScaleSheetLayoutView="80" workbookViewId="0">
      <selection activeCell="N45" sqref="N45"/>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1" spans="2:23">
      <c r="B1" s="1086"/>
      <c r="C1" s="1086"/>
      <c r="D1" s="1086"/>
      <c r="E1" s="1086"/>
      <c r="F1" s="1086"/>
      <c r="G1" s="1086"/>
      <c r="H1" s="1086"/>
      <c r="I1" s="1086"/>
      <c r="J1" s="1086"/>
      <c r="K1" s="1086"/>
      <c r="L1" s="1086"/>
      <c r="M1" s="1086"/>
      <c r="N1" s="1086"/>
    </row>
    <row r="2" spans="2:23">
      <c r="B2" s="1086"/>
      <c r="C2" s="1086"/>
      <c r="D2" s="1086"/>
      <c r="E2" s="1086"/>
      <c r="F2" s="1086"/>
      <c r="G2" s="1086"/>
      <c r="H2" s="1086"/>
      <c r="I2" s="1086"/>
      <c r="J2" s="1086"/>
      <c r="K2" s="1086"/>
      <c r="L2" s="1086"/>
      <c r="M2" s="1086"/>
      <c r="N2" s="1086"/>
    </row>
    <row r="3" spans="2:23" ht="20.399999999999999">
      <c r="B3" s="2000" t="s">
        <v>869</v>
      </c>
      <c r="C3" s="2000"/>
      <c r="D3" s="2000"/>
      <c r="E3" s="2000"/>
      <c r="F3" s="2000"/>
      <c r="G3" s="2000"/>
      <c r="H3" s="2000"/>
      <c r="I3" s="2000"/>
      <c r="J3" s="2000"/>
      <c r="K3" s="2000"/>
      <c r="L3" s="2000"/>
      <c r="M3" s="2000"/>
      <c r="N3" s="2000"/>
    </row>
    <row r="4" spans="2:23" ht="15.6">
      <c r="B4" s="2059" t="s">
        <v>421</v>
      </c>
      <c r="C4" s="2059"/>
      <c r="D4" s="2059"/>
      <c r="E4" s="2059"/>
      <c r="F4" s="2059"/>
      <c r="G4" s="2059"/>
      <c r="H4" s="2059"/>
      <c r="I4" s="2059"/>
      <c r="J4" s="2059"/>
      <c r="K4" s="2059"/>
      <c r="L4" s="2059"/>
      <c r="M4" s="2059"/>
      <c r="N4" s="2059"/>
    </row>
    <row r="5" spans="2:23" ht="20.399999999999999">
      <c r="B5" s="1909" t="str">
        <f>UPPER('KEY INPUTS'!D57)&amp;" UTILITY  FUND"</f>
        <v xml:space="preserve"> UTILITY  FUND</v>
      </c>
      <c r="C5" s="1909"/>
      <c r="D5" s="1909"/>
      <c r="E5" s="1909"/>
      <c r="F5" s="1909"/>
      <c r="G5" s="1909"/>
      <c r="H5" s="1909"/>
      <c r="I5" s="1909"/>
      <c r="J5" s="1909"/>
      <c r="K5" s="1909"/>
      <c r="L5" s="1909"/>
      <c r="M5" s="1909"/>
      <c r="N5" s="1909"/>
    </row>
    <row r="6" spans="2:23">
      <c r="B6" s="2060" t="s">
        <v>3575</v>
      </c>
      <c r="C6" s="2060"/>
      <c r="D6" s="2060"/>
      <c r="E6" s="2060"/>
      <c r="F6" s="2060"/>
      <c r="G6" s="2060"/>
      <c r="H6" s="2060"/>
      <c r="I6" s="2060"/>
      <c r="J6" s="2060"/>
      <c r="K6" s="2060"/>
      <c r="L6" s="2060"/>
      <c r="M6" s="2060"/>
      <c r="N6" s="2060"/>
    </row>
    <row r="7" spans="2:23">
      <c r="B7" s="1086"/>
      <c r="C7" s="1086"/>
      <c r="D7" s="1086"/>
      <c r="E7" s="1086"/>
      <c r="F7" s="1086"/>
      <c r="G7" s="1086"/>
      <c r="H7" s="1086"/>
      <c r="I7" s="1086"/>
      <c r="J7" s="1086"/>
      <c r="K7" s="1086"/>
      <c r="L7" s="1086"/>
      <c r="M7" s="1086"/>
      <c r="N7" s="1086"/>
    </row>
    <row r="8" spans="2:23">
      <c r="B8" s="1086"/>
      <c r="C8" s="1086"/>
      <c r="D8" s="1086"/>
      <c r="E8" s="1086"/>
      <c r="F8" s="1086"/>
      <c r="G8" s="1086"/>
      <c r="H8" s="1081" t="s">
        <v>414</v>
      </c>
      <c r="I8" s="1086"/>
      <c r="J8" s="1086"/>
      <c r="K8" s="1086"/>
      <c r="L8" s="1086"/>
      <c r="M8" s="1086"/>
      <c r="N8" s="1086"/>
    </row>
    <row r="9" spans="2:23">
      <c r="B9" s="1086"/>
      <c r="C9" s="2058" t="s">
        <v>434</v>
      </c>
      <c r="D9" s="2058"/>
      <c r="E9" s="2058"/>
      <c r="F9" s="1086"/>
      <c r="G9" s="1086"/>
      <c r="H9" s="1284" t="str">
        <f>IF('KEY INPUTS'!C42 = "State Fiscal Year", 'KEY INPUTS'!F46,'KEY INPUTS'!D46)</f>
        <v>Dec. 31, 2020</v>
      </c>
      <c r="I9" s="1086"/>
      <c r="J9" s="1081" t="s">
        <v>435</v>
      </c>
      <c r="K9" s="1086"/>
      <c r="L9" s="1081" t="s">
        <v>414</v>
      </c>
      <c r="M9" s="1086"/>
      <c r="N9" s="1081" t="s">
        <v>530</v>
      </c>
    </row>
    <row r="10" spans="2:23">
      <c r="B10" s="1086"/>
      <c r="C10" s="1086"/>
      <c r="D10" s="1086"/>
      <c r="E10" s="1086"/>
      <c r="F10" s="1086"/>
      <c r="G10" s="1086"/>
      <c r="H10" s="1081" t="s">
        <v>433</v>
      </c>
      <c r="I10" s="1086"/>
      <c r="J10" s="1081" t="str">
        <f>IF('KEY INPUTS'!C42="State Fiscal Year","Fiscal Year "&amp;'KEY INPUTS'!D33&amp;"",'KEY INPUTS'!D34)&amp;""</f>
        <v>2021</v>
      </c>
      <c r="K10" s="1086"/>
      <c r="L10" s="1081" t="s">
        <v>436</v>
      </c>
      <c r="M10" s="1086"/>
      <c r="N10" s="1081" t="s">
        <v>437</v>
      </c>
    </row>
    <row r="11" spans="2:23">
      <c r="B11" s="1086"/>
      <c r="C11" s="1086"/>
      <c r="D11" s="1086"/>
      <c r="E11" s="1086"/>
      <c r="F11" s="1086"/>
      <c r="G11" s="1086"/>
      <c r="H11" s="1285" t="s">
        <v>432</v>
      </c>
      <c r="I11" s="1086"/>
      <c r="J11" s="1285" t="s">
        <v>535</v>
      </c>
      <c r="K11" s="1086"/>
      <c r="L11" s="1285" t="str">
        <f>IF('KEY INPUTS'!C42="State Fiscal Year","Fiscal Year "&amp;'KEY INPUTS'!D33&amp;"",'KEY INPUTS'!D34)&amp;""</f>
        <v>2021</v>
      </c>
      <c r="M11" s="1086"/>
      <c r="N11" s="1286" t="str">
        <f>IF('KEY INPUTS'!C42 = "State Fiscal Year", 'KEY INPUTS'!F47,'KEY INPUTS'!D47)</f>
        <v>Dec. 31, 2021</v>
      </c>
      <c r="Q11" s="309"/>
      <c r="R11" s="309"/>
      <c r="S11" s="309"/>
      <c r="T11" s="309"/>
      <c r="U11" s="309"/>
      <c r="V11" s="309"/>
      <c r="W11" s="309"/>
    </row>
    <row r="12" spans="2:23">
      <c r="B12" s="1287" t="s">
        <v>292</v>
      </c>
      <c r="C12" s="1086" t="s">
        <v>870</v>
      </c>
      <c r="D12" s="1086"/>
      <c r="E12" s="1086"/>
      <c r="F12" s="1086"/>
      <c r="G12" s="1086"/>
      <c r="H12" s="1086"/>
      <c r="I12" s="1086"/>
      <c r="J12" s="1086"/>
      <c r="K12" s="1086"/>
      <c r="L12" s="1086"/>
      <c r="M12" s="1086"/>
      <c r="N12" s="1086"/>
      <c r="Q12" s="309"/>
      <c r="R12" s="309"/>
      <c r="S12" s="309"/>
      <c r="T12" s="309"/>
      <c r="U12" s="309"/>
      <c r="V12" s="309"/>
      <c r="W12" s="309"/>
    </row>
    <row r="13" spans="2:23">
      <c r="B13" s="1287"/>
      <c r="C13" s="1086"/>
      <c r="D13" s="1086" t="s">
        <v>871</v>
      </c>
      <c r="E13" s="1086"/>
      <c r="F13" s="1086"/>
      <c r="G13" s="318" t="s">
        <v>373</v>
      </c>
      <c r="H13" s="552"/>
      <c r="I13" s="318" t="s">
        <v>373</v>
      </c>
      <c r="J13" s="552"/>
      <c r="K13" s="318" t="s">
        <v>373</v>
      </c>
      <c r="L13" s="552"/>
      <c r="M13" s="318" t="s">
        <v>373</v>
      </c>
      <c r="N13" s="639">
        <f>+H13-J13+L13</f>
        <v>0</v>
      </c>
      <c r="Q13" s="356"/>
      <c r="R13" s="309"/>
      <c r="S13" s="309"/>
      <c r="T13" s="309"/>
      <c r="U13" s="309"/>
      <c r="V13" s="309"/>
      <c r="W13" s="309"/>
    </row>
    <row r="14" spans="2:23">
      <c r="B14" s="1287"/>
      <c r="C14" s="1086"/>
      <c r="D14" s="1086"/>
      <c r="E14" s="1086"/>
      <c r="F14" s="1086"/>
      <c r="H14" s="275"/>
      <c r="J14" s="275"/>
      <c r="L14" s="275"/>
      <c r="N14" s="1086"/>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167" t="s">
        <v>3211</v>
      </c>
      <c r="D20" s="1068"/>
      <c r="E20" s="1166"/>
      <c r="F20" s="1166"/>
      <c r="G20" s="709" t="s">
        <v>373</v>
      </c>
      <c r="H20" s="1165">
        <f>H13+H15+H16+H17+H18+H19</f>
        <v>0</v>
      </c>
      <c r="I20" s="1076" t="s">
        <v>373</v>
      </c>
      <c r="J20" s="1165">
        <f>J13+J15+J16+J17+J18+J19</f>
        <v>0</v>
      </c>
      <c r="K20" s="1076"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1076" t="s">
        <v>373</v>
      </c>
      <c r="H23" s="1165">
        <f>H21+H22</f>
        <v>0</v>
      </c>
      <c r="I23" s="1076" t="s">
        <v>373</v>
      </c>
      <c r="J23" s="1165">
        <f>J21+J22</f>
        <v>0</v>
      </c>
      <c r="K23" s="1076" t="s">
        <v>373</v>
      </c>
      <c r="L23" s="1165">
        <f>L21+L22</f>
        <v>0</v>
      </c>
      <c r="M23" s="1086" t="s">
        <v>373</v>
      </c>
      <c r="N23" s="1164">
        <f t="shared" si="0"/>
        <v>0</v>
      </c>
      <c r="Q23" s="309"/>
      <c r="R23" s="309"/>
      <c r="S23" s="309"/>
      <c r="T23" s="309"/>
      <c r="U23" s="309"/>
      <c r="V23" s="309"/>
      <c r="W23" s="309"/>
    </row>
    <row r="24" spans="2:23">
      <c r="B24" s="453"/>
      <c r="C24" s="1086"/>
      <c r="D24" s="1086"/>
      <c r="E24" s="1086"/>
      <c r="F24" s="1086"/>
      <c r="G24" s="1086"/>
      <c r="H24" s="1086"/>
      <c r="I24" s="1086"/>
      <c r="J24" s="1086"/>
      <c r="K24" s="1086"/>
      <c r="L24" s="1086"/>
      <c r="M24" s="1086"/>
      <c r="N24" s="1086"/>
      <c r="Q24" s="309"/>
      <c r="R24" s="309"/>
      <c r="S24" s="309"/>
      <c r="T24" s="309"/>
      <c r="U24" s="309"/>
      <c r="V24" s="309"/>
      <c r="W24" s="309"/>
    </row>
    <row r="25" spans="2:23">
      <c r="B25" s="453"/>
      <c r="C25" s="1086" t="s">
        <v>873</v>
      </c>
      <c r="D25" s="1086"/>
      <c r="E25" s="1086"/>
      <c r="F25" s="1086"/>
      <c r="G25" s="1086"/>
      <c r="H25" s="1086"/>
      <c r="I25" s="1086"/>
      <c r="J25" s="1086"/>
      <c r="K25" s="1086"/>
      <c r="L25" s="1086"/>
      <c r="M25" s="1086"/>
      <c r="N25" s="1086"/>
      <c r="Q25" s="309"/>
      <c r="R25" s="309"/>
      <c r="S25" s="309"/>
      <c r="T25" s="309"/>
      <c r="U25" s="309"/>
      <c r="V25" s="309"/>
      <c r="W25" s="309"/>
    </row>
    <row r="26" spans="2:23">
      <c r="B26" s="1287"/>
      <c r="C26" s="1086"/>
      <c r="D26" s="1086"/>
      <c r="E26" s="1086"/>
      <c r="F26" s="1086"/>
      <c r="G26" s="1086"/>
      <c r="H26" s="1086"/>
      <c r="I26" s="1086"/>
      <c r="J26" s="1086"/>
      <c r="K26" s="1086"/>
      <c r="L26" s="1086"/>
      <c r="M26" s="1086"/>
      <c r="N26" s="1086"/>
      <c r="Q26" s="309"/>
      <c r="R26" s="309"/>
      <c r="S26" s="309"/>
      <c r="T26" s="309"/>
      <c r="U26" s="309"/>
      <c r="V26" s="309"/>
      <c r="W26" s="309"/>
    </row>
    <row r="27" spans="2:23">
      <c r="B27" s="1287"/>
      <c r="C27" s="1086"/>
      <c r="D27" s="1086"/>
      <c r="E27" s="1086"/>
      <c r="F27" s="1086"/>
      <c r="G27" s="1086"/>
      <c r="H27" s="1086"/>
      <c r="I27" s="1086"/>
      <c r="J27" s="1086"/>
      <c r="K27" s="1086"/>
      <c r="L27" s="1086"/>
      <c r="M27" s="1086"/>
      <c r="N27" s="1086"/>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1289"/>
      <c r="C30" s="1289"/>
      <c r="D30" s="1289"/>
      <c r="E30" s="1289"/>
      <c r="F30" s="1289"/>
      <c r="G30" s="1289"/>
      <c r="H30" s="1289"/>
      <c r="I30" s="1289"/>
      <c r="J30" s="1289"/>
      <c r="K30" s="1289"/>
      <c r="L30" s="1289"/>
      <c r="M30" s="1289"/>
      <c r="N30" s="1289"/>
    </row>
    <row r="31" spans="2:23" ht="18" customHeight="1">
      <c r="B31" s="1287"/>
      <c r="C31" s="1086"/>
      <c r="D31" s="2056" t="s">
        <v>17</v>
      </c>
      <c r="E31" s="2056"/>
      <c r="F31" s="1290"/>
      <c r="G31" s="2056" t="s">
        <v>413</v>
      </c>
      <c r="H31" s="2056"/>
      <c r="I31" s="2056"/>
      <c r="J31" s="2056"/>
      <c r="K31" s="2056"/>
      <c r="L31" s="2056"/>
      <c r="M31" s="1290"/>
      <c r="N31" s="1291" t="s">
        <v>414</v>
      </c>
    </row>
    <row r="32" spans="2:23" ht="21" customHeight="1">
      <c r="B32" s="453"/>
      <c r="C32" s="453" t="s">
        <v>292</v>
      </c>
      <c r="D32" s="637"/>
      <c r="E32" s="637"/>
      <c r="G32" s="637"/>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1287"/>
      <c r="C37" s="1086"/>
      <c r="D37" s="1086"/>
      <c r="E37" s="1086"/>
      <c r="F37" s="1086"/>
      <c r="G37" s="1086"/>
      <c r="H37" s="1086"/>
      <c r="I37" s="1086"/>
      <c r="J37" s="1086"/>
      <c r="K37" s="1086"/>
      <c r="L37" s="1086"/>
      <c r="M37" s="1086"/>
      <c r="N37" s="1086"/>
    </row>
    <row r="38" spans="2:14">
      <c r="B38" s="1287"/>
      <c r="C38" s="1086"/>
      <c r="D38" s="1086"/>
      <c r="E38" s="1086"/>
      <c r="F38" s="1086"/>
      <c r="G38" s="1086"/>
      <c r="H38" s="1086"/>
      <c r="I38" s="1086"/>
      <c r="J38" s="1086"/>
      <c r="K38" s="1086"/>
      <c r="L38" s="1086"/>
      <c r="M38" s="1086"/>
      <c r="N38" s="1086"/>
    </row>
    <row r="39" spans="2:14">
      <c r="B39" s="1287"/>
      <c r="C39" s="1086"/>
      <c r="D39" s="1086"/>
      <c r="E39" s="1086"/>
      <c r="F39" s="1086"/>
      <c r="G39" s="1086"/>
      <c r="H39" s="1086"/>
      <c r="I39" s="1086"/>
      <c r="J39" s="1086"/>
      <c r="K39" s="1086"/>
      <c r="L39" s="1086"/>
      <c r="M39" s="1086"/>
      <c r="N39" s="1086"/>
    </row>
    <row r="40" spans="2:14" ht="15.6">
      <c r="B40" s="2057" t="s">
        <v>250</v>
      </c>
      <c r="C40" s="2057"/>
      <c r="D40" s="2057"/>
      <c r="E40" s="2057"/>
      <c r="F40" s="2057"/>
      <c r="G40" s="2057"/>
      <c r="H40" s="2057"/>
      <c r="I40" s="2057"/>
      <c r="J40" s="2057"/>
      <c r="K40" s="2057"/>
      <c r="L40" s="2057"/>
      <c r="M40" s="2057"/>
      <c r="N40" s="2057"/>
    </row>
    <row r="41" spans="2:14">
      <c r="B41" s="1287"/>
      <c r="C41" s="1086"/>
      <c r="D41" s="1086"/>
      <c r="E41" s="1086"/>
      <c r="F41" s="1086"/>
      <c r="G41" s="1086"/>
      <c r="H41" s="1086"/>
      <c r="I41" s="1086"/>
      <c r="J41" s="1086"/>
      <c r="K41" s="1086"/>
      <c r="L41" s="1086"/>
      <c r="M41" s="1086"/>
      <c r="N41" s="1086"/>
    </row>
    <row r="42" spans="2:14">
      <c r="B42" s="1287"/>
      <c r="C42" s="1086"/>
      <c r="D42" s="1086"/>
      <c r="E42" s="1086"/>
      <c r="F42" s="1086"/>
      <c r="G42" s="1086"/>
      <c r="H42" s="1086"/>
      <c r="I42" s="1086"/>
      <c r="J42" s="1086"/>
      <c r="K42" s="1086"/>
      <c r="L42" s="1086"/>
      <c r="M42" s="1086"/>
      <c r="N42" s="1081" t="s">
        <v>419</v>
      </c>
    </row>
    <row r="43" spans="2:14">
      <c r="B43" s="1287"/>
      <c r="C43" s="1086"/>
      <c r="D43" s="1086"/>
      <c r="E43" s="1086"/>
      <c r="F43" s="1086"/>
      <c r="G43" s="1086"/>
      <c r="H43" s="1086"/>
      <c r="I43" s="1086"/>
      <c r="J43" s="1086"/>
      <c r="K43" s="1086"/>
      <c r="L43" s="1086"/>
      <c r="M43" s="1086"/>
      <c r="N43" s="1081" t="s">
        <v>420</v>
      </c>
    </row>
    <row r="44" spans="2:14">
      <c r="B44" s="1287"/>
      <c r="C44" s="1086"/>
      <c r="D44" s="2058" t="s">
        <v>416</v>
      </c>
      <c r="E44" s="2058"/>
      <c r="F44" s="1086"/>
      <c r="G44" s="1086"/>
      <c r="H44" s="2058" t="s">
        <v>417</v>
      </c>
      <c r="I44" s="2058"/>
      <c r="J44" s="1285" t="s">
        <v>418</v>
      </c>
      <c r="K44" s="1086"/>
      <c r="L44" s="1285" t="s">
        <v>414</v>
      </c>
      <c r="M44" s="1086"/>
      <c r="N44" s="1285" t="str">
        <f>IF('KEY INPUTS'!C42="State Fiscal Year","Fiscal Year "&amp;'KEY INPUTS'!D33&amp;"",'KEY INPUTS'!D34)&amp;""</f>
        <v>2021</v>
      </c>
    </row>
    <row r="45" spans="2:14">
      <c r="B45" s="1287"/>
      <c r="C45" s="1086"/>
      <c r="D45" s="1086"/>
      <c r="E45" s="1086"/>
      <c r="F45" s="1086"/>
      <c r="G45" s="1086"/>
      <c r="H45" s="1086"/>
      <c r="I45" s="1086"/>
      <c r="J45" s="1086"/>
      <c r="K45" s="1086"/>
      <c r="L45" s="1086"/>
      <c r="M45" s="1086"/>
      <c r="N45" s="1086"/>
    </row>
    <row r="46" spans="2:14" ht="21" customHeight="1">
      <c r="B46" s="453"/>
      <c r="C46" s="453" t="s">
        <v>292</v>
      </c>
      <c r="D46" s="637"/>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MzmtzLUp5OzQMXEL8VgbS9ydyqKLwYnogOAbhVs61F8hxhAXKMiEOuDjb659KzilaOytzEu35ilEufsare3ekw==" saltValue="/CsB97U8mzDX8m0Al87Liw=="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3">
    <tabColor theme="2" tint="-0.249977111117893"/>
  </sheetPr>
  <dimension ref="A1:O36"/>
  <sheetViews>
    <sheetView zoomScaleNormal="100" workbookViewId="0">
      <selection activeCell="J9" sqref="J9"/>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1"/>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0RG9JTRPYOowRp0kX3icYsnJkilhxayuAro+H4vId0qEpg6nvJS0xVPmaW5TLiKI9KNLXAhNVYXGCK3FKGh1nQ==" saltValue="wrnkkneI6dW+GdtCVNV5IA=="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4">
    <tabColor theme="2" tint="-0.249977111117893"/>
  </sheetPr>
  <dimension ref="B2:U50"/>
  <sheetViews>
    <sheetView zoomScaleNormal="100" zoomScaleSheetLayoutView="80" workbookViewId="0">
      <selection activeCell="B29" sqref="B29"/>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INPUTS'!D57)&amp;" UTILITY  ASSESSMENT  BONDS"</f>
        <v xml:space="preserve"> UTILITY  ASSESSMENT  BONDS</v>
      </c>
      <c r="C4" s="1889"/>
      <c r="D4" s="1889"/>
      <c r="E4" s="1889"/>
      <c r="F4" s="1889"/>
      <c r="G4" s="1889"/>
      <c r="H4" s="1889"/>
      <c r="I4" s="1889"/>
      <c r="J4" s="1889"/>
      <c r="K4" s="1889"/>
      <c r="L4" s="1889"/>
    </row>
    <row r="5" spans="2:21" ht="9.75" customHeight="1" thickBot="1">
      <c r="B5" s="1318"/>
      <c r="C5" s="1318"/>
      <c r="D5" s="1318"/>
      <c r="E5" s="1318"/>
      <c r="F5" s="1318"/>
      <c r="G5" s="1318"/>
      <c r="H5" s="1318"/>
      <c r="I5" s="1318"/>
      <c r="J5" s="1318"/>
      <c r="K5" s="1318"/>
      <c r="L5" s="1318"/>
    </row>
    <row r="6" spans="2:21" ht="27.75" customHeight="1" thickTop="1" thickBot="1">
      <c r="B6" s="1273"/>
      <c r="C6" s="1273"/>
      <c r="D6" s="1273"/>
      <c r="E6" s="1273"/>
      <c r="F6" s="1273"/>
      <c r="G6" s="1055" t="s">
        <v>96</v>
      </c>
      <c r="H6" s="2061" t="s">
        <v>97</v>
      </c>
      <c r="I6" s="1880"/>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'32-Bond Schedule'!B7</f>
        <v>Outstanding - January 1, 2021</v>
      </c>
      <c r="C7" s="1110"/>
      <c r="D7" s="1110"/>
      <c r="E7" s="1110"/>
      <c r="F7" s="1110"/>
      <c r="G7" s="1111" t="s">
        <v>628</v>
      </c>
      <c r="H7" s="1809"/>
      <c r="I7" s="1810"/>
      <c r="K7" s="1054"/>
      <c r="L7" s="1054"/>
      <c r="O7" s="309"/>
      <c r="P7" s="309"/>
      <c r="Q7" s="309"/>
      <c r="R7" s="309"/>
      <c r="S7" s="309"/>
      <c r="T7" s="309"/>
      <c r="U7" s="309"/>
    </row>
    <row r="8" spans="2:21" ht="21" customHeight="1">
      <c r="B8" s="659" t="s">
        <v>92</v>
      </c>
      <c r="C8" s="659"/>
      <c r="D8" s="659"/>
      <c r="E8" s="659"/>
      <c r="F8" s="659"/>
      <c r="G8" s="1114" t="s">
        <v>628</v>
      </c>
      <c r="H8" s="1807"/>
      <c r="I8" s="1808"/>
      <c r="K8" s="1054"/>
      <c r="L8" s="1054"/>
      <c r="O8" s="356"/>
      <c r="P8" s="309"/>
      <c r="Q8" s="309"/>
      <c r="R8" s="309"/>
      <c r="S8" s="309"/>
      <c r="T8" s="309"/>
      <c r="U8" s="309"/>
    </row>
    <row r="9" spans="2:21" ht="21" customHeight="1">
      <c r="B9" s="659"/>
      <c r="C9" s="659"/>
      <c r="D9" s="659"/>
      <c r="E9" s="659"/>
      <c r="F9" s="659"/>
      <c r="G9" s="1114"/>
      <c r="H9" s="1319"/>
      <c r="I9" s="1169"/>
      <c r="K9" s="1054"/>
      <c r="L9" s="1054"/>
      <c r="O9" s="309"/>
      <c r="P9" s="309"/>
      <c r="Q9" s="309"/>
      <c r="R9" s="309"/>
      <c r="S9" s="309"/>
      <c r="T9" s="309"/>
      <c r="U9" s="309"/>
    </row>
    <row r="10" spans="2:21" ht="21" customHeight="1">
      <c r="B10" s="659" t="s">
        <v>254</v>
      </c>
      <c r="C10" s="659"/>
      <c r="D10" s="659"/>
      <c r="E10" s="659"/>
      <c r="F10" s="659"/>
      <c r="G10" s="571"/>
      <c r="H10" s="1957" t="s">
        <v>628</v>
      </c>
      <c r="I10" s="1958"/>
      <c r="K10" s="1054"/>
      <c r="L10" s="1054"/>
      <c r="O10" s="309"/>
      <c r="P10" s="309"/>
      <c r="Q10" s="309"/>
      <c r="R10" s="309"/>
      <c r="S10" s="309"/>
      <c r="T10" s="309"/>
      <c r="U10" s="309"/>
    </row>
    <row r="11" spans="2:21" ht="21" customHeight="1" thickBot="1">
      <c r="B11" s="659" t="str">
        <f>'32-Bond Schedule'!B11</f>
        <v>Outstanding - December 31, 2021</v>
      </c>
      <c r="C11" s="659"/>
      <c r="D11" s="659"/>
      <c r="E11" s="659"/>
      <c r="F11" s="659"/>
      <c r="G11" s="1069">
        <f>+H7+H8-G10</f>
        <v>0</v>
      </c>
      <c r="H11" s="1953" t="s">
        <v>628</v>
      </c>
      <c r="I11" s="1954"/>
      <c r="K11" s="1054"/>
      <c r="L11" s="1054"/>
      <c r="O11" s="309"/>
      <c r="P11" s="309"/>
      <c r="Q11" s="309"/>
      <c r="R11" s="309"/>
      <c r="S11" s="309"/>
      <c r="T11" s="309"/>
      <c r="U11" s="309"/>
    </row>
    <row r="12" spans="2:21" ht="21" customHeight="1" thickBot="1">
      <c r="B12" s="1054"/>
      <c r="C12" s="1054"/>
      <c r="D12" s="1054"/>
      <c r="E12" s="1054"/>
      <c r="F12" s="1054"/>
      <c r="G12" s="1071">
        <f>SUM(G7:G11)</f>
        <v>0</v>
      </c>
      <c r="H12" s="1941">
        <f>SUM(H7:I11)</f>
        <v>0</v>
      </c>
      <c r="I12" s="1942"/>
      <c r="K12" s="1054"/>
      <c r="L12" s="1054"/>
      <c r="O12" s="309"/>
      <c r="P12" s="309"/>
      <c r="Q12" s="309"/>
      <c r="R12" s="309"/>
      <c r="S12" s="309"/>
      <c r="T12" s="309"/>
      <c r="U12" s="309"/>
    </row>
    <row r="13" spans="2:21" ht="21" customHeight="1" thickTop="1">
      <c r="B13" s="1321" t="str">
        <f>'49-Utility1'!B13</f>
        <v>2022 Bond Maturities - Assessment Bonds</v>
      </c>
      <c r="C13" s="1068"/>
      <c r="D13" s="1068"/>
      <c r="E13" s="1068"/>
      <c r="F13" s="1068"/>
      <c r="G13" s="1068"/>
      <c r="H13" s="1068"/>
      <c r="I13" s="1320"/>
      <c r="J13" s="423" t="s">
        <v>373</v>
      </c>
      <c r="K13" s="1834"/>
      <c r="L13" s="1834"/>
      <c r="O13" s="309"/>
      <c r="P13" s="309"/>
      <c r="Q13" s="309"/>
      <c r="R13" s="309"/>
      <c r="S13" s="309"/>
      <c r="T13" s="309"/>
      <c r="U13" s="309"/>
    </row>
    <row r="14" spans="2:21" ht="21" customHeight="1" thickBot="1">
      <c r="B14" s="1322" t="str">
        <f>'49-Utility1'!B14</f>
        <v>2022 Interest on Bonds</v>
      </c>
      <c r="C14" s="1172"/>
      <c r="D14" s="1172"/>
      <c r="E14" s="1172"/>
      <c r="F14" s="1172"/>
      <c r="G14" s="1197"/>
      <c r="H14" s="460" t="s">
        <v>373</v>
      </c>
      <c r="I14" s="577"/>
      <c r="J14" s="1054"/>
      <c r="K14" s="1054"/>
      <c r="L14" s="1054"/>
      <c r="O14" s="309"/>
      <c r="P14" s="309"/>
      <c r="Q14" s="309"/>
      <c r="R14" s="309"/>
      <c r="S14" s="309"/>
      <c r="T14" s="309"/>
      <c r="U14" s="309"/>
    </row>
    <row r="15" spans="2:21" ht="16.5" customHeight="1" thickTop="1">
      <c r="B15" s="2079"/>
      <c r="C15" s="2079"/>
      <c r="D15" s="2079"/>
      <c r="E15" s="2079"/>
      <c r="F15" s="2079"/>
      <c r="G15" s="2079"/>
      <c r="H15" s="2079"/>
      <c r="I15" s="2080"/>
      <c r="J15" s="1054"/>
      <c r="K15" s="1054"/>
      <c r="L15" s="1054"/>
      <c r="O15" s="309"/>
      <c r="P15" s="309"/>
      <c r="Q15" s="309"/>
      <c r="R15" s="309"/>
      <c r="S15" s="309"/>
      <c r="T15" s="309"/>
      <c r="U15" s="309"/>
    </row>
    <row r="16" spans="2:21" ht="26.25" customHeight="1" thickBot="1">
      <c r="B16" s="1977" t="str">
        <f>UPPER('KEY INPUTS'!D57) &amp;" UTILITY  CAPITAL  BONDS"</f>
        <v xml:space="preserve"> UTILITY  CAPITAL  BONDS</v>
      </c>
      <c r="C16" s="1977"/>
      <c r="D16" s="1977"/>
      <c r="E16" s="1977"/>
      <c r="F16" s="1977"/>
      <c r="G16" s="1977"/>
      <c r="H16" s="1977"/>
      <c r="I16" s="1978"/>
      <c r="J16" s="1054"/>
      <c r="K16" s="1054"/>
      <c r="L16" s="1054"/>
      <c r="O16" s="309"/>
      <c r="P16" s="309"/>
      <c r="Q16" s="309"/>
      <c r="R16" s="309"/>
      <c r="S16" s="309"/>
      <c r="T16" s="309"/>
      <c r="U16" s="309"/>
    </row>
    <row r="17" spans="2:21" ht="21" customHeight="1" thickTop="1">
      <c r="B17" s="1151" t="str">
        <f>'32-Bond Schedule'!B7</f>
        <v>Outstanding - January 1, 2021</v>
      </c>
      <c r="C17" s="1110"/>
      <c r="D17" s="1110"/>
      <c r="E17" s="1110"/>
      <c r="F17" s="1110"/>
      <c r="G17" s="1111" t="s">
        <v>628</v>
      </c>
      <c r="H17" s="1809"/>
      <c r="I17" s="1810"/>
      <c r="J17" s="1054"/>
      <c r="K17" s="1054"/>
      <c r="L17" s="1054"/>
      <c r="O17" s="309"/>
      <c r="P17" s="309"/>
      <c r="Q17" s="309"/>
      <c r="R17" s="309"/>
      <c r="S17" s="309"/>
      <c r="T17" s="309"/>
      <c r="U17" s="309"/>
    </row>
    <row r="18" spans="2:21" ht="21" customHeight="1">
      <c r="B18" s="659" t="s">
        <v>92</v>
      </c>
      <c r="C18" s="659"/>
      <c r="D18" s="659"/>
      <c r="E18" s="659"/>
      <c r="F18" s="659"/>
      <c r="G18" s="1114" t="s">
        <v>628</v>
      </c>
      <c r="H18" s="1807"/>
      <c r="I18" s="1808"/>
      <c r="J18" s="1054"/>
      <c r="K18" s="1054"/>
      <c r="L18" s="1054"/>
      <c r="O18" s="309"/>
      <c r="P18" s="309"/>
      <c r="Q18" s="309"/>
      <c r="R18" s="309"/>
      <c r="S18" s="309"/>
      <c r="T18" s="309"/>
      <c r="U18" s="309"/>
    </row>
    <row r="19" spans="2:21" ht="21" customHeight="1">
      <c r="B19" s="659" t="s">
        <v>254</v>
      </c>
      <c r="C19" s="659"/>
      <c r="D19" s="659"/>
      <c r="E19" s="659"/>
      <c r="F19" s="659"/>
      <c r="G19" s="571"/>
      <c r="H19" s="1957" t="s">
        <v>628</v>
      </c>
      <c r="I19" s="1958"/>
      <c r="J19" s="1054"/>
      <c r="K19" s="1054"/>
      <c r="L19" s="1054"/>
      <c r="O19" s="309"/>
      <c r="P19" s="309"/>
      <c r="Q19" s="309"/>
      <c r="R19" s="309"/>
      <c r="S19" s="309"/>
      <c r="T19" s="309"/>
      <c r="U19" s="309"/>
    </row>
    <row r="20" spans="2:21" ht="21" customHeight="1">
      <c r="B20" s="659"/>
      <c r="C20" s="659"/>
      <c r="D20" s="659"/>
      <c r="E20" s="659"/>
      <c r="F20" s="659"/>
      <c r="G20" s="658"/>
      <c r="H20" s="1943"/>
      <c r="I20" s="1944"/>
      <c r="J20" s="1054"/>
      <c r="K20" s="1054"/>
      <c r="L20" s="1054"/>
      <c r="O20" s="309"/>
      <c r="P20" s="309"/>
      <c r="Q20" s="309"/>
      <c r="R20" s="309"/>
      <c r="S20" s="309"/>
      <c r="T20" s="309"/>
      <c r="U20" s="309"/>
    </row>
    <row r="21" spans="2:21" ht="21" customHeight="1">
      <c r="B21" s="659"/>
      <c r="C21" s="659"/>
      <c r="D21" s="659"/>
      <c r="E21" s="659"/>
      <c r="F21" s="659"/>
      <c r="G21" s="658"/>
      <c r="H21" s="1943"/>
      <c r="I21" s="1944"/>
      <c r="J21" s="1054"/>
      <c r="K21" s="1054"/>
      <c r="L21" s="1054"/>
      <c r="O21" s="309"/>
      <c r="P21" s="309"/>
      <c r="Q21" s="309"/>
      <c r="R21" s="309"/>
      <c r="S21" s="309"/>
      <c r="T21" s="309"/>
      <c r="U21" s="309"/>
    </row>
    <row r="22" spans="2:21" ht="21" customHeight="1" thickBot="1">
      <c r="B22" s="659" t="str">
        <f>'32-Bond Schedule'!B22</f>
        <v>Outstanding - December 31, 2021</v>
      </c>
      <c r="C22" s="659"/>
      <c r="D22" s="659"/>
      <c r="E22" s="659"/>
      <c r="F22" s="659"/>
      <c r="G22" s="1069">
        <f>+H17+H18-G19-G20-G21+H20+H21</f>
        <v>0</v>
      </c>
      <c r="H22" s="1953" t="s">
        <v>628</v>
      </c>
      <c r="I22" s="1954"/>
      <c r="J22" s="1054"/>
      <c r="K22" s="1054"/>
      <c r="L22" s="1054"/>
      <c r="O22" s="309"/>
      <c r="P22" s="309"/>
      <c r="Q22" s="309"/>
      <c r="R22" s="309"/>
      <c r="S22" s="309"/>
      <c r="T22" s="309"/>
      <c r="U22" s="309"/>
    </row>
    <row r="23" spans="2:21" ht="21" customHeight="1" thickBot="1">
      <c r="B23" s="1054"/>
      <c r="C23" s="1054"/>
      <c r="D23" s="1054"/>
      <c r="E23" s="1054"/>
      <c r="F23" s="1054"/>
      <c r="G23" s="1071">
        <f>SUM(G17:G22)</f>
        <v>0</v>
      </c>
      <c r="H23" s="1941">
        <f>SUM(H17:I22)</f>
        <v>0</v>
      </c>
      <c r="I23" s="1942"/>
      <c r="J23" s="1054"/>
      <c r="K23" s="1054"/>
      <c r="L23" s="1054"/>
    </row>
    <row r="24" spans="2:21" ht="21" customHeight="1" thickTop="1">
      <c r="B24" s="1321" t="str">
        <f>'49-Utility1'!B24</f>
        <v>2022 Bond Maturities - Capital Bonds</v>
      </c>
      <c r="C24" s="1068"/>
      <c r="D24" s="1068"/>
      <c r="E24" s="1068"/>
      <c r="F24" s="1068"/>
      <c r="G24" s="1068"/>
      <c r="H24" s="1068"/>
      <c r="I24" s="1320"/>
      <c r="J24" s="423" t="s">
        <v>373</v>
      </c>
      <c r="K24" s="1834"/>
      <c r="L24" s="1834"/>
    </row>
    <row r="25" spans="2:21" ht="21" customHeight="1" thickBot="1">
      <c r="B25" s="1322" t="str">
        <f>'49-Utility1'!B25</f>
        <v>2022 Interest on Bonds</v>
      </c>
      <c r="C25" s="1172"/>
      <c r="D25" s="1172"/>
      <c r="E25" s="1172"/>
      <c r="F25" s="1172"/>
      <c r="G25" s="1197"/>
      <c r="H25" s="460" t="s">
        <v>373</v>
      </c>
      <c r="I25" s="577"/>
      <c r="J25" s="461"/>
      <c r="K25" s="1172"/>
      <c r="L25" s="1322" t="s">
        <v>3133</v>
      </c>
    </row>
    <row r="26" spans="2:21" ht="21" customHeight="1" thickTop="1">
      <c r="B26" s="1054"/>
      <c r="C26" s="1054"/>
      <c r="D26" s="1054"/>
      <c r="E26" s="1054"/>
      <c r="F26" s="1054"/>
      <c r="G26" s="1054"/>
      <c r="H26" s="1054"/>
      <c r="I26" s="1054"/>
      <c r="J26" s="1054"/>
      <c r="K26" s="1054"/>
      <c r="L26" s="1054"/>
    </row>
    <row r="27" spans="2:21" ht="19.5" customHeight="1" thickBot="1">
      <c r="B27" s="1977" t="str">
        <f>"INTEREST  ON  BONDS  -  "&amp;UPPER('KEY INPUTS'!D57)&amp;"  UTILITY  BUDGET"</f>
        <v>INTEREST  ON  BONDS  -    UTILITY  BUDGET</v>
      </c>
      <c r="C27" s="1977"/>
      <c r="D27" s="1977"/>
      <c r="E27" s="1977"/>
      <c r="F27" s="1977"/>
      <c r="G27" s="1977"/>
      <c r="H27" s="1977"/>
      <c r="I27" s="1977"/>
      <c r="J27" s="1977"/>
      <c r="K27" s="1977"/>
      <c r="L27" s="1977"/>
    </row>
    <row r="28" spans="2:21" ht="21" customHeight="1" thickTop="1">
      <c r="B28" s="1333" t="str">
        <f>'49-Utility1'!B28</f>
        <v>2022 Interest on Bonds (*Items)</v>
      </c>
      <c r="C28" s="1110"/>
      <c r="D28" s="1110"/>
      <c r="E28" s="1110"/>
      <c r="F28" s="1110"/>
      <c r="G28" s="1110"/>
      <c r="H28" s="429" t="s">
        <v>373</v>
      </c>
      <c r="I28" s="1170">
        <f>+I14+I25</f>
        <v>0</v>
      </c>
      <c r="K28" s="1054"/>
      <c r="L28" s="1054"/>
      <c r="O28" s="436"/>
      <c r="P28" s="436"/>
      <c r="Q28" s="436"/>
      <c r="R28" s="436"/>
    </row>
    <row r="29" spans="2:21" ht="21" customHeight="1">
      <c r="B29" s="871" t="str">
        <f>'49-Utility1'!B29</f>
        <v>Less: Interest Accrued to 12/31/2021 (Trial Balance)</v>
      </c>
      <c r="C29" s="659"/>
      <c r="D29" s="659"/>
      <c r="E29" s="659"/>
      <c r="F29" s="659"/>
      <c r="G29" s="659"/>
      <c r="H29" s="374" t="s">
        <v>373</v>
      </c>
      <c r="I29" s="641"/>
      <c r="K29" s="1054"/>
      <c r="L29" s="1054"/>
      <c r="O29" s="436"/>
      <c r="P29" s="436"/>
      <c r="Q29" s="436"/>
      <c r="R29" s="436"/>
    </row>
    <row r="30" spans="2:21" ht="21" customHeight="1">
      <c r="B30" s="659"/>
      <c r="C30" s="659" t="s">
        <v>317</v>
      </c>
      <c r="D30" s="659"/>
      <c r="E30" s="659"/>
      <c r="F30" s="659"/>
      <c r="G30" s="659"/>
      <c r="H30" s="374" t="s">
        <v>373</v>
      </c>
      <c r="I30" s="1171">
        <f>+I28-I29</f>
        <v>0</v>
      </c>
      <c r="K30" s="1054"/>
      <c r="L30" s="1054"/>
      <c r="O30" s="436"/>
      <c r="P30" s="436"/>
      <c r="Q30" s="436"/>
      <c r="R30" s="436"/>
    </row>
    <row r="31" spans="2:21" ht="21" customHeight="1">
      <c r="B31" s="871" t="str">
        <f>'49-Utility1'!B31</f>
        <v>Add: Interest to be Accrued as of 12/31/2022</v>
      </c>
      <c r="C31" s="659"/>
      <c r="D31" s="659"/>
      <c r="E31" s="659"/>
      <c r="F31" s="659"/>
      <c r="G31" s="659"/>
      <c r="H31" s="374" t="s">
        <v>373</v>
      </c>
      <c r="I31" s="641"/>
      <c r="K31" s="1054"/>
      <c r="L31" s="1054"/>
      <c r="O31" s="436"/>
      <c r="P31" s="436"/>
      <c r="Q31" s="436"/>
      <c r="R31" s="436"/>
    </row>
    <row r="32" spans="2:21" ht="21" customHeight="1">
      <c r="B32" s="871" t="str">
        <f>'49-Utility1'!B32</f>
        <v>Required Appropriation 2022</v>
      </c>
      <c r="C32" s="659"/>
      <c r="D32" s="659"/>
      <c r="E32" s="659"/>
      <c r="F32" s="659"/>
      <c r="G32" s="659"/>
      <c r="H32" s="374"/>
      <c r="I32" s="1353"/>
      <c r="J32" s="463" t="s">
        <v>373</v>
      </c>
      <c r="K32" s="1963">
        <f>+I30+I31</f>
        <v>0</v>
      </c>
      <c r="L32" s="1964"/>
      <c r="O32" s="436"/>
      <c r="P32" s="436"/>
      <c r="Q32" s="436"/>
      <c r="R32" s="436"/>
    </row>
    <row r="33" spans="2:12" ht="13.5" customHeight="1">
      <c r="B33" s="1132"/>
      <c r="C33" s="1132"/>
      <c r="D33" s="1132"/>
      <c r="E33" s="1132"/>
      <c r="F33" s="1132"/>
      <c r="G33" s="1132"/>
      <c r="H33" s="1132"/>
      <c r="I33" s="1132"/>
      <c r="J33" s="1132"/>
      <c r="K33" s="1363"/>
      <c r="L33" s="1238"/>
    </row>
    <row r="34" spans="2:12" ht="13.5" customHeight="1">
      <c r="B34" s="1132"/>
      <c r="C34" s="1132"/>
      <c r="D34" s="1132"/>
      <c r="E34" s="1132"/>
      <c r="F34" s="1132"/>
      <c r="G34" s="1132"/>
      <c r="H34" s="1132"/>
      <c r="I34" s="1132"/>
      <c r="J34" s="1132"/>
      <c r="K34" s="1363"/>
      <c r="L34" s="1238"/>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879" t="s">
        <v>413</v>
      </c>
      <c r="C36" s="1879"/>
      <c r="D36" s="1879"/>
      <c r="E36" s="1879"/>
      <c r="F36" s="1879"/>
      <c r="G36" s="1336" t="str">
        <f>'49-Utility1'!G36</f>
        <v>2022 Maturity</v>
      </c>
      <c r="H36" s="2061" t="s">
        <v>91</v>
      </c>
      <c r="I36" s="1880"/>
      <c r="J36" s="2077" t="s">
        <v>89</v>
      </c>
      <c r="K36" s="2078"/>
      <c r="L36" s="1352" t="s">
        <v>90</v>
      </c>
    </row>
    <row r="37" spans="2:12" ht="21" customHeight="1" thickTop="1">
      <c r="B37" s="642"/>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72"/>
      <c r="C41" s="1172"/>
      <c r="D41" s="1172"/>
      <c r="E41" s="1172"/>
      <c r="F41" s="1324"/>
      <c r="G41" s="1071">
        <f>SUM(G37:G40)</f>
        <v>0</v>
      </c>
      <c r="H41" s="1959">
        <f>SUM(H37:I40)</f>
        <v>0</v>
      </c>
      <c r="I41" s="1960"/>
      <c r="J41" s="1325"/>
      <c r="K41" s="1172"/>
      <c r="L41" s="1173"/>
    </row>
    <row r="42" spans="2:12" ht="13.8" thickTop="1">
      <c r="G42" s="744"/>
      <c r="H42" s="744"/>
      <c r="I42" s="744"/>
    </row>
    <row r="50" spans="2:12" ht="13.8">
      <c r="B50" s="1882" t="s">
        <v>3167</v>
      </c>
      <c r="C50" s="1882"/>
      <c r="D50" s="1882"/>
      <c r="E50" s="1882"/>
      <c r="F50" s="1882"/>
      <c r="G50" s="1882"/>
      <c r="H50" s="1882"/>
      <c r="I50" s="1882"/>
      <c r="J50" s="1882"/>
      <c r="K50" s="1882"/>
      <c r="L50" s="1882"/>
    </row>
  </sheetData>
  <sheetProtection algorithmName="SHA-512" hashValue="1M0w+GmTLLrTJFg9MZBQHDw0P/8H2IYfO8Ai6K8va9PhXEdJzpFz5gjSIYQPSmHM1h4FxqCVGRHTrjzuMw1THA==" saltValue="Xmp80dmRii5KO347vlrSP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5">
    <tabColor theme="2" tint="-0.249977111117893"/>
  </sheetPr>
  <dimension ref="B1:U51"/>
  <sheetViews>
    <sheetView topLeftCell="A16"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1" spans="2:21">
      <c r="B1" s="1086"/>
      <c r="C1" s="1086"/>
      <c r="D1" s="1086"/>
      <c r="E1" s="1086"/>
      <c r="F1" s="1086"/>
      <c r="G1" s="1086"/>
      <c r="H1" s="1086"/>
      <c r="I1" s="1086"/>
      <c r="J1" s="1086"/>
      <c r="K1" s="1086"/>
      <c r="L1" s="1086"/>
    </row>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INPUTS'!D$57)&amp;"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K7" s="1086"/>
      <c r="L7" s="1086"/>
      <c r="O7" s="309"/>
      <c r="P7" s="309"/>
      <c r="Q7" s="309"/>
      <c r="R7" s="309"/>
      <c r="S7" s="309"/>
      <c r="T7" s="309"/>
      <c r="U7" s="309"/>
    </row>
    <row r="8" spans="2:21" ht="21" customHeight="1">
      <c r="B8" s="659" t="s">
        <v>92</v>
      </c>
      <c r="C8" s="1079"/>
      <c r="D8" s="1079"/>
      <c r="E8" s="1079"/>
      <c r="F8" s="1079"/>
      <c r="G8" s="926" t="s">
        <v>628</v>
      </c>
      <c r="H8" s="1807"/>
      <c r="I8" s="1808"/>
      <c r="K8" s="1086"/>
      <c r="L8" s="1086"/>
      <c r="O8" s="356"/>
      <c r="P8" s="309"/>
      <c r="Q8" s="309"/>
      <c r="R8" s="309"/>
      <c r="S8" s="309"/>
      <c r="T8" s="309"/>
      <c r="U8" s="309"/>
    </row>
    <row r="9" spans="2:21" ht="21" customHeight="1">
      <c r="B9" s="659"/>
      <c r="C9" s="1079"/>
      <c r="D9" s="1079"/>
      <c r="E9" s="1079"/>
      <c r="F9" s="1079"/>
      <c r="G9" s="926"/>
      <c r="H9" s="1328"/>
      <c r="I9" s="1329"/>
      <c r="K9" s="1086"/>
      <c r="L9" s="1086"/>
      <c r="O9" s="309"/>
      <c r="P9" s="309"/>
      <c r="Q9" s="309"/>
      <c r="R9" s="309"/>
      <c r="S9" s="309"/>
      <c r="T9" s="309"/>
      <c r="U9" s="309"/>
    </row>
    <row r="10" spans="2:21" ht="21" customHeight="1">
      <c r="B10" s="659" t="s">
        <v>254</v>
      </c>
      <c r="C10" s="1079"/>
      <c r="D10" s="1079"/>
      <c r="E10" s="1079"/>
      <c r="F10" s="1079"/>
      <c r="G10" s="571"/>
      <c r="H10" s="1829" t="s">
        <v>628</v>
      </c>
      <c r="I10" s="1830"/>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J15" s="1086"/>
      <c r="K15" s="1086"/>
      <c r="L15" s="1086"/>
      <c r="O15" s="309"/>
      <c r="P15" s="309"/>
      <c r="Q15" s="309"/>
      <c r="R15" s="309"/>
      <c r="S15" s="309"/>
      <c r="T15" s="309"/>
      <c r="U15" s="309"/>
    </row>
    <row r="16" spans="2:21" ht="16.2" thickBot="1">
      <c r="B16" s="1977" t="str">
        <f>UPPER('KEY INPUTS'!D$57)&amp;" UTILITY "&amp;IF(R16&lt;&gt;"",(UPPER(R16)),"")&amp;" LOAN"</f>
        <v xml:space="preserve"> UTILITY  LOAN</v>
      </c>
      <c r="C16" s="1977"/>
      <c r="D16" s="1977"/>
      <c r="E16" s="1977"/>
      <c r="F16" s="1977"/>
      <c r="G16" s="1977"/>
      <c r="H16" s="1977"/>
      <c r="I16" s="1978"/>
      <c r="J16" s="1086"/>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J17" s="1086"/>
      <c r="K17" s="1086"/>
      <c r="L17" s="1086"/>
      <c r="O17" s="309"/>
      <c r="P17" s="309"/>
      <c r="Q17" s="309"/>
      <c r="R17" s="309"/>
      <c r="S17" s="309"/>
      <c r="T17" s="309"/>
      <c r="U17" s="309"/>
    </row>
    <row r="18" spans="2:21" ht="21" customHeight="1">
      <c r="B18" s="659" t="s">
        <v>92</v>
      </c>
      <c r="C18" s="1079"/>
      <c r="D18" s="1079"/>
      <c r="E18" s="1079"/>
      <c r="F18" s="1079"/>
      <c r="G18" s="926" t="s">
        <v>628</v>
      </c>
      <c r="H18" s="1807"/>
      <c r="I18" s="1808"/>
      <c r="J18" s="1086"/>
      <c r="K18" s="1086"/>
      <c r="L18" s="1086"/>
      <c r="O18" s="309"/>
      <c r="P18" s="309"/>
      <c r="Q18" s="309"/>
      <c r="R18" s="309"/>
      <c r="S18" s="309"/>
      <c r="T18" s="309"/>
      <c r="U18" s="309"/>
    </row>
    <row r="19" spans="2:21" ht="21" customHeight="1">
      <c r="B19" s="659" t="s">
        <v>254</v>
      </c>
      <c r="C19" s="1079"/>
      <c r="D19" s="1079"/>
      <c r="E19" s="1079"/>
      <c r="F19" s="1079"/>
      <c r="G19" s="571"/>
      <c r="H19" s="1829" t="s">
        <v>628</v>
      </c>
      <c r="I19" s="1830"/>
      <c r="J19" s="1086"/>
      <c r="K19" s="1086"/>
      <c r="L19" s="1086"/>
      <c r="O19" s="309"/>
      <c r="P19" s="309"/>
      <c r="Q19" s="309"/>
      <c r="R19" s="309"/>
      <c r="S19" s="309"/>
      <c r="T19" s="309"/>
      <c r="U19" s="309"/>
    </row>
    <row r="20" spans="2:21" ht="21" customHeight="1">
      <c r="B20" s="659"/>
      <c r="C20" s="1079"/>
      <c r="D20" s="1079"/>
      <c r="E20" s="1079"/>
      <c r="F20" s="1079"/>
      <c r="G20" s="1046"/>
      <c r="H20" s="1831"/>
      <c r="I20" s="1832"/>
      <c r="J20" s="1086"/>
      <c r="K20" s="1086"/>
      <c r="L20" s="1086"/>
      <c r="O20" s="309"/>
      <c r="P20" s="309"/>
      <c r="Q20" s="309"/>
      <c r="R20" s="309"/>
      <c r="S20" s="309"/>
      <c r="T20" s="309"/>
      <c r="U20" s="309"/>
    </row>
    <row r="21" spans="2:21" ht="21" customHeight="1">
      <c r="B21" s="659"/>
      <c r="C21" s="1079"/>
      <c r="D21" s="1079"/>
      <c r="E21" s="1079"/>
      <c r="F21" s="1079"/>
      <c r="G21" s="1046"/>
      <c r="H21" s="1831"/>
      <c r="I21" s="1832"/>
      <c r="J21" s="1086"/>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J22" s="1086"/>
      <c r="K22" s="1086"/>
      <c r="L22" s="1086"/>
      <c r="O22" s="309"/>
      <c r="P22" s="309"/>
      <c r="Q22" s="309"/>
      <c r="R22" s="309"/>
      <c r="S22" s="309"/>
      <c r="T22" s="309"/>
      <c r="U22" s="309"/>
    </row>
    <row r="23" spans="2:21" ht="21" customHeight="1" thickBot="1">
      <c r="B23" s="1054"/>
      <c r="C23" s="1086"/>
      <c r="D23" s="1086"/>
      <c r="E23" s="1086"/>
      <c r="F23" s="1086"/>
      <c r="G23" s="1027">
        <f>SUM(G17:G22)</f>
        <v>0</v>
      </c>
      <c r="H23" s="1827">
        <f>SUM(H17:I22)</f>
        <v>0</v>
      </c>
      <c r="I23" s="1828"/>
      <c r="J23" s="1086"/>
      <c r="K23" s="1086"/>
      <c r="L23" s="1086"/>
    </row>
    <row r="24" spans="2:21" ht="21" customHeight="1" thickTop="1">
      <c r="B24" s="1321" t="str">
        <f>B13</f>
        <v>2022 Loan Maturities</v>
      </c>
      <c r="C24" s="1330"/>
      <c r="D24" s="1330"/>
      <c r="E24" s="1330"/>
      <c r="F24" s="1330"/>
      <c r="G24" s="1330"/>
      <c r="H24" s="1330"/>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INPUTS'!D57)&amp;"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1098" t="s">
        <v>373</v>
      </c>
      <c r="I28" s="1332">
        <f>+I25+I14</f>
        <v>0</v>
      </c>
      <c r="J28" s="1086"/>
      <c r="K28" s="1086"/>
      <c r="L28" s="1086"/>
    </row>
    <row r="29" spans="2:21" ht="21" customHeight="1">
      <c r="B29" s="871" t="str">
        <f>'49a-Utility1'!B29</f>
        <v>Less: Interest Accrued to 12/31/2021 (Trial Balance)</v>
      </c>
      <c r="C29" s="659"/>
      <c r="D29" s="1079"/>
      <c r="E29" s="1079"/>
      <c r="F29" s="1079"/>
      <c r="G29" s="1079"/>
      <c r="H29" s="321" t="s">
        <v>373</v>
      </c>
      <c r="I29" s="570"/>
      <c r="J29" s="1086"/>
      <c r="K29" s="1086"/>
      <c r="L29" s="1086"/>
    </row>
    <row r="30" spans="2:21" ht="21" customHeight="1">
      <c r="B30" s="659"/>
      <c r="C30" s="659" t="s">
        <v>317</v>
      </c>
      <c r="D30" s="1079"/>
      <c r="E30" s="1079"/>
      <c r="F30" s="1079"/>
      <c r="G30" s="1079"/>
      <c r="H30" s="321" t="s">
        <v>373</v>
      </c>
      <c r="I30" s="1334">
        <f>+I28-I29</f>
        <v>0</v>
      </c>
      <c r="J30" s="1086"/>
      <c r="K30" s="1086"/>
      <c r="L30" s="1086"/>
    </row>
    <row r="31" spans="2:21" ht="21" customHeight="1">
      <c r="B31" s="871" t="str">
        <f>'49a-Utility1'!B31</f>
        <v>Add: Interest to be Accrued as of 12/31/2022</v>
      </c>
      <c r="C31" s="659"/>
      <c r="D31" s="1079"/>
      <c r="E31" s="1079"/>
      <c r="F31" s="1079"/>
      <c r="G31" s="1079"/>
      <c r="H31" s="321" t="s">
        <v>373</v>
      </c>
      <c r="I31" s="570"/>
      <c r="J31" s="1086"/>
      <c r="K31" s="1086"/>
      <c r="L31" s="1086"/>
    </row>
    <row r="32" spans="2:21" ht="21" customHeight="1">
      <c r="B32" s="871" t="str">
        <f>'49a-Utility1'!B32</f>
        <v>Required Appropriation 2022</v>
      </c>
      <c r="C32" s="659"/>
      <c r="D32" s="1079"/>
      <c r="E32" s="1079"/>
      <c r="F32" s="1079"/>
      <c r="G32" s="1079"/>
      <c r="H32" s="1079"/>
      <c r="I32" s="1364"/>
      <c r="J32" s="478"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FJ5YQPzgq7DXb3yY5Bit5oaD9fssT/m+YgQVNcu6VGMRQ4ed6KtbbDbzAbuNQD+0WVtjcikhF8wL1cx8fJBZ3Q==" saltValue="ZY/PJvkMrFRHAWXxxx6WKw=="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6">
    <tabColor theme="2" tint="-0.249977111117893"/>
  </sheetPr>
  <dimension ref="B1:U51"/>
  <sheetViews>
    <sheetView topLeftCell="A16"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1" spans="2:21">
      <c r="B1" s="1086"/>
      <c r="C1" s="1086"/>
      <c r="D1" s="1086"/>
      <c r="E1" s="1086"/>
      <c r="F1" s="1086"/>
      <c r="G1" s="1086"/>
      <c r="H1" s="1086"/>
      <c r="I1" s="1086"/>
      <c r="J1" s="1086"/>
      <c r="K1" s="1086"/>
      <c r="L1" s="1086"/>
    </row>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INPUTS'!D$57)&amp;"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J7" s="1086"/>
      <c r="K7" s="1086"/>
      <c r="L7" s="1086"/>
      <c r="O7" s="309"/>
      <c r="P7" s="309"/>
      <c r="Q7" s="309"/>
      <c r="R7" s="309"/>
      <c r="S7" s="309"/>
      <c r="T7" s="309"/>
      <c r="U7" s="309"/>
    </row>
    <row r="8" spans="2:21" ht="21" customHeight="1">
      <c r="B8" s="659" t="s">
        <v>92</v>
      </c>
      <c r="C8" s="1079"/>
      <c r="D8" s="1079"/>
      <c r="E8" s="1079"/>
      <c r="F8" s="1079"/>
      <c r="G8" s="926" t="s">
        <v>628</v>
      </c>
      <c r="H8" s="1807"/>
      <c r="I8" s="1808"/>
      <c r="J8" s="1086"/>
      <c r="K8" s="1086"/>
      <c r="L8" s="1086"/>
      <c r="O8" s="356"/>
      <c r="P8" s="309"/>
      <c r="Q8" s="309"/>
      <c r="R8" s="309"/>
      <c r="S8" s="309"/>
      <c r="T8" s="309"/>
      <c r="U8" s="309"/>
    </row>
    <row r="9" spans="2:21" ht="21" customHeight="1">
      <c r="B9" s="659"/>
      <c r="C9" s="1079"/>
      <c r="D9" s="1079"/>
      <c r="E9" s="1079"/>
      <c r="F9" s="1079"/>
      <c r="G9" s="926"/>
      <c r="H9" s="1328"/>
      <c r="I9" s="1329"/>
      <c r="J9" s="1086"/>
      <c r="K9" s="1086"/>
      <c r="L9" s="1086"/>
      <c r="O9" s="309"/>
      <c r="P9" s="309"/>
      <c r="Q9" s="309"/>
      <c r="R9" s="309"/>
      <c r="S9" s="309"/>
      <c r="T9" s="309"/>
      <c r="U9" s="309"/>
    </row>
    <row r="10" spans="2:21" ht="21" customHeight="1">
      <c r="B10" s="659" t="s">
        <v>254</v>
      </c>
      <c r="C10" s="1079"/>
      <c r="D10" s="1079"/>
      <c r="E10" s="1079"/>
      <c r="F10" s="1079"/>
      <c r="G10" s="571"/>
      <c r="H10" s="1829" t="s">
        <v>628</v>
      </c>
      <c r="I10" s="1830"/>
      <c r="J10" s="1086"/>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J11" s="1086"/>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J12" s="1086"/>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K15" s="1086"/>
      <c r="L15" s="1086"/>
      <c r="O15" s="309"/>
      <c r="P15" s="309"/>
      <c r="Q15" s="309"/>
      <c r="R15" s="309"/>
      <c r="S15" s="309"/>
      <c r="T15" s="309"/>
      <c r="U15" s="309"/>
    </row>
    <row r="16" spans="2:21" ht="16.2" thickBot="1">
      <c r="B16" s="1977" t="str">
        <f>UPPER('KEY INPUTS'!D$57)&amp;" UTILITY "&amp;IF(R16&lt;&gt;"",(UPPER(R16)),"")&amp;" LOAN"</f>
        <v xml:space="preserve"> UTILITY  LOAN</v>
      </c>
      <c r="C16" s="1977"/>
      <c r="D16" s="1977"/>
      <c r="E16" s="1977"/>
      <c r="F16" s="1977"/>
      <c r="G16" s="1977"/>
      <c r="H16" s="1977"/>
      <c r="I16" s="1978"/>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K17" s="1086"/>
      <c r="L17" s="1086"/>
      <c r="O17" s="309"/>
      <c r="P17" s="309"/>
      <c r="Q17" s="309"/>
      <c r="R17" s="309"/>
      <c r="S17" s="309"/>
      <c r="T17" s="309"/>
      <c r="U17" s="309"/>
    </row>
    <row r="18" spans="2:21" ht="21" customHeight="1">
      <c r="B18" s="659" t="s">
        <v>92</v>
      </c>
      <c r="C18" s="1079"/>
      <c r="D18" s="1079"/>
      <c r="E18" s="1079"/>
      <c r="F18" s="1079"/>
      <c r="G18" s="926" t="s">
        <v>628</v>
      </c>
      <c r="H18" s="1807"/>
      <c r="I18" s="1808"/>
      <c r="K18" s="1086"/>
      <c r="L18" s="1086"/>
      <c r="O18" s="309"/>
      <c r="P18" s="309"/>
      <c r="Q18" s="309"/>
      <c r="R18" s="309"/>
      <c r="S18" s="309"/>
      <c r="T18" s="309"/>
      <c r="U18" s="309"/>
    </row>
    <row r="19" spans="2:21" ht="21" customHeight="1">
      <c r="B19" s="659" t="s">
        <v>254</v>
      </c>
      <c r="C19" s="1079"/>
      <c r="D19" s="1079"/>
      <c r="E19" s="1079"/>
      <c r="F19" s="1079"/>
      <c r="G19" s="571"/>
      <c r="H19" s="1829" t="s">
        <v>628</v>
      </c>
      <c r="I19" s="1830"/>
      <c r="K19" s="1086"/>
      <c r="L19" s="1086"/>
      <c r="O19" s="309"/>
      <c r="P19" s="309"/>
      <c r="Q19" s="309"/>
      <c r="R19" s="309"/>
      <c r="S19" s="309"/>
      <c r="T19" s="309"/>
      <c r="U19" s="309"/>
    </row>
    <row r="20" spans="2:21" ht="21" customHeight="1">
      <c r="B20" s="659"/>
      <c r="C20" s="1079"/>
      <c r="D20" s="1079"/>
      <c r="E20" s="1079"/>
      <c r="F20" s="1079"/>
      <c r="G20" s="1046"/>
      <c r="H20" s="1831"/>
      <c r="I20" s="1832"/>
      <c r="K20" s="1086"/>
      <c r="L20" s="1086"/>
      <c r="O20" s="309"/>
      <c r="P20" s="309"/>
      <c r="Q20" s="309"/>
      <c r="R20" s="309"/>
      <c r="S20" s="309"/>
      <c r="T20" s="309"/>
      <c r="U20" s="309"/>
    </row>
    <row r="21" spans="2:21" ht="21" customHeight="1">
      <c r="B21" s="659"/>
      <c r="C21" s="1079"/>
      <c r="D21" s="1079"/>
      <c r="E21" s="1079"/>
      <c r="F21" s="1079"/>
      <c r="G21" s="1046"/>
      <c r="H21" s="1831"/>
      <c r="I21" s="1832"/>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K22" s="1086"/>
      <c r="L22" s="1086"/>
      <c r="O22" s="309"/>
      <c r="P22" s="309"/>
      <c r="Q22" s="309"/>
      <c r="R22" s="309"/>
      <c r="S22" s="309"/>
      <c r="T22" s="309"/>
      <c r="U22" s="309"/>
    </row>
    <row r="23" spans="2:21" ht="21" customHeight="1" thickBot="1">
      <c r="B23" s="1054"/>
      <c r="C23" s="1086"/>
      <c r="D23" s="1086"/>
      <c r="E23" s="1086"/>
      <c r="F23" s="1086"/>
      <c r="G23" s="1027">
        <f>SUM(G17:G22)</f>
        <v>0</v>
      </c>
      <c r="H23" s="1827">
        <f>SUM(H17:I22)</f>
        <v>0</v>
      </c>
      <c r="I23" s="1828"/>
      <c r="K23" s="1086"/>
      <c r="L23" s="1086"/>
    </row>
    <row r="24" spans="2:21" ht="21" customHeight="1" thickTop="1">
      <c r="B24" s="1321" t="str">
        <f>B13</f>
        <v>2022 Loan Maturities</v>
      </c>
      <c r="C24" s="1330"/>
      <c r="D24" s="1330"/>
      <c r="E24" s="1330"/>
      <c r="F24" s="1330"/>
      <c r="G24" s="1330"/>
      <c r="H24" s="1330"/>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INPUTS'!D57)&amp;"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1098" t="s">
        <v>373</v>
      </c>
      <c r="I28" s="1332">
        <f>+I25+I14</f>
        <v>0</v>
      </c>
      <c r="J28" s="1086"/>
      <c r="K28" s="1086"/>
      <c r="L28" s="1086"/>
    </row>
    <row r="29" spans="2:21" ht="21" customHeight="1">
      <c r="B29" s="871" t="str">
        <f>'49a-Utility1'!B29</f>
        <v>Less: Interest Accrued to 12/31/2021 (Trial Balance)</v>
      </c>
      <c r="C29" s="659"/>
      <c r="D29" s="1079"/>
      <c r="E29" s="1079"/>
      <c r="F29" s="1079"/>
      <c r="G29" s="1079"/>
      <c r="H29" s="321" t="s">
        <v>373</v>
      </c>
      <c r="I29" s="570"/>
    </row>
    <row r="30" spans="2:21" ht="21" customHeight="1">
      <c r="B30" s="659"/>
      <c r="C30" s="659" t="s">
        <v>317</v>
      </c>
      <c r="D30" s="1079"/>
      <c r="E30" s="1079"/>
      <c r="F30" s="1079"/>
      <c r="G30" s="1079"/>
      <c r="H30" s="321" t="s">
        <v>373</v>
      </c>
      <c r="I30" s="484">
        <f>+I28-I29</f>
        <v>0</v>
      </c>
      <c r="J30" s="1086"/>
      <c r="K30" s="1086"/>
      <c r="L30" s="1086"/>
    </row>
    <row r="31" spans="2:21" ht="21" customHeight="1">
      <c r="B31" s="871" t="str">
        <f>'49a-Utility1'!B31</f>
        <v>Add: Interest to be Accrued as of 12/31/2022</v>
      </c>
      <c r="C31" s="659"/>
      <c r="D31" s="1079"/>
      <c r="E31" s="1079"/>
      <c r="F31" s="1079"/>
      <c r="G31" s="1079"/>
      <c r="H31" s="321" t="s">
        <v>373</v>
      </c>
      <c r="I31" s="570"/>
      <c r="J31" s="1086"/>
      <c r="K31" s="1086"/>
      <c r="L31" s="1086"/>
    </row>
    <row r="32" spans="2:21" ht="21" customHeight="1">
      <c r="B32" s="871" t="str">
        <f>'49a-Utility1'!B32</f>
        <v>Required Appropriation 2022</v>
      </c>
      <c r="C32" s="659"/>
      <c r="D32" s="1079"/>
      <c r="E32" s="1079"/>
      <c r="F32" s="1079"/>
      <c r="G32" s="1079"/>
      <c r="H32" s="1079"/>
      <c r="I32" s="1105"/>
      <c r="J32" s="1366"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oWG2/9wWOj1Y/rCMCxKJEPLjcYZwCLbh9P0xhX3Gqu0LrVeq6lsCCnJ7xd0D1gcEzHdYVTDY3L9l2qpHCGv2fQ==" saltValue="NiqM/5lxyChw8hzuElr7j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7">
    <tabColor theme="2" tint="-0.249977111117893"/>
  </sheetPr>
  <dimension ref="A2:V30"/>
  <sheetViews>
    <sheetView zoomScaleNormal="100" zoomScaleSheetLayoutView="80" workbookViewId="0">
      <selection activeCell="J16" sqref="J16"/>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INPUTS'!D57)&amp;"  UTILITY  NOTES  (OTHER  THAN  UTILITY  ASSESSMENT  NOTES)"</f>
        <v>DEBT  SERVICE  FOR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c r="D9" s="645"/>
      <c r="E9" s="575"/>
      <c r="F9" s="1432"/>
      <c r="G9" s="575"/>
      <c r="H9" s="1433"/>
      <c r="I9" s="760"/>
      <c r="J9" s="575"/>
      <c r="K9" s="575">
        <f>+I9*G9</f>
        <v>0</v>
      </c>
      <c r="L9" s="1434"/>
      <c r="M9" s="1435"/>
      <c r="P9" s="309"/>
      <c r="Q9" s="309"/>
      <c r="R9" s="309"/>
      <c r="S9" s="309"/>
      <c r="T9" s="309"/>
      <c r="U9" s="309"/>
      <c r="V9" s="309"/>
    </row>
    <row r="10" spans="1:22" ht="21" customHeight="1">
      <c r="B10" s="1436" t="s">
        <v>293</v>
      </c>
      <c r="C10" s="1437"/>
      <c r="D10" s="621"/>
      <c r="E10" s="571"/>
      <c r="F10" s="1438"/>
      <c r="G10" s="571"/>
      <c r="H10" s="1439"/>
      <c r="I10" s="592"/>
      <c r="J10" s="1440"/>
      <c r="K10" s="571">
        <f>+I10*G10</f>
        <v>0</v>
      </c>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zGUDrpMWT3sp72FEILILAM8F7abQo/FX4cJHlsni8uycfrQyvr6EcZ6BtYKNgVwubGjQgYwv+lVv0cJK33TH+w==" saltValue="8fRyB6NQ30R85Ov0VvOBK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7">
    <tabColor theme="2" tint="-0.249977111117893"/>
  </sheetPr>
  <dimension ref="A1:V30"/>
  <sheetViews>
    <sheetView zoomScaleNormal="100" zoomScaleSheetLayoutView="80" workbookViewId="0">
      <selection activeCell="I13" sqref="I13"/>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1" spans="1:22">
      <c r="B1" s="1054"/>
      <c r="C1" s="1054"/>
      <c r="D1" s="1054"/>
      <c r="E1" s="1054"/>
      <c r="F1" s="1054"/>
      <c r="G1" s="1054"/>
      <c r="H1" s="1054"/>
      <c r="I1" s="1054"/>
      <c r="J1" s="1054"/>
      <c r="K1" s="1054"/>
      <c r="L1" s="1054"/>
      <c r="M1" s="1054"/>
    </row>
    <row r="2" spans="1:22" ht="20.399999999999999">
      <c r="B2" s="1909" t="str">
        <f>"DEBT  SERVICE  FOR  "&amp;UPPER('KEY INPUTS'!D57)&amp;"  UTILITY  NOTES  (OTHER  THAN  UTILITY  ASSESSMENT  NOTES)"</f>
        <v>DEBT  SERVICE  FOR    UTILITY  NOTES  (OTHER  THAN  UTILITY  ASSESSMENT  NOTES)</v>
      </c>
      <c r="C2" s="1909"/>
      <c r="D2" s="1909"/>
      <c r="E2" s="1909"/>
      <c r="F2" s="1909"/>
      <c r="G2" s="1909"/>
      <c r="H2" s="1909"/>
      <c r="I2" s="1909"/>
      <c r="J2" s="1909"/>
      <c r="K2" s="1909"/>
      <c r="L2" s="1909"/>
      <c r="M2" s="1909"/>
    </row>
    <row r="3" spans="1:22" ht="21" thickBot="1">
      <c r="B3" s="1909"/>
      <c r="C3" s="1909"/>
      <c r="D3" s="1909"/>
      <c r="E3" s="1909"/>
      <c r="F3" s="1909"/>
      <c r="G3" s="1909"/>
      <c r="H3" s="1909"/>
      <c r="I3" s="1909"/>
      <c r="J3" s="1909"/>
      <c r="K3" s="1909"/>
      <c r="L3" s="1909"/>
      <c r="M3" s="1909"/>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209"/>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IF('KEY INPUTS'!C42 = "State Fiscal Year", 'KEY INPUTS'!F47,'KEY INPUTS'!D47)</f>
        <v>Dec. 31, 2021</v>
      </c>
      <c r="H8" s="1186"/>
      <c r="I8" s="1186"/>
      <c r="J8" s="1188"/>
      <c r="K8" s="1189"/>
      <c r="L8" s="1190"/>
      <c r="M8" s="1191"/>
      <c r="P8" s="309"/>
      <c r="Q8" s="309"/>
      <c r="R8" s="309"/>
      <c r="S8" s="309"/>
      <c r="T8" s="309"/>
      <c r="U8" s="309"/>
      <c r="V8" s="309"/>
    </row>
    <row r="9" spans="1:22" ht="21" customHeight="1" thickTop="1">
      <c r="B9" s="509" t="s">
        <v>292</v>
      </c>
      <c r="C9" s="644"/>
      <c r="D9" s="645"/>
      <c r="E9" s="587"/>
      <c r="F9" s="646"/>
      <c r="G9" s="587"/>
      <c r="H9" s="647"/>
      <c r="I9" s="589"/>
      <c r="J9" s="587"/>
      <c r="K9" s="587"/>
      <c r="L9" s="598"/>
      <c r="M9" s="648"/>
      <c r="P9" s="309"/>
      <c r="Q9" s="309"/>
      <c r="R9" s="309"/>
      <c r="S9" s="309"/>
      <c r="T9" s="309"/>
      <c r="U9" s="309"/>
      <c r="V9" s="309"/>
    </row>
    <row r="10" spans="1:22" ht="21" customHeight="1">
      <c r="B10" s="508" t="s">
        <v>293</v>
      </c>
      <c r="C10" s="649"/>
      <c r="D10" s="621"/>
      <c r="E10" s="571"/>
      <c r="F10" s="650"/>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654"/>
      <c r="G11" s="571"/>
      <c r="H11" s="571"/>
      <c r="I11" s="592"/>
      <c r="J11" s="571"/>
      <c r="K11" s="571"/>
      <c r="L11" s="600"/>
      <c r="M11" s="653"/>
      <c r="P11" s="309"/>
      <c r="Q11" s="309"/>
      <c r="R11" s="309"/>
      <c r="S11" s="309"/>
      <c r="T11" s="309"/>
      <c r="U11" s="309"/>
      <c r="V11" s="309"/>
    </row>
    <row r="12" spans="1:22" ht="21" customHeight="1">
      <c r="B12" s="508" t="s">
        <v>295</v>
      </c>
      <c r="C12" s="617"/>
      <c r="D12" s="621"/>
      <c r="E12" s="571"/>
      <c r="F12" s="654"/>
      <c r="G12" s="571"/>
      <c r="H12" s="571"/>
      <c r="I12" s="592"/>
      <c r="J12" s="571"/>
      <c r="K12" s="571"/>
      <c r="L12" s="600"/>
      <c r="M12" s="653"/>
      <c r="P12" s="309"/>
      <c r="Q12" s="309"/>
      <c r="R12" s="309"/>
      <c r="S12" s="309"/>
      <c r="T12" s="309"/>
      <c r="U12" s="309"/>
      <c r="V12" s="309"/>
    </row>
    <row r="13" spans="1:22" ht="21" customHeight="1">
      <c r="B13" s="508" t="s">
        <v>296</v>
      </c>
      <c r="C13" s="617"/>
      <c r="D13" s="621"/>
      <c r="E13" s="571"/>
      <c r="F13" s="654"/>
      <c r="G13" s="571"/>
      <c r="H13" s="571"/>
      <c r="I13" s="592"/>
      <c r="J13" s="571"/>
      <c r="K13" s="571"/>
      <c r="L13" s="600"/>
      <c r="M13" s="653"/>
      <c r="P13" s="309"/>
      <c r="Q13" s="309"/>
      <c r="R13" s="309"/>
      <c r="S13" s="309"/>
      <c r="T13" s="309"/>
      <c r="U13" s="309"/>
      <c r="V13" s="309"/>
    </row>
    <row r="14" spans="1:22" ht="21" customHeight="1">
      <c r="B14" s="508" t="s">
        <v>297</v>
      </c>
      <c r="C14" s="617"/>
      <c r="D14" s="621"/>
      <c r="E14" s="574"/>
      <c r="F14" s="65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65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65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65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SUM(E9:E17)+'50-Utility4'!E18</f>
        <v>0</v>
      </c>
      <c r="F18" s="661"/>
      <c r="G18" s="658">
        <f>SUM(G9:G17)+'50-Utility4'!G18</f>
        <v>0</v>
      </c>
      <c r="H18" s="658"/>
      <c r="I18" s="662"/>
      <c r="J18" s="658">
        <f>SUM(J9:J17)+'50-Utility4'!J18</f>
        <v>0</v>
      </c>
      <c r="K18" s="658">
        <f>SUM(K9:K17)+'50-Utility4'!K18</f>
        <v>0</v>
      </c>
      <c r="L18" s="663"/>
      <c r="M18" s="664"/>
      <c r="P18" s="309"/>
      <c r="Q18" s="309"/>
      <c r="R18" s="309"/>
      <c r="S18" s="309"/>
      <c r="T18" s="309"/>
      <c r="U18" s="309"/>
      <c r="V18" s="309"/>
    </row>
    <row r="19" spans="1:22" ht="21" customHeight="1">
      <c r="A19" s="507"/>
      <c r="B19" s="1292"/>
      <c r="C19" s="1132"/>
      <c r="D19" s="1132"/>
      <c r="E19" s="1293"/>
      <c r="F19" s="1132"/>
      <c r="G19" s="1293"/>
      <c r="H19" s="1293"/>
      <c r="I19" s="1294"/>
      <c r="J19" s="1293"/>
      <c r="K19" s="1293"/>
      <c r="L19" s="1293"/>
      <c r="M19" s="1132"/>
      <c r="P19" s="309"/>
      <c r="Q19" s="309"/>
      <c r="R19" s="309"/>
      <c r="S19" s="309"/>
      <c r="T19" s="309"/>
      <c r="U19" s="309"/>
      <c r="V19" s="309"/>
    </row>
    <row r="20" spans="1:22" ht="21" customHeight="1">
      <c r="A20" s="507"/>
      <c r="B20" s="1292"/>
      <c r="C20" s="1132"/>
      <c r="D20" s="1132"/>
      <c r="E20" s="1293"/>
      <c r="F20" s="1132"/>
      <c r="G20" s="1293"/>
      <c r="H20" s="1293"/>
      <c r="I20" s="1294"/>
      <c r="J20" s="1293"/>
      <c r="K20" s="1293"/>
      <c r="L20" s="1293"/>
      <c r="M20" s="1132"/>
      <c r="P20" s="309"/>
      <c r="Q20" s="309"/>
      <c r="R20" s="309"/>
      <c r="S20" s="309"/>
      <c r="T20" s="309"/>
      <c r="U20" s="309"/>
      <c r="V20" s="309"/>
    </row>
    <row r="21" spans="1:22" ht="13.5" customHeight="1" thickBot="1">
      <c r="B21" s="1295"/>
      <c r="C21" s="1296"/>
      <c r="D21" s="1297"/>
      <c r="E21" s="1132"/>
      <c r="F21" s="1132"/>
      <c r="G21" s="1132"/>
      <c r="H21" s="1132"/>
      <c r="I21" s="1132"/>
      <c r="J21" s="1298"/>
      <c r="K21" s="1132"/>
      <c r="L21" s="1132"/>
      <c r="M21" s="1132"/>
      <c r="P21" s="309"/>
      <c r="Q21" s="309"/>
      <c r="R21" s="309"/>
      <c r="S21" s="309"/>
      <c r="T21" s="309"/>
      <c r="U21" s="309"/>
      <c r="V21" s="309"/>
    </row>
    <row r="22" spans="1:22" ht="14.4" thickTop="1" thickBot="1">
      <c r="B22" s="1160" t="s">
        <v>40</v>
      </c>
      <c r="C22" s="1059"/>
      <c r="D22" s="1299"/>
      <c r="E22" s="1059"/>
      <c r="F22" s="1054"/>
      <c r="G22" s="1054"/>
      <c r="H22" s="1054"/>
      <c r="I22" s="1988" t="str">
        <f>"INTEREST  ON  NOTES  -  "&amp;UPPER('KEY INPUTS'!D57)&amp;" UTILITY  BUDGET"</f>
        <v>INTEREST  ON  NOTES  -   UTILITY  BUDGET</v>
      </c>
      <c r="J22" s="1989"/>
      <c r="K22" s="1989"/>
      <c r="L22" s="1989"/>
      <c r="M22" s="1990"/>
      <c r="P22" s="309"/>
      <c r="Q22" s="309"/>
      <c r="R22" s="309"/>
      <c r="S22" s="309"/>
      <c r="T22" s="309"/>
      <c r="U22" s="309"/>
      <c r="V22" s="309"/>
    </row>
    <row r="23" spans="1:22" ht="15.6" customHeight="1">
      <c r="B23" s="1300" t="s">
        <v>41</v>
      </c>
      <c r="C23" s="1300"/>
      <c r="D23" s="1449" t="s">
        <v>3580</v>
      </c>
      <c r="E23" s="1059"/>
      <c r="F23" s="1054"/>
      <c r="G23" s="1054"/>
      <c r="H23" s="1054"/>
      <c r="I23" s="499" t="str">
        <f>IF('KEY INPUTS'!C42="State Fiscal Year","Fiscal Year "&amp;'KEY INPUTS'!D33+1&amp;"",'KEY INPUTS'!D34+1)&amp;" Interest on Notes"</f>
        <v>2022 Interest on Notes</v>
      </c>
      <c r="J23" s="1131"/>
      <c r="K23" s="1131"/>
      <c r="L23" s="1301" t="s">
        <v>373</v>
      </c>
      <c r="M23" s="1174">
        <f>K18</f>
        <v>0</v>
      </c>
      <c r="P23" s="309"/>
      <c r="Q23" s="309"/>
      <c r="R23" s="309"/>
      <c r="S23" s="309"/>
      <c r="T23" s="309"/>
      <c r="U23" s="309"/>
      <c r="V23" s="309"/>
    </row>
    <row r="24" spans="1:22" ht="15.6" customHeight="1">
      <c r="B24" s="1160"/>
      <c r="C24" s="1160"/>
      <c r="D24" s="1451" t="s">
        <v>42</v>
      </c>
      <c r="E24" s="1059"/>
      <c r="F24" s="1054"/>
      <c r="G24" s="1054"/>
      <c r="H24" s="1054"/>
      <c r="I24" s="497" t="str">
        <f>"Less: Interest Accrued to "&amp;IF('KEY INPUTS'!C42="State Fiscal Year",(TEXT('KEY INPUTS'!F29,"mm/dd/yyy")),(TEXT('KEY INPUTS'!D29,"mm/dd/yyy")))&amp;" (Trial Balance)"</f>
        <v>Less: Interest Accrued to 12/31/2021 (Trial Balance)</v>
      </c>
      <c r="J24" s="659"/>
      <c r="K24" s="659"/>
      <c r="L24" s="496" t="s">
        <v>373</v>
      </c>
      <c r="M24" s="641"/>
      <c r="P24" s="309"/>
      <c r="Q24" s="309"/>
      <c r="R24" s="309"/>
      <c r="S24" s="309"/>
      <c r="T24" s="309"/>
      <c r="U24" s="309"/>
      <c r="V24" s="309"/>
    </row>
    <row r="25" spans="1:22" ht="15.6" customHeight="1">
      <c r="B25" s="1160"/>
      <c r="C25" s="1160"/>
      <c r="D25" s="1449" t="s">
        <v>43</v>
      </c>
      <c r="E25" s="1059"/>
      <c r="F25" s="1054"/>
      <c r="G25" s="1054"/>
      <c r="H25" s="1054"/>
      <c r="I25" s="463"/>
      <c r="J25" s="659" t="s">
        <v>317</v>
      </c>
      <c r="K25" s="659"/>
      <c r="L25" s="496" t="s">
        <v>373</v>
      </c>
      <c r="M25" s="1175">
        <f>+M23-M24</f>
        <v>0</v>
      </c>
    </row>
    <row r="26" spans="1:22" ht="15.6" customHeight="1">
      <c r="B26" s="1160"/>
      <c r="C26" s="1160"/>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1059"/>
      <c r="F26" s="1054"/>
      <c r="G26" s="1054"/>
      <c r="H26" s="1054"/>
      <c r="I26" s="497" t="str">
        <f>"Add: Interest to be Accrued as of "&amp;IF('KEY INPUTS'!C42="State Fiscal Year",(TEXT('KEY INPUTS'!F30,"mm/dd/yyy")),(TEXT('KEY INPUTS'!D30,"mm/dd/yyy")))&amp;""</f>
        <v>Add: Interest to be Accrued as of 12/31/2022</v>
      </c>
      <c r="J26" s="659"/>
      <c r="K26" s="659"/>
      <c r="L26" s="496" t="s">
        <v>373</v>
      </c>
      <c r="M26" s="641"/>
    </row>
    <row r="27" spans="1:22" ht="15.6" customHeight="1" thickBot="1">
      <c r="B27" s="1160"/>
      <c r="C27" s="1160"/>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1059"/>
      <c r="F27" s="1054"/>
      <c r="G27" s="1054"/>
      <c r="H27" s="1054"/>
      <c r="I27" s="495" t="str">
        <f>"Required Appropriation "&amp;IF('KEY INPUTS'!C42="State Fiscal Year","Fiscal Year "&amp;'KEY INPUTS'!D33+1&amp;"",'KEY INPUTS'!D34+1)&amp;""</f>
        <v>Required Appropriation 2022</v>
      </c>
      <c r="J27" s="1109"/>
      <c r="K27" s="1109"/>
      <c r="L27" s="494" t="s">
        <v>373</v>
      </c>
      <c r="M27" s="1176">
        <f>+M25+M26</f>
        <v>0</v>
      </c>
    </row>
    <row r="28" spans="1:22" ht="13.8" thickTop="1">
      <c r="B28" s="1160"/>
      <c r="C28" s="1160"/>
      <c r="D28" s="1160" t="s">
        <v>44</v>
      </c>
      <c r="E28" s="1059"/>
      <c r="F28" s="1054"/>
      <c r="G28" s="1054"/>
      <c r="H28" s="1054"/>
      <c r="I28" s="1054"/>
    </row>
    <row r="29" spans="1:22">
      <c r="B29" s="1059"/>
      <c r="C29" s="1059"/>
      <c r="D29" s="1300" t="s">
        <v>45</v>
      </c>
      <c r="E29" s="1059"/>
      <c r="F29" s="1054"/>
      <c r="G29" s="1054"/>
      <c r="H29" s="1054"/>
      <c r="I29" s="1054"/>
    </row>
    <row r="30" spans="1:22">
      <c r="J30" s="490" t="s">
        <v>98</v>
      </c>
    </row>
  </sheetData>
  <sheetProtection algorithmName="SHA-512" hashValue="ZIsS5JHF2YKh9IJtR7XCULUlFRW/IKQCwpJ1b6VOTJV77wJmbu64dFkvNkWyqkFy5eduMEm9Fkb+c7/SUuJ7HA==" saltValue="nLj5GS7142iROnuG0vZfc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8">
    <tabColor theme="2" tint="-0.249977111117893"/>
  </sheetPr>
  <dimension ref="A1:T29"/>
  <sheetViews>
    <sheetView zoomScaleNormal="100" zoomScaleSheetLayoutView="80" workbookViewId="0">
      <selection activeCell="C27" sqref="C27"/>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1" spans="1:20">
      <c r="B1" s="1086"/>
      <c r="C1" s="1086"/>
      <c r="D1" s="1086"/>
      <c r="E1" s="1086"/>
      <c r="F1" s="1086"/>
      <c r="G1" s="1086"/>
      <c r="H1" s="1086"/>
      <c r="I1" s="1086"/>
      <c r="J1" s="1086"/>
      <c r="K1" s="1086"/>
      <c r="L1" s="1086"/>
    </row>
    <row r="2" spans="1:20" ht="20.399999999999999">
      <c r="B2" s="1909" t="str">
        <f>"DEBT  SERVICE  SCHEDULE  FOR  "&amp;UPPER('KEY INPUTS'!D57) &amp;"  UTILITY  ASSESSMENT  NOTES"</f>
        <v>DEBT  SERVICE  SCHEDULE  FOR    UTILITY  ASSESSMENT  NOTES</v>
      </c>
      <c r="C2" s="1909"/>
      <c r="D2" s="1909"/>
      <c r="E2" s="1909"/>
      <c r="F2" s="1909"/>
      <c r="G2" s="1909"/>
      <c r="H2" s="1909"/>
      <c r="I2" s="1909"/>
      <c r="J2" s="1909"/>
      <c r="K2" s="1909"/>
      <c r="L2" s="1909"/>
    </row>
    <row r="3" spans="1:20" ht="21" thickBot="1">
      <c r="B3" s="2000"/>
      <c r="C3" s="2000"/>
      <c r="D3" s="2000"/>
      <c r="E3" s="2000"/>
      <c r="F3" s="2000"/>
      <c r="G3" s="2000"/>
      <c r="H3" s="2000"/>
      <c r="I3" s="2000"/>
      <c r="J3" s="2000"/>
      <c r="K3" s="2000"/>
      <c r="L3" s="2000"/>
    </row>
    <row r="4" spans="1:20" ht="13.5" customHeight="1" thickTop="1">
      <c r="B4" s="2070"/>
      <c r="C4" s="2070"/>
      <c r="D4" s="2071"/>
      <c r="E4" s="1178"/>
      <c r="F4" s="1083"/>
      <c r="G4" s="1083"/>
      <c r="H4" s="1083"/>
      <c r="I4" s="1083"/>
      <c r="J4" s="1082"/>
      <c r="K4" s="1082"/>
      <c r="L4" s="1085"/>
    </row>
    <row r="5" spans="1:20" ht="13.5" customHeight="1">
      <c r="B5" s="1086"/>
      <c r="C5" s="1086"/>
      <c r="D5" s="1086"/>
      <c r="E5" s="1087" t="s">
        <v>139</v>
      </c>
      <c r="F5" s="1091" t="s">
        <v>139</v>
      </c>
      <c r="G5" s="1091" t="s">
        <v>414</v>
      </c>
      <c r="H5" s="1091" t="s">
        <v>17</v>
      </c>
      <c r="I5" s="1091" t="s">
        <v>543</v>
      </c>
      <c r="J5" s="1994" t="str">
        <f>IF('KEY INPUTS'!C42="State Fiscal Year","Fiscal Year "&amp;'KEY INPUTS'!D33+1&amp;"",'KEY INPUTS'!D34+1)&amp;""</f>
        <v>2022</v>
      </c>
      <c r="K5" s="1995"/>
      <c r="L5" s="1089" t="s">
        <v>544</v>
      </c>
    </row>
    <row r="6" spans="1:20" ht="13.5" customHeight="1">
      <c r="B6" s="1086"/>
      <c r="C6" s="1908" t="s">
        <v>138</v>
      </c>
      <c r="D6" s="2001"/>
      <c r="E6" s="1087" t="s">
        <v>414</v>
      </c>
      <c r="F6" s="1091" t="s">
        <v>140</v>
      </c>
      <c r="G6" s="1091" t="s">
        <v>540</v>
      </c>
      <c r="H6" s="1091" t="s">
        <v>541</v>
      </c>
      <c r="I6" s="1091" t="s">
        <v>541</v>
      </c>
      <c r="J6" s="1996"/>
      <c r="K6" s="1997"/>
      <c r="L6" s="1089" t="s">
        <v>547</v>
      </c>
    </row>
    <row r="7" spans="1:20" ht="13.5" customHeight="1">
      <c r="B7" s="1086"/>
      <c r="C7" s="1086"/>
      <c r="D7" s="1086"/>
      <c r="E7" s="1087" t="s">
        <v>92</v>
      </c>
      <c r="F7" s="1087" t="s">
        <v>141</v>
      </c>
      <c r="G7" s="1087" t="s">
        <v>198</v>
      </c>
      <c r="H7" s="1087" t="s">
        <v>542</v>
      </c>
      <c r="I7" s="1087" t="s">
        <v>544</v>
      </c>
      <c r="J7" s="1087" t="s">
        <v>113</v>
      </c>
      <c r="K7" s="1087" t="s">
        <v>545</v>
      </c>
      <c r="L7" s="1089" t="s">
        <v>548</v>
      </c>
      <c r="N7" s="309"/>
      <c r="O7" s="309"/>
      <c r="P7" s="309"/>
      <c r="Q7" s="309"/>
      <c r="R7" s="309"/>
      <c r="S7" s="309"/>
      <c r="T7" s="309"/>
    </row>
    <row r="8" spans="1:20" ht="13.5" customHeight="1" thickBot="1">
      <c r="B8" s="1093"/>
      <c r="C8" s="1093"/>
      <c r="D8" s="1093"/>
      <c r="E8" s="1094"/>
      <c r="F8" s="1094"/>
      <c r="G8" s="1303" t="str">
        <f>IF('KEY INPUTS'!C42 = "State Fiscal Year", 'KEY INPUTS'!F47,'KEY INPUTS'!D47)</f>
        <v>Dec. 31, 2021</v>
      </c>
      <c r="H8" s="1094"/>
      <c r="I8" s="1094"/>
      <c r="J8" s="1095"/>
      <c r="K8" s="1195" t="s">
        <v>546</v>
      </c>
      <c r="L8" s="1097"/>
      <c r="N8" s="309"/>
      <c r="O8" s="309"/>
      <c r="P8" s="309"/>
      <c r="Q8" s="309"/>
      <c r="R8" s="309"/>
      <c r="S8" s="309"/>
      <c r="T8" s="309"/>
    </row>
    <row r="9" spans="1:20" ht="21" customHeight="1" thickTop="1">
      <c r="B9" s="2004"/>
      <c r="C9" s="2004"/>
      <c r="D9" s="2005"/>
      <c r="E9" s="575"/>
      <c r="F9" s="759"/>
      <c r="G9" s="575"/>
      <c r="H9" s="575"/>
      <c r="I9" s="760"/>
      <c r="J9" s="575"/>
      <c r="K9" s="575"/>
      <c r="L9" s="761"/>
      <c r="N9" s="356"/>
      <c r="O9" s="309"/>
      <c r="P9" s="309"/>
      <c r="Q9" s="309"/>
      <c r="R9" s="309"/>
      <c r="S9" s="309"/>
      <c r="T9" s="309"/>
    </row>
    <row r="10" spans="1:20" ht="21" customHeight="1">
      <c r="B10" s="1998"/>
      <c r="C10" s="1998"/>
      <c r="D10" s="1999"/>
      <c r="E10" s="571"/>
      <c r="F10" s="654"/>
      <c r="G10" s="571"/>
      <c r="H10" s="571"/>
      <c r="I10" s="592"/>
      <c r="J10" s="571"/>
      <c r="K10" s="571"/>
      <c r="L10" s="668"/>
      <c r="N10" s="309"/>
      <c r="O10" s="309"/>
      <c r="P10" s="309"/>
      <c r="Q10" s="309"/>
      <c r="R10" s="309"/>
      <c r="S10" s="309"/>
      <c r="T10" s="309"/>
    </row>
    <row r="11" spans="1:20" ht="21" customHeight="1">
      <c r="B11" s="1998"/>
      <c r="C11" s="1998"/>
      <c r="D11" s="1999"/>
      <c r="E11" s="571"/>
      <c r="F11" s="654"/>
      <c r="G11" s="571"/>
      <c r="H11" s="571"/>
      <c r="I11" s="592"/>
      <c r="J11" s="571"/>
      <c r="K11" s="571"/>
      <c r="L11" s="668"/>
      <c r="N11" s="309"/>
      <c r="O11" s="309"/>
      <c r="P11" s="309"/>
      <c r="Q11" s="309"/>
      <c r="R11" s="309"/>
      <c r="S11" s="309"/>
      <c r="T11" s="309"/>
    </row>
    <row r="12" spans="1:20" ht="21" customHeight="1">
      <c r="B12" s="1998"/>
      <c r="C12" s="1998"/>
      <c r="D12" s="1999"/>
      <c r="E12" s="571"/>
      <c r="F12" s="654"/>
      <c r="G12" s="571"/>
      <c r="H12" s="571"/>
      <c r="I12" s="592"/>
      <c r="J12" s="571"/>
      <c r="K12" s="571"/>
      <c r="L12" s="668"/>
      <c r="N12" s="309"/>
      <c r="O12" s="309"/>
      <c r="P12" s="309"/>
      <c r="Q12" s="309"/>
      <c r="R12" s="309"/>
      <c r="S12" s="309"/>
      <c r="T12" s="309"/>
    </row>
    <row r="13" spans="1:20" ht="21" customHeight="1">
      <c r="B13" s="1998"/>
      <c r="C13" s="1998"/>
      <c r="D13" s="1999"/>
      <c r="E13" s="571"/>
      <c r="F13" s="654"/>
      <c r="G13" s="571"/>
      <c r="H13" s="571"/>
      <c r="I13" s="592"/>
      <c r="J13" s="571"/>
      <c r="K13" s="571"/>
      <c r="L13" s="668"/>
      <c r="N13" s="309"/>
      <c r="O13" s="309"/>
      <c r="P13" s="309"/>
      <c r="Q13" s="309"/>
      <c r="R13" s="309"/>
      <c r="S13" s="309"/>
      <c r="T13" s="309"/>
    </row>
    <row r="14" spans="1:20" ht="21" customHeight="1">
      <c r="B14" s="1998"/>
      <c r="C14" s="1998"/>
      <c r="D14" s="1999"/>
      <c r="E14" s="574"/>
      <c r="F14" s="655"/>
      <c r="G14" s="574"/>
      <c r="H14" s="574"/>
      <c r="I14" s="595"/>
      <c r="J14" s="571"/>
      <c r="K14" s="571"/>
      <c r="L14" s="668"/>
      <c r="N14" s="309"/>
      <c r="O14" s="309"/>
      <c r="P14" s="309"/>
      <c r="Q14" s="309"/>
      <c r="R14" s="309"/>
      <c r="S14" s="309"/>
      <c r="T14" s="309"/>
    </row>
    <row r="15" spans="1:20" ht="21" customHeight="1">
      <c r="A15" s="1913" t="s">
        <v>3170</v>
      </c>
      <c r="B15" s="1998"/>
      <c r="C15" s="1998"/>
      <c r="D15" s="1999"/>
      <c r="E15" s="571"/>
      <c r="F15" s="654"/>
      <c r="G15" s="571"/>
      <c r="H15" s="571"/>
      <c r="I15" s="592"/>
      <c r="J15" s="571"/>
      <c r="K15" s="571"/>
      <c r="L15" s="668"/>
      <c r="N15" s="309"/>
      <c r="O15" s="309"/>
      <c r="P15" s="309"/>
      <c r="Q15" s="309"/>
      <c r="R15" s="309"/>
      <c r="S15" s="309"/>
      <c r="T15" s="309"/>
    </row>
    <row r="16" spans="1:20" ht="21" customHeight="1">
      <c r="A16" s="1913"/>
      <c r="B16" s="1998"/>
      <c r="C16" s="1998"/>
      <c r="D16" s="1999"/>
      <c r="E16" s="571"/>
      <c r="F16" s="654"/>
      <c r="G16" s="571"/>
      <c r="H16" s="571"/>
      <c r="I16" s="592"/>
      <c r="J16" s="571"/>
      <c r="K16" s="571"/>
      <c r="L16" s="668"/>
      <c r="N16" s="309"/>
      <c r="O16" s="309"/>
      <c r="P16" s="309"/>
      <c r="Q16" s="309"/>
      <c r="R16" s="309"/>
      <c r="S16" s="309"/>
      <c r="T16" s="309"/>
    </row>
    <row r="17" spans="1:20" ht="21" customHeight="1">
      <c r="A17" s="1913"/>
      <c r="B17" s="1998"/>
      <c r="C17" s="1998"/>
      <c r="D17" s="1999"/>
      <c r="E17" s="571"/>
      <c r="F17" s="654"/>
      <c r="G17" s="571"/>
      <c r="H17" s="571"/>
      <c r="I17" s="592"/>
      <c r="J17" s="571"/>
      <c r="K17" s="571"/>
      <c r="L17" s="668"/>
      <c r="N17" s="309"/>
      <c r="O17" s="309"/>
      <c r="P17" s="309"/>
      <c r="Q17" s="309"/>
      <c r="R17" s="309"/>
      <c r="S17" s="309"/>
      <c r="T17" s="309"/>
    </row>
    <row r="18" spans="1:20" ht="21" customHeight="1">
      <c r="A18" s="517"/>
      <c r="B18" s="1998"/>
      <c r="C18" s="1998"/>
      <c r="D18" s="1999"/>
      <c r="E18" s="571"/>
      <c r="F18" s="654"/>
      <c r="G18" s="571"/>
      <c r="H18" s="571"/>
      <c r="I18" s="592"/>
      <c r="J18" s="571"/>
      <c r="K18" s="571"/>
      <c r="L18" s="668"/>
      <c r="N18" s="309"/>
      <c r="O18" s="309"/>
      <c r="P18" s="309"/>
      <c r="Q18" s="309"/>
      <c r="R18" s="309"/>
      <c r="S18" s="309"/>
      <c r="T18" s="309"/>
    </row>
    <row r="19" spans="1:20" ht="21" customHeight="1">
      <c r="B19" s="1998"/>
      <c r="C19" s="1998"/>
      <c r="D19" s="1999"/>
      <c r="E19" s="571"/>
      <c r="F19" s="654"/>
      <c r="G19" s="571"/>
      <c r="H19" s="571"/>
      <c r="I19" s="592"/>
      <c r="J19" s="571"/>
      <c r="K19" s="571"/>
      <c r="L19" s="668"/>
      <c r="N19" s="309"/>
      <c r="O19" s="309"/>
      <c r="P19" s="309"/>
      <c r="Q19" s="309"/>
      <c r="R19" s="309"/>
      <c r="S19" s="309"/>
      <c r="T19" s="309"/>
    </row>
    <row r="20" spans="1:20" ht="21" customHeight="1">
      <c r="B20" s="1998"/>
      <c r="C20" s="1998"/>
      <c r="D20" s="1999"/>
      <c r="E20" s="571"/>
      <c r="F20" s="654"/>
      <c r="G20" s="571"/>
      <c r="H20" s="571"/>
      <c r="I20" s="592"/>
      <c r="J20" s="571"/>
      <c r="K20" s="571"/>
      <c r="L20" s="668"/>
      <c r="N20" s="309"/>
      <c r="O20" s="309"/>
      <c r="P20" s="309"/>
      <c r="Q20" s="309"/>
      <c r="R20" s="309"/>
      <c r="S20" s="309"/>
      <c r="T20" s="309"/>
    </row>
    <row r="21" spans="1:20" ht="21" customHeight="1">
      <c r="B21" s="1998"/>
      <c r="C21" s="1998"/>
      <c r="D21" s="1999"/>
      <c r="E21" s="571"/>
      <c r="F21" s="654"/>
      <c r="G21" s="571"/>
      <c r="H21" s="571"/>
      <c r="I21" s="592"/>
      <c r="J21" s="571"/>
      <c r="K21" s="571"/>
      <c r="L21" s="668"/>
      <c r="N21" s="309"/>
      <c r="O21" s="309"/>
      <c r="P21" s="309"/>
      <c r="Q21" s="309"/>
      <c r="R21" s="309"/>
      <c r="S21" s="309"/>
      <c r="T21" s="309"/>
    </row>
    <row r="22" spans="1:20" ht="21" customHeight="1">
      <c r="B22" s="1998"/>
      <c r="C22" s="1998"/>
      <c r="D22" s="1999"/>
      <c r="E22" s="571"/>
      <c r="F22" s="654"/>
      <c r="G22" s="571"/>
      <c r="H22" s="571"/>
      <c r="I22" s="592"/>
      <c r="J22" s="571"/>
      <c r="K22" s="571"/>
      <c r="L22" s="668"/>
      <c r="N22" s="309"/>
      <c r="O22" s="309"/>
      <c r="P22" s="309"/>
      <c r="Q22" s="309"/>
      <c r="R22" s="309"/>
      <c r="S22" s="309"/>
      <c r="T22" s="309"/>
    </row>
    <row r="23" spans="1:20" ht="21" customHeight="1" thickBot="1">
      <c r="B23" s="1406"/>
      <c r="C23" s="1407"/>
      <c r="D23" s="1408"/>
      <c r="E23" s="1304">
        <f>SUM(E9:E22)</f>
        <v>0</v>
      </c>
      <c r="F23" s="1356"/>
      <c r="G23" s="1304">
        <f>SUM(G9:G22)</f>
        <v>0</v>
      </c>
      <c r="H23" s="1304"/>
      <c r="I23" s="1304"/>
      <c r="J23" s="1304">
        <f>SUM(J9:J22)</f>
        <v>0</v>
      </c>
      <c r="K23" s="1304">
        <f>SUM(K9:K22)</f>
        <v>0</v>
      </c>
      <c r="L23" s="1357"/>
      <c r="N23" s="309"/>
      <c r="O23" s="309"/>
      <c r="P23" s="309"/>
      <c r="Q23" s="309"/>
      <c r="R23" s="309"/>
      <c r="S23" s="309"/>
      <c r="T23" s="309"/>
    </row>
    <row r="24" spans="1:20" ht="13.5" customHeight="1" thickTop="1">
      <c r="B24" s="1305" t="s">
        <v>40</v>
      </c>
      <c r="C24" s="1306"/>
      <c r="D24" s="1307"/>
      <c r="E24" s="1086"/>
      <c r="F24" s="1086"/>
      <c r="G24" s="1086"/>
      <c r="H24" s="1086"/>
      <c r="I24" s="1086"/>
      <c r="J24" s="1308"/>
      <c r="K24" s="1308"/>
      <c r="L24" s="1086"/>
    </row>
    <row r="25" spans="1:20" ht="13.5" customHeight="1">
      <c r="B25" s="1305" t="s">
        <v>550</v>
      </c>
      <c r="C25" s="1306"/>
      <c r="D25" s="1307"/>
      <c r="E25" s="1086"/>
      <c r="F25" s="1086"/>
      <c r="G25" s="1086"/>
      <c r="H25" s="1086"/>
      <c r="I25" s="1086"/>
      <c r="J25" s="1086"/>
      <c r="K25" s="1086"/>
      <c r="L25" s="1086"/>
    </row>
    <row r="26" spans="1:20" ht="13.5" customHeight="1">
      <c r="B26" s="1305"/>
      <c r="C26" s="1306"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307"/>
      <c r="E26" s="1086"/>
      <c r="F26" s="1086"/>
      <c r="G26" s="1086"/>
      <c r="H26" s="1086"/>
      <c r="I26" s="1086"/>
      <c r="J26" s="1086"/>
      <c r="K26" s="1086"/>
      <c r="L26" s="1086"/>
    </row>
    <row r="27" spans="1:20" ht="13.5" customHeight="1">
      <c r="B27" s="1305"/>
      <c r="C27" s="1306"/>
      <c r="D27" s="1309" t="s">
        <v>503</v>
      </c>
      <c r="E27" s="1086"/>
      <c r="F27" s="1086"/>
      <c r="G27" s="1086"/>
      <c r="H27" s="1086"/>
      <c r="I27" s="1086"/>
      <c r="J27" s="1086"/>
      <c r="K27" s="1086"/>
      <c r="L27" s="1086"/>
    </row>
    <row r="28" spans="1:20" ht="13.5" customHeight="1">
      <c r="B28" s="1305"/>
      <c r="C28" s="1306" t="s">
        <v>302</v>
      </c>
      <c r="D28" s="1307"/>
      <c r="E28" s="1086"/>
      <c r="F28" s="1086"/>
      <c r="G28" s="1086"/>
      <c r="H28" s="1086"/>
      <c r="I28" s="1086"/>
      <c r="J28" s="1310"/>
      <c r="K28" s="1086"/>
      <c r="L28" s="1086"/>
    </row>
    <row r="29" spans="1:20">
      <c r="B29" s="513"/>
      <c r="C29" s="383"/>
      <c r="D29" s="383"/>
    </row>
  </sheetData>
  <sheetProtection algorithmName="SHA-512" hashValue="4UIW7qq0Kojrdeh/AS8EwpRNgBu16ww4+MLZrKZZ4PltQ8guebfGikN1hW5rRDPLtuJ4lMltYUTxljJr9KtXYA==" saltValue="7LhNRmYWU906GaMtc4xJgQ=="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9">
    <tabColor theme="2" tint="-0.249977111117893"/>
  </sheetPr>
  <dimension ref="A1:R27"/>
  <sheetViews>
    <sheetView zoomScaleNormal="100" zoomScaleSheetLayoutView="80" workbookViewId="0">
      <selection activeCell="H7" sqref="H7"/>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1" spans="1:18">
      <c r="B1" s="1086"/>
      <c r="C1" s="1086"/>
      <c r="D1" s="1086"/>
      <c r="E1" s="1086"/>
      <c r="F1" s="1086"/>
      <c r="G1" s="1086"/>
      <c r="H1" s="1086"/>
      <c r="I1" s="1086"/>
    </row>
    <row r="2" spans="1:18" ht="20.399999999999999">
      <c r="B2" s="1909" t="str">
        <f>"SCHEDULE  OF  CAPITAL  LEASE  PROGRAM  OBLIGATIONS "&amp;UPPER('KEY INPUTS'!D57)&amp;"  UTILITY"</f>
        <v>SCHEDULE  OF  CAPITAL  LEASE  PROGRAM  OBLIGATIONS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70"/>
      <c r="C4" s="2070"/>
      <c r="D4" s="2070"/>
      <c r="E4" s="2070"/>
      <c r="F4" s="2071"/>
      <c r="G4" s="1302"/>
      <c r="H4" s="1082"/>
      <c r="I4" s="1207"/>
    </row>
    <row r="5" spans="1:18" ht="13.5" customHeight="1">
      <c r="B5" s="1086"/>
      <c r="C5" s="1086"/>
      <c r="D5" s="1086"/>
      <c r="E5" s="1081"/>
      <c r="F5" s="1081"/>
      <c r="G5" s="1091" t="s">
        <v>414</v>
      </c>
      <c r="H5" s="2072" t="str">
        <f>IF('KEY INPUTS'!C42="State Fiscal Year","Fiscal Year "&amp;'KEY INPUTS'!D33+1&amp;"",'KEY INPUTS'!D34+1)&amp;" Budget Requirements"</f>
        <v>2022 Budget Requirements</v>
      </c>
      <c r="I5" s="2073"/>
      <c r="J5" s="736"/>
    </row>
    <row r="6" spans="1:18" ht="13.5" customHeight="1">
      <c r="B6" s="1086"/>
      <c r="C6" s="1908" t="s">
        <v>413</v>
      </c>
      <c r="D6" s="1908"/>
      <c r="E6" s="1081"/>
      <c r="F6" s="1081"/>
      <c r="G6" s="1091" t="s">
        <v>430</v>
      </c>
      <c r="H6" s="2074"/>
      <c r="I6" s="2075"/>
      <c r="J6" s="736"/>
    </row>
    <row r="7" spans="1:18" ht="13.5" customHeight="1">
      <c r="B7" s="1086"/>
      <c r="C7" s="1086"/>
      <c r="D7" s="1086"/>
      <c r="E7" s="1081"/>
      <c r="F7" s="1211"/>
      <c r="G7" s="1212" t="str">
        <f>IF('KEY INPUTS'!C42 = "State Fiscal Year", 'KEY INPUTS'!F47,'KEY INPUTS'!D47)</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04"/>
      <c r="C9" s="2004"/>
      <c r="D9" s="2004"/>
      <c r="E9" s="2004"/>
      <c r="F9" s="2005"/>
      <c r="G9" s="763"/>
      <c r="H9" s="575"/>
      <c r="I9" s="764"/>
      <c r="L9" s="356"/>
      <c r="M9" s="309"/>
      <c r="N9" s="309"/>
      <c r="O9" s="309"/>
      <c r="P9" s="309"/>
      <c r="Q9" s="309"/>
      <c r="R9" s="309"/>
    </row>
    <row r="10" spans="1:18" ht="21" customHeight="1">
      <c r="B10" s="1998"/>
      <c r="C10" s="1998"/>
      <c r="D10" s="1998"/>
      <c r="E10" s="1998"/>
      <c r="F10" s="1999"/>
      <c r="G10" s="600"/>
      <c r="H10" s="571"/>
      <c r="I10" s="572"/>
      <c r="L10" s="309"/>
      <c r="M10" s="309"/>
      <c r="N10" s="309"/>
      <c r="O10" s="309"/>
      <c r="P10" s="309"/>
      <c r="Q10" s="309"/>
      <c r="R10" s="309"/>
    </row>
    <row r="11" spans="1:18" ht="21" customHeight="1">
      <c r="B11" s="1998"/>
      <c r="C11" s="1998"/>
      <c r="D11" s="1998"/>
      <c r="E11" s="1998"/>
      <c r="F11" s="1999"/>
      <c r="G11" s="600"/>
      <c r="H11" s="571"/>
      <c r="I11" s="572"/>
      <c r="L11" s="309"/>
      <c r="M11" s="309"/>
      <c r="N11" s="309"/>
      <c r="O11" s="309"/>
      <c r="P11" s="309"/>
      <c r="Q11" s="309"/>
      <c r="R11" s="309"/>
    </row>
    <row r="12" spans="1:18" ht="21" customHeight="1">
      <c r="B12" s="1998"/>
      <c r="C12" s="1998"/>
      <c r="D12" s="1998"/>
      <c r="E12" s="1998"/>
      <c r="F12" s="1999"/>
      <c r="G12" s="600"/>
      <c r="H12" s="571"/>
      <c r="I12" s="572"/>
      <c r="L12" s="309"/>
      <c r="M12" s="309"/>
      <c r="N12" s="309"/>
      <c r="O12" s="309"/>
      <c r="P12" s="309"/>
      <c r="Q12" s="309"/>
      <c r="R12" s="309"/>
    </row>
    <row r="13" spans="1:18" ht="21" customHeight="1">
      <c r="B13" s="1998"/>
      <c r="C13" s="1998"/>
      <c r="D13" s="1998"/>
      <c r="E13" s="1998"/>
      <c r="F13" s="1999"/>
      <c r="G13" s="600"/>
      <c r="H13" s="571"/>
      <c r="I13" s="572"/>
      <c r="L13" s="309"/>
      <c r="M13" s="309"/>
      <c r="N13" s="309"/>
      <c r="O13" s="309"/>
      <c r="P13" s="309"/>
      <c r="Q13" s="309"/>
      <c r="R13" s="309"/>
    </row>
    <row r="14" spans="1:18" ht="21" customHeight="1">
      <c r="B14" s="1998"/>
      <c r="C14" s="1998"/>
      <c r="D14" s="1998"/>
      <c r="E14" s="1998"/>
      <c r="F14" s="1999"/>
      <c r="G14" s="601"/>
      <c r="H14" s="571"/>
      <c r="I14" s="572"/>
      <c r="L14" s="309"/>
      <c r="M14" s="309"/>
      <c r="N14" s="309"/>
      <c r="O14" s="309"/>
      <c r="P14" s="309"/>
      <c r="Q14" s="309"/>
      <c r="R14" s="309"/>
    </row>
    <row r="15" spans="1:18" ht="21" customHeight="1">
      <c r="A15" s="1913" t="s">
        <v>3171</v>
      </c>
      <c r="B15" s="1998"/>
      <c r="C15" s="1998"/>
      <c r="D15" s="1998"/>
      <c r="E15" s="1998"/>
      <c r="F15" s="1999"/>
      <c r="G15" s="600"/>
      <c r="H15" s="571"/>
      <c r="I15" s="572"/>
      <c r="L15" s="309"/>
      <c r="M15" s="309"/>
      <c r="N15" s="309"/>
      <c r="O15" s="309"/>
      <c r="P15" s="309"/>
      <c r="Q15" s="309"/>
      <c r="R15" s="309"/>
    </row>
    <row r="16" spans="1:18" ht="21" customHeight="1">
      <c r="A16" s="1913"/>
      <c r="B16" s="1998"/>
      <c r="C16" s="1998"/>
      <c r="D16" s="1998"/>
      <c r="E16" s="1998"/>
      <c r="F16" s="1999"/>
      <c r="G16" s="600"/>
      <c r="H16" s="571"/>
      <c r="I16" s="572"/>
      <c r="L16" s="309"/>
      <c r="M16" s="309"/>
      <c r="N16" s="309"/>
      <c r="O16" s="309"/>
      <c r="P16" s="309"/>
      <c r="Q16" s="309"/>
      <c r="R16" s="309"/>
    </row>
    <row r="17" spans="1:18" ht="21" customHeight="1">
      <c r="A17" s="1913"/>
      <c r="B17" s="1998"/>
      <c r="C17" s="1998"/>
      <c r="D17" s="1998"/>
      <c r="E17" s="1998"/>
      <c r="F17" s="1999"/>
      <c r="G17" s="600"/>
      <c r="H17" s="571"/>
      <c r="I17" s="572"/>
      <c r="L17" s="309"/>
      <c r="M17" s="309"/>
      <c r="N17" s="309"/>
      <c r="O17" s="309"/>
      <c r="P17" s="309"/>
      <c r="Q17" s="309"/>
      <c r="R17" s="309"/>
    </row>
    <row r="18" spans="1:18" ht="21" customHeight="1">
      <c r="A18" s="517"/>
      <c r="B18" s="1998"/>
      <c r="C18" s="1998"/>
      <c r="D18" s="1998"/>
      <c r="E18" s="1998"/>
      <c r="F18" s="1999"/>
      <c r="G18" s="600"/>
      <c r="H18" s="571"/>
      <c r="I18" s="572"/>
      <c r="L18" s="309"/>
      <c r="M18" s="309"/>
      <c r="N18" s="309"/>
      <c r="O18" s="309"/>
      <c r="P18" s="309"/>
      <c r="Q18" s="309"/>
      <c r="R18" s="309"/>
    </row>
    <row r="19" spans="1:18" ht="21" customHeight="1">
      <c r="B19" s="1998"/>
      <c r="C19" s="1998"/>
      <c r="D19" s="1998"/>
      <c r="E19" s="1998"/>
      <c r="F19" s="1999"/>
      <c r="G19" s="600"/>
      <c r="H19" s="571"/>
      <c r="I19" s="572"/>
      <c r="L19" s="309"/>
      <c r="M19" s="309"/>
      <c r="N19" s="309"/>
      <c r="O19" s="309"/>
      <c r="P19" s="309"/>
      <c r="Q19" s="309"/>
      <c r="R19" s="309"/>
    </row>
    <row r="20" spans="1:18" ht="21" customHeight="1">
      <c r="B20" s="1998"/>
      <c r="C20" s="1998"/>
      <c r="D20" s="1998"/>
      <c r="E20" s="1998"/>
      <c r="F20" s="1999"/>
      <c r="G20" s="600"/>
      <c r="H20" s="571"/>
      <c r="I20" s="572"/>
      <c r="L20" s="309"/>
      <c r="M20" s="309"/>
      <c r="N20" s="309"/>
      <c r="O20" s="309"/>
      <c r="P20" s="309"/>
      <c r="Q20" s="309"/>
      <c r="R20" s="309"/>
    </row>
    <row r="21" spans="1:18" ht="21" customHeight="1">
      <c r="B21" s="1998"/>
      <c r="C21" s="1998"/>
      <c r="D21" s="1998"/>
      <c r="E21" s="1998"/>
      <c r="F21" s="1999"/>
      <c r="G21" s="600"/>
      <c r="H21" s="571"/>
      <c r="I21" s="572"/>
      <c r="L21" s="309"/>
      <c r="M21" s="309"/>
      <c r="N21" s="309"/>
      <c r="O21" s="309"/>
      <c r="P21" s="309"/>
      <c r="Q21" s="309"/>
      <c r="R21" s="309"/>
    </row>
    <row r="22" spans="1:18" ht="21" customHeight="1" thickBot="1">
      <c r="B22" s="1998"/>
      <c r="C22" s="1998"/>
      <c r="D22" s="1998"/>
      <c r="E22" s="1998"/>
      <c r="F22" s="1999"/>
      <c r="G22" s="602"/>
      <c r="H22" s="596"/>
      <c r="I22" s="603"/>
      <c r="L22" s="309"/>
      <c r="M22" s="309"/>
      <c r="N22" s="309"/>
      <c r="O22" s="309"/>
      <c r="P22" s="309"/>
      <c r="Q22" s="309"/>
      <c r="R22" s="309"/>
    </row>
    <row r="23" spans="1:18" ht="21" customHeight="1" thickTop="1" thickBot="1">
      <c r="B23" s="1196"/>
      <c r="C23" s="1102"/>
      <c r="D23" s="1312" t="s">
        <v>137</v>
      </c>
      <c r="E23" s="1006"/>
      <c r="F23" s="1213"/>
      <c r="G23" s="1313">
        <f>SUM(G9:G22)</f>
        <v>0</v>
      </c>
      <c r="H23" s="1027">
        <f>SUM(H9:H22)</f>
        <v>0</v>
      </c>
      <c r="I23" s="1101">
        <f>SUM(I9:I22)</f>
        <v>0</v>
      </c>
      <c r="L23" s="309"/>
      <c r="M23" s="309"/>
      <c r="N23" s="309"/>
      <c r="O23" s="309"/>
      <c r="P23" s="309"/>
      <c r="Q23" s="309"/>
      <c r="R23" s="309"/>
    </row>
    <row r="24" spans="1:18" ht="13.5" customHeight="1" thickTop="1">
      <c r="B24" s="765"/>
      <c r="C24" s="383"/>
      <c r="D24" s="766"/>
      <c r="H24" s="476"/>
      <c r="I24" s="476"/>
    </row>
    <row r="25" spans="1:18" ht="13.5" customHeight="1">
      <c r="B25" s="765"/>
      <c r="C25" s="383"/>
      <c r="D25" s="766"/>
    </row>
    <row r="26" spans="1:18" ht="13.5" customHeight="1">
      <c r="B26" s="765"/>
      <c r="C26" s="383"/>
      <c r="D26" s="766"/>
      <c r="H26" s="762"/>
    </row>
    <row r="27" spans="1:18">
      <c r="B27" s="513"/>
      <c r="C27" s="383"/>
      <c r="D27" s="383"/>
    </row>
  </sheetData>
  <sheetProtection algorithmName="SHA-512" hashValue="fR4+z7pXS8HvH42mF59bjj01yEwAj+N3oXOo5rYrhZc2g/S1tSVsPX8h3oquL2868l0bZHsN5zOA47I4rHRsjg==" saltValue="IyCLjRbrJlFQ+YhIBebGUQ=="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0">
    <tabColor theme="2" tint="-0.249977111117893"/>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INPUTS'!D57)&amp;"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670"/>
      <c r="C9" s="642"/>
      <c r="D9" s="645"/>
      <c r="E9" s="587"/>
      <c r="F9" s="587"/>
      <c r="G9" s="587"/>
      <c r="H9" s="587"/>
      <c r="I9" s="587"/>
      <c r="J9" s="587"/>
      <c r="K9" s="587"/>
      <c r="L9" s="599"/>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3173</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516"/>
      <c r="C27" s="385"/>
      <c r="D27" s="486" t="s">
        <v>3363</v>
      </c>
      <c r="E27" s="133">
        <f t="shared" ref="E27:L27" si="0">SUM(E9:E26)</f>
        <v>0</v>
      </c>
      <c r="F27" s="133">
        <f t="shared" si="0"/>
        <v>0</v>
      </c>
      <c r="G27" s="133">
        <f t="shared" si="0"/>
        <v>0</v>
      </c>
      <c r="H27" s="133">
        <f t="shared" si="0"/>
        <v>0</v>
      </c>
      <c r="I27" s="133">
        <f t="shared" si="0"/>
        <v>0</v>
      </c>
      <c r="J27" s="133">
        <f t="shared" si="0"/>
        <v>0</v>
      </c>
      <c r="K27" s="133">
        <f t="shared" si="0"/>
        <v>0</v>
      </c>
      <c r="L27" s="153">
        <f t="shared" si="0"/>
        <v>0</v>
      </c>
    </row>
    <row r="28" spans="1:21" ht="13.5" customHeight="1" thickTop="1">
      <c r="B28" s="521"/>
      <c r="C28" s="520" t="s">
        <v>522</v>
      </c>
      <c r="D28" s="519"/>
      <c r="E28" s="482"/>
      <c r="F28" s="482"/>
      <c r="G28" s="482"/>
      <c r="H28" s="482"/>
      <c r="I28" s="482"/>
      <c r="J28" s="482"/>
      <c r="K28" s="515"/>
      <c r="L28" s="515"/>
    </row>
    <row r="42" spans="11:12">
      <c r="K42" s="318" t="s">
        <v>3214</v>
      </c>
      <c r="L42" s="525">
        <f>K27+L27</f>
        <v>0</v>
      </c>
    </row>
  </sheetData>
  <sheetProtection algorithmName="SHA-512" hashValue="xoXmicmHbYvQjEyrwib9xbw5hGSJVYwUu5ZDKW4TekPkU56Z0stlTaZsJ/h17Ub0GJa3hz2oGvtzZ/u/pxV/hQ==" saltValue="tZOy4+ypmUHiWQ5pe31SXg=="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1">
    <tabColor theme="2" tint="-0.249977111117893"/>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INPUTS'!D57)&amp;"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+'52-Utility4'!E27</f>
        <v>0</v>
      </c>
      <c r="F9" s="1217">
        <f>+'52-Utility4'!F27</f>
        <v>0</v>
      </c>
      <c r="G9" s="1217">
        <f>+'52-Utility4'!G27</f>
        <v>0</v>
      </c>
      <c r="H9" s="1217">
        <f>+'52-Utility4'!H27</f>
        <v>0</v>
      </c>
      <c r="I9" s="1217">
        <f>+'52-Utility4'!I27</f>
        <v>0</v>
      </c>
      <c r="J9" s="1217">
        <f>+'52-Utility4'!J27</f>
        <v>0</v>
      </c>
      <c r="K9" s="1217">
        <f>+'52-Utility4'!K27</f>
        <v>0</v>
      </c>
      <c r="L9" s="1221">
        <f>+'52-Utility4'!L27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lKqusVj65UzvOt0HM5yOmpPqRr2HCr2dpHqT0Z5MWNGGGZtpVFEJYucJ6EH0oVjpeLIcyM99D/6NVdKclRxzWg==" saltValue="Kn+bQMIIGiXnmi9bds+20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2">
    <tabColor theme="2" tint="-0.249977111117893"/>
  </sheetPr>
  <dimension ref="A1:U42"/>
  <sheetViews>
    <sheetView topLeftCell="B1"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INPUTS'!D57)&amp;"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3368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+'52.1-Utility4'!E27</f>
        <v>0</v>
      </c>
      <c r="F9" s="1217">
        <f>+'52.1-Utility4'!F27</f>
        <v>0</v>
      </c>
      <c r="G9" s="1217">
        <f>+'52.1-Utility4'!G27</f>
        <v>0</v>
      </c>
      <c r="H9" s="1217">
        <f>+'52.1-Utility4'!H27</f>
        <v>0</v>
      </c>
      <c r="I9" s="1217">
        <f>+'52.1-Utility4'!I27</f>
        <v>0</v>
      </c>
      <c r="J9" s="1217">
        <f>+'52.1-Utility4'!J27</f>
        <v>0</v>
      </c>
      <c r="K9" s="1217">
        <f>+'52.1-Utility4'!K27</f>
        <v>0</v>
      </c>
      <c r="L9" s="1221">
        <f>+'52.1-Utility4'!L27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r54dk76bGkY2Djjsnw6WhbRyh7JBsr6i6a0s6p16S51A5lV7LiIppOmaop2ggwpE3GgN9qRaDRZt5OHneGdXAQ==" saltValue="2RgrxISjM141hHVB5f0Xq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3">
    <tabColor theme="2" tint="-0.249977111117893"/>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INPUTS'!D57)&amp;"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+'52.2-Utility4'!E27</f>
        <v>0</v>
      </c>
      <c r="F9" s="1217">
        <f>+'52.2-Utility4'!F27</f>
        <v>0</v>
      </c>
      <c r="G9" s="1217">
        <f>+'52.2-Utility4'!G27</f>
        <v>0</v>
      </c>
      <c r="H9" s="1217">
        <f>+'52.2-Utility4'!H27</f>
        <v>0</v>
      </c>
      <c r="I9" s="1217">
        <f>+'52.2-Utility4'!I27</f>
        <v>0</v>
      </c>
      <c r="J9" s="1217">
        <f>+'52.2-Utility4'!J27</f>
        <v>0</v>
      </c>
      <c r="K9" s="1217">
        <f>+'52.2-Utility4'!K27</f>
        <v>0</v>
      </c>
      <c r="L9" s="1221">
        <f>+'52.2-Utility4'!L27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f/+p3L2uho3/SnR9oXCuprBFwlkIqv+5DUg4zX3PQq/+Tyr+B/YtVsZVTmdCfyd5MsidLcgsSX39pVShSB1rsA==" saltValue="kBOVP9xEPDLtyoQRqFqOH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4">
    <tabColor theme="2" tint="-0.249977111117893"/>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INPUTS'!D57)&amp;"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218" t="s">
        <v>3266</v>
      </c>
      <c r="C9" s="1219"/>
      <c r="D9" s="1220"/>
      <c r="E9" s="1217">
        <f>+'52.3-Utility4'!E27</f>
        <v>0</v>
      </c>
      <c r="F9" s="1217">
        <f>+'52.3-Utility4'!F27</f>
        <v>0</v>
      </c>
      <c r="G9" s="1217">
        <f>+'52.3-Utility4'!G27</f>
        <v>0</v>
      </c>
      <c r="H9" s="1217">
        <f>+'52.3-Utility4'!H27</f>
        <v>0</v>
      </c>
      <c r="I9" s="1217">
        <f>+'52.3-Utility4'!I27</f>
        <v>0</v>
      </c>
      <c r="J9" s="1217">
        <f>+'52.3-Utility4'!J27</f>
        <v>0</v>
      </c>
      <c r="K9" s="1217">
        <f>+'52.3-Utility4'!K27</f>
        <v>0</v>
      </c>
      <c r="L9" s="1221">
        <f>+'52.3-Utility4'!L27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3364</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799</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vpDcr1+y/TdsHCSU8J/09ANdQn+GLbX4GUqf889rOtM9+M2BVd5KoKEljn/s1a1YePFQW5UAHtIoDdgpu/xlVw==" saltValue="8rbZzkfk0r9cpPedErcOg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5">
    <tabColor theme="2" tint="-0.249977111117893"/>
  </sheetPr>
  <dimension ref="B1:S54"/>
  <sheetViews>
    <sheetView topLeftCell="A19" zoomScaleNormal="100" zoomScaleSheetLayoutView="80" workbookViewId="0">
      <selection activeCell="O43" sqref="O43"/>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1" spans="2:19">
      <c r="B1" s="1086"/>
      <c r="C1" s="1086"/>
      <c r="D1" s="1086"/>
      <c r="E1" s="1086"/>
      <c r="F1" s="1086"/>
      <c r="G1" s="1086"/>
      <c r="H1" s="1086"/>
      <c r="I1" s="1086"/>
      <c r="J1" s="1086"/>
    </row>
    <row r="2" spans="2:19">
      <c r="B2" s="1086"/>
      <c r="C2" s="1086"/>
      <c r="D2" s="1086"/>
      <c r="E2" s="1086"/>
      <c r="F2" s="1086"/>
      <c r="G2" s="1086"/>
      <c r="H2" s="1086"/>
      <c r="I2" s="1086"/>
      <c r="J2" s="1086"/>
    </row>
    <row r="3" spans="2:19" ht="22.8">
      <c r="B3" s="1887" t="str">
        <f>UPPER('KEY INPUTS'!D$57)&amp;" UTILITY  CAPITAL  FUND"</f>
        <v xml:space="preserve"> UTILITY  CAPITAL  FUND</v>
      </c>
      <c r="C3" s="1887"/>
      <c r="D3" s="1887"/>
      <c r="E3" s="1887"/>
      <c r="F3" s="1887"/>
      <c r="G3" s="1887"/>
      <c r="H3" s="1887"/>
      <c r="I3" s="1887"/>
      <c r="J3" s="1887"/>
    </row>
    <row r="4" spans="2:19">
      <c r="B4" s="1086"/>
      <c r="C4" s="1086"/>
      <c r="D4" s="1086"/>
      <c r="E4" s="1086"/>
      <c r="F4" s="1086"/>
      <c r="G4" s="1086"/>
      <c r="H4" s="1086"/>
      <c r="I4" s="1086"/>
      <c r="J4" s="1086"/>
    </row>
    <row r="5" spans="2:19" ht="15.6">
      <c r="B5" s="1904" t="s">
        <v>526</v>
      </c>
      <c r="C5" s="1904"/>
      <c r="D5" s="1904"/>
      <c r="E5" s="1904"/>
      <c r="F5" s="1904"/>
      <c r="G5" s="1904"/>
      <c r="H5" s="1904"/>
      <c r="I5" s="1904"/>
      <c r="J5" s="1904"/>
    </row>
    <row r="6" spans="2:19" ht="13.8" thickBot="1">
      <c r="B6" s="1086"/>
      <c r="C6" s="1086"/>
      <c r="D6" s="1086"/>
      <c r="E6" s="1086"/>
      <c r="F6" s="1086"/>
      <c r="G6" s="1086"/>
      <c r="H6" s="1086"/>
      <c r="I6" s="1086"/>
      <c r="J6" s="1086"/>
    </row>
    <row r="7" spans="2:19" ht="28.5" customHeight="1" thickTop="1" thickBot="1">
      <c r="B7" s="1327"/>
      <c r="C7" s="1327"/>
      <c r="D7" s="1327"/>
      <c r="E7" s="1327"/>
      <c r="F7" s="1327"/>
      <c r="G7" s="1327"/>
      <c r="H7" s="1327"/>
      <c r="I7" s="1074" t="s">
        <v>96</v>
      </c>
      <c r="J7" s="1075" t="s">
        <v>97</v>
      </c>
    </row>
    <row r="8" spans="2:19" ht="21" customHeight="1" thickTop="1">
      <c r="B8" s="1098" t="str">
        <f>IF('KEY INPUTS'!C42 = "State Fiscal Year", 'KEY INPUTS'!F25,'KEY INPUTS'!D25)</f>
        <v>Balance - January 1, 2021</v>
      </c>
      <c r="C8" s="1098"/>
      <c r="D8" s="1098"/>
      <c r="E8" s="1098"/>
      <c r="F8" s="1098"/>
      <c r="G8" s="1098"/>
      <c r="H8" s="1339"/>
      <c r="I8" s="1029" t="s">
        <v>628</v>
      </c>
      <c r="J8" s="607"/>
    </row>
    <row r="9" spans="2:19" ht="21" customHeight="1">
      <c r="B9" s="1079" t="str">
        <f>"Received from "&amp;IF('KEY INPUTS'!C42="State Fiscal Year","Fiscal Year "&amp;'KEY INPUTS'!D33)&amp;" Budget Appropriation"</f>
        <v>Received from FALSE Budget Appropriation</v>
      </c>
      <c r="C9" s="1079"/>
      <c r="D9" s="1079"/>
      <c r="E9" s="1079"/>
      <c r="F9" s="1079"/>
      <c r="G9" s="1079"/>
      <c r="H9" s="1340"/>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1341" t="s">
        <v>176</v>
      </c>
      <c r="C11" s="1342"/>
      <c r="D11" s="1342"/>
      <c r="E11" s="1342"/>
      <c r="F11" s="1342"/>
      <c r="G11" s="1342"/>
      <c r="H11" s="1343"/>
      <c r="I11" s="2033" t="s">
        <v>628</v>
      </c>
      <c r="J11" s="2031"/>
      <c r="M11" s="356"/>
      <c r="N11" s="309"/>
      <c r="O11" s="309"/>
      <c r="P11" s="309"/>
      <c r="Q11" s="309"/>
      <c r="R11" s="309"/>
      <c r="S11" s="309"/>
    </row>
    <row r="12" spans="2:19" ht="12.75" customHeight="1">
      <c r="B12" s="1330"/>
      <c r="C12" s="1344" t="s">
        <v>177</v>
      </c>
      <c r="D12" s="1330"/>
      <c r="E12" s="1330"/>
      <c r="F12" s="1330"/>
      <c r="G12" s="1330"/>
      <c r="H12" s="1345"/>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1079" t="s">
        <v>179</v>
      </c>
      <c r="C22" s="1079"/>
      <c r="D22" s="1079"/>
      <c r="E22" s="1079"/>
      <c r="F22" s="1079"/>
      <c r="G22" s="1079"/>
      <c r="H22" s="1340"/>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1079" t="str">
        <f>IF('KEY INPUTS'!C42 = "State Fiscal Year", 'KEY INPUTS'!F26,'KEY INPUTS'!D26)</f>
        <v>Balance - December 31, 2021</v>
      </c>
      <c r="C24" s="1079"/>
      <c r="D24" s="1079"/>
      <c r="E24" s="1079"/>
      <c r="F24" s="1079"/>
      <c r="G24" s="1079"/>
      <c r="H24" s="1340"/>
      <c r="I24" s="1047">
        <f>+SUM(J8:J13)-SUM(I13:I23)</f>
        <v>0</v>
      </c>
      <c r="J24" s="1045" t="s">
        <v>628</v>
      </c>
      <c r="M24" s="309"/>
      <c r="N24" s="309"/>
      <c r="O24" s="309"/>
      <c r="P24" s="309"/>
      <c r="Q24" s="309"/>
      <c r="R24" s="309"/>
      <c r="S24" s="309"/>
    </row>
    <row r="25" spans="2:19" ht="21" customHeight="1" thickTop="1" thickBot="1">
      <c r="B25" s="1086"/>
      <c r="C25" s="1086"/>
      <c r="D25" s="1086"/>
      <c r="E25" s="1086"/>
      <c r="F25" s="1086"/>
      <c r="G25" s="1086"/>
      <c r="H25" s="1086"/>
      <c r="I25" s="1008">
        <f>SUM(I8:I24)</f>
        <v>0</v>
      </c>
      <c r="J25" s="1048">
        <f>SUM(J8:J24)</f>
        <v>0</v>
      </c>
      <c r="M25" s="309"/>
      <c r="N25" s="309"/>
      <c r="O25" s="309"/>
      <c r="P25" s="309"/>
      <c r="Q25" s="309"/>
      <c r="R25" s="309"/>
      <c r="S25" s="309"/>
    </row>
    <row r="26" spans="2:19" ht="13.8" thickTop="1">
      <c r="B26" s="1086"/>
      <c r="C26" s="1086"/>
      <c r="D26" s="1086"/>
      <c r="E26" s="1086"/>
      <c r="F26" s="1086"/>
      <c r="G26" s="1086"/>
      <c r="H26" s="1086"/>
      <c r="I26" s="1086"/>
      <c r="J26" s="1086"/>
    </row>
    <row r="27" spans="2:19">
      <c r="B27" s="1086"/>
      <c r="C27" s="1086"/>
      <c r="D27" s="1086"/>
      <c r="E27" s="1086"/>
      <c r="F27" s="1086"/>
      <c r="G27" s="1086"/>
      <c r="H27" s="1086"/>
      <c r="I27" s="1086"/>
      <c r="J27" s="1086"/>
    </row>
    <row r="28" spans="2:19">
      <c r="B28" s="1086"/>
      <c r="C28" s="1086"/>
      <c r="D28" s="1086"/>
      <c r="E28" s="1086"/>
      <c r="F28" s="1086"/>
      <c r="G28" s="1086"/>
      <c r="H28" s="1086"/>
      <c r="I28" s="1086"/>
      <c r="J28" s="1086"/>
    </row>
    <row r="29" spans="2:19">
      <c r="B29" s="1086"/>
      <c r="C29" s="1086"/>
      <c r="D29" s="1086"/>
      <c r="E29" s="1086"/>
      <c r="F29" s="1086"/>
      <c r="G29" s="1086"/>
      <c r="H29" s="1086"/>
      <c r="I29" s="1086"/>
      <c r="J29" s="1086"/>
    </row>
    <row r="30" spans="2:19" ht="22.8">
      <c r="B30" s="1887" t="str">
        <f>UPPER('KEY INPUTS'!D$57)&amp;" UTILITY  CAPITAL  FUND"</f>
        <v xml:space="preserve"> UTILITY  CAPITAL  FUND</v>
      </c>
      <c r="C30" s="1887"/>
      <c r="D30" s="1887"/>
      <c r="E30" s="1887"/>
      <c r="F30" s="1887"/>
      <c r="G30" s="1887"/>
      <c r="H30" s="1887"/>
      <c r="I30" s="1887"/>
      <c r="J30" s="1887"/>
    </row>
    <row r="31" spans="2:19" ht="7.5" customHeight="1">
      <c r="B31" s="1086"/>
      <c r="C31" s="1086"/>
      <c r="D31" s="1086"/>
      <c r="E31" s="1086"/>
      <c r="F31" s="1086"/>
      <c r="G31" s="1086"/>
      <c r="H31" s="1086"/>
      <c r="I31" s="1086"/>
      <c r="J31" s="1086"/>
    </row>
    <row r="32" spans="2:19" ht="15.6">
      <c r="B32" s="1904" t="s">
        <v>180</v>
      </c>
      <c r="C32" s="1904"/>
      <c r="D32" s="1904"/>
      <c r="E32" s="1904"/>
      <c r="F32" s="1904"/>
      <c r="G32" s="1904"/>
      <c r="H32" s="1904"/>
      <c r="I32" s="1904"/>
      <c r="J32" s="1904"/>
    </row>
    <row r="33" spans="2:10" ht="13.8" thickBot="1">
      <c r="B33" s="1086"/>
      <c r="C33" s="1086"/>
      <c r="D33" s="1086"/>
      <c r="E33" s="1086"/>
      <c r="F33" s="1086"/>
      <c r="G33" s="1086"/>
      <c r="H33" s="1086"/>
      <c r="I33" s="1086"/>
      <c r="J33" s="1086"/>
    </row>
    <row r="34" spans="2:10" ht="26.25" customHeight="1" thickTop="1" thickBot="1">
      <c r="B34" s="1327"/>
      <c r="C34" s="1327"/>
      <c r="D34" s="1327"/>
      <c r="E34" s="1327"/>
      <c r="F34" s="1327"/>
      <c r="G34" s="1327"/>
      <c r="H34" s="1327"/>
      <c r="I34" s="1074" t="s">
        <v>96</v>
      </c>
      <c r="J34" s="1075" t="s">
        <v>97</v>
      </c>
    </row>
    <row r="35" spans="2:10" ht="21" customHeight="1" thickTop="1">
      <c r="B35" s="1098" t="str">
        <f>IF('KEY INPUTS'!C42 = "State Fiscal Year", 'KEY INPUTS'!F25,'KEY INPUTS'!D25)</f>
        <v>Balance - January 1, 2021</v>
      </c>
      <c r="C35" s="1098"/>
      <c r="D35" s="1098"/>
      <c r="E35" s="1098"/>
      <c r="F35" s="1098"/>
      <c r="G35" s="1098"/>
      <c r="H35" s="1339"/>
      <c r="I35" s="1029" t="s">
        <v>628</v>
      </c>
      <c r="J35" s="607"/>
    </row>
    <row r="36" spans="2:10" ht="21" customHeight="1">
      <c r="B36" s="1079" t="str">
        <f>"Received from "&amp;IF('KEY INPUTS'!C42="State Fiscal Year","Fiscal Year "&amp;'KEY INPUTS'!D33)&amp;" Budget Appropriation *"</f>
        <v>Received from FALSE Budget Appropriation *</v>
      </c>
      <c r="C36" s="1079"/>
      <c r="D36" s="1079"/>
      <c r="E36" s="1079"/>
      <c r="F36" s="1079"/>
      <c r="G36" s="1079"/>
      <c r="H36" s="1340"/>
      <c r="I36" s="926" t="s">
        <v>628</v>
      </c>
      <c r="J36" s="578"/>
    </row>
    <row r="37" spans="2:10" ht="21" customHeight="1">
      <c r="B37" s="1079" t="str">
        <f>"Received from "&amp;IF('KEY INPUTS'!C42="State Fiscal Year","Fiscal Year "&amp;'KEY INPUTS'!D33)&amp;" Emergency Appropriation *"</f>
        <v>Received from FALSE Emergency Appropriation *</v>
      </c>
      <c r="C37" s="1079"/>
      <c r="D37" s="1079"/>
      <c r="E37" s="1079"/>
      <c r="F37" s="1079"/>
      <c r="G37" s="1079"/>
      <c r="H37" s="1340"/>
      <c r="I37" s="926" t="s">
        <v>628</v>
      </c>
      <c r="J37" s="578"/>
    </row>
    <row r="38" spans="2:10" ht="21" customHeight="1">
      <c r="B38" s="637"/>
      <c r="C38" s="1222"/>
      <c r="D38" s="637"/>
      <c r="E38" s="637"/>
      <c r="F38" s="637"/>
      <c r="G38" s="637"/>
      <c r="H38" s="637"/>
      <c r="I38" s="652"/>
      <c r="J38" s="355"/>
    </row>
    <row r="39" spans="2:10" ht="21" customHeight="1">
      <c r="B39" s="1079" t="s">
        <v>179</v>
      </c>
      <c r="C39" s="1079"/>
      <c r="D39" s="1079"/>
      <c r="E39" s="1079"/>
      <c r="F39" s="1079"/>
      <c r="G39" s="1079"/>
      <c r="H39" s="1340"/>
      <c r="I39" s="571"/>
      <c r="J39" s="930" t="s">
        <v>628</v>
      </c>
    </row>
    <row r="40" spans="2:10" ht="21" customHeight="1">
      <c r="B40" s="617"/>
      <c r="C40" s="617"/>
      <c r="D40" s="617"/>
      <c r="E40" s="617"/>
      <c r="F40" s="617"/>
      <c r="G40" s="617"/>
      <c r="H40" s="617"/>
      <c r="I40" s="571"/>
      <c r="J40" s="930" t="s">
        <v>628</v>
      </c>
    </row>
    <row r="41" spans="2:10" ht="21" customHeight="1" thickBot="1">
      <c r="B41" s="1079" t="str">
        <f>IF('KEY INPUTS'!C42 = "State Fiscal Year", 'KEY INPUTS'!F26,'KEY INPUTS'!D26)</f>
        <v>Balance - December 31, 2021</v>
      </c>
      <c r="C41" s="1079"/>
      <c r="D41" s="1079"/>
      <c r="E41" s="1079"/>
      <c r="F41" s="1079"/>
      <c r="G41" s="1079"/>
      <c r="H41" s="1340"/>
      <c r="I41" s="1223">
        <f>SUM(J35:J38)-SUM(I38:I40)</f>
        <v>0</v>
      </c>
      <c r="J41" s="1045" t="s">
        <v>628</v>
      </c>
    </row>
    <row r="42" spans="2:10" ht="21" customHeight="1" thickTop="1" thickBot="1">
      <c r="B42" s="1086"/>
      <c r="C42" s="1086"/>
      <c r="D42" s="1086"/>
      <c r="E42" s="1086"/>
      <c r="F42" s="1086"/>
      <c r="G42" s="1086"/>
      <c r="H42" s="1086"/>
      <c r="I42" s="1008">
        <f>SUM(I35:I41)</f>
        <v>0</v>
      </c>
      <c r="J42" s="1048">
        <f>SUM(J35:J41)</f>
        <v>0</v>
      </c>
    </row>
    <row r="43" spans="2:10" ht="21" customHeight="1" thickTop="1">
      <c r="I43" s="186"/>
      <c r="J43" s="186"/>
    </row>
    <row r="44" spans="2:10" ht="21" customHeight="1"/>
    <row r="45" spans="2:10" ht="13.5" customHeight="1">
      <c r="B45" s="526" t="str">
        <f>"*The full amount of the "&amp;IF('KEY INPUTS'!C42="State Fiscal Year","Fiscal Year "&amp;'KEY INPUTS'!D33)&amp;" budget appropriation should be transferred to this account unless the balance of"</f>
        <v>*The full amount of the FALSE budget appropriation should be transferred to this account unless the balance of</v>
      </c>
      <c r="C45" s="526"/>
    </row>
    <row r="46" spans="2:10" ht="13.5" customHeight="1">
      <c r="B46" s="526"/>
      <c r="C46" s="526" t="s">
        <v>3584</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8szPc9yx32pV87NnKfi+Zc8/ZcK0Tgq0OL86B80kULh7tWFNJHrLOvddCdsK8i9QoXo8NvzoClSSsPwh4/zdcw==" saltValue="KYJYe9zOryjAEANObKOMjQ==" spinCount="100000" sheet="1" objects="1" scenarios="1"/>
  <mergeCells count="7">
    <mergeCell ref="B3:J3"/>
    <mergeCell ref="B5:J5"/>
    <mergeCell ref="B30:J30"/>
    <mergeCell ref="B32:J32"/>
    <mergeCell ref="B54:J54"/>
    <mergeCell ref="J11:J12"/>
    <mergeCell ref="I11:I12"/>
  </mergeCells>
  <pageMargins left="0.25" right="0.25" top="0.5" bottom="0.5" header="0.25" footer="0.25"/>
  <pageSetup paperSize="5" orientation="portrait" r:id="rId1"/>
  <headerFooter alignWithMargins="0"/>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6">
    <tabColor theme="2" tint="-0.249977111117893"/>
  </sheetPr>
  <dimension ref="B1:AC52"/>
  <sheetViews>
    <sheetView zoomScaleNormal="100" zoomScaleSheetLayoutView="80" workbookViewId="0">
      <selection activeCell="O41" sqref="O41"/>
    </sheetView>
  </sheetViews>
  <sheetFormatPr defaultColWidth="8.88671875" defaultRowHeight="13.2"/>
  <cols>
    <col min="1" max="3" width="4.6640625" style="370" customWidth="1"/>
    <col min="4" max="4" width="4.5546875" style="370" customWidth="1"/>
    <col min="5" max="5" width="8.88671875" style="370"/>
    <col min="6" max="6" width="6.6640625" style="370" customWidth="1"/>
    <col min="7" max="10" width="16.6640625" style="370" customWidth="1"/>
    <col min="11" max="20" width="8.88671875" style="370"/>
    <col min="21" max="23" width="4.6640625" style="309" customWidth="1"/>
    <col min="24" max="24" width="8.88671875" style="309"/>
    <col min="25" max="25" width="6.6640625" style="309" customWidth="1"/>
    <col min="26" max="29" width="16.6640625" style="309" customWidth="1"/>
    <col min="30" max="16384" width="8.88671875" style="370"/>
  </cols>
  <sheetData>
    <row r="1" spans="2:19">
      <c r="B1" s="1054"/>
      <c r="C1" s="1054"/>
      <c r="D1" s="1162"/>
      <c r="E1" s="1162"/>
      <c r="F1" s="1054"/>
      <c r="G1" s="1054"/>
      <c r="H1" s="1054"/>
      <c r="I1" s="1054"/>
      <c r="J1" s="1054"/>
    </row>
    <row r="2" spans="2:19">
      <c r="B2" s="1054"/>
      <c r="C2" s="1054"/>
      <c r="D2" s="1162"/>
      <c r="E2" s="1162"/>
      <c r="F2" s="1054"/>
      <c r="G2" s="1054"/>
      <c r="H2" s="1054"/>
      <c r="I2" s="1054"/>
      <c r="J2" s="1054"/>
    </row>
    <row r="3" spans="2:19" ht="24.6">
      <c r="B3" s="2035" t="str">
        <f>UPPER('KEY INPUTS'!D$57)&amp;" UTILITY FUND"</f>
        <v xml:space="preserve"> UTILITY FUND</v>
      </c>
      <c r="C3" s="2035"/>
      <c r="D3" s="2035"/>
      <c r="E3" s="2035"/>
      <c r="F3" s="2035"/>
      <c r="G3" s="2035"/>
      <c r="H3" s="2035"/>
      <c r="I3" s="2035"/>
      <c r="J3" s="2035"/>
    </row>
    <row r="4" spans="2:19">
      <c r="B4" s="1054"/>
      <c r="C4" s="1054"/>
      <c r="D4" s="1054"/>
      <c r="E4" s="1054"/>
      <c r="F4" s="1054"/>
      <c r="G4" s="1054"/>
      <c r="H4" s="1054"/>
      <c r="I4" s="1054"/>
      <c r="J4" s="1054"/>
    </row>
    <row r="5" spans="2:19" ht="17.399999999999999">
      <c r="B5" s="1926" t="str">
        <f>"CAPITAL  IMPROVEMENTS  AUTHORIZED  IN  "&amp;IF('KEY INPUTS'!C42="State Fiscal Year","FISCAL  YEAR  "&amp;'KEY INPUTS'!D33&amp;"",'KEY INPUTS'!D34+1)&amp;""</f>
        <v>CAPITAL  IMPROVEMENTS  AUTHORIZED  IN  2022</v>
      </c>
      <c r="C5" s="1926"/>
      <c r="D5" s="1926"/>
      <c r="E5" s="1926"/>
      <c r="F5" s="1926"/>
      <c r="G5" s="1926"/>
      <c r="H5" s="1926"/>
      <c r="I5" s="1926"/>
      <c r="J5" s="1926"/>
    </row>
    <row r="6" spans="2:19" ht="17.399999999999999">
      <c r="B6" s="1926" t="s">
        <v>3572</v>
      </c>
      <c r="C6" s="1926"/>
      <c r="D6" s="1926"/>
      <c r="E6" s="1926"/>
      <c r="F6" s="1926"/>
      <c r="G6" s="1926"/>
      <c r="H6" s="1926"/>
      <c r="I6" s="1926"/>
      <c r="J6" s="1926"/>
    </row>
    <row r="7" spans="2:19" ht="13.8" thickBot="1">
      <c r="B7" s="1054"/>
      <c r="C7" s="1054"/>
      <c r="D7" s="1054"/>
      <c r="E7" s="1054"/>
      <c r="F7" s="1054"/>
      <c r="G7" s="1054"/>
      <c r="H7" s="1054"/>
      <c r="I7" s="1054"/>
      <c r="J7" s="1054"/>
    </row>
    <row r="8" spans="2:19" ht="13.8" thickTop="1">
      <c r="B8" s="1177"/>
      <c r="C8" s="1177"/>
      <c r="D8" s="1177"/>
      <c r="E8" s="1177"/>
      <c r="F8" s="1177"/>
      <c r="G8" s="1178"/>
      <c r="H8" s="1178"/>
      <c r="I8" s="1178"/>
      <c r="J8" s="1242" t="s">
        <v>240</v>
      </c>
    </row>
    <row r="9" spans="2:19">
      <c r="B9" s="1054"/>
      <c r="C9" s="1992" t="s">
        <v>413</v>
      </c>
      <c r="D9" s="1992"/>
      <c r="E9" s="1992"/>
      <c r="F9" s="1054"/>
      <c r="G9" s="1181" t="s">
        <v>414</v>
      </c>
      <c r="H9" s="1181" t="s">
        <v>201</v>
      </c>
      <c r="I9" s="1181" t="s">
        <v>204</v>
      </c>
      <c r="J9" s="1239" t="s">
        <v>241</v>
      </c>
    </row>
    <row r="10" spans="2:19">
      <c r="B10" s="1054"/>
      <c r="C10" s="1054"/>
      <c r="D10" s="1054"/>
      <c r="E10" s="1054"/>
      <c r="F10" s="1054"/>
      <c r="G10" s="1181" t="s">
        <v>202</v>
      </c>
      <c r="H10" s="1181" t="s">
        <v>203</v>
      </c>
      <c r="I10" s="1181" t="s">
        <v>205</v>
      </c>
      <c r="J10" s="1346" t="str">
        <f>"of " &amp;IF('KEY INPUTS'!C42="State Fiscal Year","FY "&amp;'KEY INPUTS'!D33&amp;"",'KEY INPUTS'!D34+1)&amp;" or"</f>
        <v>of 2022 or</v>
      </c>
    </row>
    <row r="11" spans="2:19" ht="13.8" thickBot="1">
      <c r="B11" s="1109"/>
      <c r="C11" s="1109"/>
      <c r="D11" s="1109"/>
      <c r="E11" s="1109"/>
      <c r="F11" s="1109"/>
      <c r="G11" s="1188"/>
      <c r="H11" s="1188" t="s">
        <v>441</v>
      </c>
      <c r="I11" s="1188" t="s">
        <v>239</v>
      </c>
      <c r="J11" s="1347"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1109"/>
      <c r="C22" s="1109"/>
      <c r="D22" s="1109"/>
      <c r="E22" s="1109"/>
      <c r="F22" s="1109"/>
      <c r="G22" s="1071">
        <f>SUM(G12:G21)</f>
        <v>0</v>
      </c>
      <c r="H22" s="1071">
        <f>SUM(H12:H21)</f>
        <v>0</v>
      </c>
      <c r="I22" s="1071">
        <f>SUM(I12:I21)</f>
        <v>0</v>
      </c>
      <c r="J22" s="1348">
        <f>SUM(J12:J21)</f>
        <v>0</v>
      </c>
      <c r="M22" s="309"/>
      <c r="N22" s="309"/>
      <c r="O22" s="309"/>
      <c r="P22" s="309"/>
      <c r="Q22" s="309"/>
      <c r="R22" s="309"/>
      <c r="S22" s="309"/>
    </row>
    <row r="23" spans="2:19" ht="13.8" thickTop="1">
      <c r="B23" s="1054"/>
      <c r="C23" s="1054"/>
      <c r="D23" s="1054"/>
      <c r="E23" s="1054"/>
      <c r="F23" s="1054"/>
      <c r="G23" s="1054"/>
      <c r="H23" s="1054"/>
      <c r="I23" s="1054"/>
      <c r="J23" s="1054"/>
      <c r="M23" s="309"/>
      <c r="N23" s="309"/>
      <c r="O23" s="309"/>
      <c r="P23" s="309"/>
      <c r="Q23" s="309"/>
      <c r="R23" s="309"/>
      <c r="S23" s="309"/>
    </row>
    <row r="24" spans="2:19">
      <c r="B24" s="1054"/>
      <c r="C24" s="1054"/>
      <c r="D24" s="1054"/>
      <c r="E24" s="1054"/>
      <c r="F24" s="1054"/>
      <c r="G24" s="1054"/>
      <c r="H24" s="1054"/>
      <c r="I24" s="1054"/>
      <c r="J24" s="1054"/>
      <c r="M24" s="309"/>
      <c r="N24" s="309"/>
      <c r="O24" s="309"/>
      <c r="P24" s="309"/>
      <c r="Q24" s="309"/>
      <c r="R24" s="309"/>
      <c r="S24" s="309"/>
    </row>
    <row r="25" spans="2:19">
      <c r="B25" s="1054"/>
      <c r="C25" s="1054"/>
      <c r="D25" s="1054"/>
      <c r="E25" s="1054"/>
      <c r="F25" s="1054"/>
      <c r="G25" s="1054"/>
      <c r="H25" s="1054"/>
      <c r="I25" s="1054"/>
      <c r="J25" s="1054"/>
      <c r="M25" s="309"/>
      <c r="N25" s="309"/>
      <c r="O25" s="309"/>
      <c r="P25" s="309"/>
      <c r="Q25" s="309"/>
      <c r="R25" s="309"/>
      <c r="S25" s="309"/>
    </row>
    <row r="26" spans="2:19">
      <c r="B26" s="1054"/>
      <c r="C26" s="1054"/>
      <c r="D26" s="1054"/>
      <c r="E26" s="1054"/>
      <c r="F26" s="1054"/>
      <c r="G26" s="1054"/>
      <c r="H26" s="1054"/>
      <c r="I26" s="1054"/>
      <c r="J26" s="1054"/>
      <c r="M26" s="309"/>
      <c r="N26" s="309"/>
      <c r="O26" s="309"/>
      <c r="P26" s="309"/>
      <c r="Q26" s="309"/>
      <c r="R26" s="309"/>
      <c r="S26" s="309"/>
    </row>
    <row r="27" spans="2:19">
      <c r="B27" s="1054"/>
      <c r="C27" s="1054"/>
      <c r="D27" s="1054"/>
      <c r="E27" s="1054"/>
      <c r="F27" s="1054"/>
      <c r="G27" s="1054"/>
      <c r="H27" s="1054"/>
      <c r="I27" s="1054"/>
      <c r="J27" s="1054"/>
      <c r="M27" s="309"/>
      <c r="N27" s="309"/>
      <c r="O27" s="309"/>
      <c r="P27" s="309"/>
      <c r="Q27" s="309"/>
      <c r="R27" s="309"/>
      <c r="S27" s="309"/>
    </row>
    <row r="28" spans="2:19" ht="22.8">
      <c r="B28" s="1887" t="str">
        <f>UPPER('KEY INPUTS'!D$57)&amp;" UTILITY  CAPITAL  FUND"</f>
        <v xml:space="preserve"> UTILITY  CAPITAL  FUND</v>
      </c>
      <c r="C28" s="1887"/>
      <c r="D28" s="1887"/>
      <c r="E28" s="1887"/>
      <c r="F28" s="1887"/>
      <c r="G28" s="1887"/>
      <c r="H28" s="1887"/>
      <c r="I28" s="1887"/>
      <c r="J28" s="1887"/>
    </row>
    <row r="29" spans="2:19" ht="22.8">
      <c r="B29" s="1887" t="s">
        <v>154</v>
      </c>
      <c r="C29" s="1887"/>
      <c r="D29" s="1887"/>
      <c r="E29" s="1887"/>
      <c r="F29" s="1887"/>
      <c r="G29" s="1887"/>
      <c r="H29" s="1887"/>
      <c r="I29" s="1887"/>
      <c r="J29" s="1887"/>
    </row>
    <row r="30" spans="2:19">
      <c r="B30" s="1054"/>
      <c r="C30" s="1054"/>
      <c r="D30" s="1054"/>
      <c r="E30" s="1054"/>
      <c r="F30" s="1054"/>
      <c r="G30" s="1054"/>
      <c r="H30" s="1054"/>
      <c r="I30" s="1054"/>
      <c r="J30" s="1054"/>
    </row>
    <row r="31" spans="2:19" ht="15.6">
      <c r="B31" s="1883" t="str">
        <f>IF('KEY INPUTS'!C42="State Fiscal Year",(UPPER("Fiscal Year "&amp;'KEY INPUTS'!D33))&amp;"",'KEY INPUTS'!D34+1)&amp;""</f>
        <v>2022</v>
      </c>
      <c r="C31" s="1883"/>
      <c r="D31" s="1883"/>
      <c r="E31" s="1883"/>
      <c r="F31" s="1883"/>
      <c r="G31" s="1883"/>
      <c r="H31" s="1883"/>
      <c r="I31" s="1883"/>
      <c r="J31" s="1883"/>
    </row>
    <row r="32" spans="2:19" ht="13.8" thickBot="1">
      <c r="B32" s="1054"/>
      <c r="C32" s="1054"/>
      <c r="D32" s="1054"/>
      <c r="E32" s="1054"/>
      <c r="F32" s="1054"/>
      <c r="G32" s="1054"/>
      <c r="H32" s="1054"/>
      <c r="I32" s="1054"/>
      <c r="J32" s="1054"/>
    </row>
    <row r="33" spans="2:10" ht="28.5" customHeight="1" thickTop="1" thickBot="1">
      <c r="B33" s="1273"/>
      <c r="C33" s="1273"/>
      <c r="D33" s="1273"/>
      <c r="E33" s="1273"/>
      <c r="F33" s="1273"/>
      <c r="G33" s="1273"/>
      <c r="H33" s="1273"/>
      <c r="I33" s="1055" t="s">
        <v>96</v>
      </c>
      <c r="J33" s="1056" t="s">
        <v>97</v>
      </c>
    </row>
    <row r="34" spans="2:10" ht="21" customHeight="1" thickTop="1">
      <c r="B34" s="676" t="str">
        <f>IF('KEY INPUTS'!C42 = "State Fiscal Year", 'KEY INPUTS'!F25,'KEY INPUTS'!D25)</f>
        <v>Balance - January 1, 2021</v>
      </c>
      <c r="C34" s="1110"/>
      <c r="D34" s="1110"/>
      <c r="E34" s="1110"/>
      <c r="F34" s="1110"/>
      <c r="G34" s="1110"/>
      <c r="H34" s="1110"/>
      <c r="I34" s="1111" t="s">
        <v>628</v>
      </c>
      <c r="J34" s="606"/>
    </row>
    <row r="35" spans="2:10" ht="21" customHeight="1">
      <c r="B35" s="374" t="s">
        <v>155</v>
      </c>
      <c r="C35" s="659"/>
      <c r="D35" s="659"/>
      <c r="E35" s="659"/>
      <c r="F35" s="659"/>
      <c r="G35" s="659"/>
      <c r="H35" s="659"/>
      <c r="I35" s="1114" t="s">
        <v>628</v>
      </c>
      <c r="J35" s="550"/>
    </row>
    <row r="36" spans="2:10" ht="21" customHeight="1">
      <c r="B36" s="374" t="s">
        <v>156</v>
      </c>
      <c r="C36" s="659"/>
      <c r="D36" s="659"/>
      <c r="E36" s="659"/>
      <c r="F36" s="659"/>
      <c r="G36" s="659"/>
      <c r="H36" s="659"/>
      <c r="I36" s="1114" t="s">
        <v>628</v>
      </c>
      <c r="J36" s="550"/>
    </row>
    <row r="37" spans="2:10" ht="21" customHeight="1">
      <c r="B37" s="617" t="s">
        <v>3215</v>
      </c>
      <c r="C37" s="617"/>
      <c r="D37" s="617"/>
      <c r="E37" s="617"/>
      <c r="F37" s="617"/>
      <c r="G37" s="617"/>
      <c r="H37" s="617"/>
      <c r="I37" s="353"/>
      <c r="J37" s="550"/>
    </row>
    <row r="38" spans="2:10" ht="21" customHeight="1">
      <c r="B38" s="617"/>
      <c r="C38" s="617"/>
      <c r="D38" s="617"/>
      <c r="E38" s="617"/>
      <c r="F38" s="617"/>
      <c r="G38" s="617"/>
      <c r="H38" s="617"/>
      <c r="I38" s="353"/>
      <c r="J38" s="550"/>
    </row>
    <row r="39" spans="2:10" ht="21" customHeight="1">
      <c r="B39" s="617"/>
      <c r="C39" s="617"/>
      <c r="D39" s="617"/>
      <c r="E39" s="617"/>
      <c r="F39" s="617"/>
      <c r="G39" s="617"/>
      <c r="H39" s="617"/>
      <c r="I39" s="353"/>
      <c r="J39" s="550"/>
    </row>
    <row r="40" spans="2:10" ht="21" customHeight="1">
      <c r="B40" s="659" t="s">
        <v>3176</v>
      </c>
      <c r="C40" s="659"/>
      <c r="D40" s="659"/>
      <c r="E40" s="659"/>
      <c r="F40" s="659"/>
      <c r="G40" s="659"/>
      <c r="H40" s="659"/>
      <c r="I40" s="353"/>
      <c r="J40" s="1240" t="s">
        <v>628</v>
      </c>
    </row>
    <row r="41" spans="2:10" ht="21" customHeight="1">
      <c r="B41" s="871" t="str">
        <f>"Appropriation to "&amp;IF('KEY INPUTS'!C42="State Fiscal Year","Fiscal Year "&amp;'KEY INPUTS'!D33&amp;"",'KEY INPUTS'!D34+1)&amp;" Budget Reserve"</f>
        <v>Appropriation to 2022 Budget Reserve</v>
      </c>
      <c r="C41" s="659"/>
      <c r="D41" s="659"/>
      <c r="E41" s="659"/>
      <c r="F41" s="659"/>
      <c r="G41" s="1350"/>
      <c r="H41" s="659"/>
      <c r="I41" s="547"/>
      <c r="J41" s="1240" t="s">
        <v>628</v>
      </c>
    </row>
    <row r="42" spans="2:10" ht="21" customHeight="1">
      <c r="B42" s="659" t="str">
        <f>IF('KEY INPUTS'!C42 = "State Fiscal Year", 'KEY INPUTS'!F26,'KEY INPUTS'!D26)</f>
        <v>Balance - December 31, 2021</v>
      </c>
      <c r="C42" s="659"/>
      <c r="D42" s="659"/>
      <c r="E42" s="659"/>
      <c r="F42" s="659"/>
      <c r="G42" s="659"/>
      <c r="H42" s="659"/>
      <c r="I42" s="800">
        <f>SUM(J34:J39)-SUM(I37:I41)</f>
        <v>0</v>
      </c>
      <c r="J42" s="1240" t="s">
        <v>628</v>
      </c>
    </row>
    <row r="43" spans="2:10" ht="21" customHeight="1" thickBot="1">
      <c r="B43" s="1054"/>
      <c r="C43" s="1054"/>
      <c r="D43" s="1054"/>
      <c r="E43" s="1054"/>
      <c r="F43" s="1054"/>
      <c r="G43" s="1054"/>
      <c r="H43" s="1054"/>
      <c r="I43" s="1049">
        <f>SUM(I34:I42)</f>
        <v>0</v>
      </c>
      <c r="J43" s="1351">
        <f>SUM(J34:J42)</f>
        <v>0</v>
      </c>
    </row>
    <row r="44" spans="2:10" ht="21" customHeight="1" thickTop="1">
      <c r="J44" s="737"/>
    </row>
    <row r="45" spans="2:10" ht="21" customHeight="1"/>
    <row r="46" spans="2:10" ht="21" customHeight="1"/>
    <row r="47" spans="2:10" ht="21" customHeight="1"/>
    <row r="48" spans="2:10" ht="21" customHeight="1"/>
    <row r="49" spans="2:10" ht="21" customHeight="1"/>
    <row r="52" spans="2:10" ht="13.8">
      <c r="B52" s="1882" t="s">
        <v>3175</v>
      </c>
      <c r="C52" s="1882"/>
      <c r="D52" s="1882"/>
      <c r="E52" s="1882"/>
      <c r="F52" s="1882"/>
      <c r="G52" s="1882"/>
      <c r="H52" s="1882"/>
      <c r="I52" s="1882"/>
      <c r="J52" s="1882"/>
    </row>
  </sheetData>
  <sheetProtection algorithmName="SHA-512" hashValue="blgl0Pj3gl6fP9kul376qyWYcyZkkNq8jF4HZqDK371tQRghepyNfn5LpTz9oSk9NS2vzRK1RuAtwQiI/kZmdw==" saltValue="ZkelkP+kH54P8bsK+VumCg==" spinCount="100000"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7">
    <tabColor theme="7" tint="0.39997558519241921"/>
  </sheetPr>
  <dimension ref="B1:R57"/>
  <sheetViews>
    <sheetView zoomScaleNormal="100" zoomScaleSheetLayoutView="80" workbookViewId="0">
      <selection activeCell="F42" sqref="F42"/>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1" spans="2:18">
      <c r="B1" s="1054"/>
      <c r="C1" s="1054"/>
      <c r="D1" s="1054"/>
      <c r="E1" s="1054"/>
      <c r="F1" s="1054"/>
      <c r="G1" s="1054"/>
      <c r="H1" s="1054"/>
    </row>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INPUTS'!D58)&amp;"  UTILITY  FUND"</f>
        <v>TRIAL  BALANCE -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571"/>
      <c r="H15" s="578"/>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+'47-Utility5'!L24</f>
        <v>0</v>
      </c>
      <c r="H20" s="1063"/>
      <c r="L20" s="309"/>
      <c r="M20" s="309"/>
      <c r="N20" s="309"/>
      <c r="O20" s="309"/>
      <c r="P20" s="309"/>
      <c r="Q20" s="309"/>
      <c r="R20" s="309"/>
    </row>
    <row r="21" spans="2:18" ht="21" customHeight="1">
      <c r="B21" s="659" t="s">
        <v>3207</v>
      </c>
      <c r="C21" s="659"/>
      <c r="D21" s="659"/>
      <c r="E21" s="659"/>
      <c r="F21" s="659"/>
      <c r="G21" s="658">
        <f>+'47-Utility5'!L54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+'44-Utility5'!I37</f>
        <v>0</v>
      </c>
      <c r="J31" s="708"/>
    </row>
    <row r="32" spans="2:18" ht="21" customHeight="1">
      <c r="B32" s="659" t="s">
        <v>3136</v>
      </c>
      <c r="C32" s="659"/>
      <c r="D32" s="659"/>
      <c r="E32" s="659"/>
      <c r="F32" s="659"/>
      <c r="G32" s="571"/>
      <c r="H32" s="578"/>
    </row>
    <row r="33" spans="2:18" ht="21" customHeight="1">
      <c r="B33" s="659" t="s">
        <v>3135</v>
      </c>
      <c r="C33" s="659"/>
      <c r="D33" s="659"/>
      <c r="E33" s="659"/>
      <c r="F33" s="659"/>
      <c r="G33" s="571"/>
      <c r="H33" s="1066">
        <f>+'49-Utility5'!I29+'49a-Utility5'!I29+'50.1-Utility5'!M24+'49a.1-Utility5'!I29</f>
        <v>0</v>
      </c>
      <c r="J33" s="708"/>
    </row>
    <row r="34" spans="2:18" ht="21" customHeight="1">
      <c r="B34" s="617" t="s">
        <v>3217</v>
      </c>
      <c r="C34" s="617"/>
      <c r="D34" s="617"/>
      <c r="E34" s="617"/>
      <c r="F34" s="621"/>
      <c r="G34" s="571"/>
      <c r="H34" s="578"/>
    </row>
    <row r="35" spans="2:18" ht="21" customHeight="1">
      <c r="B35" s="617"/>
      <c r="C35" s="617"/>
      <c r="D35" s="617"/>
      <c r="E35" s="617"/>
      <c r="F35" s="617"/>
      <c r="G35" s="571"/>
      <c r="H35" s="578"/>
      <c r="L35" s="309"/>
      <c r="M35" s="309"/>
      <c r="N35" s="309"/>
      <c r="O35" s="309"/>
      <c r="P35" s="309"/>
      <c r="Q35" s="309"/>
      <c r="R35" s="309"/>
    </row>
    <row r="36" spans="2:18" ht="21" customHeight="1">
      <c r="B36" s="617"/>
      <c r="C36" s="617"/>
      <c r="D36" s="617"/>
      <c r="E36" s="617"/>
      <c r="F36" s="617"/>
      <c r="G36" s="571"/>
      <c r="H36" s="578"/>
      <c r="J36" s="708"/>
      <c r="L36" s="309"/>
      <c r="M36" s="309"/>
      <c r="N36" s="309"/>
      <c r="O36" s="309"/>
      <c r="P36" s="309"/>
      <c r="Q36" s="309"/>
      <c r="R36" s="309"/>
    </row>
    <row r="37" spans="2:18" ht="21" customHeight="1">
      <c r="B37" s="617"/>
      <c r="C37" s="617"/>
      <c r="D37" s="617"/>
      <c r="E37" s="617"/>
      <c r="F37" s="617"/>
      <c r="G37" s="571"/>
      <c r="H37" s="578"/>
      <c r="J37" s="708"/>
      <c r="L37" s="309"/>
      <c r="M37" s="309"/>
      <c r="N37" s="309"/>
      <c r="O37" s="309"/>
      <c r="P37" s="309"/>
      <c r="Q37" s="309"/>
      <c r="R37" s="309"/>
    </row>
    <row r="38" spans="2:18" ht="21" customHeight="1" thickBot="1">
      <c r="B38" s="617"/>
      <c r="C38" s="617"/>
      <c r="D38" s="617"/>
      <c r="E38" s="617"/>
      <c r="F38" s="617"/>
      <c r="G38" s="571"/>
      <c r="H38" s="602"/>
      <c r="L38" s="309"/>
      <c r="M38" s="309"/>
      <c r="N38" s="309"/>
      <c r="O38" s="309"/>
      <c r="P38" s="309"/>
      <c r="Q38" s="309"/>
      <c r="R38" s="309"/>
    </row>
    <row r="39" spans="2:18" ht="21" customHeight="1" thickTop="1">
      <c r="B39" s="659"/>
      <c r="C39" s="659" t="s">
        <v>3134</v>
      </c>
      <c r="D39" s="659"/>
      <c r="E39" s="659"/>
      <c r="F39" s="1224"/>
      <c r="G39" s="1225"/>
      <c r="H39" s="1067">
        <f>SUM(H30:H38)</f>
        <v>0</v>
      </c>
      <c r="I39" s="370" t="s">
        <v>796</v>
      </c>
    </row>
    <row r="40" spans="2:18" ht="21" customHeight="1">
      <c r="B40" s="1068" t="s">
        <v>3218</v>
      </c>
      <c r="C40" s="1068"/>
      <c r="D40" s="1068"/>
      <c r="E40" s="1068"/>
      <c r="F40" s="1068"/>
      <c r="G40" s="1063"/>
      <c r="H40" s="1051"/>
    </row>
    <row r="41" spans="2:18" ht="21" customHeight="1">
      <c r="B41" s="617"/>
      <c r="C41" s="617"/>
      <c r="D41" s="617"/>
      <c r="E41" s="617"/>
      <c r="F41" s="617"/>
      <c r="G41" s="571"/>
      <c r="H41" s="578"/>
    </row>
    <row r="42" spans="2:18" ht="21" customHeight="1">
      <c r="B42" s="659" t="s">
        <v>618</v>
      </c>
      <c r="C42" s="659"/>
      <c r="D42" s="659"/>
      <c r="E42" s="659"/>
      <c r="F42" s="659"/>
      <c r="G42" s="658"/>
      <c r="H42" s="1064">
        <f>+'46-Utility5'!K27</f>
        <v>0</v>
      </c>
    </row>
    <row r="43" spans="2:18" ht="21" customHeight="1" thickBot="1">
      <c r="B43" s="659"/>
      <c r="C43" s="659"/>
      <c r="D43" s="659"/>
      <c r="E43" s="659"/>
      <c r="F43" s="659"/>
      <c r="G43" s="1069"/>
      <c r="H43" s="1070"/>
    </row>
    <row r="44" spans="2:18" ht="21" customHeight="1" thickBot="1">
      <c r="B44" s="659" t="s">
        <v>3219</v>
      </c>
      <c r="C44" s="659"/>
      <c r="D44" s="659"/>
      <c r="E44" s="659"/>
      <c r="F44" s="659"/>
      <c r="G44" s="1071">
        <f>SUM(G12:G43)</f>
        <v>0</v>
      </c>
      <c r="H44" s="1072">
        <f>SUM(H39:H43)</f>
        <v>0</v>
      </c>
      <c r="J44" s="371">
        <f>G44-H44</f>
        <v>0</v>
      </c>
    </row>
    <row r="45" spans="2:18" ht="13.8" thickTop="1">
      <c r="B45" s="1992" t="s">
        <v>98</v>
      </c>
      <c r="C45" s="1992"/>
      <c r="D45" s="1992"/>
      <c r="E45" s="1992"/>
      <c r="F45" s="1992"/>
      <c r="G45" s="1992"/>
      <c r="H45" s="1992"/>
    </row>
    <row r="46" spans="2:18">
      <c r="B46" s="1239"/>
      <c r="C46" s="1239"/>
      <c r="D46" s="1239"/>
      <c r="E46" s="1239"/>
      <c r="F46" s="1239"/>
      <c r="G46" s="1239"/>
      <c r="H46" s="1239"/>
    </row>
    <row r="47" spans="2:18">
      <c r="B47" s="1239"/>
      <c r="C47" s="1239"/>
      <c r="D47" s="1239"/>
      <c r="E47" s="1239"/>
      <c r="F47" s="1239"/>
      <c r="G47" s="1239"/>
      <c r="H47" s="1239"/>
    </row>
    <row r="48" spans="2:18">
      <c r="B48" s="1239"/>
      <c r="C48" s="1239"/>
      <c r="D48" s="1239"/>
      <c r="E48" s="1239"/>
      <c r="F48" s="1239"/>
      <c r="G48" s="1239"/>
      <c r="H48" s="1239"/>
    </row>
    <row r="49" spans="2:8">
      <c r="B49" s="1239"/>
      <c r="C49" s="1239"/>
      <c r="D49" s="1239"/>
      <c r="E49" s="1239"/>
      <c r="F49" s="1239"/>
      <c r="G49" s="1239"/>
      <c r="H49" s="1239"/>
    </row>
    <row r="50" spans="2:8" ht="13.8">
      <c r="B50" s="2076" t="s">
        <v>3132</v>
      </c>
      <c r="C50" s="2076"/>
      <c r="D50" s="2076"/>
      <c r="E50" s="2076"/>
      <c r="F50" s="2076"/>
      <c r="G50" s="2076"/>
      <c r="H50" s="2076"/>
    </row>
    <row r="54" spans="2:8">
      <c r="H54" s="371"/>
    </row>
    <row r="57" spans="2:8">
      <c r="H57" s="371">
        <f>+H44-G44</f>
        <v>0</v>
      </c>
    </row>
  </sheetData>
  <sheetProtection algorithmName="SHA-512" hashValue="okS1eNo+CONaZrydUCfddjwHJFISldR8qr6/pNU5G6nJV63rDTqE2CVf7y0uWMOFYYlLTHhsVYBvIXFaioLJrA==" saltValue="nUddsvSTUN9ctP01Wy/wNw=="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8">
    <tabColor theme="7" tint="0.39997558519241921"/>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INPUTS'!D58)&amp;"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1054"/>
      <c r="C12" s="1054"/>
      <c r="D12" s="1054"/>
      <c r="E12" s="1054"/>
      <c r="F12" s="1054"/>
      <c r="G12" s="1057"/>
      <c r="H12" s="1058"/>
    </row>
    <row r="13" spans="2:17" ht="21" customHeight="1">
      <c r="B13" s="1065" t="s">
        <v>643</v>
      </c>
      <c r="C13" s="659"/>
      <c r="D13" s="659"/>
      <c r="E13" s="659"/>
      <c r="F13" s="659"/>
      <c r="G13" s="658"/>
      <c r="H13" s="1064"/>
      <c r="K13" s="309"/>
      <c r="L13" s="309"/>
      <c r="M13" s="309"/>
      <c r="N13" s="309"/>
      <c r="O13" s="309"/>
      <c r="P13" s="309"/>
      <c r="Q13" s="309"/>
    </row>
    <row r="14" spans="2:17" ht="21" customHeight="1">
      <c r="B14" s="659"/>
      <c r="C14" s="659"/>
      <c r="D14" s="659"/>
      <c r="E14" s="659"/>
      <c r="F14" s="659"/>
      <c r="G14" s="658"/>
      <c r="H14" s="1064"/>
      <c r="K14" s="309"/>
      <c r="L14" s="309"/>
      <c r="M14" s="309"/>
      <c r="N14" s="309"/>
      <c r="O14" s="309"/>
      <c r="P14" s="309"/>
      <c r="Q14" s="309"/>
    </row>
    <row r="15" spans="2:17" ht="21" customHeight="1">
      <c r="B15" s="1054" t="s">
        <v>192</v>
      </c>
      <c r="C15" s="659"/>
      <c r="D15" s="659"/>
      <c r="E15" s="659"/>
      <c r="F15" s="659"/>
      <c r="G15" s="351"/>
      <c r="H15" s="1240" t="s">
        <v>628</v>
      </c>
      <c r="K15" s="356"/>
      <c r="L15" s="309"/>
      <c r="M15" s="309"/>
      <c r="N15" s="309"/>
      <c r="O15" s="309"/>
      <c r="P15" s="309"/>
      <c r="Q15" s="309"/>
    </row>
    <row r="16" spans="2:17" ht="21" customHeight="1">
      <c r="B16" s="659" t="s">
        <v>193</v>
      </c>
      <c r="C16" s="659"/>
      <c r="D16" s="659"/>
      <c r="E16" s="659"/>
      <c r="F16" s="659"/>
      <c r="G16" s="1114" t="s">
        <v>628</v>
      </c>
      <c r="H16" s="870">
        <f>+G15</f>
        <v>0</v>
      </c>
      <c r="K16" s="309"/>
      <c r="L16" s="309"/>
      <c r="M16" s="309"/>
      <c r="N16" s="309"/>
      <c r="O16" s="309"/>
      <c r="P16" s="309"/>
      <c r="Q16" s="309"/>
    </row>
    <row r="17" spans="2:17" ht="21" customHeight="1">
      <c r="B17" s="659"/>
      <c r="C17" s="659"/>
      <c r="D17" s="659"/>
      <c r="E17" s="659"/>
      <c r="F17" s="659"/>
      <c r="G17" s="864"/>
      <c r="H17" s="870"/>
      <c r="K17" s="309"/>
      <c r="L17" s="309"/>
      <c r="M17" s="309"/>
      <c r="N17" s="309"/>
      <c r="O17" s="309"/>
      <c r="P17" s="309"/>
      <c r="Q17" s="309"/>
    </row>
    <row r="18" spans="2:17" ht="21" customHeight="1">
      <c r="B18" s="659"/>
      <c r="C18" s="659" t="s">
        <v>351</v>
      </c>
      <c r="D18" s="659"/>
      <c r="E18" s="659"/>
      <c r="F18" s="659"/>
      <c r="G18" s="351"/>
      <c r="H18" s="540"/>
      <c r="K18" s="309"/>
      <c r="L18" s="309"/>
      <c r="M18" s="309"/>
      <c r="N18" s="309"/>
      <c r="O18" s="309"/>
      <c r="P18" s="309"/>
      <c r="Q18" s="309"/>
    </row>
    <row r="19" spans="2:17" ht="21" customHeight="1">
      <c r="B19" s="374"/>
      <c r="C19" s="617"/>
      <c r="D19" s="617"/>
      <c r="E19" s="617"/>
      <c r="F19" s="617"/>
      <c r="G19" s="351"/>
      <c r="H19" s="540"/>
      <c r="K19" s="309"/>
      <c r="L19" s="309"/>
      <c r="M19" s="309"/>
      <c r="N19" s="309"/>
      <c r="O19" s="309"/>
      <c r="P19" s="309"/>
      <c r="Q19" s="309"/>
    </row>
    <row r="20" spans="2:17" ht="21" customHeight="1">
      <c r="B20" s="659"/>
      <c r="C20" s="659" t="s">
        <v>889</v>
      </c>
      <c r="D20" s="659"/>
      <c r="E20" s="659"/>
      <c r="F20" s="659"/>
      <c r="G20" s="351"/>
      <c r="H20" s="540"/>
      <c r="K20" s="309"/>
      <c r="L20" s="309"/>
      <c r="M20" s="309"/>
      <c r="N20" s="309"/>
      <c r="O20" s="309"/>
      <c r="P20" s="309"/>
      <c r="Q20" s="309"/>
    </row>
    <row r="21" spans="2:17" ht="21" customHeight="1">
      <c r="B21" s="659"/>
      <c r="C21" s="659" t="s">
        <v>644</v>
      </c>
      <c r="D21" s="659"/>
      <c r="E21" s="659"/>
      <c r="F21" s="659"/>
      <c r="G21" s="864"/>
      <c r="H21" s="865"/>
      <c r="K21" s="309"/>
      <c r="L21" s="309"/>
      <c r="M21" s="309"/>
      <c r="N21" s="309"/>
      <c r="O21" s="309"/>
      <c r="P21" s="309"/>
      <c r="Q21" s="309"/>
    </row>
    <row r="22" spans="2:17" ht="21" customHeight="1">
      <c r="B22" s="659"/>
      <c r="C22" s="659"/>
      <c r="D22" s="659" t="s">
        <v>87</v>
      </c>
      <c r="E22" s="659"/>
      <c r="F22" s="659"/>
      <c r="G22" s="351"/>
      <c r="H22" s="540"/>
      <c r="K22" s="309"/>
      <c r="L22" s="309"/>
      <c r="M22" s="309"/>
      <c r="N22" s="309"/>
      <c r="O22" s="309"/>
      <c r="P22" s="309"/>
      <c r="Q22" s="309"/>
    </row>
    <row r="23" spans="2:17" ht="21" customHeight="1">
      <c r="B23" s="659"/>
      <c r="C23" s="659"/>
      <c r="D23" s="659" t="s">
        <v>672</v>
      </c>
      <c r="E23" s="659"/>
      <c r="F23" s="659"/>
      <c r="G23" s="351"/>
      <c r="H23" s="540"/>
      <c r="K23" s="309"/>
      <c r="L23" s="309"/>
      <c r="M23" s="309"/>
      <c r="N23" s="309"/>
      <c r="O23" s="309"/>
      <c r="P23" s="309"/>
      <c r="Q23" s="309"/>
    </row>
    <row r="24" spans="2:17" ht="21" customHeight="1">
      <c r="B24" s="374"/>
      <c r="C24" s="617"/>
      <c r="D24" s="617" t="s">
        <v>3133</v>
      </c>
      <c r="E24" s="617"/>
      <c r="F24" s="617"/>
      <c r="G24" s="351"/>
      <c r="H24" s="559"/>
      <c r="K24" s="309"/>
      <c r="L24" s="309"/>
      <c r="M24" s="309"/>
      <c r="N24" s="309"/>
      <c r="O24" s="309"/>
      <c r="P24" s="309"/>
      <c r="Q24" s="309"/>
    </row>
    <row r="25" spans="2:17" ht="21" customHeight="1">
      <c r="B25" s="374"/>
      <c r="C25" s="617"/>
      <c r="D25" s="617" t="s">
        <v>3133</v>
      </c>
      <c r="E25" s="617"/>
      <c r="F25" s="617"/>
      <c r="G25" s="351"/>
      <c r="H25" s="559" t="s">
        <v>3133</v>
      </c>
    </row>
    <row r="26" spans="2:17" ht="21" customHeight="1">
      <c r="B26" s="374"/>
      <c r="C26" s="618"/>
      <c r="D26" s="617"/>
      <c r="E26" s="617"/>
      <c r="F26" s="617"/>
      <c r="G26" s="351"/>
      <c r="H26" s="620"/>
    </row>
    <row r="27" spans="2:17" ht="21" customHeight="1">
      <c r="B27" s="374"/>
      <c r="C27" s="617" t="s">
        <v>3133</v>
      </c>
      <c r="D27" s="617"/>
      <c r="E27" s="617"/>
      <c r="F27" s="617"/>
      <c r="G27" s="351"/>
      <c r="H27" s="559" t="s">
        <v>3133</v>
      </c>
    </row>
    <row r="28" spans="2:17" ht="21" customHeight="1">
      <c r="B28" s="374"/>
      <c r="C28" s="617"/>
      <c r="D28" s="617"/>
      <c r="E28" s="617"/>
      <c r="F28" s="617"/>
      <c r="G28" s="351"/>
      <c r="H28" s="559"/>
    </row>
    <row r="29" spans="2:17" ht="21" customHeight="1">
      <c r="B29" s="374"/>
      <c r="C29" s="617"/>
      <c r="D29" s="617" t="s">
        <v>3133</v>
      </c>
      <c r="E29" s="617"/>
      <c r="F29" s="617"/>
      <c r="G29" s="351"/>
      <c r="H29" s="559"/>
      <c r="K29" s="309"/>
      <c r="L29" s="309"/>
      <c r="M29" s="309"/>
      <c r="N29" s="309"/>
      <c r="O29" s="309"/>
      <c r="P29" s="309"/>
      <c r="Q29" s="309"/>
    </row>
    <row r="30" spans="2:17" ht="21" customHeight="1">
      <c r="B30" s="374"/>
      <c r="C30" s="617"/>
      <c r="D30" s="617" t="s">
        <v>3133</v>
      </c>
      <c r="E30" s="617"/>
      <c r="F30" s="617"/>
      <c r="G30" s="351"/>
      <c r="H30" s="559"/>
      <c r="K30" s="309"/>
      <c r="L30" s="309"/>
      <c r="M30" s="309"/>
      <c r="N30" s="309"/>
      <c r="O30" s="309"/>
      <c r="P30" s="309"/>
      <c r="Q30" s="309"/>
    </row>
    <row r="31" spans="2:17" ht="21" customHeight="1">
      <c r="B31" s="374"/>
      <c r="C31" s="617"/>
      <c r="D31" s="617" t="s">
        <v>3133</v>
      </c>
      <c r="E31" s="617"/>
      <c r="F31" s="617"/>
      <c r="G31" s="351"/>
      <c r="H31" s="559" t="s">
        <v>3133</v>
      </c>
    </row>
    <row r="32" spans="2:17" ht="21" customHeight="1">
      <c r="B32" s="374"/>
      <c r="C32" s="618"/>
      <c r="D32" s="617"/>
      <c r="E32" s="617"/>
      <c r="F32" s="617"/>
      <c r="G32" s="351"/>
      <c r="H32" s="620"/>
    </row>
    <row r="33" spans="2:17" ht="21" customHeight="1">
      <c r="B33" s="374"/>
      <c r="C33" s="617" t="s">
        <v>3133</v>
      </c>
      <c r="D33" s="617"/>
      <c r="E33" s="617"/>
      <c r="F33" s="617"/>
      <c r="G33" s="351"/>
      <c r="H33" s="559" t="s">
        <v>3133</v>
      </c>
    </row>
    <row r="34" spans="2:17" ht="21" customHeight="1">
      <c r="B34" s="374"/>
      <c r="C34" s="617"/>
      <c r="D34" s="617"/>
      <c r="E34" s="617"/>
      <c r="F34" s="617"/>
      <c r="G34" s="351"/>
      <c r="H34" s="559"/>
    </row>
    <row r="35" spans="2:17" ht="21" customHeight="1">
      <c r="B35" s="374"/>
      <c r="C35" s="617"/>
      <c r="D35" s="617" t="s">
        <v>3133</v>
      </c>
      <c r="E35" s="617"/>
      <c r="F35" s="617"/>
      <c r="G35" s="351"/>
      <c r="H35" s="559"/>
      <c r="K35" s="309"/>
      <c r="L35" s="309"/>
      <c r="M35" s="309"/>
      <c r="N35" s="309"/>
      <c r="O35" s="309"/>
      <c r="P35" s="309"/>
      <c r="Q35" s="309"/>
    </row>
    <row r="36" spans="2:17" ht="21" customHeight="1">
      <c r="B36" s="374"/>
      <c r="C36" s="617"/>
      <c r="D36" s="617" t="s">
        <v>3133</v>
      </c>
      <c r="E36" s="617"/>
      <c r="F36" s="617"/>
      <c r="G36" s="351"/>
      <c r="H36" s="559" t="s">
        <v>3133</v>
      </c>
    </row>
    <row r="37" spans="2:17" ht="21" customHeight="1">
      <c r="B37" s="374"/>
      <c r="C37" s="618"/>
      <c r="D37" s="617"/>
      <c r="E37" s="617"/>
      <c r="F37" s="617"/>
      <c r="G37" s="351"/>
      <c r="H37" s="620"/>
    </row>
    <row r="38" spans="2:17" ht="21" customHeight="1">
      <c r="B38" s="374"/>
      <c r="C38" s="617" t="s">
        <v>3133</v>
      </c>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t="s">
        <v>3133</v>
      </c>
      <c r="D41" s="617"/>
      <c r="E41" s="617"/>
      <c r="F41" s="617"/>
      <c r="G41" s="351"/>
      <c r="H41" s="559" t="s">
        <v>3133</v>
      </c>
    </row>
    <row r="42" spans="2:17" ht="21" customHeight="1">
      <c r="B42" s="374"/>
      <c r="C42" s="617" t="s">
        <v>3133</v>
      </c>
      <c r="D42" s="617"/>
      <c r="E42" s="617"/>
      <c r="F42" s="617"/>
      <c r="G42" s="351"/>
      <c r="H42" s="559" t="s">
        <v>3133</v>
      </c>
    </row>
    <row r="43" spans="2:17" ht="21" customHeight="1" thickBot="1">
      <c r="B43" s="659"/>
      <c r="C43" s="659"/>
      <c r="D43" s="659"/>
      <c r="E43" s="659"/>
      <c r="F43" s="659"/>
      <c r="G43" s="1234"/>
      <c r="H43" s="1235"/>
      <c r="I43" s="371"/>
      <c r="M43" s="371"/>
    </row>
    <row r="44" spans="2:17" ht="21" customHeight="1" thickBot="1">
      <c r="B44" s="659"/>
      <c r="C44" s="659" t="s">
        <v>3265</v>
      </c>
      <c r="D44" s="659"/>
      <c r="E44" s="659"/>
      <c r="F44" s="659"/>
      <c r="G44" s="1236">
        <f>SUM(G15:G42)</f>
        <v>0</v>
      </c>
      <c r="H44" s="1237">
        <f>SUM(H15:H43)</f>
        <v>0</v>
      </c>
      <c r="I44" s="371"/>
      <c r="K44" s="371"/>
    </row>
    <row r="45" spans="2:17" ht="13.8" thickTop="1">
      <c r="B45" s="2046" t="s">
        <v>98</v>
      </c>
      <c r="C45" s="2046"/>
      <c r="D45" s="2046"/>
      <c r="E45" s="2046"/>
      <c r="F45" s="2046"/>
      <c r="G45" s="2047"/>
      <c r="H45" s="2047"/>
    </row>
    <row r="46" spans="2:17">
      <c r="B46" s="1239"/>
      <c r="C46" s="1239"/>
      <c r="D46" s="1239"/>
      <c r="E46" s="1239"/>
      <c r="F46" s="1239"/>
      <c r="G46" s="1239"/>
      <c r="H46" s="1239"/>
    </row>
    <row r="47" spans="2:17">
      <c r="B47" s="1239"/>
      <c r="C47" s="1239"/>
      <c r="D47" s="1239"/>
      <c r="E47" s="1239"/>
      <c r="F47" s="1239"/>
      <c r="G47" s="1239"/>
      <c r="H47" s="1239"/>
    </row>
    <row r="48" spans="2:17">
      <c r="B48" s="1239"/>
      <c r="C48" s="1239"/>
      <c r="D48" s="1239"/>
      <c r="E48" s="1239"/>
      <c r="F48" s="1239"/>
      <c r="G48" s="1239"/>
      <c r="H48" s="1239"/>
    </row>
    <row r="49" spans="2:8">
      <c r="B49" s="1239"/>
      <c r="C49" s="1239"/>
      <c r="D49" s="1239"/>
      <c r="E49" s="1239"/>
      <c r="F49" s="1239"/>
      <c r="G49" s="1239"/>
      <c r="H49" s="1239"/>
    </row>
    <row r="50" spans="2:8" ht="13.8">
      <c r="B50" s="2076" t="s">
        <v>3138</v>
      </c>
      <c r="C50" s="2076"/>
      <c r="D50" s="2076"/>
      <c r="E50" s="2076"/>
      <c r="F50" s="2076"/>
      <c r="G50" s="2076"/>
      <c r="H50" s="2076"/>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9">
    <tabColor theme="7" tint="0.39997558519241921"/>
  </sheetPr>
  <dimension ref="B1:Q55"/>
  <sheetViews>
    <sheetView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INPUTS'!D58)&amp;"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659"/>
      <c r="C12" s="659" t="s">
        <v>3266</v>
      </c>
      <c r="D12" s="659"/>
      <c r="E12" s="659"/>
      <c r="F12" s="659"/>
      <c r="G12" s="864">
        <f>'41a-Utility5'!G44</f>
        <v>0</v>
      </c>
      <c r="H12" s="870">
        <f>'41a-Utility5'!H44</f>
        <v>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+'49-Utility5'!G22</f>
        <v>0</v>
      </c>
      <c r="K17" s="309"/>
      <c r="L17" s="309"/>
      <c r="M17" s="309"/>
      <c r="N17" s="309"/>
      <c r="O17" s="309"/>
      <c r="P17" s="309"/>
      <c r="Q17" s="309"/>
    </row>
    <row r="18" spans="2:17" ht="21" customHeight="1">
      <c r="B18" s="659"/>
      <c r="C18" s="659" t="s">
        <v>3386</v>
      </c>
      <c r="D18" s="659"/>
      <c r="E18" s="659"/>
      <c r="F18" s="659"/>
      <c r="G18" s="864"/>
      <c r="H18" s="870">
        <f>'49a-Utility5'!G11+'49a-Utility5'!G22+'49a.1-Utility5'!G11+'49a.1-Utility5'!G22</f>
        <v>0</v>
      </c>
    </row>
    <row r="19" spans="2:17" ht="21" customHeight="1">
      <c r="B19" s="659"/>
      <c r="C19" s="659" t="s">
        <v>3395</v>
      </c>
      <c r="D19" s="659"/>
      <c r="E19" s="659"/>
      <c r="F19" s="659"/>
      <c r="G19" s="864"/>
      <c r="H19" s="870">
        <f>+'51a-Utility5'!G23</f>
        <v>0</v>
      </c>
      <c r="K19" s="309"/>
      <c r="L19" s="309"/>
      <c r="M19" s="309"/>
      <c r="N19" s="309"/>
      <c r="O19" s="309"/>
      <c r="P19" s="309"/>
      <c r="Q19" s="309"/>
    </row>
    <row r="20" spans="2:17" ht="21" customHeight="1">
      <c r="B20" s="659"/>
      <c r="C20" s="871" t="s">
        <v>3140</v>
      </c>
      <c r="D20" s="659"/>
      <c r="E20" s="659"/>
      <c r="F20" s="659"/>
      <c r="G20" s="864"/>
      <c r="H20" s="870">
        <f>+'50.1-Utility5'!G18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+'52-Utility5'!K27</f>
        <v>0</v>
      </c>
      <c r="J22" s="371"/>
      <c r="K22" s="309"/>
      <c r="L22" s="309"/>
      <c r="M22" s="309"/>
      <c r="N22" s="309"/>
      <c r="O22" s="309"/>
      <c r="P22" s="309"/>
      <c r="Q22" s="309"/>
    </row>
    <row r="23" spans="2:17" ht="21" customHeight="1">
      <c r="B23" s="659"/>
      <c r="C23" s="659"/>
      <c r="D23" s="659" t="s">
        <v>801</v>
      </c>
      <c r="E23" s="659"/>
      <c r="F23" s="659"/>
      <c r="G23" s="864"/>
      <c r="H23" s="870">
        <f>+'52-Utility5'!L27</f>
        <v>0</v>
      </c>
      <c r="J23" s="371"/>
      <c r="K23" s="309"/>
      <c r="L23" s="309"/>
      <c r="M23" s="309"/>
      <c r="N23" s="309"/>
      <c r="O23" s="309"/>
      <c r="P23" s="309"/>
      <c r="Q23" s="309"/>
    </row>
    <row r="24" spans="2:17" ht="21" customHeight="1">
      <c r="B24" s="374"/>
      <c r="C24" s="617" t="s">
        <v>3139</v>
      </c>
      <c r="D24" s="617"/>
      <c r="E24" s="617"/>
      <c r="F24" s="617"/>
      <c r="G24" s="351"/>
      <c r="H24" s="540"/>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659"/>
      <c r="C40" s="659" t="s">
        <v>3202</v>
      </c>
      <c r="D40" s="659"/>
      <c r="E40" s="659"/>
      <c r="F40" s="659"/>
      <c r="G40" s="864"/>
      <c r="H40" s="870">
        <f>+'53-Utility5'!I41</f>
        <v>0</v>
      </c>
    </row>
    <row r="41" spans="2:13" ht="21" customHeight="1">
      <c r="B41" s="659"/>
      <c r="C41" s="659" t="s">
        <v>804</v>
      </c>
      <c r="D41" s="659"/>
      <c r="E41" s="659"/>
      <c r="F41" s="659"/>
      <c r="G41" s="864"/>
      <c r="H41" s="870">
        <f>+'53-Utility5'!I24</f>
        <v>0</v>
      </c>
    </row>
    <row r="42" spans="2:13" ht="21" customHeight="1">
      <c r="B42" s="659"/>
      <c r="C42" s="659" t="s">
        <v>642</v>
      </c>
      <c r="D42" s="659"/>
      <c r="E42" s="659"/>
      <c r="F42" s="659"/>
      <c r="G42" s="864"/>
      <c r="H42" s="870">
        <f>+'54-Utility5'!I42</f>
        <v>0</v>
      </c>
    </row>
    <row r="43" spans="2:13" ht="21" customHeight="1" thickBot="1">
      <c r="B43" s="659"/>
      <c r="C43" s="659"/>
      <c r="D43" s="659"/>
      <c r="E43" s="659"/>
      <c r="F43" s="659"/>
      <c r="G43" s="1234"/>
      <c r="H43" s="1235"/>
      <c r="I43" s="371"/>
      <c r="M43" s="371"/>
    </row>
    <row r="44" spans="2:13" ht="21" customHeight="1" thickBot="1">
      <c r="B44" s="659"/>
      <c r="C44" s="659" t="s">
        <v>799</v>
      </c>
      <c r="D44" s="659"/>
      <c r="E44" s="659"/>
      <c r="F44" s="659"/>
      <c r="G44" s="1236">
        <f>SUM(G12:G42)</f>
        <v>0</v>
      </c>
      <c r="H44" s="1237">
        <f>SUM(H12:H43)</f>
        <v>0</v>
      </c>
      <c r="I44" s="371"/>
      <c r="K44" s="371"/>
    </row>
    <row r="45" spans="2:13" ht="13.8" thickTop="1">
      <c r="B45" s="2046" t="s">
        <v>98</v>
      </c>
      <c r="C45" s="2046"/>
      <c r="D45" s="2046"/>
      <c r="E45" s="2046"/>
      <c r="F45" s="2046"/>
      <c r="G45" s="2047"/>
      <c r="H45" s="2047"/>
    </row>
    <row r="46" spans="2:13">
      <c r="B46" s="1239"/>
      <c r="C46" s="1239"/>
      <c r="D46" s="1239"/>
      <c r="E46" s="1239"/>
      <c r="F46" s="1239"/>
      <c r="G46" s="1239"/>
      <c r="H46" s="1239"/>
    </row>
    <row r="47" spans="2:13">
      <c r="B47" s="1239"/>
      <c r="C47" s="1239"/>
      <c r="D47" s="1239"/>
      <c r="E47" s="1239"/>
      <c r="F47" s="1239"/>
      <c r="G47" s="1239"/>
      <c r="H47" s="1239"/>
    </row>
    <row r="48" spans="2:13">
      <c r="B48" s="1239"/>
      <c r="C48" s="1239"/>
      <c r="D48" s="1239"/>
      <c r="E48" s="1239"/>
      <c r="F48" s="1239"/>
      <c r="G48" s="1239"/>
      <c r="H48" s="1239"/>
    </row>
    <row r="49" spans="2:8">
      <c r="B49" s="1239"/>
      <c r="C49" s="1239"/>
      <c r="D49" s="1239"/>
      <c r="E49" s="1239"/>
      <c r="F49" s="1239"/>
      <c r="G49" s="1239"/>
      <c r="H49" s="1239"/>
    </row>
    <row r="50" spans="2:8" ht="13.8">
      <c r="B50" s="2076" t="s">
        <v>3397</v>
      </c>
      <c r="C50" s="2076"/>
      <c r="D50" s="2076"/>
      <c r="E50" s="2076"/>
      <c r="F50" s="2076"/>
      <c r="G50" s="2076"/>
      <c r="H50" s="2076"/>
    </row>
    <row r="55" spans="2:8">
      <c r="H55" s="371"/>
    </row>
  </sheetData>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0">
    <tabColor theme="7" tint="0.39997558519241921"/>
  </sheetPr>
  <dimension ref="B1:R49"/>
  <sheetViews>
    <sheetView zoomScaleNormal="100" zoomScaleSheetLayoutView="80" workbookViewId="0">
      <selection activeCell="B10" sqref="B10:F10"/>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1" spans="2:18">
      <c r="B1" s="1086"/>
      <c r="C1" s="1086"/>
      <c r="D1" s="1086"/>
      <c r="E1" s="1086"/>
      <c r="F1" s="1086"/>
      <c r="G1" s="1086"/>
      <c r="H1" s="1086"/>
    </row>
    <row r="2" spans="2:18">
      <c r="B2" s="1086"/>
      <c r="C2" s="1086"/>
      <c r="D2" s="1086"/>
      <c r="E2" s="1086"/>
      <c r="F2" s="1086"/>
      <c r="G2" s="1086"/>
      <c r="H2" s="1086"/>
    </row>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571"/>
      <c r="H38" s="1066">
        <f>+'51-Utility5'!G23</f>
        <v>0</v>
      </c>
    </row>
    <row r="39" spans="2:8" ht="21" customHeight="1">
      <c r="B39" s="1077" t="s">
        <v>3204</v>
      </c>
      <c r="C39" s="1077"/>
      <c r="D39" s="1077"/>
      <c r="E39" s="1077"/>
      <c r="F39" s="1077"/>
      <c r="G39" s="571"/>
      <c r="H39" s="1066">
        <f>+'49-Utility5'!G11</f>
        <v>0</v>
      </c>
    </row>
    <row r="40" spans="2:8" ht="21" customHeight="1">
      <c r="B40" s="1077" t="s">
        <v>798</v>
      </c>
      <c r="C40" s="1077"/>
      <c r="D40" s="1077"/>
      <c r="E40" s="1077"/>
      <c r="F40" s="1077"/>
      <c r="G40" s="571"/>
      <c r="H40" s="1066">
        <f>'43-Utility5'!L20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c r="C43" s="1079"/>
      <c r="D43" s="1079"/>
      <c r="E43" s="1079"/>
      <c r="F43" s="1079"/>
      <c r="G43" s="1046">
        <f>SUM(G11:G42)</f>
        <v>0</v>
      </c>
      <c r="H43" s="1080">
        <f>SUM(H11:H42)</f>
        <v>0</v>
      </c>
    </row>
    <row r="44" spans="2:8">
      <c r="B44" s="1908" t="s">
        <v>98</v>
      </c>
      <c r="C44" s="1908"/>
      <c r="D44" s="1908"/>
      <c r="E44" s="1908"/>
      <c r="F44" s="1908"/>
      <c r="G44" s="1908"/>
      <c r="H44" s="1908"/>
    </row>
    <row r="45" spans="2:8">
      <c r="B45" s="1081"/>
      <c r="C45" s="1081"/>
      <c r="D45" s="1081"/>
      <c r="E45" s="1081"/>
      <c r="F45" s="1081"/>
      <c r="G45" s="1081"/>
      <c r="H45" s="1081"/>
    </row>
    <row r="46" spans="2:8">
      <c r="B46" s="1081"/>
      <c r="C46" s="1081"/>
      <c r="D46" s="1081"/>
      <c r="E46" s="1081"/>
      <c r="F46" s="1081"/>
      <c r="G46" s="1081"/>
      <c r="H46" s="1081"/>
    </row>
    <row r="47" spans="2:8">
      <c r="B47" s="1081"/>
      <c r="C47" s="1081"/>
      <c r="D47" s="1081"/>
      <c r="E47" s="1081"/>
      <c r="F47" s="1081"/>
      <c r="G47" s="1081"/>
      <c r="H47" s="1081"/>
    </row>
    <row r="48" spans="2:8">
      <c r="B48" s="1081"/>
      <c r="C48" s="1081"/>
      <c r="D48" s="1081"/>
      <c r="E48" s="1081"/>
      <c r="F48" s="1081"/>
      <c r="G48" s="1081"/>
      <c r="H48" s="1081"/>
    </row>
    <row r="49" spans="2:8" ht="13.8">
      <c r="B49" s="1901" t="s">
        <v>3142</v>
      </c>
      <c r="C49" s="1901"/>
      <c r="D49" s="1901"/>
      <c r="E49" s="1901"/>
      <c r="F49" s="1901"/>
      <c r="G49" s="1901"/>
      <c r="H49" s="1901"/>
    </row>
  </sheetData>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1">
    <tabColor theme="7" tint="0.39997558519241921"/>
  </sheetPr>
  <dimension ref="A2:V27"/>
  <sheetViews>
    <sheetView zoomScaleNormal="100" zoomScaleSheetLayoutView="80" workbookViewId="0">
      <selection activeCell="L7" sqref="L7"/>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INPUTS'!D58)&amp;" UTILITY  ASSESSMENT  TRUST  CASH  AND  INVESTMENTS"</f>
        <v>ANALYSIS  OF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ypcYssd+QyHyMIfUICVeHElDuH7wJ3Vxcl8H72ZqFOO9lhfv0WksfN+uGlTlk8Ffs3X76A3MkPHtytVAhlnCTw==" saltValue="BzDGHgoY1Qn14GAqvyNBag=="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2">
    <tabColor theme="7" tint="0.39997558519241921"/>
  </sheetPr>
  <dimension ref="B1:T55"/>
  <sheetViews>
    <sheetView zoomScaleNormal="100" zoomScaleSheetLayoutView="80" workbookViewId="0">
      <selection activeCell="B3" sqref="B3"/>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1" spans="2:20">
      <c r="B1" s="1054"/>
      <c r="C1" s="1054"/>
      <c r="D1" s="1054"/>
      <c r="E1" s="1054"/>
      <c r="F1" s="1054"/>
      <c r="G1" s="1054"/>
      <c r="H1" s="1054"/>
      <c r="I1" s="1054"/>
      <c r="J1" s="1054"/>
    </row>
    <row r="2" spans="2:20" ht="22.8">
      <c r="B2" s="1887" t="str">
        <f>"SCHEDULE OF "&amp;UPPER('KEY INPUTS'!D58)&amp;" UTILITY BUDGET  -  "&amp;IF('KEY INPUTS'!C42="State Fiscal Year","FY "&amp;'KEY INPUTS'!D33&amp;"",'KEY INPUTS'!D34)&amp;""</f>
        <v>SCHEDULE OF  UTILITY BUDGET  -  2021</v>
      </c>
      <c r="C2" s="1887"/>
      <c r="D2" s="1887"/>
      <c r="E2" s="1887"/>
      <c r="F2" s="1887"/>
      <c r="G2" s="1887"/>
      <c r="H2" s="1887"/>
      <c r="I2" s="1887"/>
      <c r="J2" s="1887"/>
    </row>
    <row r="3" spans="2:20" ht="12" customHeight="1">
      <c r="B3" s="1241"/>
      <c r="C3" s="1241"/>
      <c r="D3" s="1241"/>
      <c r="E3" s="1241"/>
      <c r="F3" s="1241"/>
      <c r="G3" s="1241"/>
      <c r="H3" s="1241"/>
      <c r="I3" s="1241"/>
      <c r="J3" s="1241"/>
    </row>
    <row r="4" spans="2:20" ht="17.25" customHeight="1" thickBot="1">
      <c r="B4" s="2048" t="s">
        <v>832</v>
      </c>
      <c r="C4" s="2048"/>
      <c r="D4" s="2048"/>
      <c r="E4" s="2048"/>
      <c r="F4" s="2048"/>
      <c r="G4" s="2048"/>
      <c r="H4" s="2048"/>
      <c r="I4" s="2048"/>
      <c r="J4" s="2048"/>
    </row>
    <row r="5" spans="2:20" ht="13.8" thickTop="1">
      <c r="B5" s="2049" t="s">
        <v>165</v>
      </c>
      <c r="C5" s="2049"/>
      <c r="D5" s="2049"/>
      <c r="E5" s="2049"/>
      <c r="F5" s="2049"/>
      <c r="G5" s="2013"/>
      <c r="H5" s="1178" t="s">
        <v>535</v>
      </c>
      <c r="I5" s="1178" t="s">
        <v>638</v>
      </c>
      <c r="J5" s="1242" t="s">
        <v>319</v>
      </c>
    </row>
    <row r="6" spans="2:20" ht="13.8" thickBot="1">
      <c r="B6" s="2050"/>
      <c r="C6" s="2050"/>
      <c r="D6" s="2050"/>
      <c r="E6" s="2050"/>
      <c r="F6" s="2050"/>
      <c r="G6" s="2051"/>
      <c r="H6" s="1243"/>
      <c r="I6" s="1243" t="s">
        <v>318</v>
      </c>
      <c r="J6" s="1244" t="s">
        <v>320</v>
      </c>
    </row>
    <row r="7" spans="2:20" ht="21" customHeight="1" thickTop="1">
      <c r="B7" s="1110" t="s">
        <v>3156</v>
      </c>
      <c r="C7" s="1110"/>
      <c r="D7" s="1110"/>
      <c r="E7" s="1110"/>
      <c r="F7" s="1110"/>
      <c r="G7" s="1245"/>
      <c r="H7" s="575"/>
      <c r="I7" s="1249">
        <f>H7</f>
        <v>0</v>
      </c>
      <c r="J7" s="1143">
        <f>+I7-H7</f>
        <v>0</v>
      </c>
    </row>
    <row r="8" spans="2:20" ht="10.5" customHeight="1">
      <c r="B8" s="1149" t="s">
        <v>3155</v>
      </c>
      <c r="C8" s="1054"/>
      <c r="D8" s="1054"/>
      <c r="E8" s="1054"/>
      <c r="F8" s="1054"/>
      <c r="G8" s="1246"/>
      <c r="H8" s="1248"/>
      <c r="I8" s="1248"/>
      <c r="J8" s="1058"/>
    </row>
    <row r="9" spans="2:20">
      <c r="B9" s="1068" t="s">
        <v>168</v>
      </c>
      <c r="C9" s="1068"/>
      <c r="D9" s="1068"/>
      <c r="E9" s="1068"/>
      <c r="F9" s="1068"/>
      <c r="G9" s="1247"/>
      <c r="H9" s="622"/>
      <c r="I9" s="622"/>
      <c r="J9" s="816">
        <f t="shared" ref="J9:J15" si="0">+I9-H9</f>
        <v>0</v>
      </c>
    </row>
    <row r="10" spans="2:20" ht="21" customHeight="1">
      <c r="B10" s="617"/>
      <c r="C10" s="617"/>
      <c r="D10" s="617"/>
      <c r="E10" s="617"/>
      <c r="F10" s="617"/>
      <c r="G10" s="1106"/>
      <c r="H10" s="742"/>
      <c r="I10" s="742"/>
      <c r="J10" s="1250">
        <f t="shared" si="0"/>
        <v>0</v>
      </c>
      <c r="N10" s="309"/>
      <c r="O10" s="309"/>
      <c r="P10" s="309"/>
      <c r="Q10" s="309"/>
      <c r="R10" s="309"/>
      <c r="S10" s="309"/>
      <c r="T10" s="309"/>
    </row>
    <row r="11" spans="2:20" ht="21" customHeight="1">
      <c r="B11" s="617"/>
      <c r="C11" s="617"/>
      <c r="D11" s="617"/>
      <c r="E11" s="617"/>
      <c r="F11" s="617"/>
      <c r="G11" s="1106"/>
      <c r="H11" s="742"/>
      <c r="I11" s="742"/>
      <c r="J11" s="1064">
        <f t="shared" si="0"/>
        <v>0</v>
      </c>
      <c r="N11" s="309"/>
      <c r="O11" s="309"/>
      <c r="P11" s="309"/>
      <c r="Q11" s="309"/>
      <c r="R11" s="309"/>
      <c r="S11" s="309"/>
      <c r="T11" s="309"/>
    </row>
    <row r="12" spans="2:20" ht="21" customHeight="1">
      <c r="B12" s="617"/>
      <c r="C12" s="617"/>
      <c r="D12" s="617"/>
      <c r="E12" s="617"/>
      <c r="F12" s="617"/>
      <c r="G12" s="1106"/>
      <c r="H12" s="742"/>
      <c r="I12" s="742"/>
      <c r="J12" s="1064">
        <f t="shared" si="0"/>
        <v>0</v>
      </c>
      <c r="N12" s="356"/>
      <c r="O12" s="309"/>
      <c r="P12" s="309"/>
      <c r="Q12" s="309"/>
      <c r="R12" s="309"/>
      <c r="S12" s="309"/>
      <c r="T12" s="309"/>
    </row>
    <row r="13" spans="2:20" ht="21" customHeight="1">
      <c r="B13" s="617"/>
      <c r="C13" s="617"/>
      <c r="D13" s="617"/>
      <c r="E13" s="617"/>
      <c r="F13" s="617"/>
      <c r="G13" s="1106"/>
      <c r="H13" s="742"/>
      <c r="I13" s="742"/>
      <c r="J13" s="1064">
        <f t="shared" si="0"/>
        <v>0</v>
      </c>
      <c r="N13" s="309"/>
      <c r="O13" s="309"/>
      <c r="P13" s="309"/>
      <c r="Q13" s="309"/>
      <c r="R13" s="309"/>
      <c r="S13" s="309"/>
      <c r="T13" s="309"/>
    </row>
    <row r="14" spans="2:20" ht="21" customHeight="1">
      <c r="B14" s="617"/>
      <c r="C14" s="617"/>
      <c r="D14" s="617"/>
      <c r="E14" s="617"/>
      <c r="F14" s="617"/>
      <c r="G14" s="1106"/>
      <c r="H14" s="742"/>
      <c r="I14" s="742"/>
      <c r="J14" s="1064">
        <f t="shared" si="0"/>
        <v>0</v>
      </c>
      <c r="N14" s="309"/>
      <c r="O14" s="309"/>
      <c r="P14" s="309"/>
      <c r="Q14" s="309"/>
      <c r="R14" s="309"/>
      <c r="S14" s="309"/>
      <c r="T14" s="309"/>
    </row>
    <row r="15" spans="2:20" ht="21" customHeight="1">
      <c r="B15" s="659" t="s">
        <v>3154</v>
      </c>
      <c r="C15" s="659"/>
      <c r="D15" s="659"/>
      <c r="E15" s="659"/>
      <c r="F15" s="659"/>
      <c r="G15" s="1247"/>
      <c r="H15" s="742"/>
      <c r="I15" s="742"/>
      <c r="J15" s="1064">
        <f t="shared" si="0"/>
        <v>0</v>
      </c>
      <c r="N15" s="309"/>
      <c r="O15" s="309"/>
      <c r="P15" s="309"/>
      <c r="Q15" s="309"/>
      <c r="R15" s="309"/>
      <c r="S15" s="309"/>
      <c r="T15" s="309"/>
    </row>
    <row r="16" spans="2:20" ht="21" customHeight="1">
      <c r="B16" s="659" t="s">
        <v>3153</v>
      </c>
      <c r="C16" s="659"/>
      <c r="D16" s="659"/>
      <c r="E16" s="659"/>
      <c r="F16" s="659"/>
      <c r="G16" s="1247"/>
      <c r="H16" s="742"/>
      <c r="I16" s="742"/>
      <c r="J16" s="1064"/>
      <c r="N16" s="309"/>
      <c r="O16" s="309"/>
      <c r="P16" s="309"/>
      <c r="Q16" s="309"/>
      <c r="R16" s="309"/>
      <c r="S16" s="309"/>
      <c r="T16" s="309"/>
    </row>
    <row r="17" spans="2:20" ht="21" customHeight="1">
      <c r="B17" s="659" t="s">
        <v>3573</v>
      </c>
      <c r="C17" s="659"/>
      <c r="D17" s="659"/>
      <c r="E17" s="659"/>
      <c r="F17" s="659"/>
      <c r="G17" s="1247"/>
      <c r="H17" s="1114" t="s">
        <v>628</v>
      </c>
      <c r="I17" s="1114" t="s">
        <v>628</v>
      </c>
      <c r="J17" s="1240" t="s">
        <v>628</v>
      </c>
      <c r="N17" s="309"/>
      <c r="O17" s="309"/>
      <c r="P17" s="309"/>
      <c r="Q17" s="309"/>
      <c r="R17" s="309"/>
      <c r="S17" s="309"/>
      <c r="T17" s="309"/>
    </row>
    <row r="18" spans="2:20" ht="21" customHeight="1">
      <c r="B18" s="617"/>
      <c r="C18" s="617"/>
      <c r="D18" s="617"/>
      <c r="E18" s="617"/>
      <c r="F18" s="617"/>
      <c r="G18" s="617"/>
      <c r="H18" s="571"/>
      <c r="I18" s="571"/>
      <c r="J18" s="1064">
        <f>I18-H18</f>
        <v>0</v>
      </c>
      <c r="N18" s="309"/>
      <c r="O18" s="309"/>
      <c r="P18" s="309"/>
      <c r="Q18" s="309"/>
      <c r="R18" s="309"/>
      <c r="S18" s="309"/>
      <c r="T18" s="309"/>
    </row>
    <row r="19" spans="2:20" ht="21" customHeight="1" thickBot="1">
      <c r="B19" s="617"/>
      <c r="C19" s="617"/>
      <c r="D19" s="617"/>
      <c r="E19" s="617"/>
      <c r="F19" s="617"/>
      <c r="G19" s="617"/>
      <c r="H19" s="596"/>
      <c r="I19" s="596"/>
      <c r="J19" s="1474">
        <f>I19-H19</f>
        <v>0</v>
      </c>
      <c r="N19" s="309"/>
      <c r="O19" s="309"/>
      <c r="P19" s="309"/>
      <c r="Q19" s="309"/>
      <c r="R19" s="309"/>
      <c r="S19" s="309"/>
      <c r="T19" s="309"/>
    </row>
    <row r="20" spans="2:20" ht="21" customHeight="1" thickTop="1">
      <c r="B20" s="659"/>
      <c r="C20" s="659"/>
      <c r="D20" s="659" t="s">
        <v>317</v>
      </c>
      <c r="E20" s="659"/>
      <c r="F20" s="659"/>
      <c r="G20" s="1252"/>
      <c r="H20" s="1255">
        <f>SUM(H7:H19)</f>
        <v>0</v>
      </c>
      <c r="I20" s="1255">
        <f>SUM(I7:I19)</f>
        <v>0</v>
      </c>
      <c r="J20" s="816">
        <f>SUM(J7:J19)</f>
        <v>0</v>
      </c>
      <c r="N20" s="309"/>
      <c r="O20" s="309"/>
      <c r="P20" s="309"/>
      <c r="Q20" s="309"/>
      <c r="R20" s="309"/>
      <c r="S20" s="309"/>
      <c r="T20" s="309"/>
    </row>
    <row r="21" spans="2:20" ht="21" customHeight="1" thickBot="1">
      <c r="B21" s="659" t="s">
        <v>3152</v>
      </c>
      <c r="C21" s="1253"/>
      <c r="D21" s="1253"/>
      <c r="E21" s="659"/>
      <c r="F21" s="659"/>
      <c r="G21" s="1247"/>
      <c r="H21" s="623"/>
      <c r="I21" s="623"/>
      <c r="J21" s="1058">
        <f>I21-H21</f>
        <v>0</v>
      </c>
      <c r="N21" s="309"/>
      <c r="O21" s="309"/>
      <c r="P21" s="309"/>
      <c r="Q21" s="309"/>
      <c r="R21" s="309"/>
      <c r="S21" s="309"/>
      <c r="T21" s="309"/>
    </row>
    <row r="22" spans="2:20" ht="21" customHeight="1" thickTop="1" thickBot="1">
      <c r="B22" s="1054"/>
      <c r="C22" s="1054"/>
      <c r="D22" s="1054"/>
      <c r="E22" s="1054"/>
      <c r="F22" s="1054"/>
      <c r="G22" s="1254"/>
      <c r="H22" s="1256">
        <f>+H20+H21</f>
        <v>0</v>
      </c>
      <c r="I22" s="1256">
        <f>+I20+I21</f>
        <v>0</v>
      </c>
      <c r="J22" s="1251">
        <f>+J20+J21</f>
        <v>0</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2048" t="s">
        <v>321</v>
      </c>
      <c r="C27" s="2048"/>
      <c r="D27" s="2048"/>
      <c r="E27" s="2048"/>
      <c r="F27" s="2048"/>
      <c r="G27" s="2048"/>
      <c r="H27" s="2048"/>
      <c r="I27" s="2048"/>
      <c r="J27" s="2048"/>
    </row>
    <row r="28" spans="2:20" ht="21" customHeight="1" thickTop="1">
      <c r="B28" s="1257" t="s">
        <v>322</v>
      </c>
      <c r="C28" s="1258"/>
      <c r="D28" s="1258"/>
      <c r="E28" s="1258"/>
      <c r="F28" s="1258"/>
      <c r="G28" s="1258"/>
      <c r="H28" s="1258"/>
      <c r="I28" s="1259"/>
      <c r="J28" s="1260" t="s">
        <v>628</v>
      </c>
    </row>
    <row r="29" spans="2:20" ht="21" customHeight="1">
      <c r="B29" s="1261"/>
      <c r="C29" s="1262" t="s">
        <v>174</v>
      </c>
      <c r="D29" s="1262"/>
      <c r="E29" s="1262"/>
      <c r="F29" s="1262"/>
      <c r="G29" s="1262"/>
      <c r="H29" s="1262"/>
      <c r="I29" s="1263"/>
      <c r="J29" s="624"/>
    </row>
    <row r="30" spans="2:20" ht="21" customHeight="1">
      <c r="B30" s="1261"/>
      <c r="C30" s="1262" t="s">
        <v>3574</v>
      </c>
      <c r="D30" s="1262"/>
      <c r="E30" s="1262"/>
      <c r="F30" s="1262"/>
      <c r="G30" s="1262"/>
      <c r="H30" s="1262"/>
      <c r="I30" s="1263"/>
      <c r="J30" s="624"/>
    </row>
    <row r="31" spans="2:20" ht="21" customHeight="1" thickBot="1">
      <c r="B31" s="1261"/>
      <c r="C31" s="1262" t="s">
        <v>323</v>
      </c>
      <c r="D31" s="1262"/>
      <c r="E31" s="1262"/>
      <c r="F31" s="1262"/>
      <c r="G31" s="1262"/>
      <c r="H31" s="1262"/>
      <c r="I31" s="1263"/>
      <c r="J31" s="626"/>
    </row>
    <row r="32" spans="2:20" ht="21" customHeight="1" thickTop="1">
      <c r="B32" s="1261" t="s">
        <v>324</v>
      </c>
      <c r="C32" s="1262"/>
      <c r="D32" s="1262"/>
      <c r="E32" s="1262"/>
      <c r="F32" s="1262"/>
      <c r="G32" s="1262"/>
      <c r="H32" s="1262"/>
      <c r="I32" s="1264"/>
      <c r="J32" s="1265">
        <f>SUM(J29:J31)</f>
        <v>0</v>
      </c>
    </row>
    <row r="33" spans="2:13" ht="21" customHeight="1" thickBot="1">
      <c r="B33" s="1261" t="s">
        <v>325</v>
      </c>
      <c r="C33" s="1262"/>
      <c r="D33" s="1262"/>
      <c r="E33" s="1262"/>
      <c r="F33" s="1262"/>
      <c r="G33" s="1262"/>
      <c r="H33" s="1262"/>
      <c r="I33" s="1264"/>
      <c r="J33" s="625"/>
    </row>
    <row r="34" spans="2:13" ht="21" customHeight="1" thickTop="1">
      <c r="B34" s="1261" t="s">
        <v>727</v>
      </c>
      <c r="C34" s="1262"/>
      <c r="D34" s="1262"/>
      <c r="E34" s="1262"/>
      <c r="F34" s="1262"/>
      <c r="G34" s="1262"/>
      <c r="H34" s="1262"/>
      <c r="I34" s="1264"/>
      <c r="J34" s="1265">
        <f>+J32+J33</f>
        <v>0</v>
      </c>
    </row>
    <row r="35" spans="2:13" ht="21" customHeight="1">
      <c r="B35" s="1261" t="s">
        <v>326</v>
      </c>
      <c r="C35" s="1262"/>
      <c r="D35" s="1262"/>
      <c r="E35" s="1262"/>
      <c r="F35" s="1262"/>
      <c r="G35" s="1262"/>
      <c r="H35" s="1262"/>
      <c r="I35" s="1264"/>
      <c r="J35" s="1266"/>
    </row>
    <row r="36" spans="2:13" ht="21" customHeight="1">
      <c r="B36" s="1268"/>
      <c r="C36" s="1268" t="s">
        <v>594</v>
      </c>
      <c r="D36" s="1268"/>
      <c r="E36" s="1268"/>
      <c r="F36" s="1268"/>
      <c r="G36" s="1268"/>
      <c r="H36" s="1268"/>
      <c r="I36" s="627"/>
      <c r="J36" s="1267"/>
    </row>
    <row r="37" spans="2:13" ht="21" customHeight="1">
      <c r="B37" s="1268"/>
      <c r="C37" s="1268" t="s">
        <v>731</v>
      </c>
      <c r="D37" s="1268"/>
      <c r="E37" s="1268"/>
      <c r="F37" s="1268"/>
      <c r="G37" s="1268"/>
      <c r="H37" s="1268"/>
      <c r="I37" s="627"/>
      <c r="J37" s="1267"/>
    </row>
    <row r="38" spans="2:13" ht="21" customHeight="1" thickBot="1">
      <c r="B38" s="1268" t="s">
        <v>327</v>
      </c>
      <c r="C38" s="1268"/>
      <c r="D38" s="1268"/>
      <c r="E38" s="1268"/>
      <c r="F38" s="1268"/>
      <c r="G38" s="1268"/>
      <c r="H38" s="1268"/>
      <c r="I38" s="628"/>
      <c r="J38" s="624"/>
      <c r="M38" s="371"/>
    </row>
    <row r="39" spans="2:13" ht="21" customHeight="1" thickTop="1" thickBot="1">
      <c r="B39" s="1268" t="s">
        <v>732</v>
      </c>
      <c r="C39" s="1268"/>
      <c r="D39" s="1268"/>
      <c r="E39" s="1268"/>
      <c r="F39" s="1268"/>
      <c r="G39" s="1268"/>
      <c r="H39" s="1268"/>
      <c r="I39" s="1269"/>
      <c r="J39" s="1271">
        <f>SUM(I36:I38)</f>
        <v>0</v>
      </c>
    </row>
    <row r="40" spans="2:13" ht="21" customHeight="1" thickTop="1" thickBot="1">
      <c r="B40" s="1268" t="s">
        <v>328</v>
      </c>
      <c r="C40" s="1268"/>
      <c r="D40" s="1268"/>
      <c r="E40" s="1268"/>
      <c r="F40" s="1268"/>
      <c r="G40" s="1268"/>
      <c r="H40" s="1268"/>
      <c r="I40" s="1270"/>
      <c r="J40" s="1272">
        <f>+J34-J39</f>
        <v>0</v>
      </c>
      <c r="K40" s="371"/>
    </row>
    <row r="41" spans="2:13" ht="13.8" thickTop="1">
      <c r="B41" s="1054"/>
      <c r="C41" s="1054"/>
      <c r="D41" s="1054"/>
      <c r="E41" s="1054"/>
      <c r="F41" s="1054"/>
      <c r="G41" s="1054"/>
      <c r="H41" s="1054"/>
      <c r="I41" s="1054"/>
      <c r="J41" s="1054"/>
    </row>
    <row r="42" spans="2:13">
      <c r="B42" s="1149" t="s">
        <v>3149</v>
      </c>
      <c r="C42" s="1149"/>
      <c r="D42" s="1149"/>
      <c r="E42" s="1149"/>
      <c r="F42" s="1149"/>
      <c r="G42" s="1054"/>
      <c r="H42" s="1054"/>
      <c r="I42" s="1054"/>
      <c r="J42" s="1054"/>
    </row>
    <row r="43" spans="2:13">
      <c r="B43" s="1149"/>
      <c r="C43" s="1149" t="s">
        <v>3148</v>
      </c>
      <c r="D43" s="1149"/>
      <c r="E43" s="1149"/>
      <c r="F43" s="1149"/>
      <c r="G43" s="1054"/>
      <c r="H43" s="1054"/>
      <c r="I43" s="1054"/>
      <c r="J43" s="1054"/>
    </row>
    <row r="44" spans="2:13">
      <c r="B44" s="1149"/>
      <c r="C44" s="1149"/>
      <c r="D44" s="1149" t="s">
        <v>3147</v>
      </c>
      <c r="E44" s="1149"/>
      <c r="F44" s="1149"/>
      <c r="G44" s="1054"/>
      <c r="H44" s="1054"/>
      <c r="I44" s="1054"/>
      <c r="J44" s="1054"/>
      <c r="M44" s="371"/>
    </row>
    <row r="45" spans="2:13">
      <c r="B45" s="1149"/>
      <c r="C45" s="1149" t="s">
        <v>39</v>
      </c>
      <c r="D45" s="1149"/>
      <c r="E45" s="1149"/>
      <c r="F45" s="1149"/>
      <c r="G45" s="1054"/>
      <c r="H45" s="1054"/>
      <c r="I45" s="1054"/>
      <c r="J45" s="1054"/>
    </row>
    <row r="46" spans="2:13">
      <c r="B46" s="1149"/>
      <c r="C46" s="1149" t="s">
        <v>3146</v>
      </c>
      <c r="D46" s="1149"/>
      <c r="E46" s="1149"/>
      <c r="F46" s="1149"/>
      <c r="G46" s="1054"/>
      <c r="H46" s="1054"/>
      <c r="I46" s="1054"/>
      <c r="J46" s="1054"/>
    </row>
    <row r="47" spans="2:13">
      <c r="B47" s="1149"/>
      <c r="C47" s="1149"/>
      <c r="D47" s="1149" t="s">
        <v>3145</v>
      </c>
      <c r="E47" s="1149"/>
      <c r="F47" s="1149"/>
      <c r="G47" s="1054"/>
      <c r="H47" s="1054"/>
      <c r="I47" s="1054"/>
      <c r="J47" s="1054"/>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8kL9pjSCbofxgsV5PkDKV8FwyzEPcSRflFfNPXOhvr5k2y8zYKlhRoe/FkY6HRzp9fnbZBhCorParrVPLwsXHQ==" saltValue="buIYgGk+k/5UyxmXjIkdZA=="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3">
    <tabColor theme="7" tint="0.39997558519241921"/>
  </sheetPr>
  <dimension ref="B1:T57"/>
  <sheetViews>
    <sheetView topLeftCell="A34" zoomScaleNormal="100" zoomScaleSheetLayoutView="80" workbookViewId="0">
      <selection activeCell="E50" sqref="E50"/>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1" spans="2:20">
      <c r="B1" s="1054"/>
      <c r="C1" s="1054"/>
      <c r="D1" s="1054"/>
      <c r="E1" s="1054"/>
      <c r="F1" s="1054"/>
      <c r="G1" s="1054"/>
      <c r="H1" s="1054"/>
      <c r="I1" s="1054"/>
      <c r="J1" s="1054"/>
      <c r="K1" s="1054"/>
    </row>
    <row r="2" spans="2:20">
      <c r="B2" s="1054"/>
      <c r="C2" s="1054"/>
      <c r="D2" s="1054"/>
      <c r="E2" s="1054"/>
      <c r="F2" s="1054"/>
      <c r="G2" s="1054"/>
      <c r="H2" s="1054"/>
      <c r="I2" s="1054"/>
      <c r="J2" s="1054"/>
      <c r="K2" s="1054"/>
    </row>
    <row r="3" spans="2:20" ht="22.8">
      <c r="B3" s="1887" t="str">
        <f>"STATEMENT  OF  "&amp;IF('KEY INPUTS'!C42="State Fiscal Year","FISCAL  YEAR  "&amp;'KEY INPUTS'!D33&amp;"",'KEY INPUTS'!D34)&amp;"  OPERATION"</f>
        <v>STATEMENT  OF  2021  OPERATION</v>
      </c>
      <c r="C3" s="1887"/>
      <c r="D3" s="1887"/>
      <c r="E3" s="1887"/>
      <c r="F3" s="1887"/>
      <c r="G3" s="1887"/>
      <c r="H3" s="1887"/>
      <c r="I3" s="1887"/>
      <c r="J3" s="1887"/>
      <c r="K3" s="1887"/>
    </row>
    <row r="4" spans="2:20">
      <c r="B4" s="1054"/>
      <c r="C4" s="1054"/>
      <c r="D4" s="1054"/>
      <c r="E4" s="1054"/>
      <c r="F4" s="1054"/>
      <c r="G4" s="1054"/>
      <c r="H4" s="1054"/>
      <c r="I4" s="1054"/>
      <c r="J4" s="1054"/>
      <c r="K4" s="1054"/>
    </row>
    <row r="5" spans="2:20" ht="20.399999999999999">
      <c r="B5" s="1909" t="str">
        <f>UPPER('KEY INPUTS'!D58)&amp;" UTILITY"</f>
        <v xml:space="preserve"> UTILITY</v>
      </c>
      <c r="C5" s="1909"/>
      <c r="D5" s="1909"/>
      <c r="E5" s="1909"/>
      <c r="F5" s="1909"/>
      <c r="G5" s="1909"/>
      <c r="H5" s="1909"/>
      <c r="I5" s="1909"/>
      <c r="J5" s="1909"/>
      <c r="K5" s="1909"/>
    </row>
    <row r="6" spans="2:20">
      <c r="B6" s="1054"/>
      <c r="C6" s="1054"/>
      <c r="D6" s="1054"/>
      <c r="E6" s="1054"/>
      <c r="F6" s="1054"/>
      <c r="G6" s="1054"/>
      <c r="H6" s="1054"/>
      <c r="I6" s="1054"/>
      <c r="J6" s="1054"/>
      <c r="K6" s="1054"/>
    </row>
    <row r="7" spans="2:20">
      <c r="B7" s="1054"/>
      <c r="C7" s="1054"/>
      <c r="D7" s="1054"/>
      <c r="E7" s="1054"/>
      <c r="F7" s="1054"/>
      <c r="G7" s="1054"/>
      <c r="H7" s="1054"/>
      <c r="I7" s="1054"/>
      <c r="J7" s="1054"/>
      <c r="K7" s="1054"/>
    </row>
    <row r="8" spans="2:20">
      <c r="B8" s="1054" t="s">
        <v>313</v>
      </c>
      <c r="C8" s="1129" t="str">
        <f>"Section 1 of this sheet is required to be filled out ONLY IF the "&amp;IF('KEY INPUTS'!C42="State Fiscal Year","Fiscal Year "&amp;'KEY INPUTS'!D33&amp;"",'KEY INPUTS'!D34)&amp;" "&amp;PROPER('KEY INPUTS'!D58)&amp;" Utility Budget contained"</f>
        <v>Section 1 of this sheet is required to be filled out ONLY IF the 2021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799"/>
      <c r="N15" s="309"/>
      <c r="O15" s="309"/>
      <c r="P15" s="309"/>
      <c r="Q15" s="309"/>
      <c r="R15" s="309"/>
      <c r="S15" s="309"/>
      <c r="T15" s="309"/>
    </row>
    <row r="16" spans="2:20" ht="21" customHeight="1">
      <c r="B16" s="659"/>
      <c r="C16" s="659" t="s">
        <v>333</v>
      </c>
      <c r="D16" s="659"/>
      <c r="E16" s="659"/>
      <c r="F16" s="659"/>
      <c r="G16" s="659"/>
      <c r="H16" s="659"/>
      <c r="I16" s="659"/>
      <c r="J16" s="800">
        <f>+'44-Utility5'!I20</f>
        <v>0</v>
      </c>
      <c r="K16" s="799"/>
      <c r="N16" s="309"/>
      <c r="O16" s="309"/>
      <c r="P16" s="309"/>
      <c r="Q16" s="309"/>
      <c r="R16" s="309"/>
      <c r="S16" s="309"/>
      <c r="T16" s="309"/>
    </row>
    <row r="17" spans="2:20" ht="21" customHeight="1">
      <c r="B17" s="659"/>
      <c r="C17" s="659" t="s">
        <v>334</v>
      </c>
      <c r="D17" s="659"/>
      <c r="E17" s="659"/>
      <c r="F17" s="659"/>
      <c r="G17" s="659"/>
      <c r="H17" s="659"/>
      <c r="I17" s="659"/>
      <c r="J17" s="547"/>
      <c r="K17" s="799"/>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c r="K18" s="799"/>
      <c r="N18" s="309"/>
      <c r="O18" s="309"/>
      <c r="P18" s="309"/>
      <c r="Q18" s="309"/>
      <c r="R18" s="309"/>
      <c r="S18" s="309"/>
      <c r="T18" s="309"/>
    </row>
    <row r="19" spans="2:20" ht="21" customHeight="1">
      <c r="B19" s="659"/>
      <c r="C19" s="617"/>
      <c r="D19" s="617"/>
      <c r="E19" s="617"/>
      <c r="F19" s="617"/>
      <c r="G19" s="617"/>
      <c r="H19" s="617"/>
      <c r="I19" s="617"/>
      <c r="J19" s="353"/>
      <c r="K19" s="799"/>
      <c r="N19" s="309"/>
      <c r="O19" s="309"/>
      <c r="P19" s="309"/>
      <c r="Q19" s="309"/>
      <c r="R19" s="309"/>
      <c r="S19" s="309"/>
      <c r="T19" s="309"/>
    </row>
    <row r="20" spans="2:20" ht="21" customHeight="1">
      <c r="B20" s="659"/>
      <c r="C20" s="617"/>
      <c r="D20" s="617"/>
      <c r="E20" s="617"/>
      <c r="F20" s="617"/>
      <c r="G20" s="617"/>
      <c r="H20" s="617"/>
      <c r="I20" s="617"/>
      <c r="J20" s="353"/>
      <c r="K20" s="799"/>
      <c r="N20" s="309"/>
      <c r="O20" s="309"/>
      <c r="P20" s="309"/>
      <c r="Q20" s="309"/>
      <c r="R20" s="309"/>
      <c r="S20" s="309"/>
      <c r="T20" s="309"/>
    </row>
    <row r="21" spans="2:20" ht="21" customHeight="1">
      <c r="B21" s="659"/>
      <c r="C21" s="659" t="s">
        <v>335</v>
      </c>
      <c r="D21" s="659"/>
      <c r="E21" s="659"/>
      <c r="F21" s="659"/>
      <c r="G21" s="659"/>
      <c r="H21" s="659"/>
      <c r="I21" s="659"/>
      <c r="J21" s="547"/>
      <c r="K21" s="809">
        <f>SUM(J16:J20)</f>
        <v>0</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+'44-Utility5'!I36</f>
        <v>0</v>
      </c>
      <c r="K24" s="799"/>
      <c r="N24" s="309"/>
      <c r="O24" s="309"/>
      <c r="P24" s="309"/>
      <c r="Q24" s="309"/>
      <c r="R24" s="309"/>
      <c r="S24" s="309"/>
      <c r="T24" s="309"/>
    </row>
    <row r="25" spans="2:20" ht="21" customHeight="1">
      <c r="B25" s="659"/>
      <c r="C25" s="659"/>
      <c r="D25" s="659" t="s">
        <v>731</v>
      </c>
      <c r="E25" s="659"/>
      <c r="F25" s="659"/>
      <c r="G25" s="659"/>
      <c r="H25" s="659"/>
      <c r="I25" s="659"/>
      <c r="J25" s="800">
        <f>+'44-Utility5'!I37</f>
        <v>0</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7"/>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0</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0</v>
      </c>
    </row>
    <row r="33" spans="2:15" ht="21" customHeight="1" thickTop="1" thickBot="1">
      <c r="B33" s="1122" t="s">
        <v>760</v>
      </c>
      <c r="C33" s="1122"/>
      <c r="D33" s="1122"/>
      <c r="E33" s="1122"/>
      <c r="F33" s="1122"/>
      <c r="G33" s="1122"/>
      <c r="H33" s="1122"/>
      <c r="I33" s="1122"/>
      <c r="J33" s="1123"/>
      <c r="K33" s="1124">
        <f>IF(M33&gt;0,M33,0)</f>
        <v>0</v>
      </c>
      <c r="M33" s="371">
        <f>+K21-K32</f>
        <v>0</v>
      </c>
      <c r="N33" s="679" t="s">
        <v>3374</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1117"/>
      <c r="K35" s="799"/>
    </row>
    <row r="36" spans="2:15" ht="12.75" customHeight="1" thickBot="1">
      <c r="B36" s="1922"/>
      <c r="C36" s="1922"/>
      <c r="D36" s="1922"/>
      <c r="E36" s="1068" t="s">
        <v>3484</v>
      </c>
      <c r="F36" s="1068"/>
      <c r="G36" s="1068"/>
      <c r="H36" s="1068"/>
      <c r="I36" s="1068"/>
      <c r="J36" s="1119">
        <f>+K33-J34</f>
        <v>0</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+'44-Utility5'!I21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J42" s="436"/>
      <c r="K42" s="436"/>
    </row>
    <row r="43" spans="2:15" ht="17.399999999999999">
      <c r="B43" s="1108" t="s">
        <v>765</v>
      </c>
      <c r="C43" s="1054"/>
      <c r="D43" s="1054"/>
      <c r="E43" s="1054"/>
      <c r="F43" s="1054"/>
      <c r="G43" s="1054"/>
      <c r="H43" s="1054"/>
      <c r="I43" s="1054"/>
      <c r="J43" s="799"/>
      <c r="K43" s="799"/>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INPUTS'!D58)&amp;" Utility for "&amp;IF('KEY INPUTS'!C42="State Fiscal Year","Fiscal Year "&amp;'KEY INPUTS'!D33-1&amp;"",'KEY INPUTS'!D34-1)&amp;""</f>
        <v>Anticipated Deficit in the  Utility for 2020</v>
      </c>
      <c r="C46" s="1054"/>
      <c r="D46" s="1054"/>
      <c r="E46" s="1054"/>
      <c r="F46" s="1054"/>
      <c r="G46" s="1054"/>
      <c r="H46" s="1054"/>
      <c r="I46" s="1054"/>
      <c r="J46" s="799"/>
      <c r="K46" s="799"/>
      <c r="O46" s="309"/>
    </row>
    <row r="47" spans="2:15">
      <c r="B47" s="1054"/>
      <c r="C47" s="1054"/>
      <c r="D47" s="1054"/>
      <c r="E47" s="1054"/>
      <c r="F47" s="1054"/>
      <c r="G47" s="1054"/>
      <c r="H47" s="1054"/>
      <c r="I47" s="1054"/>
      <c r="J47" s="799"/>
      <c r="K47" s="799"/>
      <c r="O47" s="309"/>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c r="K48" s="799"/>
      <c r="O48" s="309"/>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s="309"/>
    </row>
    <row r="50" spans="2:15" ht="21" customHeight="1">
      <c r="B50" s="659" t="s">
        <v>766</v>
      </c>
      <c r="C50" s="659"/>
      <c r="D50" s="659"/>
      <c r="E50" s="659"/>
      <c r="F50" s="659"/>
      <c r="G50" s="659"/>
      <c r="H50" s="659"/>
      <c r="I50" s="659"/>
      <c r="J50" s="632"/>
      <c r="K50" s="809">
        <f>+MAX(0,J48-J49)</f>
        <v>0</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J71LPBbyBj3g2Du8i9csdd+BjQGHZLXVCYrVSV/tVpKiBQgqiWCVh5D3M1EAjN98sS5YNUbfOlJhZZppMhj2IQ==" saltValue="Hz6VFfjQSbphYdo3E5+nAQ=="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4">
    <tabColor theme="7" tint="0.39997558519241921"/>
  </sheetPr>
  <dimension ref="B1:Z52"/>
  <sheetViews>
    <sheetView zoomScaleNormal="100" zoomScaleSheetLayoutView="80" workbookViewId="0">
      <selection activeCell="B7" sqref="B7"/>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1" spans="2:26">
      <c r="B1" s="1054"/>
      <c r="C1" s="1054"/>
      <c r="D1" s="1054"/>
      <c r="E1" s="1054"/>
      <c r="F1" s="1054"/>
      <c r="G1" s="1054"/>
      <c r="H1" s="1054"/>
      <c r="I1" s="1054"/>
      <c r="J1" s="1054"/>
      <c r="K1" s="1054"/>
      <c r="L1" s="1054"/>
    </row>
    <row r="2" spans="2:26" ht="20.399999999999999">
      <c r="B2" s="1909" t="str">
        <f>"RESULTS  OF  "&amp;IF('KEY INPUTS'!C42="State Fiscal Year","FY  "&amp;'KEY INPUTS'!D33&amp;"",'KEY INPUTS'!D34)&amp;"  OPERATIONS  - "&amp;UPPER('KEY INPUTS'!D58)&amp;" UTILITY"</f>
        <v>RESULTS  OF  2021  OPERATIONS  -  UTILITY</v>
      </c>
      <c r="C2" s="1909"/>
      <c r="D2" s="1909"/>
      <c r="E2" s="1909"/>
      <c r="F2" s="1909"/>
      <c r="G2" s="1909"/>
      <c r="H2" s="1909"/>
      <c r="I2" s="1909"/>
      <c r="J2" s="1909"/>
      <c r="K2" s="1909"/>
      <c r="L2" s="1909"/>
    </row>
    <row r="3" spans="2:26" ht="13.8" thickBot="1">
      <c r="B3" s="1054"/>
      <c r="C3" s="1054"/>
      <c r="D3" s="1054"/>
      <c r="E3" s="1054"/>
      <c r="F3" s="1054"/>
      <c r="G3" s="1054"/>
      <c r="H3" s="1054"/>
      <c r="I3" s="1054"/>
      <c r="J3" s="1054"/>
      <c r="K3" s="1054"/>
      <c r="L3" s="1054"/>
    </row>
    <row r="4" spans="2:26" ht="21" customHeight="1" thickTop="1" thickBot="1">
      <c r="B4" s="1273"/>
      <c r="C4" s="1273"/>
      <c r="D4" s="1273"/>
      <c r="E4" s="1273"/>
      <c r="F4" s="1273"/>
      <c r="G4" s="1273"/>
      <c r="H4" s="1273"/>
      <c r="I4" s="1273"/>
      <c r="J4" s="1273"/>
      <c r="K4" s="1055" t="s">
        <v>96</v>
      </c>
      <c r="L4" s="1056" t="s">
        <v>97</v>
      </c>
    </row>
    <row r="5" spans="2:26" ht="21" customHeight="1" thickTop="1">
      <c r="B5" s="1150" t="s">
        <v>209</v>
      </c>
      <c r="C5" s="1110"/>
      <c r="D5" s="1110"/>
      <c r="E5" s="1110"/>
      <c r="F5" s="1110"/>
      <c r="G5" s="1110"/>
      <c r="H5" s="1110"/>
      <c r="I5" s="1110"/>
      <c r="J5" s="1110"/>
      <c r="K5" s="1142" t="s">
        <v>628</v>
      </c>
      <c r="L5" s="1143">
        <f>IF(+'44-Utility5'!J22&gt;0,+'44-Utility5'!J22,0)</f>
        <v>0</v>
      </c>
      <c r="N5" s="309"/>
      <c r="O5" s="309"/>
      <c r="P5" s="309"/>
      <c r="Q5" s="309"/>
      <c r="R5" s="309"/>
      <c r="S5" s="309"/>
      <c r="T5" s="309"/>
    </row>
    <row r="6" spans="2:26" ht="21" customHeight="1">
      <c r="B6" s="1572" t="s">
        <v>3604</v>
      </c>
      <c r="C6" s="659"/>
      <c r="D6" s="659"/>
      <c r="E6" s="659"/>
      <c r="F6" s="659"/>
      <c r="G6" s="659"/>
      <c r="H6" s="659"/>
      <c r="I6" s="659"/>
      <c r="J6" s="659"/>
      <c r="K6" s="1144" t="s">
        <v>628</v>
      </c>
      <c r="L6" s="1064">
        <f>+'44-Utility5'!J40</f>
        <v>0</v>
      </c>
      <c r="M6" s="708"/>
      <c r="N6" s="309"/>
      <c r="O6" s="309"/>
      <c r="P6" s="309"/>
      <c r="Q6" s="309"/>
      <c r="R6" s="309"/>
      <c r="S6" s="309"/>
      <c r="T6" s="309"/>
    </row>
    <row r="7" spans="2:26" ht="21" customHeight="1">
      <c r="B7" s="665" t="s">
        <v>210</v>
      </c>
      <c r="C7" s="659"/>
      <c r="D7" s="659"/>
      <c r="E7" s="659"/>
      <c r="F7" s="659"/>
      <c r="G7" s="659"/>
      <c r="H7" s="659"/>
      <c r="I7" s="659"/>
      <c r="J7" s="659"/>
      <c r="K7" s="1144" t="s">
        <v>628</v>
      </c>
      <c r="L7" s="1064">
        <f>'45-Utility5'!J17</f>
        <v>0</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659"/>
      <c r="J8" s="659"/>
      <c r="K8" s="1144" t="s">
        <v>628</v>
      </c>
      <c r="L8" s="1064">
        <f>+'45-Utility5'!K50</f>
        <v>0</v>
      </c>
      <c r="N8" s="309"/>
      <c r="O8" s="309"/>
      <c r="P8" s="309"/>
      <c r="Q8" s="309"/>
      <c r="R8" s="309"/>
      <c r="S8" s="309"/>
      <c r="T8" s="309"/>
    </row>
    <row r="9" spans="2:26" ht="21" customHeight="1">
      <c r="B9" s="674"/>
      <c r="C9" s="617"/>
      <c r="D9" s="617"/>
      <c r="E9" s="617"/>
      <c r="F9" s="617"/>
      <c r="G9" s="617"/>
      <c r="H9" s="617"/>
      <c r="I9" s="659"/>
      <c r="J9" s="659"/>
      <c r="K9" s="627"/>
      <c r="L9" s="578"/>
      <c r="N9" s="309"/>
      <c r="O9" s="309"/>
      <c r="P9" s="309"/>
      <c r="Q9" s="309"/>
      <c r="R9" s="309"/>
      <c r="S9" s="309"/>
      <c r="T9" s="309"/>
    </row>
    <row r="10" spans="2:26" ht="21" customHeight="1">
      <c r="B10" s="1054" t="s">
        <v>3164</v>
      </c>
      <c r="C10" s="1054"/>
      <c r="D10" s="1054"/>
      <c r="E10" s="1054"/>
      <c r="F10" s="1054"/>
      <c r="G10" s="1054"/>
      <c r="H10" s="1054"/>
      <c r="I10" s="1054"/>
      <c r="J10" s="1054"/>
      <c r="K10" s="658">
        <f>IF(+'44-Utility5'!J22&lt;0,-'44-Utility5'!J22,0)</f>
        <v>0</v>
      </c>
      <c r="L10" s="1146" t="s">
        <v>628</v>
      </c>
      <c r="M10" s="371">
        <f>+L9+L8+L7+L6+L5-K11-K10-K9</f>
        <v>0</v>
      </c>
      <c r="N10" s="679" t="s">
        <v>3374</v>
      </c>
      <c r="O10" s="309"/>
      <c r="P10" s="309"/>
      <c r="Q10" s="309"/>
      <c r="R10" s="309"/>
      <c r="S10" s="309"/>
      <c r="T10" s="309"/>
      <c r="V10" s="449">
        <f>-'44-Utility5'!U22</f>
        <v>0</v>
      </c>
    </row>
    <row r="11" spans="2:26" ht="21" customHeight="1">
      <c r="B11" s="671"/>
      <c r="C11" s="1139"/>
      <c r="D11" s="617"/>
      <c r="E11" s="617"/>
      <c r="F11" s="617"/>
      <c r="G11" s="617"/>
      <c r="H11" s="617"/>
      <c r="I11" s="659"/>
      <c r="J11" s="659"/>
      <c r="K11" s="571"/>
      <c r="L11" s="1146" t="s">
        <v>628</v>
      </c>
      <c r="N11" s="309"/>
      <c r="O11" s="309"/>
      <c r="P11" s="309"/>
      <c r="Q11" s="309"/>
      <c r="R11" s="309"/>
      <c r="S11" s="309"/>
      <c r="T11" s="309"/>
      <c r="U11" s="309"/>
      <c r="V11" s="309"/>
      <c r="W11" s="309"/>
      <c r="X11" s="309"/>
      <c r="Y11" s="309"/>
      <c r="Z11" s="309"/>
    </row>
    <row r="12" spans="2:26" ht="21" customHeight="1">
      <c r="B12" s="665" t="s">
        <v>211</v>
      </c>
      <c r="C12" s="1112"/>
      <c r="D12" s="659"/>
      <c r="E12" s="659"/>
      <c r="F12" s="659"/>
      <c r="G12" s="659"/>
      <c r="H12" s="659"/>
      <c r="I12" s="659"/>
      <c r="J12" s="659"/>
      <c r="K12" s="1144" t="s">
        <v>628</v>
      </c>
      <c r="L12" s="1145">
        <f>IF(M10&gt;0,0,M10*-1)</f>
        <v>0</v>
      </c>
      <c r="N12" s="309"/>
      <c r="O12" s="309"/>
      <c r="P12" s="309"/>
      <c r="Q12" s="309"/>
      <c r="R12" s="309"/>
      <c r="S12" s="309"/>
      <c r="T12" s="309"/>
      <c r="U12" s="309"/>
      <c r="V12" s="309"/>
      <c r="W12" s="309"/>
      <c r="X12" s="309"/>
      <c r="Y12" s="309"/>
      <c r="Z12" s="309"/>
    </row>
    <row r="13" spans="2:26" ht="21" customHeight="1" thickBot="1">
      <c r="B13" s="665" t="s">
        <v>212</v>
      </c>
      <c r="C13" s="1112"/>
      <c r="D13" s="659"/>
      <c r="E13" s="659"/>
      <c r="F13" s="659"/>
      <c r="G13" s="659"/>
      <c r="H13" s="659"/>
      <c r="I13" s="659"/>
      <c r="J13" s="659"/>
      <c r="K13" s="658">
        <f>IF(M10&gt;0,M10,0)</f>
        <v>0</v>
      </c>
      <c r="L13" s="1147" t="s">
        <v>628</v>
      </c>
      <c r="M13" s="371"/>
      <c r="N13" s="309"/>
      <c r="O13" s="309"/>
      <c r="P13" s="309"/>
      <c r="Q13" s="309"/>
      <c r="R13" s="309"/>
      <c r="S13" s="309"/>
      <c r="T13" s="309"/>
      <c r="U13" s="309"/>
      <c r="V13" s="448">
        <f>U11</f>
        <v>0</v>
      </c>
      <c r="W13" s="309"/>
      <c r="X13" s="309"/>
      <c r="Y13" s="309"/>
      <c r="Z13" s="309"/>
    </row>
    <row r="14" spans="2:26" ht="21" customHeight="1" thickBot="1">
      <c r="B14" s="1149" t="s">
        <v>3163</v>
      </c>
      <c r="C14" s="1054"/>
      <c r="D14" s="1054"/>
      <c r="E14" s="1054"/>
      <c r="F14" s="1054"/>
      <c r="G14" s="1054"/>
      <c r="H14" s="1054"/>
      <c r="I14" s="1054"/>
      <c r="J14" s="1054"/>
      <c r="K14" s="1071">
        <f>SUM(K5:K13)</f>
        <v>0</v>
      </c>
      <c r="L14" s="1072">
        <f>SUM(L5:L13)</f>
        <v>0</v>
      </c>
      <c r="M14" s="371">
        <f>L14-K14</f>
        <v>0</v>
      </c>
      <c r="N14" s="679" t="s">
        <v>3374</v>
      </c>
      <c r="O14" s="309"/>
      <c r="P14" s="309"/>
      <c r="Q14" s="309"/>
      <c r="R14" s="309"/>
      <c r="S14" s="309"/>
      <c r="T14" s="309"/>
      <c r="U14" s="309"/>
      <c r="V14" s="309"/>
      <c r="W14" s="309"/>
      <c r="X14" s="309"/>
      <c r="Y14" s="309"/>
      <c r="Z14" s="309"/>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INPUTS'!D58)&amp;" UTILITY"</f>
        <v>OPERATING  SURPLUS  -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B18" s="1054"/>
      <c r="C18" s="1054"/>
      <c r="D18" s="1054"/>
      <c r="E18" s="1054"/>
      <c r="F18" s="1054"/>
      <c r="G18" s="1054"/>
      <c r="H18" s="1054"/>
      <c r="I18" s="1054"/>
      <c r="J18" s="1054"/>
      <c r="K18" s="1054"/>
      <c r="L18" s="1054"/>
      <c r="N18" s="309"/>
      <c r="O18" s="309"/>
      <c r="P18" s="309"/>
      <c r="Q18" s="309"/>
      <c r="R18" s="309"/>
      <c r="S18" s="309"/>
      <c r="T18" s="309"/>
    </row>
    <row r="19" spans="2:20" ht="25.5" customHeight="1" thickTop="1" thickBot="1">
      <c r="B19" s="1273"/>
      <c r="C19" s="1273"/>
      <c r="D19" s="1273"/>
      <c r="E19" s="1273"/>
      <c r="F19" s="1273"/>
      <c r="G19" s="1273"/>
      <c r="H19" s="1273"/>
      <c r="I19" s="1273"/>
      <c r="J19" s="1273"/>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275" t="s">
        <v>628</v>
      </c>
      <c r="L20" s="881"/>
      <c r="N20" s="309"/>
      <c r="O20" s="309"/>
      <c r="P20" s="309"/>
      <c r="Q20" s="309"/>
      <c r="R20" s="309"/>
      <c r="S20" s="309"/>
      <c r="T20" s="309"/>
    </row>
    <row r="21" spans="2:20" ht="21" customHeight="1">
      <c r="B21" s="1140"/>
      <c r="C21" s="617"/>
      <c r="D21" s="617"/>
      <c r="E21" s="617"/>
      <c r="F21" s="617"/>
      <c r="G21" s="617"/>
      <c r="H21" s="617"/>
      <c r="I21" s="617"/>
      <c r="J21" s="617"/>
      <c r="K21" s="1138"/>
      <c r="L21" s="879"/>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276" t="s">
        <v>628</v>
      </c>
      <c r="L22" s="1277">
        <f>+K13</f>
        <v>0</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1278">
        <f>'44-Utility5'!I7</f>
        <v>0</v>
      </c>
      <c r="L23" s="1279"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2054"/>
      <c r="L24" s="2052" t="s">
        <v>628</v>
      </c>
    </row>
    <row r="25" spans="2:20" ht="12.75" customHeight="1">
      <c r="B25" s="1068" t="s">
        <v>842</v>
      </c>
      <c r="C25" s="1068"/>
      <c r="D25" s="1068"/>
      <c r="E25" s="1068"/>
      <c r="F25" s="1068"/>
      <c r="G25" s="1068"/>
      <c r="H25" s="1068"/>
      <c r="I25" s="1068"/>
      <c r="J25" s="1068"/>
      <c r="K25" s="2055"/>
      <c r="L25" s="2053"/>
    </row>
    <row r="26" spans="2:20" ht="21" customHeight="1">
      <c r="B26" s="1140"/>
      <c r="C26" s="617"/>
      <c r="D26" s="617"/>
      <c r="E26" s="617"/>
      <c r="F26" s="617"/>
      <c r="G26" s="617"/>
      <c r="H26" s="617"/>
      <c r="I26" s="617"/>
      <c r="J26" s="617"/>
      <c r="K26" s="880"/>
      <c r="L26" s="1141"/>
    </row>
    <row r="27" spans="2:20" ht="21" customHeight="1" thickBot="1">
      <c r="B27" s="659" t="str">
        <f>IF('KEY INPUTS'!C42 = "State Fiscal Year", 'KEY INPUTS'!F26,'KEY INPUTS'!D26)</f>
        <v>Balance - December 31, 2021</v>
      </c>
      <c r="C27" s="659"/>
      <c r="D27" s="659"/>
      <c r="E27" s="659"/>
      <c r="F27" s="659"/>
      <c r="G27" s="659"/>
      <c r="H27" s="659"/>
      <c r="I27" s="659"/>
      <c r="J27" s="659"/>
      <c r="K27" s="1280">
        <f>+SUM(L20:L26)-SUM(K21:K26)</f>
        <v>0</v>
      </c>
      <c r="L27" s="1281" t="s">
        <v>628</v>
      </c>
      <c r="N27" s="738" t="s">
        <v>3249</v>
      </c>
    </row>
    <row r="28" spans="2:20" ht="21" customHeight="1" thickBot="1">
      <c r="B28" s="1054"/>
      <c r="C28" s="1054"/>
      <c r="D28" s="1054"/>
      <c r="E28" s="1054"/>
      <c r="F28" s="1054"/>
      <c r="G28" s="1054"/>
      <c r="H28" s="1054"/>
      <c r="I28" s="1054"/>
      <c r="J28" s="1054"/>
      <c r="K28" s="1282">
        <f>SUM(K21:K27)</f>
        <v>0</v>
      </c>
      <c r="L28" s="1283">
        <f>SUM(L20:L27)</f>
        <v>0</v>
      </c>
    </row>
    <row r="29" spans="2:20" ht="13.8" thickTop="1"/>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6" t="str">
        <f>"(FROM "&amp;UPPER('KEY INPUTS'!D58)&amp;" UTILITY  -  TRIAL  BALANCE)"</f>
        <v>(FROM  UTILITY  -  TRIAL  BALANCE)</v>
      </c>
      <c r="C33" s="1926"/>
      <c r="D33" s="1926"/>
      <c r="E33" s="1926"/>
      <c r="F33" s="1926"/>
      <c r="G33" s="1926"/>
      <c r="H33" s="1926"/>
      <c r="I33" s="1926"/>
      <c r="J33" s="1926"/>
      <c r="K33" s="1926"/>
      <c r="L33" s="1926"/>
    </row>
    <row r="34" spans="2:14" ht="13.8" thickBot="1">
      <c r="B34" s="1054"/>
      <c r="C34" s="1054"/>
      <c r="D34" s="1054"/>
      <c r="E34" s="1054"/>
      <c r="F34" s="1054"/>
      <c r="G34" s="1054"/>
      <c r="H34" s="1054"/>
      <c r="I34" s="1054"/>
      <c r="J34" s="1054"/>
      <c r="K34" s="1054"/>
      <c r="L34" s="1054"/>
    </row>
    <row r="35" spans="2:14" ht="21" customHeight="1" thickTop="1">
      <c r="B35" s="1110" t="s">
        <v>194</v>
      </c>
      <c r="C35" s="1110"/>
      <c r="D35" s="1110"/>
      <c r="E35" s="1110"/>
      <c r="F35" s="1110"/>
      <c r="G35" s="1110"/>
      <c r="H35" s="1110"/>
      <c r="I35" s="1110"/>
      <c r="J35" s="1110"/>
      <c r="K35" s="1154"/>
      <c r="L35" s="1153">
        <f>+'41-Utility5'!G13</f>
        <v>0</v>
      </c>
    </row>
    <row r="36" spans="2:14" ht="21" customHeight="1">
      <c r="B36" s="659" t="s">
        <v>315</v>
      </c>
      <c r="C36" s="659"/>
      <c r="D36" s="659"/>
      <c r="E36" s="659"/>
      <c r="F36" s="659"/>
      <c r="G36" s="659"/>
      <c r="H36" s="659"/>
      <c r="I36" s="659"/>
      <c r="J36" s="659"/>
      <c r="K36" s="1155"/>
      <c r="L36" s="600"/>
    </row>
    <row r="37" spans="2:14" ht="21" customHeight="1" thickBot="1">
      <c r="B37" s="659" t="s">
        <v>664</v>
      </c>
      <c r="C37" s="659"/>
      <c r="D37" s="659"/>
      <c r="E37" s="659"/>
      <c r="F37" s="659"/>
      <c r="G37" s="659"/>
      <c r="H37" s="659"/>
      <c r="I37" s="659"/>
      <c r="J37" s="659"/>
      <c r="K37" s="1155"/>
      <c r="L37" s="602"/>
    </row>
    <row r="38" spans="2:14" ht="21" customHeight="1" thickTop="1">
      <c r="B38" s="659"/>
      <c r="C38" s="659"/>
      <c r="D38" s="659" t="s">
        <v>317</v>
      </c>
      <c r="E38" s="659"/>
      <c r="F38" s="659"/>
      <c r="G38" s="659"/>
      <c r="H38" s="659"/>
      <c r="I38" s="659"/>
      <c r="J38" s="659"/>
      <c r="K38" s="1155"/>
      <c r="L38" s="1156">
        <f>SUM(L35:L37)</f>
        <v>0</v>
      </c>
    </row>
    <row r="39" spans="2:14" ht="21" customHeight="1" thickBot="1">
      <c r="B39" s="659" t="s">
        <v>362</v>
      </c>
      <c r="C39" s="659"/>
      <c r="D39" s="659"/>
      <c r="E39" s="659"/>
      <c r="F39" s="659"/>
      <c r="G39" s="659"/>
      <c r="H39" s="659"/>
      <c r="I39" s="659"/>
      <c r="J39" s="659"/>
      <c r="K39" s="1155"/>
      <c r="L39" s="1157">
        <f>+'41-Utility5'!H39</f>
        <v>0</v>
      </c>
    </row>
    <row r="40" spans="2:14" ht="21" customHeight="1" thickTop="1">
      <c r="B40" s="659"/>
      <c r="C40" s="659"/>
      <c r="D40" s="659" t="s">
        <v>207</v>
      </c>
      <c r="E40" s="659"/>
      <c r="F40" s="659"/>
      <c r="G40" s="659"/>
      <c r="H40" s="659"/>
      <c r="I40" s="659"/>
      <c r="J40" s="659"/>
      <c r="K40" s="1155"/>
      <c r="L40" s="1156">
        <f>+L38-L39</f>
        <v>0</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c r="L42" s="1060"/>
    </row>
    <row r="43" spans="2:14" ht="21" customHeight="1">
      <c r="B43" s="659"/>
      <c r="C43" s="659" t="s">
        <v>208</v>
      </c>
      <c r="D43" s="659"/>
      <c r="E43" s="659"/>
      <c r="F43" s="659"/>
      <c r="G43" s="659"/>
      <c r="H43" s="659"/>
      <c r="I43" s="659"/>
      <c r="J43" s="659"/>
      <c r="K43" s="571"/>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1160" t="str">
        <f>"# MAY NOT BE ANTICIPATED AS NON-CASH SURPLUS IN "&amp;TEXT('KEY INPUTS'!D34,"0")&amp;" BUDGET."</f>
        <v># MAY NOT BE ANTICIPATED AS NON-CASH SURPLUS IN 2021 BUDGET.</v>
      </c>
      <c r="C45" s="1054"/>
      <c r="D45" s="1054"/>
      <c r="E45" s="1054"/>
      <c r="F45" s="1054"/>
      <c r="G45" s="1054"/>
      <c r="H45" s="1054"/>
      <c r="I45" s="1054"/>
      <c r="J45" s="1054"/>
      <c r="K45" s="1161"/>
      <c r="L45" s="1158">
        <f>+L40+L44</f>
        <v>0</v>
      </c>
      <c r="M45" s="371"/>
      <c r="N45" s="738" t="s">
        <v>3249</v>
      </c>
    </row>
    <row r="46" spans="2:14" ht="13.8" thickTop="1">
      <c r="B46" s="442" t="s">
        <v>213</v>
      </c>
      <c r="C46" s="442"/>
    </row>
    <row r="47" spans="2:14">
      <c r="B47" s="442"/>
      <c r="C47" s="442" t="s">
        <v>3162</v>
      </c>
    </row>
    <row r="52" spans="2:12" ht="13.8">
      <c r="B52" s="1882" t="s">
        <v>3161</v>
      </c>
      <c r="C52" s="1882"/>
      <c r="D52" s="1882"/>
      <c r="E52" s="1882"/>
      <c r="F52" s="1882"/>
      <c r="G52" s="1882"/>
      <c r="H52" s="1882"/>
      <c r="I52" s="1882"/>
      <c r="J52" s="1882"/>
      <c r="K52" s="1882"/>
      <c r="L52" s="1882"/>
    </row>
  </sheetData>
  <sheetProtection algorithmName="SHA-512" hashValue="ecVZG0mUwF/07KY/FTsDTmbFU3smzGG22NueoX5j/UQb48bWibfKaLTfulyekZSBxewsjUJkwTqeWjUxOcFoQQ==" saltValue="eP2xuT2HCnrhR+7b/jyuGw=="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5">
    <tabColor theme="7" tint="0.39997558519241921"/>
  </sheetPr>
  <dimension ref="B3:T69"/>
  <sheetViews>
    <sheetView zoomScaleNormal="100" zoomScaleSheetLayoutView="80" workbookViewId="0">
      <selection activeCell="B55" sqref="B55"/>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INPUTS'!D58&amp;"  UTILITY  ACCOUNTS  RECEIVABLE")</f>
        <v>SCHEDULE  OF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132" t="s">
        <v>3485</v>
      </c>
      <c r="E11" s="1132"/>
      <c r="F11" s="1132"/>
      <c r="G11" s="1054"/>
      <c r="J11" s="275"/>
      <c r="K11" s="318" t="s">
        <v>373</v>
      </c>
      <c r="L11" s="552"/>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c r="K16" s="275"/>
      <c r="L16" s="275"/>
      <c r="N16" s="309"/>
      <c r="O16" s="309"/>
      <c r="P16" s="309"/>
      <c r="Q16" s="309"/>
      <c r="R16" s="309"/>
      <c r="S16" s="309"/>
      <c r="T16" s="309"/>
    </row>
    <row r="17" spans="2:20" ht="21" customHeight="1">
      <c r="D17" s="318" t="s">
        <v>217</v>
      </c>
      <c r="I17" s="318" t="s">
        <v>373</v>
      </c>
      <c r="J17" s="552"/>
      <c r="K17" s="275"/>
      <c r="L17" s="275"/>
      <c r="N17" s="309"/>
      <c r="O17" s="309"/>
      <c r="P17" s="309"/>
      <c r="Q17" s="309"/>
      <c r="R17" s="309"/>
      <c r="S17" s="309"/>
      <c r="T17" s="309"/>
    </row>
    <row r="18" spans="2:20" ht="21" customHeight="1">
      <c r="D18" s="1054" t="s">
        <v>3486</v>
      </c>
      <c r="E18" s="1054"/>
      <c r="F18" s="1132"/>
      <c r="G18" s="1132"/>
      <c r="I18" s="318" t="s">
        <v>373</v>
      </c>
      <c r="J18" s="552"/>
      <c r="K18" s="275"/>
      <c r="L18" s="275"/>
      <c r="N18" s="309"/>
      <c r="O18" s="309"/>
      <c r="P18" s="309"/>
      <c r="Q18" s="309"/>
      <c r="R18" s="309"/>
      <c r="S18" s="309"/>
      <c r="T18" s="309"/>
    </row>
    <row r="19" spans="2:20" ht="21" customHeight="1">
      <c r="D19" s="318" t="s">
        <v>218</v>
      </c>
      <c r="I19" s="318" t="s">
        <v>373</v>
      </c>
      <c r="J19" s="552"/>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0</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0</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INPUTS'!D58)&amp;" UTILITY  LIENS"</f>
        <v>SCHEDULE  OF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c r="K41" s="275"/>
      <c r="L41" s="275"/>
    </row>
    <row r="42" spans="2:12" ht="21" customHeight="1">
      <c r="D42" s="318" t="s">
        <v>220</v>
      </c>
      <c r="I42" s="318" t="s">
        <v>373</v>
      </c>
      <c r="J42" s="552"/>
      <c r="K42" s="275"/>
      <c r="L42" s="275"/>
    </row>
    <row r="43" spans="2:12" ht="21" customHeight="1">
      <c r="D43" s="318" t="s">
        <v>218</v>
      </c>
      <c r="I43" s="318" t="s">
        <v>373</v>
      </c>
      <c r="J43" s="552"/>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c r="K48" s="275"/>
      <c r="L48" s="275"/>
    </row>
    <row r="49" spans="2:12" ht="21" customHeight="1">
      <c r="D49" s="318" t="s">
        <v>218</v>
      </c>
      <c r="I49" s="318" t="s">
        <v>373</v>
      </c>
      <c r="J49" s="552"/>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cMFgjbWhxcC6Xwc73C8kcs2HRnKax8naBCF7iZHM6cNXZds2lStlX7jKj3ltQ40g229HtvrxAJXlSEM7RKMnAQ==" saltValue="XuNbNRJRdJt7vLlb6Nh/xQ=="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6">
    <tabColor theme="7" tint="0.39997558519241921"/>
  </sheetPr>
  <dimension ref="B1:W69"/>
  <sheetViews>
    <sheetView topLeftCell="A11" zoomScaleNormal="100" zoomScaleSheetLayoutView="80" workbookViewId="0">
      <selection activeCell="N45" sqref="N45"/>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1" spans="2:23">
      <c r="B1" s="1086"/>
      <c r="C1" s="1086"/>
      <c r="D1" s="1086"/>
      <c r="E1" s="1086"/>
      <c r="F1" s="1086"/>
      <c r="G1" s="1086"/>
      <c r="H1" s="1086"/>
      <c r="I1" s="1086"/>
      <c r="J1" s="1086"/>
      <c r="K1" s="1086"/>
      <c r="L1" s="1086"/>
      <c r="M1" s="1086"/>
      <c r="N1" s="1086"/>
    </row>
    <row r="2" spans="2:23">
      <c r="B2" s="1086"/>
      <c r="C2" s="1086"/>
      <c r="D2" s="1086"/>
      <c r="E2" s="1086"/>
      <c r="F2" s="1086"/>
      <c r="G2" s="1086"/>
      <c r="H2" s="1086"/>
      <c r="I2" s="1086"/>
      <c r="J2" s="1086"/>
      <c r="K2" s="1086"/>
      <c r="L2" s="1086"/>
      <c r="M2" s="1086"/>
      <c r="N2" s="1086"/>
    </row>
    <row r="3" spans="2:23" ht="20.399999999999999">
      <c r="B3" s="2000" t="s">
        <v>869</v>
      </c>
      <c r="C3" s="2000"/>
      <c r="D3" s="2000"/>
      <c r="E3" s="2000"/>
      <c r="F3" s="2000"/>
      <c r="G3" s="2000"/>
      <c r="H3" s="2000"/>
      <c r="I3" s="2000"/>
      <c r="J3" s="2000"/>
      <c r="K3" s="2000"/>
      <c r="L3" s="2000"/>
      <c r="M3" s="2000"/>
      <c r="N3" s="2000"/>
    </row>
    <row r="4" spans="2:23" ht="15.6">
      <c r="B4" s="2059" t="s">
        <v>421</v>
      </c>
      <c r="C4" s="2059"/>
      <c r="D4" s="2059"/>
      <c r="E4" s="2059"/>
      <c r="F4" s="2059"/>
      <c r="G4" s="2059"/>
      <c r="H4" s="2059"/>
      <c r="I4" s="2059"/>
      <c r="J4" s="2059"/>
      <c r="K4" s="2059"/>
      <c r="L4" s="2059"/>
      <c r="M4" s="2059"/>
      <c r="N4" s="2059"/>
    </row>
    <row r="5" spans="2:23" ht="20.399999999999999">
      <c r="B5" s="1909" t="str">
        <f>UPPER('KEY INPUTS'!D58)&amp;" UTILITY  FUND"</f>
        <v xml:space="preserve"> UTILITY  FUND</v>
      </c>
      <c r="C5" s="1909"/>
      <c r="D5" s="1909"/>
      <c r="E5" s="1909"/>
      <c r="F5" s="1909"/>
      <c r="G5" s="1909"/>
      <c r="H5" s="1909"/>
      <c r="I5" s="1909"/>
      <c r="J5" s="1909"/>
      <c r="K5" s="1909"/>
      <c r="L5" s="1909"/>
      <c r="M5" s="1909"/>
      <c r="N5" s="1909"/>
    </row>
    <row r="6" spans="2:23">
      <c r="B6" s="2060" t="s">
        <v>3575</v>
      </c>
      <c r="C6" s="2060"/>
      <c r="D6" s="2060"/>
      <c r="E6" s="2060"/>
      <c r="F6" s="2060"/>
      <c r="G6" s="2060"/>
      <c r="H6" s="2060"/>
      <c r="I6" s="2060"/>
      <c r="J6" s="2060"/>
      <c r="K6" s="2060"/>
      <c r="L6" s="2060"/>
      <c r="M6" s="2060"/>
      <c r="N6" s="2060"/>
    </row>
    <row r="7" spans="2:23">
      <c r="B7" s="1086"/>
      <c r="C7" s="1086"/>
      <c r="D7" s="1086"/>
      <c r="E7" s="1086"/>
      <c r="F7" s="1086"/>
      <c r="G7" s="1086"/>
      <c r="H7" s="1086"/>
      <c r="I7" s="1086"/>
      <c r="J7" s="1086"/>
      <c r="K7" s="1086"/>
      <c r="L7" s="1086"/>
      <c r="M7" s="1086"/>
      <c r="N7" s="1086"/>
    </row>
    <row r="8" spans="2:23">
      <c r="B8" s="1086"/>
      <c r="C8" s="1086"/>
      <c r="D8" s="1086"/>
      <c r="E8" s="1086"/>
      <c r="F8" s="1086"/>
      <c r="G8" s="1086"/>
      <c r="H8" s="1081" t="s">
        <v>414</v>
      </c>
      <c r="I8" s="1086"/>
      <c r="J8" s="1086"/>
      <c r="K8" s="1086"/>
      <c r="L8" s="1086"/>
      <c r="M8" s="1086"/>
      <c r="N8" s="1086"/>
    </row>
    <row r="9" spans="2:23">
      <c r="B9" s="1086"/>
      <c r="C9" s="2058" t="s">
        <v>434</v>
      </c>
      <c r="D9" s="2058"/>
      <c r="E9" s="2058"/>
      <c r="F9" s="1086"/>
      <c r="G9" s="1086"/>
      <c r="H9" s="1284" t="str">
        <f>IF('KEY INPUTS'!C42 = "State Fiscal Year", 'KEY INPUTS'!F46,'KEY INPUTS'!D46)</f>
        <v>Dec. 31, 2020</v>
      </c>
      <c r="I9" s="1086"/>
      <c r="J9" s="1081" t="s">
        <v>435</v>
      </c>
      <c r="K9" s="1086"/>
      <c r="L9" s="1081" t="s">
        <v>414</v>
      </c>
      <c r="M9" s="1086"/>
      <c r="N9" s="1081" t="s">
        <v>530</v>
      </c>
    </row>
    <row r="10" spans="2:23">
      <c r="B10" s="1086"/>
      <c r="C10" s="1086"/>
      <c r="D10" s="1086"/>
      <c r="E10" s="1086"/>
      <c r="F10" s="1086"/>
      <c r="G10" s="1086"/>
      <c r="H10" s="1081" t="s">
        <v>433</v>
      </c>
      <c r="I10" s="1086"/>
      <c r="J10" s="1081" t="str">
        <f>IF('KEY INPUTS'!C42="State Fiscal Year","Fiscal Year "&amp;'KEY INPUTS'!D33&amp;"",'KEY INPUTS'!D34)&amp;""</f>
        <v>2021</v>
      </c>
      <c r="K10" s="1086"/>
      <c r="L10" s="1081" t="s">
        <v>436</v>
      </c>
      <c r="M10" s="1086"/>
      <c r="N10" s="1081" t="s">
        <v>437</v>
      </c>
    </row>
    <row r="11" spans="2:23">
      <c r="B11" s="1086"/>
      <c r="C11" s="1086"/>
      <c r="D11" s="1086"/>
      <c r="E11" s="1086"/>
      <c r="F11" s="1086"/>
      <c r="G11" s="1086"/>
      <c r="H11" s="1285" t="s">
        <v>432</v>
      </c>
      <c r="I11" s="1086"/>
      <c r="J11" s="1285" t="s">
        <v>535</v>
      </c>
      <c r="K11" s="1086"/>
      <c r="L11" s="1285" t="str">
        <f>IF('KEY INPUTS'!C42="State Fiscal Year","Fiscal Year "&amp;'KEY INPUTS'!D33&amp;"",'KEY INPUTS'!D34)&amp;""</f>
        <v>2021</v>
      </c>
      <c r="M11" s="1086"/>
      <c r="N11" s="1286" t="str">
        <f>IF('KEY INPUTS'!C42 = "State Fiscal Year", 'KEY INPUTS'!F47,'KEY INPUTS'!D47)</f>
        <v>Dec. 31, 2021</v>
      </c>
      <c r="Q11" s="309"/>
      <c r="R11" s="309"/>
      <c r="S11" s="309"/>
      <c r="T11" s="309"/>
      <c r="U11" s="309"/>
      <c r="V11" s="309"/>
      <c r="W11" s="309"/>
    </row>
    <row r="12" spans="2:23">
      <c r="B12" s="1287" t="s">
        <v>292</v>
      </c>
      <c r="C12" s="1086" t="s">
        <v>870</v>
      </c>
      <c r="D12" s="1086"/>
      <c r="E12" s="1086"/>
      <c r="F12" s="1086"/>
      <c r="G12" s="1086"/>
      <c r="H12" s="1086"/>
      <c r="I12" s="1086"/>
      <c r="J12" s="1086"/>
      <c r="K12" s="1086"/>
      <c r="L12" s="1086"/>
      <c r="M12" s="1086"/>
      <c r="N12" s="1086"/>
      <c r="Q12" s="309"/>
      <c r="R12" s="309"/>
      <c r="S12" s="309"/>
      <c r="T12" s="309"/>
      <c r="U12" s="309"/>
      <c r="V12" s="309"/>
      <c r="W12" s="309"/>
    </row>
    <row r="13" spans="2:23">
      <c r="B13" s="453"/>
      <c r="D13" s="318" t="s">
        <v>871</v>
      </c>
      <c r="G13" s="318" t="s">
        <v>373</v>
      </c>
      <c r="H13" s="552"/>
      <c r="I13" s="318" t="s">
        <v>373</v>
      </c>
      <c r="J13" s="552"/>
      <c r="K13" s="318" t="s">
        <v>373</v>
      </c>
      <c r="L13" s="552"/>
      <c r="M13" s="318" t="s">
        <v>373</v>
      </c>
      <c r="N13" s="639">
        <f>+H13-J13+L13</f>
        <v>0</v>
      </c>
      <c r="Q13" s="356"/>
      <c r="R13" s="309"/>
      <c r="S13" s="309"/>
      <c r="T13" s="309"/>
      <c r="U13" s="309"/>
      <c r="V13" s="309"/>
      <c r="W13" s="309"/>
    </row>
    <row r="14" spans="2:23">
      <c r="B14" s="453"/>
      <c r="H14" s="275"/>
      <c r="J14" s="275"/>
      <c r="L14" s="275"/>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288" t="s">
        <v>3211</v>
      </c>
      <c r="D20" s="1166"/>
      <c r="E20" s="1166"/>
      <c r="F20" s="1166"/>
      <c r="G20" s="709" t="s">
        <v>373</v>
      </c>
      <c r="H20" s="1165">
        <f>H13+H15+H16+H17+H18+H19</f>
        <v>0</v>
      </c>
      <c r="I20" s="709" t="s">
        <v>373</v>
      </c>
      <c r="J20" s="1165">
        <f>J13+J15+J16+J17+J18+J19</f>
        <v>0</v>
      </c>
      <c r="K20" s="709"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709" t="s">
        <v>373</v>
      </c>
      <c r="H23" s="1165">
        <f>H21+H22</f>
        <v>0</v>
      </c>
      <c r="I23" s="709" t="s">
        <v>373</v>
      </c>
      <c r="J23" s="1165">
        <f>J21+J22</f>
        <v>0</v>
      </c>
      <c r="K23" s="709" t="s">
        <v>373</v>
      </c>
      <c r="L23" s="1165">
        <f>L21+L22</f>
        <v>0</v>
      </c>
      <c r="M23" s="318" t="s">
        <v>373</v>
      </c>
      <c r="N23" s="1164">
        <f t="shared" si="0"/>
        <v>0</v>
      </c>
      <c r="Q23" s="309"/>
      <c r="R23" s="309"/>
      <c r="S23" s="309"/>
      <c r="T23" s="309"/>
      <c r="U23" s="309"/>
      <c r="V23" s="309"/>
      <c r="W23" s="309"/>
    </row>
    <row r="24" spans="2:23">
      <c r="B24" s="453"/>
      <c r="Q24" s="309"/>
      <c r="R24" s="309"/>
      <c r="S24" s="309"/>
      <c r="T24" s="309"/>
      <c r="U24" s="309"/>
      <c r="V24" s="309"/>
      <c r="W24" s="309"/>
    </row>
    <row r="25" spans="2:23">
      <c r="B25" s="453"/>
      <c r="C25" s="318" t="s">
        <v>873</v>
      </c>
      <c r="Q25" s="309"/>
      <c r="R25" s="309"/>
      <c r="S25" s="309"/>
      <c r="T25" s="309"/>
      <c r="U25" s="309"/>
      <c r="V25" s="309"/>
      <c r="W25" s="309"/>
    </row>
    <row r="26" spans="2:23">
      <c r="B26" s="453"/>
      <c r="Q26" s="309"/>
      <c r="R26" s="309"/>
      <c r="S26" s="309"/>
      <c r="T26" s="309"/>
      <c r="U26" s="309"/>
      <c r="V26" s="309"/>
      <c r="W26" s="309"/>
    </row>
    <row r="27" spans="2:23">
      <c r="B27" s="453"/>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1289"/>
      <c r="C30" s="1289"/>
      <c r="D30" s="1289"/>
      <c r="E30" s="1289"/>
      <c r="F30" s="1289"/>
      <c r="G30" s="1289"/>
      <c r="H30" s="1289"/>
      <c r="I30" s="1289"/>
      <c r="J30" s="1289"/>
      <c r="K30" s="1289"/>
      <c r="L30" s="1289"/>
      <c r="M30" s="1289"/>
      <c r="N30" s="1289"/>
    </row>
    <row r="31" spans="2:23" ht="18" customHeight="1">
      <c r="B31" s="1287"/>
      <c r="C31" s="1086"/>
      <c r="D31" s="2056" t="s">
        <v>17</v>
      </c>
      <c r="E31" s="2056"/>
      <c r="F31" s="1290"/>
      <c r="G31" s="2056" t="s">
        <v>413</v>
      </c>
      <c r="H31" s="2056"/>
      <c r="I31" s="2056"/>
      <c r="J31" s="2056"/>
      <c r="K31" s="2056"/>
      <c r="L31" s="2056"/>
      <c r="M31" s="1290"/>
      <c r="N31" s="1291" t="s">
        <v>414</v>
      </c>
    </row>
    <row r="32" spans="2:23" ht="21" customHeight="1">
      <c r="B32" s="453"/>
      <c r="C32" s="453" t="s">
        <v>292</v>
      </c>
      <c r="D32" s="637"/>
      <c r="E32" s="637"/>
      <c r="G32" s="637"/>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453"/>
    </row>
    <row r="38" spans="2:14">
      <c r="B38" s="453"/>
    </row>
    <row r="39" spans="2:14">
      <c r="B39" s="453"/>
    </row>
    <row r="40" spans="2:14" ht="15.6">
      <c r="B40" s="2057" t="s">
        <v>250</v>
      </c>
      <c r="C40" s="2057"/>
      <c r="D40" s="2057"/>
      <c r="E40" s="2057"/>
      <c r="F40" s="2057"/>
      <c r="G40" s="2057"/>
      <c r="H40" s="2057"/>
      <c r="I40" s="2057"/>
      <c r="J40" s="2057"/>
      <c r="K40" s="2057"/>
      <c r="L40" s="2057"/>
      <c r="M40" s="2057"/>
      <c r="N40" s="2057"/>
    </row>
    <row r="41" spans="2:14">
      <c r="B41" s="1287"/>
      <c r="C41" s="1086"/>
      <c r="D41" s="1086"/>
      <c r="E41" s="1086"/>
      <c r="F41" s="1086"/>
      <c r="G41" s="1086"/>
      <c r="H41" s="1086"/>
      <c r="I41" s="1086"/>
      <c r="J41" s="1086"/>
      <c r="K41" s="1086"/>
      <c r="L41" s="1086"/>
      <c r="M41" s="1086"/>
      <c r="N41" s="1086"/>
    </row>
    <row r="42" spans="2:14">
      <c r="B42" s="1287"/>
      <c r="C42" s="1086"/>
      <c r="D42" s="1086"/>
      <c r="E42" s="1086"/>
      <c r="F42" s="1086"/>
      <c r="G42" s="1086"/>
      <c r="H42" s="1086"/>
      <c r="I42" s="1086"/>
      <c r="J42" s="1086"/>
      <c r="K42" s="1086"/>
      <c r="L42" s="1086"/>
      <c r="M42" s="1086"/>
      <c r="N42" s="1081" t="s">
        <v>419</v>
      </c>
    </row>
    <row r="43" spans="2:14">
      <c r="B43" s="1287"/>
      <c r="C43" s="1086"/>
      <c r="D43" s="1086"/>
      <c r="E43" s="1086"/>
      <c r="F43" s="1086"/>
      <c r="G43" s="1086"/>
      <c r="H43" s="1086"/>
      <c r="I43" s="1086"/>
      <c r="J43" s="1086"/>
      <c r="K43" s="1086"/>
      <c r="L43" s="1086"/>
      <c r="M43" s="1086"/>
      <c r="N43" s="1081" t="s">
        <v>420</v>
      </c>
    </row>
    <row r="44" spans="2:14">
      <c r="B44" s="1287"/>
      <c r="C44" s="1086"/>
      <c r="D44" s="2058" t="s">
        <v>416</v>
      </c>
      <c r="E44" s="2058"/>
      <c r="F44" s="1086"/>
      <c r="G44" s="1086"/>
      <c r="H44" s="2058" t="s">
        <v>417</v>
      </c>
      <c r="I44" s="2058"/>
      <c r="J44" s="1285" t="s">
        <v>418</v>
      </c>
      <c r="K44" s="1086"/>
      <c r="L44" s="1285" t="s">
        <v>414</v>
      </c>
      <c r="M44" s="1086"/>
      <c r="N44" s="1285" t="str">
        <f>IF('KEY INPUTS'!C42="State Fiscal Year","Fiscal Year "&amp;'KEY INPUTS'!D33&amp;"",'KEY INPUTS'!D34)&amp;""</f>
        <v>2021</v>
      </c>
    </row>
    <row r="45" spans="2:14">
      <c r="B45" s="453"/>
      <c r="D45" s="636"/>
      <c r="E45" s="636"/>
      <c r="F45" s="636"/>
      <c r="G45" s="636"/>
      <c r="H45" s="636"/>
      <c r="I45" s="636"/>
      <c r="J45" s="636"/>
    </row>
    <row r="46" spans="2:14" ht="21" customHeight="1">
      <c r="B46" s="453"/>
      <c r="C46" s="453" t="s">
        <v>292</v>
      </c>
      <c r="D46" s="637"/>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JcZrV92THfp9bqCkO08zBN779u4/L6NJieisS2Vc4FCgK4rAvB8T7bOzQVtDeXrxuvW1J9JBTBu9E6IZZT6L6Q==" saltValue="HIS0u1ZcIUa4J5h+1JEqQw=="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4">
    <tabColor theme="7" tint="0.39997558519241921"/>
  </sheetPr>
  <dimension ref="A1:O36"/>
  <sheetViews>
    <sheetView zoomScaleNormal="100" workbookViewId="0">
      <selection activeCell="J9" sqref="J9"/>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1"/>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fHQWFBOUOnFOWey9MCWBV8YLjTqUI1UxLQWKXpWQMZApNCW0JgoVOylBnLVGnNT5Z3fP3pz7Zw6rbP5YAXivZQ==" saltValue="jGMH5SyR4MljvNu+sgnJCQ=="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7">
    <tabColor theme="7" tint="0.39997558519241921"/>
  </sheetPr>
  <dimension ref="B2:U50"/>
  <sheetViews>
    <sheetView zoomScaleNormal="100" zoomScaleSheetLayoutView="80" workbookViewId="0">
      <selection activeCell="G17" sqref="G17"/>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INPUTS'!D58)&amp;" UTILITY  ASSESSMENT  BONDS"</f>
        <v xml:space="preserve"> UTILITY  ASSESSMENT  BONDS</v>
      </c>
      <c r="C4" s="1889"/>
      <c r="D4" s="1889"/>
      <c r="E4" s="1889"/>
      <c r="F4" s="1889"/>
      <c r="G4" s="1889"/>
      <c r="H4" s="1889"/>
      <c r="I4" s="1889"/>
      <c r="J4" s="1889"/>
      <c r="K4" s="1889"/>
      <c r="L4" s="1889"/>
    </row>
    <row r="5" spans="2:21" ht="9.75" customHeight="1" thickBot="1">
      <c r="B5" s="1318"/>
      <c r="C5" s="1318"/>
      <c r="D5" s="1318"/>
      <c r="E5" s="1318"/>
      <c r="F5" s="1318"/>
      <c r="G5" s="1318"/>
      <c r="H5" s="1318"/>
      <c r="I5" s="1318"/>
      <c r="J5" s="1318"/>
      <c r="K5" s="1318"/>
      <c r="L5" s="1318"/>
    </row>
    <row r="6" spans="2:21" ht="27.75" customHeight="1" thickTop="1" thickBot="1">
      <c r="B6" s="1273"/>
      <c r="C6" s="1273"/>
      <c r="D6" s="1273"/>
      <c r="E6" s="1273"/>
      <c r="F6" s="1273"/>
      <c r="G6" s="1055" t="s">
        <v>96</v>
      </c>
      <c r="H6" s="2061" t="s">
        <v>97</v>
      </c>
      <c r="I6" s="1880"/>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'32-Bond Schedule'!B7</f>
        <v>Outstanding - January 1, 2021</v>
      </c>
      <c r="C7" s="1110"/>
      <c r="D7" s="1110"/>
      <c r="E7" s="1110"/>
      <c r="F7" s="1110"/>
      <c r="G7" s="1111" t="s">
        <v>628</v>
      </c>
      <c r="H7" s="1809"/>
      <c r="I7" s="1810"/>
      <c r="K7" s="1054"/>
      <c r="L7" s="1054"/>
      <c r="O7" s="309"/>
      <c r="P7" s="309"/>
      <c r="Q7" s="309"/>
      <c r="R7" s="309"/>
      <c r="S7" s="309"/>
      <c r="T7" s="309"/>
      <c r="U7" s="309"/>
    </row>
    <row r="8" spans="2:21" ht="21" customHeight="1">
      <c r="B8" s="659" t="s">
        <v>92</v>
      </c>
      <c r="C8" s="659"/>
      <c r="D8" s="659"/>
      <c r="E8" s="659"/>
      <c r="F8" s="659"/>
      <c r="G8" s="1114" t="s">
        <v>628</v>
      </c>
      <c r="H8" s="1807"/>
      <c r="I8" s="1808"/>
      <c r="K8" s="1054"/>
      <c r="L8" s="1054"/>
      <c r="O8" s="356"/>
      <c r="P8" s="309"/>
      <c r="Q8" s="309"/>
      <c r="R8" s="309"/>
      <c r="S8" s="309"/>
      <c r="T8" s="309"/>
      <c r="U8" s="309"/>
    </row>
    <row r="9" spans="2:21" ht="21" customHeight="1">
      <c r="B9" s="659"/>
      <c r="C9" s="659"/>
      <c r="D9" s="659"/>
      <c r="E9" s="659"/>
      <c r="F9" s="659"/>
      <c r="G9" s="1114"/>
      <c r="H9" s="1319"/>
      <c r="I9" s="1169"/>
      <c r="K9" s="1054"/>
      <c r="L9" s="1054"/>
      <c r="O9" s="309"/>
      <c r="P9" s="309"/>
      <c r="Q9" s="309"/>
      <c r="R9" s="309"/>
      <c r="S9" s="309"/>
      <c r="T9" s="309"/>
      <c r="U9" s="309"/>
    </row>
    <row r="10" spans="2:21" ht="21" customHeight="1">
      <c r="B10" s="659" t="s">
        <v>254</v>
      </c>
      <c r="C10" s="659"/>
      <c r="D10" s="659"/>
      <c r="E10" s="659"/>
      <c r="F10" s="659"/>
      <c r="G10" s="571"/>
      <c r="H10" s="1957" t="s">
        <v>628</v>
      </c>
      <c r="I10" s="1958"/>
      <c r="K10" s="1054"/>
      <c r="L10" s="1054"/>
      <c r="O10" s="309"/>
      <c r="P10" s="309"/>
      <c r="Q10" s="309"/>
      <c r="R10" s="309"/>
      <c r="S10" s="309"/>
      <c r="T10" s="309"/>
      <c r="U10" s="309"/>
    </row>
    <row r="11" spans="2:21" ht="21" customHeight="1" thickBot="1">
      <c r="B11" s="659" t="str">
        <f>'32-Bond Schedule'!B11</f>
        <v>Outstanding - December 31, 2021</v>
      </c>
      <c r="C11" s="659"/>
      <c r="D11" s="659"/>
      <c r="E11" s="659"/>
      <c r="F11" s="659"/>
      <c r="G11" s="1069">
        <f>+H7+H8-G10</f>
        <v>0</v>
      </c>
      <c r="H11" s="1953" t="s">
        <v>628</v>
      </c>
      <c r="I11" s="1954"/>
      <c r="K11" s="1054"/>
      <c r="L11" s="1054"/>
      <c r="O11" s="309"/>
      <c r="P11" s="309"/>
      <c r="Q11" s="309"/>
      <c r="R11" s="309"/>
      <c r="S11" s="309"/>
      <c r="T11" s="309"/>
      <c r="U11" s="309"/>
    </row>
    <row r="12" spans="2:21" ht="21" customHeight="1" thickBot="1">
      <c r="B12" s="1054"/>
      <c r="C12" s="1054"/>
      <c r="D12" s="1054"/>
      <c r="E12" s="1054"/>
      <c r="F12" s="1054"/>
      <c r="G12" s="1071">
        <f>SUM(G7:G11)</f>
        <v>0</v>
      </c>
      <c r="H12" s="1941">
        <f>SUM(H7:I11)</f>
        <v>0</v>
      </c>
      <c r="I12" s="1942"/>
      <c r="K12" s="1054"/>
      <c r="L12" s="1054"/>
      <c r="O12" s="309"/>
      <c r="P12" s="309"/>
      <c r="Q12" s="309"/>
      <c r="R12" s="309"/>
      <c r="S12" s="309"/>
      <c r="T12" s="309"/>
      <c r="U12" s="309"/>
    </row>
    <row r="13" spans="2:21" ht="21" customHeight="1" thickTop="1">
      <c r="B13" s="1321" t="str">
        <f>'49-Utility1'!B13</f>
        <v>2022 Bond Maturities - Assessment Bonds</v>
      </c>
      <c r="C13" s="1068"/>
      <c r="D13" s="1068"/>
      <c r="E13" s="1068"/>
      <c r="F13" s="1068"/>
      <c r="G13" s="1068"/>
      <c r="H13" s="1068"/>
      <c r="I13" s="1320"/>
      <c r="J13" s="423" t="s">
        <v>373</v>
      </c>
      <c r="K13" s="1834"/>
      <c r="L13" s="1834"/>
      <c r="O13" s="309"/>
      <c r="P13" s="309"/>
      <c r="Q13" s="309"/>
      <c r="R13" s="309"/>
      <c r="S13" s="309"/>
      <c r="T13" s="309"/>
      <c r="U13" s="309"/>
    </row>
    <row r="14" spans="2:21" ht="21" customHeight="1" thickBot="1">
      <c r="B14" s="1322" t="str">
        <f>'49-Utility1'!B14</f>
        <v>2022 Interest on Bonds</v>
      </c>
      <c r="C14" s="1172"/>
      <c r="D14" s="1172"/>
      <c r="E14" s="1172"/>
      <c r="F14" s="1172"/>
      <c r="G14" s="1197"/>
      <c r="H14" s="460" t="s">
        <v>373</v>
      </c>
      <c r="I14" s="577"/>
      <c r="K14" s="1054"/>
      <c r="L14" s="1054"/>
      <c r="O14" s="309"/>
      <c r="P14" s="309"/>
      <c r="Q14" s="309"/>
      <c r="R14" s="309"/>
      <c r="S14" s="309"/>
      <c r="T14" s="309"/>
      <c r="U14" s="309"/>
    </row>
    <row r="15" spans="2:21" ht="16.5" customHeight="1" thickTop="1">
      <c r="B15" s="2079"/>
      <c r="C15" s="2079"/>
      <c r="D15" s="2079"/>
      <c r="E15" s="2079"/>
      <c r="F15" s="2079"/>
      <c r="G15" s="2079"/>
      <c r="H15" s="2079"/>
      <c r="I15" s="2080"/>
      <c r="J15" s="1054"/>
      <c r="K15" s="1054"/>
      <c r="L15" s="1054"/>
      <c r="O15" s="309"/>
      <c r="P15" s="309"/>
      <c r="Q15" s="309"/>
      <c r="R15" s="309"/>
      <c r="S15" s="309"/>
      <c r="T15" s="309"/>
      <c r="U15" s="309"/>
    </row>
    <row r="16" spans="2:21" ht="26.25" customHeight="1" thickBot="1">
      <c r="B16" s="1977" t="str">
        <f>UPPER('KEY INPUTS'!D58) &amp;" UTILITY  CAPITAL  BONDS"</f>
        <v xml:space="preserve"> UTILITY  CAPITAL  BONDS</v>
      </c>
      <c r="C16" s="1977"/>
      <c r="D16" s="1977"/>
      <c r="E16" s="1977"/>
      <c r="F16" s="1977"/>
      <c r="G16" s="1977"/>
      <c r="H16" s="1977"/>
      <c r="I16" s="1978"/>
      <c r="J16" s="1054"/>
      <c r="K16" s="1054"/>
      <c r="L16" s="1054"/>
      <c r="O16" s="309"/>
      <c r="P16" s="309"/>
      <c r="Q16" s="309"/>
      <c r="R16" s="309"/>
      <c r="S16" s="309"/>
      <c r="T16" s="309"/>
      <c r="U16" s="309"/>
    </row>
    <row r="17" spans="2:21" ht="21" customHeight="1" thickTop="1">
      <c r="B17" s="1151" t="str">
        <f>'32-Bond Schedule'!B7</f>
        <v>Outstanding - January 1, 2021</v>
      </c>
      <c r="C17" s="1110"/>
      <c r="D17" s="1110"/>
      <c r="E17" s="1110"/>
      <c r="F17" s="1110"/>
      <c r="G17" s="1111" t="s">
        <v>628</v>
      </c>
      <c r="H17" s="1809"/>
      <c r="I17" s="1810"/>
      <c r="K17" s="1054"/>
      <c r="L17" s="1054"/>
      <c r="O17" s="309"/>
      <c r="P17" s="309"/>
      <c r="Q17" s="309"/>
      <c r="R17" s="309"/>
      <c r="S17" s="309"/>
      <c r="T17" s="309"/>
      <c r="U17" s="309"/>
    </row>
    <row r="18" spans="2:21" ht="21" customHeight="1">
      <c r="B18" s="659" t="s">
        <v>92</v>
      </c>
      <c r="C18" s="659"/>
      <c r="D18" s="659"/>
      <c r="E18" s="659"/>
      <c r="F18" s="659"/>
      <c r="G18" s="1114" t="s">
        <v>628</v>
      </c>
      <c r="H18" s="1807"/>
      <c r="I18" s="1808"/>
      <c r="K18" s="1054"/>
      <c r="L18" s="1054"/>
      <c r="O18" s="309"/>
      <c r="P18" s="309"/>
      <c r="Q18" s="309"/>
      <c r="R18" s="309"/>
      <c r="S18" s="309"/>
      <c r="T18" s="309"/>
      <c r="U18" s="309"/>
    </row>
    <row r="19" spans="2:21" ht="21" customHeight="1">
      <c r="B19" s="659" t="s">
        <v>254</v>
      </c>
      <c r="C19" s="659"/>
      <c r="D19" s="659"/>
      <c r="E19" s="659"/>
      <c r="F19" s="659"/>
      <c r="G19" s="571"/>
      <c r="H19" s="1957" t="s">
        <v>628</v>
      </c>
      <c r="I19" s="1958"/>
      <c r="K19" s="1054"/>
      <c r="L19" s="1054"/>
      <c r="O19" s="309"/>
      <c r="P19" s="309"/>
      <c r="Q19" s="309"/>
      <c r="R19" s="309"/>
      <c r="S19" s="309"/>
      <c r="T19" s="309"/>
      <c r="U19" s="309"/>
    </row>
    <row r="20" spans="2:21" ht="21" customHeight="1">
      <c r="B20" s="659"/>
      <c r="C20" s="659"/>
      <c r="D20" s="659"/>
      <c r="E20" s="659"/>
      <c r="F20" s="659"/>
      <c r="G20" s="658"/>
      <c r="H20" s="1943"/>
      <c r="I20" s="1944"/>
      <c r="K20" s="1054"/>
      <c r="L20" s="1054"/>
      <c r="O20" s="309"/>
      <c r="P20" s="309"/>
      <c r="Q20" s="309"/>
      <c r="R20" s="309"/>
      <c r="S20" s="309"/>
      <c r="T20" s="309"/>
      <c r="U20" s="309"/>
    </row>
    <row r="21" spans="2:21" ht="21" customHeight="1">
      <c r="B21" s="659"/>
      <c r="C21" s="659"/>
      <c r="D21" s="659"/>
      <c r="E21" s="659"/>
      <c r="F21" s="659"/>
      <c r="G21" s="658"/>
      <c r="H21" s="1943"/>
      <c r="I21" s="1944"/>
      <c r="K21" s="1054"/>
      <c r="L21" s="1054"/>
      <c r="O21" s="309"/>
      <c r="P21" s="309"/>
      <c r="Q21" s="309"/>
      <c r="R21" s="309"/>
      <c r="S21" s="309"/>
      <c r="T21" s="309"/>
      <c r="U21" s="309"/>
    </row>
    <row r="22" spans="2:21" ht="21" customHeight="1" thickBot="1">
      <c r="B22" s="659" t="str">
        <f>'32-Bond Schedule'!B11</f>
        <v>Outstanding - December 31, 2021</v>
      </c>
      <c r="C22" s="659"/>
      <c r="D22" s="659"/>
      <c r="E22" s="659"/>
      <c r="F22" s="659"/>
      <c r="G22" s="1069">
        <f>+H17+H18-G19-G20-G21+H20+H21</f>
        <v>0</v>
      </c>
      <c r="H22" s="1953" t="s">
        <v>628</v>
      </c>
      <c r="I22" s="1954"/>
      <c r="K22" s="1054"/>
      <c r="L22" s="1054"/>
      <c r="O22" s="309"/>
      <c r="P22" s="309"/>
      <c r="Q22" s="309"/>
      <c r="R22" s="309"/>
      <c r="S22" s="309"/>
      <c r="T22" s="309"/>
      <c r="U22" s="309"/>
    </row>
    <row r="23" spans="2:21" ht="21" customHeight="1" thickBot="1">
      <c r="B23" s="1054"/>
      <c r="C23" s="1054"/>
      <c r="D23" s="1054"/>
      <c r="E23" s="1054"/>
      <c r="F23" s="1054"/>
      <c r="G23" s="1071">
        <f>SUM(G17:G22)</f>
        <v>0</v>
      </c>
      <c r="H23" s="1941">
        <f>SUM(H17:I22)</f>
        <v>0</v>
      </c>
      <c r="I23" s="1942"/>
      <c r="K23" s="1054"/>
      <c r="L23" s="1054"/>
    </row>
    <row r="24" spans="2:21" ht="21" customHeight="1" thickTop="1">
      <c r="B24" s="1321" t="str">
        <f>'49-Utility1'!B24</f>
        <v>2022 Bond Maturities - Capital Bonds</v>
      </c>
      <c r="C24" s="1068"/>
      <c r="D24" s="1068"/>
      <c r="E24" s="1068"/>
      <c r="F24" s="1068"/>
      <c r="G24" s="1068"/>
      <c r="H24" s="1068"/>
      <c r="I24" s="1323"/>
      <c r="J24" s="423" t="s">
        <v>373</v>
      </c>
      <c r="K24" s="1834"/>
      <c r="L24" s="1834"/>
    </row>
    <row r="25" spans="2:21" ht="21" customHeight="1" thickBot="1">
      <c r="B25" s="1322" t="str">
        <f>'49-Utility1'!B25</f>
        <v>2022 Interest on Bonds</v>
      </c>
      <c r="C25" s="1172"/>
      <c r="D25" s="1172"/>
      <c r="E25" s="1172"/>
      <c r="F25" s="1172"/>
      <c r="G25" s="1197"/>
      <c r="H25" s="460" t="s">
        <v>373</v>
      </c>
      <c r="I25" s="577"/>
      <c r="J25" s="461"/>
      <c r="K25" s="1172"/>
      <c r="L25" s="1322" t="s">
        <v>3133</v>
      </c>
    </row>
    <row r="26" spans="2:21" ht="21" customHeight="1" thickTop="1">
      <c r="B26" s="1054"/>
      <c r="C26" s="1054"/>
      <c r="D26" s="1054"/>
      <c r="E26" s="1054"/>
      <c r="F26" s="1054"/>
      <c r="G26" s="1054"/>
      <c r="H26" s="1054"/>
      <c r="I26" s="1054"/>
      <c r="J26" s="1054"/>
      <c r="K26" s="1054"/>
      <c r="L26" s="1054"/>
    </row>
    <row r="27" spans="2:21" ht="19.5" customHeight="1" thickBot="1">
      <c r="B27" s="1977" t="str">
        <f>"INTEREST  ON  BONDS  -  "&amp;UPPER('KEY INPUTS'!D58)&amp;"  UTILITY  BUDGET"</f>
        <v>INTEREST  ON  BONDS  -    UTILITY  BUDGET</v>
      </c>
      <c r="C27" s="1977"/>
      <c r="D27" s="1977"/>
      <c r="E27" s="1977"/>
      <c r="F27" s="1977"/>
      <c r="G27" s="1977"/>
      <c r="H27" s="1977"/>
      <c r="I27" s="1977"/>
      <c r="J27" s="1977"/>
      <c r="K27" s="1977"/>
      <c r="L27" s="1977"/>
    </row>
    <row r="28" spans="2:21" ht="21" customHeight="1" thickTop="1">
      <c r="B28" s="1333" t="str">
        <f>'49-Utility1'!B28</f>
        <v>2022 Interest on Bonds (*Items)</v>
      </c>
      <c r="C28" s="1110"/>
      <c r="D28" s="1110"/>
      <c r="E28" s="1110"/>
      <c r="F28" s="1110"/>
      <c r="G28" s="1110"/>
      <c r="H28" s="429" t="s">
        <v>373</v>
      </c>
      <c r="I28" s="1170">
        <f>+I14+I25</f>
        <v>0</v>
      </c>
      <c r="K28" s="1054"/>
      <c r="L28" s="1054"/>
      <c r="O28" s="436"/>
      <c r="P28" s="436"/>
      <c r="Q28" s="436"/>
      <c r="R28" s="436"/>
    </row>
    <row r="29" spans="2:21" ht="21" customHeight="1">
      <c r="B29" s="871" t="str">
        <f>'49-Utility1'!B29</f>
        <v>Less: Interest Accrued to 12/31/2021 (Trial Balance)</v>
      </c>
      <c r="C29" s="659"/>
      <c r="D29" s="659"/>
      <c r="E29" s="659"/>
      <c r="F29" s="659"/>
      <c r="G29" s="659"/>
      <c r="H29" s="374" t="s">
        <v>373</v>
      </c>
      <c r="I29" s="641"/>
      <c r="K29" s="1054"/>
      <c r="L29" s="1054"/>
      <c r="O29" s="436"/>
      <c r="P29" s="436"/>
      <c r="Q29" s="436"/>
      <c r="R29" s="436"/>
    </row>
    <row r="30" spans="2:21" ht="21" customHeight="1">
      <c r="B30" s="659"/>
      <c r="C30" s="659" t="s">
        <v>317</v>
      </c>
      <c r="D30" s="659"/>
      <c r="E30" s="659"/>
      <c r="F30" s="659"/>
      <c r="G30" s="659"/>
      <c r="H30" s="374" t="s">
        <v>373</v>
      </c>
      <c r="I30" s="1171">
        <f>+I28-I29</f>
        <v>0</v>
      </c>
      <c r="K30" s="1054"/>
      <c r="L30" s="1054"/>
      <c r="O30" s="436"/>
      <c r="P30" s="436"/>
      <c r="Q30" s="436"/>
      <c r="R30" s="436"/>
    </row>
    <row r="31" spans="2:21" ht="21" customHeight="1">
      <c r="B31" s="871" t="str">
        <f>'49-Utility1'!B31</f>
        <v>Add: Interest to be Accrued as of 12/31/2022</v>
      </c>
      <c r="C31" s="659"/>
      <c r="D31" s="659"/>
      <c r="E31" s="659"/>
      <c r="F31" s="659"/>
      <c r="G31" s="659"/>
      <c r="H31" s="374" t="s">
        <v>373</v>
      </c>
      <c r="I31" s="641"/>
      <c r="K31" s="1054"/>
      <c r="L31" s="1054"/>
      <c r="O31" s="436"/>
      <c r="P31" s="436"/>
      <c r="Q31" s="436"/>
      <c r="R31" s="436"/>
    </row>
    <row r="32" spans="2:21" ht="21" customHeight="1">
      <c r="B32" s="871" t="str">
        <f>'49-Utility1'!B32</f>
        <v>Required Appropriation 2022</v>
      </c>
      <c r="C32" s="659"/>
      <c r="D32" s="659"/>
      <c r="E32" s="659"/>
      <c r="F32" s="659"/>
      <c r="G32" s="659"/>
      <c r="H32" s="374"/>
      <c r="I32" s="1353"/>
      <c r="J32" s="463" t="s">
        <v>373</v>
      </c>
      <c r="K32" s="1963">
        <f>+I30+I31</f>
        <v>0</v>
      </c>
      <c r="L32" s="1964"/>
      <c r="O32" s="436"/>
      <c r="P32" s="436"/>
      <c r="Q32" s="436"/>
      <c r="R32" s="436"/>
    </row>
    <row r="33" spans="2:12" ht="13.5" customHeight="1">
      <c r="B33" s="1132"/>
      <c r="C33" s="1132"/>
      <c r="D33" s="1132"/>
      <c r="E33" s="1132"/>
      <c r="F33" s="1132"/>
      <c r="G33" s="1132"/>
      <c r="H33" s="1132"/>
      <c r="I33" s="1132"/>
      <c r="J33" s="1132"/>
      <c r="K33" s="1363"/>
      <c r="L33" s="1238"/>
    </row>
    <row r="34" spans="2:12" ht="13.5" customHeight="1">
      <c r="B34" s="1132"/>
      <c r="C34" s="1132"/>
      <c r="D34" s="1132"/>
      <c r="E34" s="1132"/>
      <c r="F34" s="1132"/>
      <c r="G34" s="1132"/>
      <c r="H34" s="1132"/>
      <c r="I34" s="1132"/>
      <c r="J34" s="1132"/>
      <c r="K34" s="1363"/>
      <c r="L34" s="1238"/>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879" t="s">
        <v>413</v>
      </c>
      <c r="C36" s="1879"/>
      <c r="D36" s="1879"/>
      <c r="E36" s="1879"/>
      <c r="F36" s="1879"/>
      <c r="G36" s="1336" t="str">
        <f>'49-Utility1'!G36</f>
        <v>2022 Maturity</v>
      </c>
      <c r="H36" s="2061" t="s">
        <v>91</v>
      </c>
      <c r="I36" s="1880"/>
      <c r="J36" s="2077" t="s">
        <v>89</v>
      </c>
      <c r="K36" s="2078"/>
      <c r="L36" s="1352" t="s">
        <v>90</v>
      </c>
    </row>
    <row r="37" spans="2:12" ht="21" customHeight="1" thickTop="1">
      <c r="B37" s="642"/>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72"/>
      <c r="C41" s="1172"/>
      <c r="D41" s="1172"/>
      <c r="E41" s="1172"/>
      <c r="F41" s="1324"/>
      <c r="G41" s="1071">
        <f>SUM(G37:G40)</f>
        <v>0</v>
      </c>
      <c r="H41" s="1959">
        <f>SUM(H37:I40)</f>
        <v>0</v>
      </c>
      <c r="I41" s="1960"/>
      <c r="J41" s="1325"/>
      <c r="K41" s="1172"/>
      <c r="L41" s="1173"/>
    </row>
    <row r="42" spans="2:12" ht="13.8" thickTop="1">
      <c r="G42" s="744"/>
      <c r="H42" s="744"/>
      <c r="I42" s="744"/>
    </row>
    <row r="50" spans="2:12" ht="13.8">
      <c r="B50" s="2076" t="s">
        <v>3167</v>
      </c>
      <c r="C50" s="2076"/>
      <c r="D50" s="2076"/>
      <c r="E50" s="2076"/>
      <c r="F50" s="2076"/>
      <c r="G50" s="2076"/>
      <c r="H50" s="2076"/>
      <c r="I50" s="2076"/>
      <c r="J50" s="2076"/>
      <c r="K50" s="2076"/>
      <c r="L50" s="2076"/>
    </row>
  </sheetData>
  <sheetProtection algorithmName="SHA-512" hashValue="sgNYapfFU4IL8YjGcl8BP8AiYYZLHTVA33K6yVA8bfQq8WUxJKlVsiuwpn3+QkGAgq2+s04XTm7UUUyB82U5mQ==" saltValue="WEWIEGdEYHzfO+Y4say4Y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8">
    <tabColor theme="7" tint="0.39997558519241921"/>
  </sheetPr>
  <dimension ref="B2:U51"/>
  <sheetViews>
    <sheetView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INPUTS'!D$58)&amp;"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K7" s="1086"/>
      <c r="L7" s="1086"/>
      <c r="O7" s="309"/>
      <c r="P7" s="309"/>
      <c r="Q7" s="309"/>
      <c r="R7" s="309"/>
      <c r="S7" s="309"/>
      <c r="T7" s="309"/>
      <c r="U7" s="309"/>
    </row>
    <row r="8" spans="2:21" ht="21" customHeight="1">
      <c r="B8" s="659" t="s">
        <v>92</v>
      </c>
      <c r="C8" s="1079"/>
      <c r="D8" s="1079"/>
      <c r="E8" s="1079"/>
      <c r="F8" s="1079"/>
      <c r="G8" s="926" t="s">
        <v>628</v>
      </c>
      <c r="H8" s="1807"/>
      <c r="I8" s="1808"/>
      <c r="K8" s="1086"/>
      <c r="L8" s="1086"/>
      <c r="O8" s="356"/>
      <c r="P8" s="309"/>
      <c r="Q8" s="309"/>
      <c r="R8" s="309"/>
      <c r="S8" s="309"/>
      <c r="T8" s="309"/>
      <c r="U8" s="309"/>
    </row>
    <row r="9" spans="2:21" ht="21" customHeight="1">
      <c r="B9" s="659"/>
      <c r="C9" s="1079"/>
      <c r="D9" s="1079"/>
      <c r="E9" s="1079"/>
      <c r="F9" s="1079"/>
      <c r="G9" s="926"/>
      <c r="H9" s="1328"/>
      <c r="I9" s="1329"/>
      <c r="K9" s="1086"/>
      <c r="L9" s="1086"/>
      <c r="O9" s="309"/>
      <c r="P9" s="309"/>
      <c r="Q9" s="309"/>
      <c r="R9" s="309"/>
      <c r="S9" s="309"/>
      <c r="T9" s="309"/>
      <c r="U9" s="309"/>
    </row>
    <row r="10" spans="2:21" ht="21" customHeight="1">
      <c r="B10" s="659" t="s">
        <v>254</v>
      </c>
      <c r="C10" s="1079"/>
      <c r="D10" s="1079"/>
      <c r="E10" s="1079"/>
      <c r="F10" s="1079"/>
      <c r="G10" s="571"/>
      <c r="H10" s="1829" t="s">
        <v>628</v>
      </c>
      <c r="I10" s="1830"/>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K15" s="1086"/>
      <c r="L15" s="1086"/>
      <c r="O15" s="309"/>
      <c r="P15" s="309"/>
      <c r="Q15" s="309"/>
      <c r="R15" s="309"/>
      <c r="S15" s="309"/>
      <c r="T15" s="309"/>
      <c r="U15" s="309"/>
    </row>
    <row r="16" spans="2:21" ht="16.2" thickBot="1">
      <c r="B16" s="1977" t="str">
        <f>UPPER('KEY INPUTS'!D$58)&amp;" UTILITY "&amp;IF(R16&lt;&gt;"",(UPPER(R16)),"")&amp;" LOAN"</f>
        <v xml:space="preserve"> UTILITY  LOAN</v>
      </c>
      <c r="C16" s="1977"/>
      <c r="D16" s="1977"/>
      <c r="E16" s="1977"/>
      <c r="F16" s="1977"/>
      <c r="G16" s="1977"/>
      <c r="H16" s="1977"/>
      <c r="I16" s="1978"/>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K17" s="1086"/>
      <c r="L17" s="1086"/>
      <c r="O17" s="309"/>
      <c r="P17" s="309"/>
      <c r="Q17" s="309"/>
      <c r="R17" s="309"/>
      <c r="S17" s="309"/>
      <c r="T17" s="309"/>
      <c r="U17" s="309"/>
    </row>
    <row r="18" spans="2:21" ht="21" customHeight="1">
      <c r="B18" s="659" t="s">
        <v>92</v>
      </c>
      <c r="C18" s="1079"/>
      <c r="D18" s="1079"/>
      <c r="E18" s="1079"/>
      <c r="F18" s="1079"/>
      <c r="G18" s="926" t="s">
        <v>628</v>
      </c>
      <c r="H18" s="1807"/>
      <c r="I18" s="1808"/>
      <c r="K18" s="1086"/>
      <c r="L18" s="1086"/>
      <c r="O18" s="309"/>
      <c r="P18" s="309"/>
      <c r="Q18" s="309"/>
      <c r="R18" s="309"/>
      <c r="S18" s="309"/>
      <c r="T18" s="309"/>
      <c r="U18" s="309"/>
    </row>
    <row r="19" spans="2:21" ht="21" customHeight="1">
      <c r="B19" s="659" t="s">
        <v>254</v>
      </c>
      <c r="C19" s="1079"/>
      <c r="D19" s="1079"/>
      <c r="E19" s="1079"/>
      <c r="F19" s="1079"/>
      <c r="G19" s="571"/>
      <c r="H19" s="1829" t="s">
        <v>628</v>
      </c>
      <c r="I19" s="1830"/>
      <c r="K19" s="1086"/>
      <c r="L19" s="1086"/>
      <c r="O19" s="309"/>
      <c r="P19" s="309"/>
      <c r="Q19" s="309"/>
      <c r="R19" s="309"/>
      <c r="S19" s="309"/>
      <c r="T19" s="309"/>
      <c r="U19" s="309"/>
    </row>
    <row r="20" spans="2:21" ht="21" customHeight="1">
      <c r="B20" s="659"/>
      <c r="C20" s="1079"/>
      <c r="D20" s="1079"/>
      <c r="E20" s="1079"/>
      <c r="F20" s="1079"/>
      <c r="G20" s="1046"/>
      <c r="H20" s="1831"/>
      <c r="I20" s="1832"/>
      <c r="K20" s="1086"/>
      <c r="L20" s="1086"/>
      <c r="O20" s="309"/>
      <c r="P20" s="309"/>
      <c r="Q20" s="309"/>
      <c r="R20" s="309"/>
      <c r="S20" s="309"/>
      <c r="T20" s="309"/>
      <c r="U20" s="309"/>
    </row>
    <row r="21" spans="2:21" ht="21" customHeight="1">
      <c r="B21" s="659"/>
      <c r="C21" s="1079"/>
      <c r="D21" s="1079"/>
      <c r="E21" s="1079"/>
      <c r="F21" s="1079"/>
      <c r="G21" s="1046"/>
      <c r="H21" s="1831"/>
      <c r="I21" s="1832"/>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K22" s="1086"/>
      <c r="L22" s="1086"/>
      <c r="O22" s="309"/>
      <c r="P22" s="309"/>
      <c r="Q22" s="309"/>
      <c r="R22" s="309"/>
      <c r="S22" s="309"/>
      <c r="T22" s="309"/>
      <c r="U22" s="309"/>
    </row>
    <row r="23" spans="2:21" ht="21" customHeight="1" thickBot="1">
      <c r="B23" s="1054"/>
      <c r="C23" s="1086"/>
      <c r="D23" s="1086"/>
      <c r="E23" s="1086"/>
      <c r="F23" s="1086"/>
      <c r="G23" s="1027">
        <f>SUM(G17:G22)</f>
        <v>0</v>
      </c>
      <c r="H23" s="1827">
        <f>SUM(H17:I22)</f>
        <v>0</v>
      </c>
      <c r="I23" s="1828"/>
      <c r="K23" s="1086"/>
      <c r="L23" s="1086"/>
    </row>
    <row r="24" spans="2:21" ht="21" customHeight="1" thickTop="1">
      <c r="B24" s="1321" t="str">
        <f>B13</f>
        <v>2022 Loan Maturities</v>
      </c>
      <c r="C24" s="1330"/>
      <c r="D24" s="1330"/>
      <c r="E24" s="1330"/>
      <c r="F24" s="1330"/>
      <c r="G24" s="1330"/>
      <c r="H24" s="451"/>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INPUTS'!D58)&amp;"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387" t="s">
        <v>373</v>
      </c>
      <c r="I28" s="1332">
        <f>+I25+I14</f>
        <v>0</v>
      </c>
    </row>
    <row r="29" spans="2:21" ht="21" customHeight="1">
      <c r="B29" s="871" t="str">
        <f>'49a-Utility1'!B29</f>
        <v>Less: Interest Accrued to 12/31/2021 (Trial Balance)</v>
      </c>
      <c r="C29" s="659"/>
      <c r="D29" s="1079"/>
      <c r="E29" s="1079"/>
      <c r="F29" s="1079"/>
      <c r="G29" s="1079"/>
      <c r="H29" s="321" t="s">
        <v>373</v>
      </c>
      <c r="I29" s="621"/>
    </row>
    <row r="30" spans="2:21" ht="21" customHeight="1">
      <c r="B30" s="659"/>
      <c r="C30" s="659" t="s">
        <v>317</v>
      </c>
      <c r="D30" s="1079"/>
      <c r="E30" s="1079"/>
      <c r="F30" s="1079"/>
      <c r="G30" s="1079"/>
      <c r="H30" s="321" t="s">
        <v>373</v>
      </c>
      <c r="I30" s="484">
        <f>+I28-I29</f>
        <v>0</v>
      </c>
    </row>
    <row r="31" spans="2:21" ht="21" customHeight="1">
      <c r="B31" s="871" t="str">
        <f>'49a-Utility1'!B31</f>
        <v>Add: Interest to be Accrued as of 12/31/2022</v>
      </c>
      <c r="C31" s="659"/>
      <c r="D31" s="1079"/>
      <c r="E31" s="1079"/>
      <c r="F31" s="1079"/>
      <c r="G31" s="1079"/>
      <c r="H31" s="321" t="s">
        <v>373</v>
      </c>
      <c r="I31" s="621"/>
    </row>
    <row r="32" spans="2:21" ht="21" customHeight="1">
      <c r="B32" s="871" t="str">
        <f>'49a-Utility1'!B32</f>
        <v>Required Appropriation 2022</v>
      </c>
      <c r="C32" s="659"/>
      <c r="D32" s="1079"/>
      <c r="E32" s="1079"/>
      <c r="F32" s="1079"/>
      <c r="G32" s="1079"/>
      <c r="H32" s="321"/>
      <c r="I32" s="1105"/>
      <c r="J32" s="478"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jh1e6JerWPyR29Ah1asSLFJqkJ9KEyg5TXz+3f5cVLJCBpApriGFfF7r2tHqQIQ3Qy8wy7IrSV6a6Edrn+Vg6Q==" saltValue="+ExnI/K5ONrzS20ewZEziw=="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9">
    <tabColor theme="7" tint="0.39997558519241921"/>
  </sheetPr>
  <dimension ref="B2:U51"/>
  <sheetViews>
    <sheetView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INPUTS'!D$58)&amp;"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K7" s="1086"/>
      <c r="L7" s="1086"/>
      <c r="O7" s="309"/>
      <c r="P7" s="309"/>
      <c r="Q7" s="309"/>
      <c r="R7" s="309"/>
      <c r="S7" s="309"/>
      <c r="T7" s="309"/>
      <c r="U7" s="309"/>
    </row>
    <row r="8" spans="2:21" ht="21" customHeight="1">
      <c r="B8" s="659" t="s">
        <v>92</v>
      </c>
      <c r="C8" s="1079"/>
      <c r="D8" s="1079"/>
      <c r="E8" s="1079"/>
      <c r="F8" s="1079"/>
      <c r="G8" s="926" t="s">
        <v>628</v>
      </c>
      <c r="H8" s="1807"/>
      <c r="I8" s="1808"/>
      <c r="K8" s="1086"/>
      <c r="L8" s="1086"/>
      <c r="O8" s="356"/>
      <c r="P8" s="309"/>
      <c r="Q8" s="309"/>
      <c r="R8" s="309"/>
      <c r="S8" s="309"/>
      <c r="T8" s="309"/>
      <c r="U8" s="309"/>
    </row>
    <row r="9" spans="2:21" ht="21" customHeight="1">
      <c r="B9" s="659"/>
      <c r="C9" s="1079"/>
      <c r="D9" s="1079"/>
      <c r="E9" s="1079"/>
      <c r="F9" s="1079"/>
      <c r="G9" s="926"/>
      <c r="H9" s="768"/>
      <c r="I9" s="1329"/>
      <c r="K9" s="1086"/>
      <c r="L9" s="1086"/>
      <c r="O9" s="309"/>
      <c r="P9" s="309"/>
      <c r="Q9" s="309"/>
      <c r="R9" s="309"/>
      <c r="S9" s="309"/>
      <c r="T9" s="309"/>
      <c r="U9" s="309"/>
    </row>
    <row r="10" spans="2:21" ht="21" customHeight="1">
      <c r="B10" s="659" t="s">
        <v>254</v>
      </c>
      <c r="C10" s="1079"/>
      <c r="D10" s="1079"/>
      <c r="E10" s="1079"/>
      <c r="F10" s="1079"/>
      <c r="G10" s="571"/>
      <c r="H10" s="1829" t="s">
        <v>628</v>
      </c>
      <c r="I10" s="1830"/>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K15" s="1086"/>
      <c r="L15" s="1086"/>
      <c r="O15" s="309"/>
      <c r="P15" s="309"/>
      <c r="Q15" s="309"/>
      <c r="R15" s="309"/>
      <c r="S15" s="309"/>
      <c r="T15" s="309"/>
      <c r="U15" s="309"/>
    </row>
    <row r="16" spans="2:21" ht="16.2" thickBot="1">
      <c r="B16" s="1977" t="str">
        <f>UPPER('KEY INPUTS'!D$58)&amp;" UTILITY "&amp;IF(R16&lt;&gt;"",(UPPER(R16)),"")&amp;" LOAN"</f>
        <v xml:space="preserve"> UTILITY  LOAN</v>
      </c>
      <c r="C16" s="1977"/>
      <c r="D16" s="1977"/>
      <c r="E16" s="1977"/>
      <c r="F16" s="1977"/>
      <c r="G16" s="1977"/>
      <c r="H16" s="1977"/>
      <c r="I16" s="1978"/>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K17" s="1086"/>
      <c r="L17" s="1086"/>
      <c r="O17" s="309"/>
      <c r="P17" s="309"/>
      <c r="Q17" s="309"/>
      <c r="R17" s="309"/>
      <c r="S17" s="309"/>
      <c r="T17" s="309"/>
      <c r="U17" s="309"/>
    </row>
    <row r="18" spans="2:21" ht="21" customHeight="1">
      <c r="B18" s="659" t="s">
        <v>92</v>
      </c>
      <c r="C18" s="1079"/>
      <c r="D18" s="1079"/>
      <c r="E18" s="1079"/>
      <c r="F18" s="1079"/>
      <c r="G18" s="926" t="s">
        <v>628</v>
      </c>
      <c r="H18" s="1807"/>
      <c r="I18" s="1808"/>
      <c r="K18" s="1086"/>
      <c r="L18" s="1086"/>
      <c r="O18" s="309"/>
      <c r="P18" s="309"/>
      <c r="Q18" s="309"/>
      <c r="R18" s="309"/>
      <c r="S18" s="309"/>
      <c r="T18" s="309"/>
      <c r="U18" s="309"/>
    </row>
    <row r="19" spans="2:21" ht="21" customHeight="1">
      <c r="B19" s="659" t="s">
        <v>254</v>
      </c>
      <c r="C19" s="1079"/>
      <c r="D19" s="1079"/>
      <c r="E19" s="1079"/>
      <c r="F19" s="1079"/>
      <c r="G19" s="571"/>
      <c r="H19" s="1829" t="s">
        <v>628</v>
      </c>
      <c r="I19" s="1830"/>
      <c r="K19" s="1086"/>
      <c r="L19" s="1086"/>
      <c r="O19" s="309"/>
      <c r="P19" s="309"/>
      <c r="Q19" s="309"/>
      <c r="R19" s="309"/>
      <c r="S19" s="309"/>
      <c r="T19" s="309"/>
      <c r="U19" s="309"/>
    </row>
    <row r="20" spans="2:21" ht="21" customHeight="1">
      <c r="B20" s="659"/>
      <c r="C20" s="1079"/>
      <c r="D20" s="1079"/>
      <c r="E20" s="1079"/>
      <c r="F20" s="1079"/>
      <c r="G20" s="1046"/>
      <c r="H20" s="1831"/>
      <c r="I20" s="1832"/>
      <c r="K20" s="1086"/>
      <c r="L20" s="1086"/>
      <c r="O20" s="309"/>
      <c r="P20" s="309"/>
      <c r="Q20" s="309"/>
      <c r="R20" s="309"/>
      <c r="S20" s="309"/>
      <c r="T20" s="309"/>
      <c r="U20" s="309"/>
    </row>
    <row r="21" spans="2:21" ht="21" customHeight="1">
      <c r="B21" s="659"/>
      <c r="C21" s="1079"/>
      <c r="D21" s="1079"/>
      <c r="E21" s="1079"/>
      <c r="F21" s="1079"/>
      <c r="G21" s="1046"/>
      <c r="H21" s="1831"/>
      <c r="I21" s="1832"/>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K22" s="1086"/>
      <c r="L22" s="1086"/>
      <c r="O22" s="309"/>
      <c r="P22" s="309"/>
      <c r="Q22" s="309"/>
      <c r="R22" s="309"/>
      <c r="S22" s="309"/>
      <c r="T22" s="309"/>
      <c r="U22" s="309"/>
    </row>
    <row r="23" spans="2:21" ht="21" customHeight="1" thickBot="1">
      <c r="B23" s="370"/>
      <c r="G23" s="1027">
        <f>SUM(G17:G22)</f>
        <v>0</v>
      </c>
      <c r="H23" s="1827">
        <f>SUM(H17:I22)</f>
        <v>0</v>
      </c>
      <c r="I23" s="1828"/>
      <c r="K23" s="1086"/>
      <c r="L23" s="1086"/>
    </row>
    <row r="24" spans="2:21" ht="21" customHeight="1" thickTop="1">
      <c r="B24" s="1321" t="str">
        <f>B13</f>
        <v>2022 Loan Maturities</v>
      </c>
      <c r="C24" s="1330"/>
      <c r="D24" s="1330"/>
      <c r="E24" s="1330"/>
      <c r="F24" s="1330"/>
      <c r="G24" s="1330"/>
      <c r="H24" s="451"/>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INPUTS'!D58)&amp;"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1098" t="s">
        <v>373</v>
      </c>
      <c r="I28" s="1332">
        <f>+I25+I14</f>
        <v>0</v>
      </c>
      <c r="J28" s="1086"/>
      <c r="K28" s="1086"/>
      <c r="L28" s="1086"/>
    </row>
    <row r="29" spans="2:21" ht="21" customHeight="1">
      <c r="B29" s="871" t="str">
        <f>'49a-Utility1'!B29</f>
        <v>Less: Interest Accrued to 12/31/2021 (Trial Balance)</v>
      </c>
      <c r="C29" s="659"/>
      <c r="D29" s="1079"/>
      <c r="E29" s="1079"/>
      <c r="F29" s="1079"/>
      <c r="G29" s="1079"/>
      <c r="H29" s="321" t="s">
        <v>373</v>
      </c>
      <c r="I29" s="570"/>
      <c r="K29" s="1086"/>
      <c r="L29" s="1086"/>
    </row>
    <row r="30" spans="2:21" ht="21" customHeight="1">
      <c r="B30" s="659"/>
      <c r="C30" s="659" t="s">
        <v>317</v>
      </c>
      <c r="D30" s="1079"/>
      <c r="E30" s="1079"/>
      <c r="F30" s="1079"/>
      <c r="G30" s="1079"/>
      <c r="H30" s="321" t="s">
        <v>373</v>
      </c>
      <c r="I30" s="484">
        <f>+I28-I29</f>
        <v>0</v>
      </c>
      <c r="K30" s="1086"/>
      <c r="L30" s="1086"/>
    </row>
    <row r="31" spans="2:21" ht="21" customHeight="1">
      <c r="B31" s="871" t="str">
        <f>'49a-Utility1'!B31</f>
        <v>Add: Interest to be Accrued as of 12/31/2022</v>
      </c>
      <c r="C31" s="659"/>
      <c r="D31" s="1079"/>
      <c r="E31" s="1079"/>
      <c r="F31" s="1079"/>
      <c r="G31" s="1079"/>
      <c r="H31" s="321" t="s">
        <v>373</v>
      </c>
      <c r="I31" s="570"/>
      <c r="K31" s="1086"/>
      <c r="L31" s="1086"/>
    </row>
    <row r="32" spans="2:21" ht="21" customHeight="1">
      <c r="B32" s="871" t="str">
        <f>'49a-Utility1'!B32</f>
        <v>Required Appropriation 2022</v>
      </c>
      <c r="C32" s="659"/>
      <c r="D32" s="1079"/>
      <c r="E32" s="1079"/>
      <c r="F32" s="1079"/>
      <c r="G32" s="1079"/>
      <c r="H32" s="321"/>
      <c r="I32" s="1105"/>
      <c r="J32" s="478"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OvSBLQfT8PKsJpKTFrhgoETvStKclph7/akfKy5NI/k6eUCXp34SJg1zqNFrSlMjmG4KEsy4Z5idgc4W0HqrLQ==" saltValue="H/0xXuvy1pAy1TF4zKzvNg=="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8">
    <tabColor theme="7" tint="0.39997558519241921"/>
  </sheetPr>
  <dimension ref="A2:V30"/>
  <sheetViews>
    <sheetView zoomScaleNormal="100" zoomScaleSheetLayoutView="80" workbookViewId="0">
      <selection activeCell="I17" sqref="I17"/>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INPUTS'!D58)&amp;"  UTILITY  NOTES  (OTHER  THAN  UTILITY  ASSESSMENT  NOTES)"</f>
        <v>DEBT  SERVICE  FOR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c r="D9" s="645"/>
      <c r="E9" s="575"/>
      <c r="F9" s="1432"/>
      <c r="G9" s="575"/>
      <c r="H9" s="1433"/>
      <c r="I9" s="760"/>
      <c r="J9" s="575"/>
      <c r="K9" s="575">
        <f>+I9*G9</f>
        <v>0</v>
      </c>
      <c r="L9" s="1434"/>
      <c r="M9" s="1435"/>
      <c r="P9" s="309"/>
      <c r="Q9" s="309"/>
      <c r="R9" s="309"/>
      <c r="S9" s="309"/>
      <c r="T9" s="309"/>
      <c r="U9" s="309"/>
      <c r="V9" s="309"/>
    </row>
    <row r="10" spans="1:22" ht="21" customHeight="1">
      <c r="B10" s="1436" t="s">
        <v>293</v>
      </c>
      <c r="C10" s="1437"/>
      <c r="D10" s="621"/>
      <c r="E10" s="571"/>
      <c r="F10" s="1438"/>
      <c r="G10" s="571"/>
      <c r="H10" s="1439"/>
      <c r="I10" s="592"/>
      <c r="J10" s="1440"/>
      <c r="K10" s="571">
        <f>+I10*G10</f>
        <v>0</v>
      </c>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JSRhUrMD44S0JVLuYRp/AP+c5Kb8QDgt/6VYEqXNaulLcpDunrO6ovmkKjFRQIb+c9vlSlhXZ3Zu5O3dv/bDVg==" saltValue="W6UxvMGhBne7mvwRvRH8f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0">
    <tabColor theme="7" tint="0.39997558519241921"/>
  </sheetPr>
  <dimension ref="A2:V30"/>
  <sheetViews>
    <sheetView zoomScaleNormal="100" zoomScaleSheetLayoutView="80" workbookViewId="0">
      <selection activeCell="V31" sqref="V31"/>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2" spans="1:22" ht="20.399999999999999">
      <c r="B2" s="1909" t="str">
        <f>"DEBT  SERVICE  FOR  "&amp;UPPER('KEY INPUTS'!D58)&amp;"  UTILITY  NOTES  (OTHER  THAN  UTILITY  ASSESSMENT  NOTES)"</f>
        <v>DEBT  SERVICE  FOR    UTILITY  NOTES  (OTHER  THAN  UTILITY  ASSESSMENT  NOTES)</v>
      </c>
      <c r="C2" s="1909"/>
      <c r="D2" s="1909"/>
      <c r="E2" s="1909"/>
      <c r="F2" s="1909"/>
      <c r="G2" s="1909"/>
      <c r="H2" s="1909"/>
      <c r="I2" s="1909"/>
      <c r="J2" s="1909"/>
      <c r="K2" s="1909"/>
      <c r="L2" s="1909"/>
      <c r="M2" s="1909"/>
    </row>
    <row r="3" spans="1:22" ht="21" thickBot="1">
      <c r="B3" s="1909"/>
      <c r="C3" s="1909"/>
      <c r="D3" s="1909"/>
      <c r="E3" s="1909"/>
      <c r="F3" s="1909"/>
      <c r="G3" s="1909"/>
      <c r="H3" s="1909"/>
      <c r="I3" s="1909"/>
      <c r="J3" s="1909"/>
      <c r="K3" s="1909"/>
      <c r="L3" s="1909"/>
      <c r="M3" s="1909"/>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209"/>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IF('KEY INPUTS'!C42 = "State Fiscal Year", 'KEY INPUTS'!F47,'KEY INPUTS'!D47)</f>
        <v>Dec. 31, 2021</v>
      </c>
      <c r="H8" s="1186"/>
      <c r="I8" s="1186"/>
      <c r="J8" s="1188"/>
      <c r="K8" s="1189"/>
      <c r="L8" s="1190"/>
      <c r="M8" s="1191"/>
      <c r="P8" s="309"/>
      <c r="Q8" s="309"/>
      <c r="R8" s="309"/>
      <c r="S8" s="309"/>
      <c r="T8" s="309"/>
      <c r="U8" s="309"/>
      <c r="V8" s="309"/>
    </row>
    <row r="9" spans="1:22" ht="21" customHeight="1" thickTop="1">
      <c r="B9" s="509" t="s">
        <v>292</v>
      </c>
      <c r="C9" s="644"/>
      <c r="D9" s="645"/>
      <c r="E9" s="587"/>
      <c r="F9" s="1402"/>
      <c r="G9" s="587"/>
      <c r="H9" s="647"/>
      <c r="I9" s="589"/>
      <c r="J9" s="587"/>
      <c r="K9" s="587"/>
      <c r="L9" s="598"/>
      <c r="M9" s="648"/>
      <c r="P9" s="309"/>
      <c r="Q9" s="309"/>
      <c r="R9" s="309"/>
      <c r="S9" s="309"/>
      <c r="T9" s="309"/>
      <c r="U9" s="309"/>
      <c r="V9" s="309"/>
    </row>
    <row r="10" spans="1:22" ht="21" customHeight="1">
      <c r="B10" s="508" t="s">
        <v>293</v>
      </c>
      <c r="C10" s="649"/>
      <c r="D10" s="621"/>
      <c r="E10" s="571"/>
      <c r="F10" s="1403"/>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1404"/>
      <c r="G11" s="571"/>
      <c r="H11" s="571"/>
      <c r="I11" s="592"/>
      <c r="J11" s="571"/>
      <c r="K11" s="571"/>
      <c r="L11" s="600"/>
      <c r="M11" s="653"/>
      <c r="P11" s="309"/>
      <c r="Q11" s="309"/>
      <c r="R11" s="309"/>
      <c r="S11" s="309"/>
      <c r="T11" s="309"/>
      <c r="U11" s="309"/>
      <c r="V11" s="309"/>
    </row>
    <row r="12" spans="1:22" ht="21" customHeight="1">
      <c r="B12" s="508" t="s">
        <v>295</v>
      </c>
      <c r="C12" s="617"/>
      <c r="D12" s="621"/>
      <c r="E12" s="571"/>
      <c r="F12" s="1404"/>
      <c r="G12" s="571"/>
      <c r="H12" s="571"/>
      <c r="I12" s="592"/>
      <c r="J12" s="571"/>
      <c r="K12" s="571"/>
      <c r="L12" s="600"/>
      <c r="M12" s="653"/>
      <c r="P12" s="309"/>
      <c r="Q12" s="309"/>
      <c r="R12" s="309"/>
      <c r="S12" s="309"/>
      <c r="T12" s="309"/>
      <c r="U12" s="309"/>
      <c r="V12" s="309"/>
    </row>
    <row r="13" spans="1:22" ht="21" customHeight="1">
      <c r="B13" s="508" t="s">
        <v>296</v>
      </c>
      <c r="C13" s="617"/>
      <c r="D13" s="621"/>
      <c r="E13" s="571"/>
      <c r="F13" s="1404"/>
      <c r="G13" s="571"/>
      <c r="H13" s="571"/>
      <c r="I13" s="592"/>
      <c r="J13" s="571"/>
      <c r="K13" s="571"/>
      <c r="L13" s="600"/>
      <c r="M13" s="653"/>
      <c r="P13" s="309"/>
      <c r="Q13" s="309"/>
      <c r="R13" s="309"/>
      <c r="S13" s="309"/>
      <c r="T13" s="309"/>
      <c r="U13" s="309"/>
      <c r="V13" s="309"/>
    </row>
    <row r="14" spans="1:22" ht="21" customHeight="1">
      <c r="B14" s="508" t="s">
        <v>297</v>
      </c>
      <c r="C14" s="617"/>
      <c r="D14" s="621"/>
      <c r="E14" s="574"/>
      <c r="F14" s="140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140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140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140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SUM(E9:E17)+'50-Utility5'!E18</f>
        <v>0</v>
      </c>
      <c r="F18" s="661"/>
      <c r="G18" s="658">
        <f>SUM(G9:G17)+'50-Utility5'!G18</f>
        <v>0</v>
      </c>
      <c r="H18" s="658"/>
      <c r="I18" s="662"/>
      <c r="J18" s="658">
        <f>SUM(J9:J17)+'50-Utility5'!J18</f>
        <v>0</v>
      </c>
      <c r="K18" s="658">
        <f>SUM(K9:K17)+'50-Utility5'!K18</f>
        <v>0</v>
      </c>
      <c r="L18" s="663"/>
      <c r="M18" s="664"/>
      <c r="P18" s="309"/>
      <c r="Q18" s="309"/>
      <c r="R18" s="309"/>
      <c r="S18" s="309"/>
      <c r="T18" s="309"/>
      <c r="U18" s="309"/>
      <c r="V18" s="309"/>
    </row>
    <row r="19" spans="1:22" ht="21" customHeight="1">
      <c r="A19" s="507"/>
      <c r="B19" s="1292"/>
      <c r="C19" s="1132"/>
      <c r="D19" s="1132"/>
      <c r="E19" s="1293"/>
      <c r="F19" s="1132"/>
      <c r="G19" s="1293"/>
      <c r="H19" s="1293"/>
      <c r="I19" s="1294"/>
      <c r="J19" s="1293"/>
      <c r="K19" s="1293"/>
      <c r="L19" s="1293"/>
      <c r="M19" s="1132"/>
      <c r="P19" s="309"/>
      <c r="Q19" s="309"/>
      <c r="R19" s="309"/>
      <c r="S19" s="309"/>
      <c r="T19" s="309"/>
      <c r="U19" s="309"/>
      <c r="V19" s="309"/>
    </row>
    <row r="20" spans="1:22" ht="21" customHeight="1">
      <c r="A20" s="507"/>
      <c r="B20" s="1292"/>
      <c r="C20" s="1132"/>
      <c r="D20" s="1132"/>
      <c r="E20" s="1293"/>
      <c r="F20" s="1132"/>
      <c r="G20" s="1293"/>
      <c r="H20" s="1293"/>
      <c r="I20" s="1294"/>
      <c r="J20" s="1293"/>
      <c r="K20" s="1293"/>
      <c r="L20" s="1293"/>
      <c r="M20" s="1132"/>
      <c r="P20" s="309"/>
      <c r="Q20" s="309"/>
      <c r="R20" s="309"/>
      <c r="S20" s="309"/>
      <c r="T20" s="309"/>
      <c r="U20" s="309"/>
      <c r="V20" s="309"/>
    </row>
    <row r="21" spans="1:22" ht="13.5" customHeight="1" thickBot="1">
      <c r="B21" s="1295"/>
      <c r="C21" s="1296"/>
      <c r="D21" s="1297"/>
      <c r="E21" s="1132"/>
      <c r="F21" s="1132"/>
      <c r="G21" s="1132"/>
      <c r="H21" s="1132"/>
      <c r="I21" s="1132"/>
      <c r="J21" s="1298"/>
      <c r="K21" s="1132"/>
      <c r="L21" s="1132"/>
      <c r="M21" s="1132"/>
      <c r="P21" s="309"/>
      <c r="Q21" s="309"/>
      <c r="R21" s="309"/>
      <c r="S21" s="309"/>
      <c r="T21" s="309"/>
      <c r="U21" s="309"/>
      <c r="V21" s="309"/>
    </row>
    <row r="22" spans="1:22" ht="14.4" thickTop="1" thickBot="1">
      <c r="B22" s="1160" t="s">
        <v>40</v>
      </c>
      <c r="C22" s="1059"/>
      <c r="D22" s="1299"/>
      <c r="E22" s="1059"/>
      <c r="F22" s="1054"/>
      <c r="G22" s="1054"/>
      <c r="H22" s="1054"/>
      <c r="I22" s="1988" t="str">
        <f>"INTEREST  ON  NOTES  -  "&amp;UPPER('KEY INPUTS'!D58)&amp;" UTILITY  BUDGET"</f>
        <v>INTEREST  ON  NOTES  -   UTILITY  BUDGET</v>
      </c>
      <c r="J22" s="1989"/>
      <c r="K22" s="1989"/>
      <c r="L22" s="1989"/>
      <c r="M22" s="1990"/>
      <c r="P22" s="309"/>
      <c r="Q22" s="309"/>
      <c r="R22" s="309"/>
      <c r="S22" s="309"/>
      <c r="T22" s="309"/>
      <c r="U22" s="309"/>
      <c r="V22" s="309"/>
    </row>
    <row r="23" spans="1:22" ht="15.6" customHeight="1">
      <c r="B23" s="1300" t="s">
        <v>41</v>
      </c>
      <c r="C23" s="1300"/>
      <c r="D23" s="1449" t="s">
        <v>3580</v>
      </c>
      <c r="E23" s="1059"/>
      <c r="F23" s="1054"/>
      <c r="G23" s="1054"/>
      <c r="H23" s="1054"/>
      <c r="I23" s="499" t="str">
        <f>IF('KEY INPUTS'!C42="State Fiscal Year","Fiscal Year "&amp;'KEY INPUTS'!D33+1&amp;"",'KEY INPUTS'!D34+1)&amp;" Interest on Notes"</f>
        <v>2022 Interest on Notes</v>
      </c>
      <c r="J23" s="1131"/>
      <c r="K23" s="1131"/>
      <c r="L23" s="498" t="s">
        <v>373</v>
      </c>
      <c r="M23" s="1174">
        <f>K18</f>
        <v>0</v>
      </c>
      <c r="P23" s="309"/>
      <c r="Q23" s="309"/>
      <c r="R23" s="309"/>
      <c r="S23" s="309"/>
      <c r="T23" s="309"/>
      <c r="U23" s="309"/>
      <c r="V23" s="309"/>
    </row>
    <row r="24" spans="1:22" ht="15.6" customHeight="1">
      <c r="B24" s="1160"/>
      <c r="C24" s="1160"/>
      <c r="D24" s="1451" t="s">
        <v>42</v>
      </c>
      <c r="E24" s="1059"/>
      <c r="F24" s="1054"/>
      <c r="G24" s="1054"/>
      <c r="H24" s="1054"/>
      <c r="I24" s="497" t="str">
        <f>"Less: Interest Accrued to "&amp;IF('KEY INPUTS'!C42="State Fiscal Year",(TEXT('KEY INPUTS'!F29,"mm/dd/yyy")),(TEXT('KEY INPUTS'!D29,"mm/dd/yyy")))&amp;" (Trial Balance)"</f>
        <v>Less: Interest Accrued to 12/31/2021 (Trial Balance)</v>
      </c>
      <c r="J24" s="659"/>
      <c r="K24" s="659"/>
      <c r="L24" s="496" t="s">
        <v>373</v>
      </c>
      <c r="M24" s="641"/>
      <c r="P24" s="309"/>
      <c r="Q24" s="309"/>
      <c r="R24" s="309"/>
      <c r="S24" s="309"/>
      <c r="T24" s="309"/>
      <c r="U24" s="309"/>
      <c r="V24" s="309"/>
    </row>
    <row r="25" spans="1:22" ht="15.6" customHeight="1">
      <c r="B25" s="1160"/>
      <c r="C25" s="1160"/>
      <c r="D25" s="1449" t="s">
        <v>43</v>
      </c>
      <c r="E25" s="1059"/>
      <c r="F25" s="1054"/>
      <c r="G25" s="1054"/>
      <c r="H25" s="1054"/>
      <c r="I25" s="463"/>
      <c r="J25" s="659" t="s">
        <v>317</v>
      </c>
      <c r="K25" s="659"/>
      <c r="L25" s="496" t="s">
        <v>373</v>
      </c>
      <c r="M25" s="1175">
        <f>+M23-M24</f>
        <v>0</v>
      </c>
    </row>
    <row r="26" spans="1:22" ht="15.6" customHeight="1">
      <c r="B26" s="1160"/>
      <c r="C26" s="1160"/>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1059"/>
      <c r="F26" s="1054"/>
      <c r="G26" s="1054"/>
      <c r="H26" s="1054"/>
      <c r="I26" s="497" t="str">
        <f>"Add: Interest to be Accrued as of "&amp;IF('KEY INPUTS'!C42="State Fiscal Year",(TEXT('KEY INPUTS'!F30,"mm/dd/yyy")),(TEXT('KEY INPUTS'!D30,"mm/dd/yyy")))&amp;""</f>
        <v>Add: Interest to be Accrued as of 12/31/2022</v>
      </c>
      <c r="J26" s="659"/>
      <c r="K26" s="659"/>
      <c r="L26" s="496" t="s">
        <v>373</v>
      </c>
      <c r="M26" s="641"/>
    </row>
    <row r="27" spans="1:22" ht="15.6" customHeight="1" thickBot="1">
      <c r="B27" s="1160"/>
      <c r="C27" s="1160"/>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1059"/>
      <c r="F27" s="1054"/>
      <c r="G27" s="1054"/>
      <c r="H27" s="1054"/>
      <c r="I27" s="495" t="str">
        <f>"Required Appropriation "&amp;IF('KEY INPUTS'!C42="State Fiscal Year","Fiscal Year "&amp;'KEY INPUTS'!D33+1&amp;"",'KEY INPUTS'!D34+1)&amp;""</f>
        <v>Required Appropriation 2022</v>
      </c>
      <c r="J27" s="1109"/>
      <c r="K27" s="1109"/>
      <c r="L27" s="494" t="s">
        <v>373</v>
      </c>
      <c r="M27" s="1176">
        <f>+M25+M26</f>
        <v>0</v>
      </c>
    </row>
    <row r="28" spans="1:22" ht="13.8" thickTop="1">
      <c r="B28" s="1160"/>
      <c r="C28" s="1160"/>
      <c r="D28" s="1160" t="s">
        <v>44</v>
      </c>
      <c r="E28" s="1059"/>
      <c r="F28" s="1054"/>
      <c r="G28" s="1054"/>
      <c r="H28" s="1054"/>
      <c r="I28" s="1054"/>
    </row>
    <row r="29" spans="1:22">
      <c r="B29" s="491"/>
      <c r="C29" s="491"/>
      <c r="D29" s="1300" t="s">
        <v>45</v>
      </c>
      <c r="E29" s="491"/>
    </row>
    <row r="30" spans="1:22">
      <c r="J30" s="1298" t="s">
        <v>98</v>
      </c>
      <c r="K30" s="1054"/>
      <c r="L30" s="1054"/>
      <c r="M30" s="1054"/>
    </row>
  </sheetData>
  <sheetProtection algorithmName="SHA-512" hashValue="Bts7OcMMBa5SZnSUQrhqnKq/tou1Rn+NKN4gv4BK+3iIibUAWo4Q1A+F/888iEIMnqbmUlo0TvoG96Xb4VWhDQ==" saltValue="GROLq69bOorqfHZkUWjkRA=="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1">
    <tabColor theme="7" tint="0.39997558519241921"/>
  </sheetPr>
  <dimension ref="A2:T29"/>
  <sheetViews>
    <sheetView zoomScaleNormal="100" zoomScaleSheetLayoutView="80" workbookViewId="0">
      <selection activeCell="C27" sqref="C27"/>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2" spans="1:20" ht="20.399999999999999">
      <c r="B2" s="1976" t="str">
        <f>"DEBT  SERVICE  SCHEDULE  FOR  "&amp;UPPER('KEY INPUTS'!D58) &amp;"  UTILITY  ASSESSMENT  NOTES"</f>
        <v>DEBT  SERVICE  SCHEDULE  FOR    UTILITY  ASSESSMENT  NOTES</v>
      </c>
      <c r="C2" s="1976"/>
      <c r="D2" s="1976"/>
      <c r="E2" s="1976"/>
      <c r="F2" s="1976"/>
      <c r="G2" s="1976"/>
      <c r="H2" s="1976"/>
      <c r="I2" s="1976"/>
      <c r="J2" s="1976"/>
      <c r="K2" s="1976"/>
      <c r="L2" s="1976"/>
    </row>
    <row r="3" spans="1:20" ht="21" thickBot="1">
      <c r="B3" s="1937"/>
      <c r="C3" s="1937"/>
      <c r="D3" s="1937"/>
      <c r="E3" s="1937"/>
      <c r="F3" s="1937"/>
      <c r="G3" s="1937"/>
      <c r="H3" s="1937"/>
      <c r="I3" s="1937"/>
      <c r="J3" s="1937"/>
      <c r="K3" s="1937"/>
      <c r="L3" s="1937"/>
    </row>
    <row r="4" spans="1:20" ht="13.5" customHeight="1" thickTop="1">
      <c r="B4" s="2084"/>
      <c r="C4" s="2084"/>
      <c r="D4" s="2085"/>
      <c r="E4" s="1367"/>
      <c r="F4" s="398"/>
      <c r="G4" s="398"/>
      <c r="H4" s="398"/>
      <c r="I4" s="398"/>
      <c r="J4" s="397"/>
      <c r="K4" s="397"/>
      <c r="L4" s="396"/>
    </row>
    <row r="5" spans="1:20" ht="13.5" customHeight="1">
      <c r="E5" s="394" t="s">
        <v>139</v>
      </c>
      <c r="F5" s="393" t="s">
        <v>139</v>
      </c>
      <c r="G5" s="393" t="s">
        <v>414</v>
      </c>
      <c r="H5" s="393" t="s">
        <v>17</v>
      </c>
      <c r="I5" s="393" t="s">
        <v>543</v>
      </c>
      <c r="J5" s="2086" t="str">
        <f>IF('KEY INPUTS'!C42="State Fiscal Year","Fiscal Year "&amp;'KEY INPUTS'!D33+1&amp;"",'KEY INPUTS'!D34+1)&amp;""</f>
        <v>2022</v>
      </c>
      <c r="K5" s="2087"/>
      <c r="L5" s="395" t="s">
        <v>544</v>
      </c>
    </row>
    <row r="6" spans="1:20" ht="13.5" customHeight="1">
      <c r="C6" s="1986" t="s">
        <v>138</v>
      </c>
      <c r="D6" s="1987"/>
      <c r="E6" s="394" t="s">
        <v>414</v>
      </c>
      <c r="F6" s="393" t="s">
        <v>140</v>
      </c>
      <c r="G6" s="393" t="s">
        <v>540</v>
      </c>
      <c r="H6" s="393" t="s">
        <v>541</v>
      </c>
      <c r="I6" s="393" t="s">
        <v>541</v>
      </c>
      <c r="J6" s="2088"/>
      <c r="K6" s="2089"/>
      <c r="L6" s="395" t="s">
        <v>547</v>
      </c>
    </row>
    <row r="7" spans="1:20" ht="13.5" customHeight="1">
      <c r="E7" s="394" t="s">
        <v>92</v>
      </c>
      <c r="F7" s="394" t="s">
        <v>141</v>
      </c>
      <c r="G7" s="394" t="s">
        <v>198</v>
      </c>
      <c r="H7" s="394" t="s">
        <v>542</v>
      </c>
      <c r="I7" s="394" t="s">
        <v>544</v>
      </c>
      <c r="J7" s="394" t="s">
        <v>113</v>
      </c>
      <c r="K7" s="394" t="s">
        <v>545</v>
      </c>
      <c r="L7" s="395" t="s">
        <v>548</v>
      </c>
      <c r="N7" s="309"/>
      <c r="O7" s="309"/>
      <c r="P7" s="309"/>
      <c r="Q7" s="309"/>
      <c r="R7" s="309"/>
      <c r="S7" s="309"/>
      <c r="T7" s="309"/>
    </row>
    <row r="8" spans="1:20" ht="13.5" customHeight="1" thickBot="1">
      <c r="B8" s="392"/>
      <c r="C8" s="392"/>
      <c r="D8" s="392"/>
      <c r="E8" s="390"/>
      <c r="F8" s="390"/>
      <c r="G8" s="758" t="str">
        <f>IF('KEY INPUTS'!C42 = "State Fiscal Year", 'KEY INPUTS'!F47,'KEY INPUTS'!D47)</f>
        <v>Dec. 31, 2021</v>
      </c>
      <c r="H8" s="390"/>
      <c r="I8" s="390"/>
      <c r="J8" s="391"/>
      <c r="K8" s="518" t="s">
        <v>546</v>
      </c>
      <c r="L8" s="388"/>
      <c r="N8" s="309"/>
      <c r="O8" s="309"/>
      <c r="P8" s="309"/>
      <c r="Q8" s="309"/>
      <c r="R8" s="309"/>
      <c r="S8" s="309"/>
      <c r="T8" s="309"/>
    </row>
    <row r="9" spans="1:20" ht="21" customHeight="1" thickTop="1">
      <c r="B9" s="2004"/>
      <c r="C9" s="2004"/>
      <c r="D9" s="2005"/>
      <c r="E9" s="575"/>
      <c r="F9" s="759"/>
      <c r="G9" s="575"/>
      <c r="H9" s="575"/>
      <c r="I9" s="760"/>
      <c r="J9" s="575"/>
      <c r="K9" s="575"/>
      <c r="L9" s="761"/>
      <c r="N9" s="356"/>
      <c r="O9" s="309"/>
      <c r="P9" s="309"/>
      <c r="Q9" s="309"/>
      <c r="R9" s="309"/>
      <c r="S9" s="309"/>
      <c r="T9" s="309"/>
    </row>
    <row r="10" spans="1:20" ht="21" customHeight="1">
      <c r="B10" s="1998"/>
      <c r="C10" s="1998"/>
      <c r="D10" s="1999"/>
      <c r="E10" s="571"/>
      <c r="F10" s="654"/>
      <c r="G10" s="571"/>
      <c r="H10" s="571"/>
      <c r="I10" s="592"/>
      <c r="J10" s="571"/>
      <c r="K10" s="571"/>
      <c r="L10" s="668"/>
      <c r="N10" s="309"/>
      <c r="O10" s="309"/>
      <c r="P10" s="309"/>
      <c r="Q10" s="309"/>
      <c r="R10" s="309"/>
      <c r="S10" s="309"/>
      <c r="T10" s="309"/>
    </row>
    <row r="11" spans="1:20" ht="21" customHeight="1">
      <c r="B11" s="1998"/>
      <c r="C11" s="1998"/>
      <c r="D11" s="1999"/>
      <c r="E11" s="571"/>
      <c r="F11" s="654"/>
      <c r="G11" s="571"/>
      <c r="H11" s="571"/>
      <c r="I11" s="592"/>
      <c r="J11" s="571"/>
      <c r="K11" s="571"/>
      <c r="L11" s="668"/>
      <c r="N11" s="309"/>
      <c r="O11" s="309"/>
      <c r="P11" s="309"/>
      <c r="Q11" s="309"/>
      <c r="R11" s="309"/>
      <c r="S11" s="309"/>
      <c r="T11" s="309"/>
    </row>
    <row r="12" spans="1:20" ht="21" customHeight="1">
      <c r="B12" s="1998"/>
      <c r="C12" s="1998"/>
      <c r="D12" s="1999"/>
      <c r="E12" s="571"/>
      <c r="F12" s="654"/>
      <c r="G12" s="571"/>
      <c r="H12" s="571"/>
      <c r="I12" s="592"/>
      <c r="J12" s="571"/>
      <c r="K12" s="571"/>
      <c r="L12" s="668"/>
      <c r="N12" s="309"/>
      <c r="O12" s="309"/>
      <c r="P12" s="309"/>
      <c r="Q12" s="309"/>
      <c r="R12" s="309"/>
      <c r="S12" s="309"/>
      <c r="T12" s="309"/>
    </row>
    <row r="13" spans="1:20" ht="21" customHeight="1">
      <c r="B13" s="1998"/>
      <c r="C13" s="1998"/>
      <c r="D13" s="1999"/>
      <c r="E13" s="571"/>
      <c r="F13" s="654"/>
      <c r="G13" s="571"/>
      <c r="H13" s="571"/>
      <c r="I13" s="592"/>
      <c r="J13" s="571"/>
      <c r="K13" s="571"/>
      <c r="L13" s="668"/>
      <c r="N13" s="309"/>
      <c r="O13" s="309"/>
      <c r="P13" s="309"/>
      <c r="Q13" s="309"/>
      <c r="R13" s="309"/>
      <c r="S13" s="309"/>
      <c r="T13" s="309"/>
    </row>
    <row r="14" spans="1:20" ht="21" customHeight="1">
      <c r="B14" s="1998"/>
      <c r="C14" s="1998"/>
      <c r="D14" s="1999"/>
      <c r="E14" s="574"/>
      <c r="F14" s="655"/>
      <c r="G14" s="574"/>
      <c r="H14" s="574"/>
      <c r="I14" s="595"/>
      <c r="J14" s="571"/>
      <c r="K14" s="571"/>
      <c r="L14" s="668"/>
      <c r="N14" s="309"/>
      <c r="O14" s="309"/>
      <c r="P14" s="309"/>
      <c r="Q14" s="309"/>
      <c r="R14" s="309"/>
      <c r="S14" s="309"/>
      <c r="T14" s="309"/>
    </row>
    <row r="15" spans="1:20" ht="21" customHeight="1">
      <c r="A15" s="1913" t="s">
        <v>3170</v>
      </c>
      <c r="B15" s="1998"/>
      <c r="C15" s="1998"/>
      <c r="D15" s="1999"/>
      <c r="E15" s="571"/>
      <c r="F15" s="654"/>
      <c r="G15" s="571"/>
      <c r="H15" s="571"/>
      <c r="I15" s="592"/>
      <c r="J15" s="571"/>
      <c r="K15" s="571"/>
      <c r="L15" s="668"/>
      <c r="N15" s="309"/>
      <c r="O15" s="309"/>
      <c r="P15" s="309"/>
      <c r="Q15" s="309"/>
      <c r="R15" s="309"/>
      <c r="S15" s="309"/>
      <c r="T15" s="309"/>
    </row>
    <row r="16" spans="1:20" ht="21" customHeight="1">
      <c r="A16" s="1913"/>
      <c r="B16" s="1998"/>
      <c r="C16" s="1998"/>
      <c r="D16" s="1999"/>
      <c r="E16" s="571"/>
      <c r="F16" s="654"/>
      <c r="G16" s="571"/>
      <c r="H16" s="571"/>
      <c r="I16" s="592"/>
      <c r="J16" s="571"/>
      <c r="K16" s="571"/>
      <c r="L16" s="668"/>
      <c r="N16" s="309"/>
      <c r="O16" s="309"/>
      <c r="P16" s="309"/>
      <c r="Q16" s="309"/>
      <c r="R16" s="309"/>
      <c r="S16" s="309"/>
      <c r="T16" s="309"/>
    </row>
    <row r="17" spans="1:20" ht="21" customHeight="1">
      <c r="A17" s="1913"/>
      <c r="B17" s="1998"/>
      <c r="C17" s="1998"/>
      <c r="D17" s="1999"/>
      <c r="E17" s="571"/>
      <c r="F17" s="654"/>
      <c r="G17" s="571"/>
      <c r="H17" s="571"/>
      <c r="I17" s="592"/>
      <c r="J17" s="571"/>
      <c r="K17" s="571"/>
      <c r="L17" s="668"/>
      <c r="N17" s="309"/>
      <c r="O17" s="309"/>
      <c r="P17" s="309"/>
      <c r="Q17" s="309"/>
      <c r="R17" s="309"/>
      <c r="S17" s="309"/>
      <c r="T17" s="309"/>
    </row>
    <row r="18" spans="1:20" ht="21" customHeight="1">
      <c r="A18" s="517"/>
      <c r="B18" s="1998"/>
      <c r="C18" s="1998"/>
      <c r="D18" s="1999"/>
      <c r="E18" s="571"/>
      <c r="F18" s="654"/>
      <c r="G18" s="571"/>
      <c r="H18" s="571"/>
      <c r="I18" s="592"/>
      <c r="J18" s="571"/>
      <c r="K18" s="571"/>
      <c r="L18" s="668"/>
      <c r="N18" s="309"/>
      <c r="O18" s="309"/>
      <c r="P18" s="309"/>
      <c r="Q18" s="309"/>
      <c r="R18" s="309"/>
      <c r="S18" s="309"/>
      <c r="T18" s="309"/>
    </row>
    <row r="19" spans="1:20" ht="21" customHeight="1">
      <c r="B19" s="1998"/>
      <c r="C19" s="1998"/>
      <c r="D19" s="1999"/>
      <c r="E19" s="571"/>
      <c r="F19" s="654"/>
      <c r="G19" s="571"/>
      <c r="H19" s="571"/>
      <c r="I19" s="592"/>
      <c r="J19" s="571"/>
      <c r="K19" s="571"/>
      <c r="L19" s="668"/>
      <c r="N19" s="309"/>
      <c r="O19" s="309"/>
      <c r="P19" s="309"/>
      <c r="Q19" s="309"/>
      <c r="R19" s="309"/>
      <c r="S19" s="309"/>
      <c r="T19" s="309"/>
    </row>
    <row r="20" spans="1:20" ht="21" customHeight="1">
      <c r="B20" s="1998"/>
      <c r="C20" s="1998"/>
      <c r="D20" s="1999"/>
      <c r="E20" s="571"/>
      <c r="F20" s="654"/>
      <c r="G20" s="571"/>
      <c r="H20" s="571"/>
      <c r="I20" s="592"/>
      <c r="J20" s="571"/>
      <c r="K20" s="571"/>
      <c r="L20" s="668"/>
      <c r="N20" s="309"/>
      <c r="O20" s="309"/>
      <c r="P20" s="309"/>
      <c r="Q20" s="309"/>
      <c r="R20" s="309"/>
      <c r="S20" s="309"/>
      <c r="T20" s="309"/>
    </row>
    <row r="21" spans="1:20" ht="21" customHeight="1">
      <c r="B21" s="1998"/>
      <c r="C21" s="1998"/>
      <c r="D21" s="1999"/>
      <c r="E21" s="571"/>
      <c r="F21" s="654"/>
      <c r="G21" s="571"/>
      <c r="H21" s="571"/>
      <c r="I21" s="592"/>
      <c r="J21" s="571"/>
      <c r="K21" s="571"/>
      <c r="L21" s="668"/>
      <c r="N21" s="309"/>
      <c r="O21" s="309"/>
      <c r="P21" s="309"/>
      <c r="Q21" s="309"/>
      <c r="R21" s="309"/>
      <c r="S21" s="309"/>
      <c r="T21" s="309"/>
    </row>
    <row r="22" spans="1:20" ht="21" customHeight="1">
      <c r="B22" s="1998"/>
      <c r="C22" s="1998"/>
      <c r="D22" s="1999"/>
      <c r="E22" s="571"/>
      <c r="F22" s="654"/>
      <c r="G22" s="571"/>
      <c r="H22" s="571"/>
      <c r="I22" s="592"/>
      <c r="J22" s="571"/>
      <c r="K22" s="571"/>
      <c r="L22" s="668"/>
      <c r="N22" s="309"/>
      <c r="O22" s="309"/>
      <c r="P22" s="309"/>
      <c r="Q22" s="309"/>
      <c r="R22" s="309"/>
      <c r="S22" s="309"/>
      <c r="T22" s="309"/>
    </row>
    <row r="23" spans="1:20" ht="21" customHeight="1" thickBot="1">
      <c r="B23" s="1196"/>
      <c r="C23" s="1354"/>
      <c r="D23" s="1355"/>
      <c r="E23" s="1304">
        <f>SUM(E9:E22)</f>
        <v>0</v>
      </c>
      <c r="F23" s="1356"/>
      <c r="G23" s="1304">
        <f>SUM(G9:G22)</f>
        <v>0</v>
      </c>
      <c r="H23" s="1304"/>
      <c r="I23" s="1304"/>
      <c r="J23" s="1304">
        <f>SUM(J9:J22)</f>
        <v>0</v>
      </c>
      <c r="K23" s="1304">
        <f>SUM(K9:K22)</f>
        <v>0</v>
      </c>
      <c r="L23" s="1357"/>
      <c r="N23" s="309"/>
      <c r="O23" s="309"/>
      <c r="P23" s="309"/>
      <c r="Q23" s="309"/>
      <c r="R23" s="309"/>
      <c r="S23" s="309"/>
      <c r="T23" s="309"/>
    </row>
    <row r="24" spans="1:20" ht="13.5" customHeight="1" thickTop="1">
      <c r="B24" s="1305" t="s">
        <v>40</v>
      </c>
      <c r="C24" s="1306"/>
      <c r="D24" s="1307"/>
      <c r="E24" s="1086"/>
      <c r="F24" s="1086"/>
      <c r="G24" s="1086"/>
      <c r="H24" s="1086"/>
      <c r="I24" s="1086"/>
      <c r="J24" s="1308"/>
      <c r="K24" s="1308"/>
      <c r="L24" s="1086"/>
    </row>
    <row r="25" spans="1:20" ht="13.5" customHeight="1">
      <c r="B25" s="1305" t="s">
        <v>550</v>
      </c>
      <c r="C25" s="1306"/>
      <c r="D25" s="1307"/>
      <c r="E25" s="1086"/>
      <c r="F25" s="1086"/>
      <c r="G25" s="1086"/>
      <c r="H25" s="1086"/>
      <c r="I25" s="1086"/>
      <c r="J25" s="1086"/>
      <c r="K25" s="1086"/>
      <c r="L25" s="1086"/>
    </row>
    <row r="26" spans="1:20" ht="13.5" customHeight="1">
      <c r="B26" s="1305"/>
      <c r="C26" s="1306"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307"/>
      <c r="E26" s="1086"/>
      <c r="F26" s="1086"/>
      <c r="G26" s="1086"/>
      <c r="H26" s="1086"/>
      <c r="I26" s="1086"/>
      <c r="J26" s="1086"/>
      <c r="K26" s="1086"/>
      <c r="L26" s="1086"/>
    </row>
    <row r="27" spans="1:20" ht="13.5" customHeight="1">
      <c r="B27" s="1305"/>
      <c r="C27" s="1306"/>
      <c r="D27" s="1309" t="s">
        <v>503</v>
      </c>
      <c r="E27" s="1086"/>
      <c r="F27" s="1086"/>
      <c r="G27" s="1086"/>
      <c r="H27" s="1086"/>
      <c r="I27" s="1086"/>
      <c r="J27" s="1086"/>
      <c r="K27" s="1086"/>
      <c r="L27" s="1086"/>
    </row>
    <row r="28" spans="1:20" ht="13.5" customHeight="1">
      <c r="B28" s="1305"/>
      <c r="C28" s="1306" t="s">
        <v>302</v>
      </c>
      <c r="D28" s="1307"/>
      <c r="E28" s="1086"/>
      <c r="F28" s="1086"/>
      <c r="G28" s="1086"/>
      <c r="H28" s="1086"/>
      <c r="I28" s="1086"/>
      <c r="J28" s="1310"/>
      <c r="K28" s="1086"/>
      <c r="L28" s="1086"/>
    </row>
    <row r="29" spans="1:20">
      <c r="B29" s="513"/>
      <c r="C29" s="383"/>
      <c r="D29" s="383"/>
    </row>
  </sheetData>
  <sheetProtection algorithmName="SHA-512" hashValue="BHxeEXdkYhEJlBKeCoIobh7ZLEaTu7jQYl97GpLSOoc3oEEfgXcpujWSPLCpSHz/J6aBD0MpytO0X91ErY9XXw==" saltValue="LBggCnoknRd/NJl6XxQ7AQ=="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2">
    <tabColor theme="7" tint="0.39997558519241921"/>
  </sheetPr>
  <dimension ref="A2:R27"/>
  <sheetViews>
    <sheetView zoomScaleNormal="100" zoomScaleSheetLayoutView="80" workbookViewId="0">
      <selection activeCell="H7" sqref="H7"/>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2" spans="1:18" ht="20.399999999999999">
      <c r="B2" s="1909" t="str">
        <f>"SCHEDULE  OF  CAPITAL  LEASE  PROGRAM  OBLIGATIONS "&amp;UPPER('KEY INPUTS'!D58)&amp;"  UTILITY"</f>
        <v>SCHEDULE  OF  CAPITAL  LEASE  PROGRAM  OBLIGATIONS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70"/>
      <c r="C4" s="2070"/>
      <c r="D4" s="2070"/>
      <c r="E4" s="2070"/>
      <c r="F4" s="2071"/>
      <c r="G4" s="1302"/>
      <c r="H4" s="1082"/>
      <c r="I4" s="1207"/>
    </row>
    <row r="5" spans="1:18" ht="13.5" customHeight="1">
      <c r="B5" s="1086"/>
      <c r="C5" s="1086"/>
      <c r="D5" s="1086"/>
      <c r="E5" s="1081"/>
      <c r="F5" s="1081"/>
      <c r="G5" s="1091" t="s">
        <v>414</v>
      </c>
      <c r="H5" s="2072" t="str">
        <f>IF('KEY INPUTS'!C42="State Fiscal Year","Fiscal Year "&amp;'KEY INPUTS'!D33+1&amp;"",'KEY INPUTS'!D34+1)&amp;" Budget Requirements"</f>
        <v>2022 Budget Requirements</v>
      </c>
      <c r="I5" s="2073"/>
      <c r="J5" s="736"/>
    </row>
    <row r="6" spans="1:18" ht="13.5" customHeight="1">
      <c r="B6" s="1086"/>
      <c r="C6" s="1908" t="s">
        <v>413</v>
      </c>
      <c r="D6" s="1908"/>
      <c r="E6" s="1081"/>
      <c r="F6" s="1081"/>
      <c r="G6" s="1091" t="s">
        <v>430</v>
      </c>
      <c r="H6" s="2074"/>
      <c r="I6" s="2075"/>
      <c r="J6" s="736"/>
    </row>
    <row r="7" spans="1:18" ht="13.5" customHeight="1">
      <c r="B7" s="1086"/>
      <c r="C7" s="1086"/>
      <c r="D7" s="1086"/>
      <c r="E7" s="1081"/>
      <c r="F7" s="1211"/>
      <c r="G7" s="1212" t="str">
        <f>IF('KEY INPUTS'!C42 = "State Fiscal Year", 'KEY INPUTS'!F47,'KEY INPUTS'!D47)</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04"/>
      <c r="C9" s="2004"/>
      <c r="D9" s="2004"/>
      <c r="E9" s="2004"/>
      <c r="F9" s="2005"/>
      <c r="G9" s="763"/>
      <c r="H9" s="575"/>
      <c r="I9" s="764"/>
      <c r="L9" s="356"/>
      <c r="M9" s="309"/>
      <c r="N9" s="309"/>
      <c r="O9" s="309"/>
      <c r="P9" s="309"/>
      <c r="Q9" s="309"/>
      <c r="R9" s="309"/>
    </row>
    <row r="10" spans="1:18" ht="21" customHeight="1">
      <c r="B10" s="1998"/>
      <c r="C10" s="1998"/>
      <c r="D10" s="1998"/>
      <c r="E10" s="1998"/>
      <c r="F10" s="1999"/>
      <c r="G10" s="600"/>
      <c r="H10" s="571"/>
      <c r="I10" s="572"/>
      <c r="L10" s="309"/>
      <c r="M10" s="309"/>
      <c r="N10" s="309"/>
      <c r="O10" s="309"/>
      <c r="P10" s="309"/>
      <c r="Q10" s="309"/>
      <c r="R10" s="309"/>
    </row>
    <row r="11" spans="1:18" ht="21" customHeight="1">
      <c r="B11" s="1998"/>
      <c r="C11" s="1998"/>
      <c r="D11" s="1998"/>
      <c r="E11" s="1998"/>
      <c r="F11" s="1999"/>
      <c r="G11" s="600"/>
      <c r="H11" s="571"/>
      <c r="I11" s="572"/>
      <c r="L11" s="309"/>
      <c r="M11" s="309"/>
      <c r="N11" s="309"/>
      <c r="O11" s="309"/>
      <c r="P11" s="309"/>
      <c r="Q11" s="309"/>
      <c r="R11" s="309"/>
    </row>
    <row r="12" spans="1:18" ht="21" customHeight="1">
      <c r="B12" s="1998"/>
      <c r="C12" s="1998"/>
      <c r="D12" s="1998"/>
      <c r="E12" s="1998"/>
      <c r="F12" s="1999"/>
      <c r="G12" s="600"/>
      <c r="H12" s="571"/>
      <c r="I12" s="572"/>
      <c r="L12" s="309"/>
      <c r="M12" s="309"/>
      <c r="N12" s="309"/>
      <c r="O12" s="309"/>
      <c r="P12" s="309"/>
      <c r="Q12" s="309"/>
      <c r="R12" s="309"/>
    </row>
    <row r="13" spans="1:18" ht="21" customHeight="1">
      <c r="B13" s="1998"/>
      <c r="C13" s="1998"/>
      <c r="D13" s="1998"/>
      <c r="E13" s="1998"/>
      <c r="F13" s="1999"/>
      <c r="G13" s="600"/>
      <c r="H13" s="571"/>
      <c r="I13" s="572"/>
      <c r="L13" s="309"/>
      <c r="M13" s="309"/>
      <c r="N13" s="309"/>
      <c r="O13" s="309"/>
      <c r="P13" s="309"/>
      <c r="Q13" s="309"/>
      <c r="R13" s="309"/>
    </row>
    <row r="14" spans="1:18" ht="21" customHeight="1">
      <c r="B14" s="1998"/>
      <c r="C14" s="1998"/>
      <c r="D14" s="1998"/>
      <c r="E14" s="1998"/>
      <c r="F14" s="1999"/>
      <c r="G14" s="601"/>
      <c r="H14" s="571"/>
      <c r="I14" s="572"/>
      <c r="L14" s="309"/>
      <c r="M14" s="309"/>
      <c r="N14" s="309"/>
      <c r="O14" s="309"/>
      <c r="P14" s="309"/>
      <c r="Q14" s="309"/>
      <c r="R14" s="309"/>
    </row>
    <row r="15" spans="1:18" ht="21" customHeight="1">
      <c r="A15" s="1913" t="s">
        <v>3171</v>
      </c>
      <c r="B15" s="1998"/>
      <c r="C15" s="1998"/>
      <c r="D15" s="1998"/>
      <c r="E15" s="1998"/>
      <c r="F15" s="1999"/>
      <c r="G15" s="600"/>
      <c r="H15" s="571"/>
      <c r="I15" s="572"/>
      <c r="L15" s="309"/>
      <c r="M15" s="309"/>
      <c r="N15" s="309"/>
      <c r="O15" s="309"/>
      <c r="P15" s="309"/>
      <c r="Q15" s="309"/>
      <c r="R15" s="309"/>
    </row>
    <row r="16" spans="1:18" ht="21" customHeight="1">
      <c r="A16" s="1913"/>
      <c r="B16" s="1998"/>
      <c r="C16" s="1998"/>
      <c r="D16" s="1998"/>
      <c r="E16" s="1998"/>
      <c r="F16" s="1999"/>
      <c r="G16" s="600"/>
      <c r="H16" s="571"/>
      <c r="I16" s="572"/>
      <c r="L16" s="309"/>
      <c r="M16" s="309"/>
      <c r="N16" s="309"/>
      <c r="O16" s="309"/>
      <c r="P16" s="309"/>
      <c r="Q16" s="309"/>
      <c r="R16" s="309"/>
    </row>
    <row r="17" spans="1:18" ht="21" customHeight="1">
      <c r="A17" s="1913"/>
      <c r="B17" s="1998"/>
      <c r="C17" s="1998"/>
      <c r="D17" s="1998"/>
      <c r="E17" s="1998"/>
      <c r="F17" s="1999"/>
      <c r="G17" s="600"/>
      <c r="H17" s="571"/>
      <c r="I17" s="572"/>
      <c r="L17" s="309"/>
      <c r="M17" s="309"/>
      <c r="N17" s="309"/>
      <c r="O17" s="309"/>
      <c r="P17" s="309"/>
      <c r="Q17" s="309"/>
      <c r="R17" s="309"/>
    </row>
    <row r="18" spans="1:18" ht="21" customHeight="1">
      <c r="A18" s="517"/>
      <c r="B18" s="1998"/>
      <c r="C18" s="1998"/>
      <c r="D18" s="1998"/>
      <c r="E18" s="1998"/>
      <c r="F18" s="1999"/>
      <c r="G18" s="600"/>
      <c r="H18" s="571"/>
      <c r="I18" s="572"/>
      <c r="L18" s="309"/>
      <c r="M18" s="309"/>
      <c r="N18" s="309"/>
      <c r="O18" s="309"/>
      <c r="P18" s="309"/>
      <c r="Q18" s="309"/>
      <c r="R18" s="309"/>
    </row>
    <row r="19" spans="1:18" ht="21" customHeight="1">
      <c r="B19" s="1998"/>
      <c r="C19" s="1998"/>
      <c r="D19" s="1998"/>
      <c r="E19" s="1998"/>
      <c r="F19" s="1999"/>
      <c r="G19" s="600"/>
      <c r="H19" s="571"/>
      <c r="I19" s="572"/>
      <c r="L19" s="309"/>
      <c r="M19" s="309"/>
      <c r="N19" s="309"/>
      <c r="O19" s="309"/>
      <c r="P19" s="309"/>
      <c r="Q19" s="309"/>
      <c r="R19" s="309"/>
    </row>
    <row r="20" spans="1:18" ht="21" customHeight="1">
      <c r="B20" s="1998"/>
      <c r="C20" s="1998"/>
      <c r="D20" s="1998"/>
      <c r="E20" s="1998"/>
      <c r="F20" s="1999"/>
      <c r="G20" s="600"/>
      <c r="H20" s="571"/>
      <c r="I20" s="572"/>
      <c r="L20" s="309"/>
      <c r="M20" s="309"/>
      <c r="N20" s="309"/>
      <c r="O20" s="309"/>
      <c r="P20" s="309"/>
      <c r="Q20" s="309"/>
      <c r="R20" s="309"/>
    </row>
    <row r="21" spans="1:18" ht="21" customHeight="1">
      <c r="B21" s="1998"/>
      <c r="C21" s="1998"/>
      <c r="D21" s="1998"/>
      <c r="E21" s="1998"/>
      <c r="F21" s="1999"/>
      <c r="G21" s="600"/>
      <c r="H21" s="571"/>
      <c r="I21" s="572"/>
      <c r="L21" s="309"/>
      <c r="M21" s="309"/>
      <c r="N21" s="309"/>
      <c r="O21" s="309"/>
      <c r="P21" s="309"/>
      <c r="Q21" s="309"/>
      <c r="R21" s="309"/>
    </row>
    <row r="22" spans="1:18" ht="21" customHeight="1" thickBot="1">
      <c r="B22" s="1998"/>
      <c r="C22" s="1998"/>
      <c r="D22" s="1998"/>
      <c r="E22" s="1998"/>
      <c r="F22" s="1999"/>
      <c r="G22" s="602"/>
      <c r="H22" s="596"/>
      <c r="I22" s="603"/>
      <c r="L22" s="309"/>
      <c r="M22" s="309"/>
      <c r="N22" s="309"/>
      <c r="O22" s="309"/>
      <c r="P22" s="309"/>
      <c r="Q22" s="309"/>
      <c r="R22" s="309"/>
    </row>
    <row r="23" spans="1:18" ht="21" customHeight="1" thickTop="1" thickBot="1">
      <c r="B23" s="1196"/>
      <c r="C23" s="1102"/>
      <c r="D23" s="1312" t="s">
        <v>137</v>
      </c>
      <c r="E23" s="1006"/>
      <c r="F23" s="1213"/>
      <c r="G23" s="1313">
        <f>SUM(G9:G22)</f>
        <v>0</v>
      </c>
      <c r="H23" s="1027">
        <f>SUM(H9:H22)</f>
        <v>0</v>
      </c>
      <c r="I23" s="1101">
        <f>SUM(I9:I22)</f>
        <v>0</v>
      </c>
      <c r="L23" s="309"/>
      <c r="M23" s="309"/>
      <c r="N23" s="309"/>
      <c r="O23" s="309"/>
      <c r="P23" s="309"/>
      <c r="Q23" s="309"/>
      <c r="R23" s="309"/>
    </row>
    <row r="24" spans="1:18" ht="13.5" customHeight="1" thickTop="1">
      <c r="B24" s="765"/>
      <c r="C24" s="383"/>
      <c r="D24" s="766"/>
      <c r="H24" s="476"/>
      <c r="I24" s="476"/>
    </row>
    <row r="25" spans="1:18" ht="13.5" customHeight="1">
      <c r="B25" s="765"/>
      <c r="C25" s="383"/>
      <c r="D25" s="766"/>
    </row>
    <row r="26" spans="1:18" ht="13.5" customHeight="1">
      <c r="B26" s="765"/>
      <c r="C26" s="383"/>
      <c r="D26" s="766"/>
      <c r="H26" s="762"/>
    </row>
    <row r="27" spans="1:18">
      <c r="B27" s="513"/>
      <c r="C27" s="383"/>
      <c r="D27" s="383"/>
    </row>
  </sheetData>
  <sheetProtection algorithmName="SHA-512" hashValue="nV16JWyOKIH+wenv6QJg673/g/rt7QF+rmkvRQe6EmQWWGhq0nVdJ5WGWfvvTLpq69Bu1VVYyggrh5OXvDoapQ==" saltValue="xX9BC+G+XQ0eGt+Vujf+7A=="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3">
    <tabColor theme="7"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INPUTS'!D58)&amp;"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670"/>
      <c r="C9" s="642"/>
      <c r="D9" s="645"/>
      <c r="E9" s="587"/>
      <c r="F9" s="587"/>
      <c r="G9" s="587"/>
      <c r="H9" s="587"/>
      <c r="I9" s="587"/>
      <c r="J9" s="587"/>
      <c r="K9" s="587"/>
      <c r="L9" s="599"/>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3173</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ZihGJFh89DpaCLLWDiFGsONi6gm4b94nZhpjLNB2BMw6jmM3DgAKmD/bKVCsdMB/rM5RcWoorZZcf5N2TmGhVQ==" saltValue="NxuGzubFVJEgLhTC0zKmVg=="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4">
    <tabColor theme="7"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INPUTS'!D58)&amp;"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369">
        <f>+'52-Utility5'!E27</f>
        <v>0</v>
      </c>
      <c r="F9" s="1369">
        <f>+'52-Utility5'!F27</f>
        <v>0</v>
      </c>
      <c r="G9" s="1369">
        <f>+'52-Utility5'!G27</f>
        <v>0</v>
      </c>
      <c r="H9" s="1369">
        <f>+'52-Utility5'!H27</f>
        <v>0</v>
      </c>
      <c r="I9" s="1369">
        <f>+'52-Utility5'!I27</f>
        <v>0</v>
      </c>
      <c r="J9" s="1369">
        <f>+'52-Utility5'!J27</f>
        <v>0</v>
      </c>
      <c r="K9" s="1369">
        <f>+'52-Utility5'!K27</f>
        <v>0</v>
      </c>
      <c r="L9" s="1370">
        <f>+'52-Utility5'!L27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lE/AbS9i1UFIAhfKDxRJF4caXUthE08ME3x/odlzva3CWe7rBaKM5o1gBzjtJMe9kR+zCTfi3SmtvRyK433LsQ==" saltValue="/TlVezGLWm/7gLs+TSl6f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5">
    <tabColor theme="7"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INPUTS'!D58)&amp;"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369">
        <f>+'52.1-Utility5'!E27</f>
        <v>0</v>
      </c>
      <c r="F9" s="1369">
        <f>+'52.1-Utility5'!F27</f>
        <v>0</v>
      </c>
      <c r="G9" s="1369">
        <f>+'52.1-Utility5'!G27</f>
        <v>0</v>
      </c>
      <c r="H9" s="1369">
        <f>+'52.1-Utility5'!H27</f>
        <v>0</v>
      </c>
      <c r="I9" s="1369">
        <f>+'52.1-Utility5'!I27</f>
        <v>0</v>
      </c>
      <c r="J9" s="1369">
        <f>+'52.1-Utility5'!J27</f>
        <v>0</v>
      </c>
      <c r="K9" s="1369">
        <f>+'52.1-Utility5'!K27</f>
        <v>0</v>
      </c>
      <c r="L9" s="1370">
        <f>+'52.1-Utility5'!L27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Il8HFgk0YT/fK4KUeIWFBTnbBmaBUmi3RgEbpRlVBcXZFxCJRER4Nql10c3O7ydN9t50A603qCB5E9c0odOPuw==" saltValue="9f0/5h3LlKlvrZchS0tdqg=="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6">
    <tabColor theme="7"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INPUTS'!D58)&amp;"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369">
        <f>+'52.2-Utility5'!E27</f>
        <v>0</v>
      </c>
      <c r="F9" s="1369">
        <f>+'52.2-Utility5'!F27</f>
        <v>0</v>
      </c>
      <c r="G9" s="1369">
        <f>+'52.2-Utility5'!G27</f>
        <v>0</v>
      </c>
      <c r="H9" s="1369">
        <f>+'52.2-Utility5'!H27</f>
        <v>0</v>
      </c>
      <c r="I9" s="1369">
        <f>+'52.2-Utility5'!I27</f>
        <v>0</v>
      </c>
      <c r="J9" s="1369">
        <f>+'52.2-Utility5'!J27</f>
        <v>0</v>
      </c>
      <c r="K9" s="1369">
        <f>+'52.2-Utility5'!K27</f>
        <v>0</v>
      </c>
      <c r="L9" s="1370">
        <f>+'52.2-Utility5'!L27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3363</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zP5t6gkcHCfIYtp/0dgYrVaOBnQOGVEq5rZ3k0mtIRnOxmSWoqqTObvAZYzLDqh4UZIVd25+cX5mwS88yZ1kLA==" saltValue="fLdnMKimDUuCUTM/lB3b5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7">
    <tabColor theme="7" tint="0.39997558519241921"/>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INPUTS'!D58)&amp;"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02"/>
      <c r="C4" s="2002"/>
      <c r="D4" s="2003"/>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216"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369">
        <f>+'52.3-Utility5'!E27</f>
        <v>0</v>
      </c>
      <c r="F9" s="1369">
        <f>+'52.3-Utility5'!F27</f>
        <v>0</v>
      </c>
      <c r="G9" s="1369">
        <f>+'52.3-Utility5'!G27</f>
        <v>0</v>
      </c>
      <c r="H9" s="1369">
        <f>+'52.3-Utility5'!H27</f>
        <v>0</v>
      </c>
      <c r="I9" s="1369">
        <f>+'52.3-Utility5'!I27</f>
        <v>0</v>
      </c>
      <c r="J9" s="1369">
        <f>+'52.3-Utility5'!J27</f>
        <v>0</v>
      </c>
      <c r="K9" s="1369">
        <f>+'52.3-Utility5'!K27</f>
        <v>0</v>
      </c>
      <c r="L9" s="1370">
        <f>+'52.3-Utility5'!L27</f>
        <v>0</v>
      </c>
      <c r="O9" s="309"/>
      <c r="P9" s="309"/>
      <c r="Q9" s="309"/>
      <c r="R9" s="309"/>
      <c r="S9" s="309"/>
      <c r="T9" s="309"/>
      <c r="U9" s="309"/>
    </row>
    <row r="10" spans="2:21" ht="21" customHeight="1">
      <c r="B10" s="671"/>
      <c r="C10" s="672"/>
      <c r="D10" s="621"/>
      <c r="E10" s="571"/>
      <c r="F10" s="571"/>
      <c r="G10" s="571"/>
      <c r="H10" s="571"/>
      <c r="I10" s="547"/>
      <c r="J10" s="571"/>
      <c r="K10" s="572"/>
      <c r="L10" s="572"/>
      <c r="O10" s="356"/>
      <c r="P10" s="309"/>
      <c r="Q10" s="309"/>
      <c r="R10" s="309"/>
      <c r="S10" s="309"/>
      <c r="T10" s="309"/>
      <c r="U10" s="309"/>
    </row>
    <row r="11" spans="2:21" ht="21" customHeight="1">
      <c r="B11" s="673"/>
      <c r="C11" s="672"/>
      <c r="D11" s="621"/>
      <c r="E11" s="571"/>
      <c r="F11" s="571"/>
      <c r="G11" s="571"/>
      <c r="H11" s="571"/>
      <c r="I11" s="571"/>
      <c r="J11" s="571"/>
      <c r="K11" s="572"/>
      <c r="L11" s="572"/>
      <c r="O11" s="309"/>
      <c r="P11" s="309"/>
      <c r="Q11" s="309"/>
      <c r="R11" s="309"/>
      <c r="S11" s="309"/>
      <c r="T11" s="309"/>
      <c r="U11" s="309"/>
    </row>
    <row r="12" spans="2:21" ht="21" customHeight="1">
      <c r="B12" s="673"/>
      <c r="C12" s="672"/>
      <c r="D12" s="621"/>
      <c r="E12" s="571"/>
      <c r="F12" s="571"/>
      <c r="G12" s="571"/>
      <c r="H12" s="571"/>
      <c r="I12" s="353"/>
      <c r="J12" s="571"/>
      <c r="K12" s="572"/>
      <c r="L12" s="572"/>
      <c r="O12" s="309"/>
      <c r="P12" s="309"/>
      <c r="Q12" s="309"/>
      <c r="R12" s="309"/>
      <c r="S12" s="309"/>
      <c r="T12" s="309"/>
      <c r="U12" s="309"/>
    </row>
    <row r="13" spans="2:21" ht="21" customHeight="1">
      <c r="B13" s="673"/>
      <c r="C13" s="672"/>
      <c r="D13" s="621"/>
      <c r="E13" s="571"/>
      <c r="F13" s="571"/>
      <c r="G13" s="571"/>
      <c r="H13" s="571"/>
      <c r="I13" s="547"/>
      <c r="J13" s="571"/>
      <c r="K13" s="572"/>
      <c r="L13" s="669"/>
      <c r="O13" s="309"/>
      <c r="P13" s="309"/>
      <c r="Q13" s="309"/>
      <c r="R13" s="309"/>
      <c r="S13" s="309"/>
      <c r="T13" s="309"/>
      <c r="U13" s="309"/>
    </row>
    <row r="14" spans="2:21" ht="21" customHeight="1">
      <c r="B14" s="671"/>
      <c r="C14" s="672"/>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3364</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3365</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15"/>
      <c r="C28" s="1316" t="s">
        <v>522</v>
      </c>
      <c r="D28" s="1317"/>
      <c r="E28" s="1202"/>
      <c r="F28" s="1202"/>
      <c r="G28" s="1202"/>
      <c r="H28" s="1202"/>
      <c r="I28" s="1202"/>
      <c r="J28" s="1202"/>
      <c r="K28" s="1203"/>
      <c r="L28" s="1203"/>
    </row>
    <row r="42" spans="11:12">
      <c r="K42" s="318" t="s">
        <v>3214</v>
      </c>
      <c r="L42" s="525">
        <f>K27+L27</f>
        <v>0</v>
      </c>
    </row>
  </sheetData>
  <sheetProtection algorithmName="SHA-512" hashValue="Jtf5EH2+aV4BMCS0ItaK8RcCwve30ou5ymJa8zIzANh6MGVD6nPR7oXBf0L9bmdz7i8nDCQ357K50fg6H3HuZw==" saltValue="S0L867fz+hFH4D00SsPBV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8">
    <tabColor theme="7" tint="0.39997558519241921"/>
  </sheetPr>
  <dimension ref="B3:S54"/>
  <sheetViews>
    <sheetView zoomScaleNormal="100" zoomScaleSheetLayoutView="80" workbookViewId="0">
      <selection activeCell="N40" sqref="N40"/>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3" spans="2:19" ht="22.8">
      <c r="B3" s="1887" t="str">
        <f>UPPER('KEY INPUTS'!D$58)&amp;" UTILITY  CAPITAL  FUND"</f>
        <v xml:space="preserve"> UTILITY  CAPITAL  FUND</v>
      </c>
      <c r="C3" s="1887"/>
      <c r="D3" s="1887"/>
      <c r="E3" s="1887"/>
      <c r="F3" s="1887"/>
      <c r="G3" s="1887"/>
      <c r="H3" s="1887"/>
      <c r="I3" s="1887"/>
      <c r="J3" s="1887"/>
    </row>
    <row r="4" spans="2:19">
      <c r="B4" s="1086"/>
      <c r="C4" s="1086"/>
      <c r="D4" s="1086"/>
      <c r="E4" s="1086"/>
      <c r="F4" s="1086"/>
      <c r="G4" s="1086"/>
      <c r="H4" s="1086"/>
      <c r="I4" s="1086"/>
      <c r="J4" s="1086"/>
    </row>
    <row r="5" spans="2:19" ht="15.6">
      <c r="B5" s="1904" t="s">
        <v>526</v>
      </c>
      <c r="C5" s="1904"/>
      <c r="D5" s="1904"/>
      <c r="E5" s="1904"/>
      <c r="F5" s="1904"/>
      <c r="G5" s="1904"/>
      <c r="H5" s="1904"/>
      <c r="I5" s="1904"/>
      <c r="J5" s="1904"/>
    </row>
    <row r="6" spans="2:19" ht="13.8" thickBot="1">
      <c r="B6" s="1086"/>
      <c r="C6" s="1086"/>
      <c r="D6" s="1086"/>
      <c r="E6" s="1086"/>
      <c r="F6" s="1086"/>
      <c r="G6" s="1086"/>
      <c r="H6" s="1086"/>
      <c r="I6" s="1086"/>
      <c r="J6" s="1086"/>
    </row>
    <row r="7" spans="2:19" ht="28.5" customHeight="1" thickTop="1" thickBot="1">
      <c r="B7" s="1327"/>
      <c r="C7" s="1327"/>
      <c r="D7" s="1327"/>
      <c r="E7" s="1327"/>
      <c r="F7" s="1327"/>
      <c r="G7" s="1327"/>
      <c r="H7" s="1327"/>
      <c r="I7" s="1074" t="s">
        <v>96</v>
      </c>
      <c r="J7" s="1075" t="s">
        <v>97</v>
      </c>
    </row>
    <row r="8" spans="2:19" ht="21" customHeight="1" thickTop="1">
      <c r="B8" s="1098" t="str">
        <f>IF('KEY INPUTS'!C42 = "State Fiscal Year", 'KEY INPUTS'!F25,'KEY INPUTS'!D25)</f>
        <v>Balance - January 1, 2021</v>
      </c>
      <c r="C8" s="1098"/>
      <c r="D8" s="1098"/>
      <c r="E8" s="1098"/>
      <c r="F8" s="1098"/>
      <c r="G8" s="1098"/>
      <c r="H8" s="1339"/>
      <c r="I8" s="1029" t="s">
        <v>628</v>
      </c>
      <c r="J8" s="607"/>
    </row>
    <row r="9" spans="2:19" ht="21" customHeight="1">
      <c r="B9" s="1079" t="str">
        <f>"Received from "&amp;IF('KEY INPUTS'!C42="State Fiscal Year","Fiscal Year "&amp;'KEY INPUTS'!D33)&amp;" Budget Appropriation"</f>
        <v>Received from FALSE Budget Appropriation</v>
      </c>
      <c r="C9" s="1079"/>
      <c r="D9" s="1079"/>
      <c r="E9" s="1079"/>
      <c r="F9" s="1079"/>
      <c r="G9" s="1079"/>
      <c r="H9" s="1340"/>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1341" t="s">
        <v>176</v>
      </c>
      <c r="C11" s="1342"/>
      <c r="D11" s="1342"/>
      <c r="E11" s="1342"/>
      <c r="F11" s="1342"/>
      <c r="G11" s="1342"/>
      <c r="H11" s="1343"/>
      <c r="I11" s="2033" t="s">
        <v>628</v>
      </c>
      <c r="J11" s="2031"/>
      <c r="M11" s="356"/>
      <c r="N11" s="309"/>
      <c r="O11" s="309"/>
      <c r="P11" s="309"/>
      <c r="Q11" s="309"/>
      <c r="R11" s="309"/>
      <c r="S11" s="309"/>
    </row>
    <row r="12" spans="2:19" ht="12.75" customHeight="1">
      <c r="B12" s="1330"/>
      <c r="C12" s="1344" t="s">
        <v>177</v>
      </c>
      <c r="D12" s="1330"/>
      <c r="E12" s="1330"/>
      <c r="F12" s="1330"/>
      <c r="G12" s="1330"/>
      <c r="H12" s="1345"/>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1079" t="s">
        <v>179</v>
      </c>
      <c r="C22" s="1079"/>
      <c r="D22" s="1079"/>
      <c r="E22" s="1079"/>
      <c r="F22" s="1079"/>
      <c r="G22" s="1079"/>
      <c r="H22" s="1340"/>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1079" t="str">
        <f>IF('KEY INPUTS'!C42 = "State Fiscal Year", 'KEY INPUTS'!F26,'KEY INPUTS'!D26)</f>
        <v>Balance - December 31, 2021</v>
      </c>
      <c r="C24" s="1079"/>
      <c r="D24" s="1079"/>
      <c r="E24" s="1079"/>
      <c r="F24" s="1079"/>
      <c r="G24" s="1079"/>
      <c r="H24" s="1340"/>
      <c r="I24" s="1047">
        <f>+SUM(J8:J13)-SUM(I13:I23)</f>
        <v>0</v>
      </c>
      <c r="J24" s="1045" t="s">
        <v>628</v>
      </c>
      <c r="M24" s="309"/>
      <c r="N24" s="309"/>
      <c r="O24" s="309"/>
      <c r="P24" s="309"/>
      <c r="Q24" s="309"/>
      <c r="R24" s="309"/>
      <c r="S24" s="309"/>
    </row>
    <row r="25" spans="2:19" ht="21" customHeight="1" thickTop="1" thickBot="1">
      <c r="B25" s="1086"/>
      <c r="C25" s="1086"/>
      <c r="D25" s="1086"/>
      <c r="E25" s="1086"/>
      <c r="F25" s="1086"/>
      <c r="G25" s="1086"/>
      <c r="H25" s="1086"/>
      <c r="I25" s="1008">
        <f>SUM(I8:I24)</f>
        <v>0</v>
      </c>
      <c r="J25" s="1048">
        <f>SUM(J8:J24)</f>
        <v>0</v>
      </c>
      <c r="M25" s="309"/>
      <c r="N25" s="309"/>
      <c r="O25" s="309"/>
      <c r="P25" s="309"/>
      <c r="Q25" s="309"/>
      <c r="R25" s="309"/>
      <c r="S25" s="309"/>
    </row>
    <row r="26" spans="2:19" ht="13.8" thickTop="1">
      <c r="B26" s="1086"/>
      <c r="C26" s="1086"/>
      <c r="D26" s="1086"/>
      <c r="E26" s="1086"/>
      <c r="F26" s="1086"/>
      <c r="G26" s="1086"/>
      <c r="H26" s="1086"/>
      <c r="I26" s="1086"/>
      <c r="J26" s="1086"/>
    </row>
    <row r="27" spans="2:19">
      <c r="B27" s="1086"/>
      <c r="C27" s="1086"/>
      <c r="D27" s="1086"/>
      <c r="E27" s="1086"/>
      <c r="F27" s="1086"/>
      <c r="G27" s="1086"/>
      <c r="H27" s="1086"/>
      <c r="I27" s="1086"/>
      <c r="J27" s="1086"/>
    </row>
    <row r="28" spans="2:19">
      <c r="B28" s="1086"/>
      <c r="C28" s="1086"/>
      <c r="D28" s="1086"/>
      <c r="E28" s="1086"/>
      <c r="F28" s="1086"/>
      <c r="G28" s="1086"/>
      <c r="H28" s="1086"/>
      <c r="I28" s="1086"/>
      <c r="J28" s="1086"/>
    </row>
    <row r="29" spans="2:19">
      <c r="B29" s="1086"/>
      <c r="C29" s="1086"/>
      <c r="D29" s="1086"/>
      <c r="E29" s="1086"/>
      <c r="F29" s="1086"/>
      <c r="G29" s="1086"/>
      <c r="H29" s="1086"/>
      <c r="I29" s="1086"/>
      <c r="J29" s="1086"/>
    </row>
    <row r="30" spans="2:19" ht="22.8">
      <c r="B30" s="1887" t="str">
        <f>UPPER('KEY INPUTS'!D$58)&amp;" UTILITY  CAPITAL  FUND"</f>
        <v xml:space="preserve"> UTILITY  CAPITAL  FUND</v>
      </c>
      <c r="C30" s="1887"/>
      <c r="D30" s="1887"/>
      <c r="E30" s="1887"/>
      <c r="F30" s="1887"/>
      <c r="G30" s="1887"/>
      <c r="H30" s="1887"/>
      <c r="I30" s="1887"/>
      <c r="J30" s="1887"/>
    </row>
    <row r="31" spans="2:19" ht="7.5" customHeight="1">
      <c r="B31" s="1086"/>
      <c r="C31" s="1086"/>
      <c r="D31" s="1086"/>
      <c r="E31" s="1086"/>
      <c r="F31" s="1086"/>
      <c r="G31" s="1086"/>
      <c r="H31" s="1086"/>
      <c r="I31" s="1086"/>
      <c r="J31" s="1086"/>
    </row>
    <row r="32" spans="2:19" ht="15.6">
      <c r="B32" s="1904" t="s">
        <v>180</v>
      </c>
      <c r="C32" s="1904"/>
      <c r="D32" s="1904"/>
      <c r="E32" s="1904"/>
      <c r="F32" s="1904"/>
      <c r="G32" s="1904"/>
      <c r="H32" s="1904"/>
      <c r="I32" s="1904"/>
      <c r="J32" s="1904"/>
    </row>
    <row r="33" spans="2:10" ht="13.8" thickBot="1">
      <c r="B33" s="1086"/>
      <c r="C33" s="1086"/>
      <c r="D33" s="1086"/>
      <c r="E33" s="1086"/>
      <c r="F33" s="1086"/>
      <c r="G33" s="1086"/>
      <c r="H33" s="1086"/>
      <c r="I33" s="1086"/>
      <c r="J33" s="1086"/>
    </row>
    <row r="34" spans="2:10" ht="26.25" customHeight="1" thickTop="1" thickBot="1">
      <c r="B34" s="1327"/>
      <c r="C34" s="1327"/>
      <c r="D34" s="1327"/>
      <c r="E34" s="1327"/>
      <c r="F34" s="1327"/>
      <c r="G34" s="1327"/>
      <c r="H34" s="1327"/>
      <c r="I34" s="1074" t="s">
        <v>96</v>
      </c>
      <c r="J34" s="1075" t="s">
        <v>97</v>
      </c>
    </row>
    <row r="35" spans="2:10" ht="21" customHeight="1" thickTop="1">
      <c r="B35" s="1098" t="str">
        <f>IF('KEY INPUTS'!C42 = "State Fiscal Year", 'KEY INPUTS'!F25,'KEY INPUTS'!D25)</f>
        <v>Balance - January 1, 2021</v>
      </c>
      <c r="C35" s="1098"/>
      <c r="D35" s="1098"/>
      <c r="E35" s="1098"/>
      <c r="F35" s="1098"/>
      <c r="G35" s="1098"/>
      <c r="H35" s="1339"/>
      <c r="I35" s="1029" t="s">
        <v>628</v>
      </c>
      <c r="J35" s="607"/>
    </row>
    <row r="36" spans="2:10" ht="21" customHeight="1">
      <c r="B36" s="1079" t="str">
        <f>"Received from "&amp;IF('KEY INPUTS'!C42="State Fiscal Year","Fiscal Year "&amp;'KEY INPUTS'!D33)&amp;" Budget Appropriation *"</f>
        <v>Received from FALSE Budget Appropriation *</v>
      </c>
      <c r="C36" s="1079"/>
      <c r="D36" s="1079"/>
      <c r="E36" s="1079"/>
      <c r="F36" s="1079"/>
      <c r="G36" s="1079"/>
      <c r="H36" s="1340"/>
      <c r="I36" s="926" t="s">
        <v>628</v>
      </c>
      <c r="J36" s="578"/>
    </row>
    <row r="37" spans="2:10" ht="21" customHeight="1">
      <c r="B37" s="1079" t="str">
        <f>"Received from "&amp;IF('KEY INPUTS'!C42="State Fiscal Year","Fiscal Year "&amp;'KEY INPUTS'!D33)&amp;" Emergency Appropriation *"</f>
        <v>Received from FALSE Emergency Appropriation *</v>
      </c>
      <c r="C37" s="1079"/>
      <c r="D37" s="1079"/>
      <c r="E37" s="1079"/>
      <c r="F37" s="1079"/>
      <c r="G37" s="1079"/>
      <c r="H37" s="1340"/>
      <c r="I37" s="926" t="s">
        <v>628</v>
      </c>
      <c r="J37" s="578"/>
    </row>
    <row r="38" spans="2:10" ht="21" customHeight="1">
      <c r="B38" s="637"/>
      <c r="C38" s="1222"/>
      <c r="D38" s="637"/>
      <c r="E38" s="637"/>
      <c r="F38" s="637"/>
      <c r="G38" s="637"/>
      <c r="H38" s="637"/>
      <c r="I38" s="652"/>
      <c r="J38" s="355"/>
    </row>
    <row r="39" spans="2:10" ht="21" customHeight="1">
      <c r="B39" s="1079" t="s">
        <v>179</v>
      </c>
      <c r="C39" s="1079"/>
      <c r="D39" s="1079"/>
      <c r="E39" s="1079"/>
      <c r="F39" s="1079"/>
      <c r="G39" s="1079"/>
      <c r="H39" s="1340"/>
      <c r="I39" s="571"/>
      <c r="J39" s="930" t="s">
        <v>628</v>
      </c>
    </row>
    <row r="40" spans="2:10" ht="21" customHeight="1">
      <c r="B40" s="617"/>
      <c r="C40" s="617"/>
      <c r="D40" s="617"/>
      <c r="E40" s="617"/>
      <c r="F40" s="617"/>
      <c r="G40" s="617"/>
      <c r="H40" s="617"/>
      <c r="I40" s="571"/>
      <c r="J40" s="930" t="s">
        <v>628</v>
      </c>
    </row>
    <row r="41" spans="2:10" ht="21" customHeight="1" thickBot="1">
      <c r="B41" s="1079" t="str">
        <f>IF('KEY INPUTS'!C42 = "State Fiscal Year", 'KEY INPUTS'!F26,'KEY INPUTS'!D26)</f>
        <v>Balance - December 31, 2021</v>
      </c>
      <c r="C41" s="1079"/>
      <c r="D41" s="1079"/>
      <c r="E41" s="1079"/>
      <c r="F41" s="1079"/>
      <c r="G41" s="1079"/>
      <c r="H41" s="1340"/>
      <c r="I41" s="1223">
        <f>SUM(J35:J38)-SUM(I38:I40)</f>
        <v>0</v>
      </c>
      <c r="J41" s="1045" t="s">
        <v>628</v>
      </c>
    </row>
    <row r="42" spans="2:10" ht="21" customHeight="1" thickTop="1" thickBot="1">
      <c r="B42" s="1086"/>
      <c r="C42" s="1086"/>
      <c r="D42" s="1086"/>
      <c r="E42" s="1086"/>
      <c r="F42" s="1086"/>
      <c r="G42" s="1086"/>
      <c r="H42" s="1086"/>
      <c r="I42" s="1008">
        <f>SUM(I35:I41)</f>
        <v>0</v>
      </c>
      <c r="J42" s="1048">
        <f>SUM(J35:J41)</f>
        <v>0</v>
      </c>
    </row>
    <row r="43" spans="2:10" ht="21" customHeight="1" thickTop="1">
      <c r="I43" s="186"/>
      <c r="J43" s="186"/>
    </row>
    <row r="44" spans="2:10" ht="21" customHeight="1"/>
    <row r="45" spans="2:10" ht="13.5" customHeight="1">
      <c r="B45" s="526" t="str">
        <f>"*The full amount of the "&amp;IF('KEY INPUTS'!C42="State Fiscal Year","Fiscal Year "&amp;'KEY INPUTS'!D33)&amp;" budget appropriation should be transferred to this account unless the balance of"</f>
        <v>*The full amount of the FALSE budget appropriation should be transferred to this account unless the balance of</v>
      </c>
      <c r="C45" s="526"/>
    </row>
    <row r="46" spans="2:10" ht="13.5" customHeight="1">
      <c r="B46" s="526"/>
      <c r="C46" s="526" t="s">
        <v>3584</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IQ/ciN8t6yQKJr1X0fc3wYp2Pe5P+PIkS3x2ctu5qb2r1HJlLPJqWXBosuVWTZr/neBe0vlg6OwTXdlR6yJ4IA==" saltValue="1eSAzw/CrpQPL8GVTxoujQ==" spinCount="100000" sheet="1" objects="1" scenarios="1"/>
  <mergeCells count="7">
    <mergeCell ref="B3:J3"/>
    <mergeCell ref="B5:J5"/>
    <mergeCell ref="B30:J30"/>
    <mergeCell ref="B32:J32"/>
    <mergeCell ref="B54:J54"/>
    <mergeCell ref="I11:I12"/>
    <mergeCell ref="J11:J12"/>
  </mergeCells>
  <pageMargins left="0.25" right="0.25" top="0.5" bottom="0.5" header="0.25" footer="0.25"/>
  <pageSetup paperSize="5" orientation="portrait" r:id="rId1"/>
  <headerFooter alignWithMargins="0"/>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9">
    <tabColor theme="7" tint="0.39997558519241921"/>
  </sheetPr>
  <dimension ref="B1:AC52"/>
  <sheetViews>
    <sheetView zoomScaleNormal="100" zoomScaleSheetLayoutView="80" workbookViewId="0">
      <selection activeCell="G38" sqref="G38"/>
    </sheetView>
  </sheetViews>
  <sheetFormatPr defaultColWidth="8.88671875" defaultRowHeight="13.2"/>
  <cols>
    <col min="1" max="3" width="4.6640625" style="370" customWidth="1"/>
    <col min="4" max="4" width="4.5546875" style="370" customWidth="1"/>
    <col min="5" max="5" width="8.88671875" style="370"/>
    <col min="6" max="6" width="6.6640625" style="370" customWidth="1"/>
    <col min="7" max="10" width="16.6640625" style="370" customWidth="1"/>
    <col min="11" max="20" width="8.88671875" style="370"/>
    <col min="21" max="23" width="4.6640625" style="309" customWidth="1"/>
    <col min="24" max="24" width="8.88671875" style="309"/>
    <col min="25" max="25" width="6.6640625" style="309" customWidth="1"/>
    <col min="26" max="29" width="16.6640625" style="309" customWidth="1"/>
    <col min="30" max="16384" width="8.88671875" style="370"/>
  </cols>
  <sheetData>
    <row r="1" spans="2:19">
      <c r="B1" s="1054"/>
      <c r="C1" s="1054"/>
      <c r="D1" s="1162"/>
      <c r="E1" s="1162"/>
      <c r="F1" s="1054"/>
      <c r="G1" s="1054"/>
      <c r="H1" s="1054"/>
      <c r="I1" s="1054"/>
      <c r="J1" s="1054"/>
    </row>
    <row r="2" spans="2:19">
      <c r="B2" s="1054"/>
      <c r="C2" s="1054"/>
      <c r="D2" s="1162"/>
      <c r="E2" s="1162"/>
      <c r="F2" s="1054"/>
      <c r="G2" s="1054"/>
      <c r="H2" s="1054"/>
      <c r="I2" s="1054"/>
      <c r="J2" s="1054"/>
    </row>
    <row r="3" spans="2:19" ht="24.6">
      <c r="B3" s="2035" t="str">
        <f>UPPER('KEY INPUTS'!D$58)&amp;" UTILITY FUND"</f>
        <v xml:space="preserve"> UTILITY FUND</v>
      </c>
      <c r="C3" s="2035"/>
      <c r="D3" s="2035"/>
      <c r="E3" s="2035"/>
      <c r="F3" s="2035"/>
      <c r="G3" s="2035"/>
      <c r="H3" s="2035"/>
      <c r="I3" s="2035"/>
      <c r="J3" s="2035"/>
    </row>
    <row r="4" spans="2:19">
      <c r="B4" s="1054"/>
      <c r="C4" s="1054"/>
      <c r="D4" s="1054"/>
      <c r="E4" s="1054"/>
      <c r="F4" s="1054"/>
      <c r="G4" s="1054"/>
      <c r="H4" s="1054"/>
      <c r="I4" s="1054"/>
      <c r="J4" s="1054"/>
    </row>
    <row r="5" spans="2:19" ht="17.399999999999999">
      <c r="B5" s="1926" t="str">
        <f>"CAPITAL  IMPROVEMENTS  AUTHORIZED  IN  "&amp;IF('KEY INPUTS'!C42="State Fiscal Year","FISCAL  YEAR  "&amp;'KEY INPUTS'!D33&amp;"",'KEY INPUTS'!D34+1)&amp;""</f>
        <v>CAPITAL  IMPROVEMENTS  AUTHORIZED  IN  2022</v>
      </c>
      <c r="C5" s="1926"/>
      <c r="D5" s="1926"/>
      <c r="E5" s="1926"/>
      <c r="F5" s="1926"/>
      <c r="G5" s="1926"/>
      <c r="H5" s="1926"/>
      <c r="I5" s="1926"/>
      <c r="J5" s="1926"/>
    </row>
    <row r="6" spans="2:19" ht="17.399999999999999">
      <c r="B6" s="1926" t="s">
        <v>3572</v>
      </c>
      <c r="C6" s="1926"/>
      <c r="D6" s="1926"/>
      <c r="E6" s="1926"/>
      <c r="F6" s="1926"/>
      <c r="G6" s="1926"/>
      <c r="H6" s="1926"/>
      <c r="I6" s="1926"/>
      <c r="J6" s="1926"/>
    </row>
    <row r="7" spans="2:19" ht="13.8" thickBot="1">
      <c r="B7" s="1054"/>
      <c r="C7" s="1054"/>
      <c r="D7" s="1054"/>
      <c r="E7" s="1054"/>
      <c r="F7" s="1054"/>
      <c r="G7" s="1054"/>
      <c r="H7" s="1054"/>
      <c r="I7" s="1054"/>
      <c r="J7" s="1054"/>
    </row>
    <row r="8" spans="2:19" ht="13.8" thickTop="1">
      <c r="B8" s="1177"/>
      <c r="C8" s="1177"/>
      <c r="D8" s="1177"/>
      <c r="E8" s="1177"/>
      <c r="F8" s="1177"/>
      <c r="G8" s="1178"/>
      <c r="H8" s="1178"/>
      <c r="I8" s="1178"/>
      <c r="J8" s="1242" t="s">
        <v>240</v>
      </c>
    </row>
    <row r="9" spans="2:19">
      <c r="B9" s="1054"/>
      <c r="C9" s="1992" t="s">
        <v>413</v>
      </c>
      <c r="D9" s="1992"/>
      <c r="E9" s="1992"/>
      <c r="F9" s="1054"/>
      <c r="G9" s="1181" t="s">
        <v>414</v>
      </c>
      <c r="H9" s="1181" t="s">
        <v>201</v>
      </c>
      <c r="I9" s="1181" t="s">
        <v>204</v>
      </c>
      <c r="J9" s="1239" t="s">
        <v>241</v>
      </c>
    </row>
    <row r="10" spans="2:19">
      <c r="B10" s="1054"/>
      <c r="C10" s="1054"/>
      <c r="D10" s="1054"/>
      <c r="E10" s="1054"/>
      <c r="F10" s="1054"/>
      <c r="G10" s="1181" t="s">
        <v>202</v>
      </c>
      <c r="H10" s="1181" t="s">
        <v>203</v>
      </c>
      <c r="I10" s="1181" t="s">
        <v>205</v>
      </c>
      <c r="J10" s="1346" t="str">
        <f>"of " &amp;IF('KEY INPUTS'!C42="State Fiscal Year","FY "&amp;'KEY INPUTS'!D33&amp;"",'KEY INPUTS'!D34+1)&amp;" or"</f>
        <v>of 2022 or</v>
      </c>
    </row>
    <row r="11" spans="2:19" ht="13.8" thickBot="1">
      <c r="B11" s="1109"/>
      <c r="C11" s="1109"/>
      <c r="D11" s="1109"/>
      <c r="E11" s="1109"/>
      <c r="F11" s="1109"/>
      <c r="G11" s="1188"/>
      <c r="H11" s="1188" t="s">
        <v>441</v>
      </c>
      <c r="I11" s="1188" t="s">
        <v>239</v>
      </c>
      <c r="J11" s="1347"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1109"/>
      <c r="C22" s="1109"/>
      <c r="D22" s="1109"/>
      <c r="E22" s="1109"/>
      <c r="F22" s="1109"/>
      <c r="G22" s="1071">
        <f>SUM(G12:G21)</f>
        <v>0</v>
      </c>
      <c r="H22" s="1071">
        <f>SUM(H12:H21)</f>
        <v>0</v>
      </c>
      <c r="I22" s="1071">
        <f>SUM(I12:I21)</f>
        <v>0</v>
      </c>
      <c r="J22" s="1348">
        <f>SUM(J12:J21)</f>
        <v>0</v>
      </c>
      <c r="M22" s="309"/>
      <c r="N22" s="309"/>
      <c r="O22" s="309"/>
      <c r="P22" s="309"/>
      <c r="Q22" s="309"/>
      <c r="R22" s="309"/>
      <c r="S22" s="309"/>
    </row>
    <row r="23" spans="2:19" ht="13.8" thickTop="1">
      <c r="B23" s="1054"/>
      <c r="C23" s="1054"/>
      <c r="D23" s="1054"/>
      <c r="E23" s="1054"/>
      <c r="F23" s="1054"/>
      <c r="G23" s="1054"/>
      <c r="H23" s="1054"/>
      <c r="I23" s="1054"/>
      <c r="J23" s="1054"/>
      <c r="M23" s="309"/>
      <c r="N23" s="309"/>
      <c r="O23" s="309"/>
      <c r="P23" s="309"/>
      <c r="Q23" s="309"/>
      <c r="R23" s="309"/>
      <c r="S23" s="309"/>
    </row>
    <row r="24" spans="2:19">
      <c r="B24" s="1054"/>
      <c r="C24" s="1054"/>
      <c r="D24" s="1054"/>
      <c r="E24" s="1054"/>
      <c r="F24" s="1054"/>
      <c r="G24" s="1054"/>
      <c r="H24" s="1054"/>
      <c r="I24" s="1054"/>
      <c r="J24" s="1054"/>
      <c r="M24" s="309"/>
      <c r="N24" s="309"/>
      <c r="O24" s="309"/>
      <c r="P24" s="309"/>
      <c r="Q24" s="309"/>
      <c r="R24" s="309"/>
      <c r="S24" s="309"/>
    </row>
    <row r="25" spans="2:19">
      <c r="B25" s="1054"/>
      <c r="C25" s="1054"/>
      <c r="D25" s="1054"/>
      <c r="E25" s="1054"/>
      <c r="F25" s="1054"/>
      <c r="G25" s="1054"/>
      <c r="H25" s="1054"/>
      <c r="I25" s="1054"/>
      <c r="J25" s="1054"/>
      <c r="M25" s="309"/>
      <c r="N25" s="309"/>
      <c r="O25" s="309"/>
      <c r="P25" s="309"/>
      <c r="Q25" s="309"/>
      <c r="R25" s="309"/>
      <c r="S25" s="309"/>
    </row>
    <row r="26" spans="2:19">
      <c r="B26" s="1054"/>
      <c r="C26" s="1054"/>
      <c r="D26" s="1054"/>
      <c r="E26" s="1054"/>
      <c r="F26" s="1054"/>
      <c r="G26" s="1054"/>
      <c r="H26" s="1054"/>
      <c r="I26" s="1054"/>
      <c r="J26" s="1054"/>
      <c r="M26" s="309"/>
      <c r="N26" s="309"/>
      <c r="O26" s="309"/>
      <c r="P26" s="309"/>
      <c r="Q26" s="309"/>
      <c r="R26" s="309"/>
      <c r="S26" s="309"/>
    </row>
    <row r="27" spans="2:19">
      <c r="B27" s="1054"/>
      <c r="C27" s="1054"/>
      <c r="D27" s="1054"/>
      <c r="E27" s="1054"/>
      <c r="F27" s="1054"/>
      <c r="G27" s="1054"/>
      <c r="H27" s="1054"/>
      <c r="I27" s="1054"/>
      <c r="J27" s="1054"/>
      <c r="M27" s="309"/>
      <c r="N27" s="309"/>
      <c r="O27" s="309"/>
      <c r="P27" s="309"/>
      <c r="Q27" s="309"/>
      <c r="R27" s="309"/>
      <c r="S27" s="309"/>
    </row>
    <row r="28" spans="2:19" ht="22.8">
      <c r="B28" s="1887" t="str">
        <f>UPPER('KEY INPUTS'!D$58)&amp;" UTILITY  CAPITAL  FUND"</f>
        <v xml:space="preserve"> UTILITY  CAPITAL  FUND</v>
      </c>
      <c r="C28" s="1887"/>
      <c r="D28" s="1887"/>
      <c r="E28" s="1887"/>
      <c r="F28" s="1887"/>
      <c r="G28" s="1887"/>
      <c r="H28" s="1887"/>
      <c r="I28" s="1887"/>
      <c r="J28" s="1887"/>
    </row>
    <row r="29" spans="2:19" ht="22.8">
      <c r="B29" s="1887" t="s">
        <v>154</v>
      </c>
      <c r="C29" s="1887"/>
      <c r="D29" s="1887"/>
      <c r="E29" s="1887"/>
      <c r="F29" s="1887"/>
      <c r="G29" s="1887"/>
      <c r="H29" s="1887"/>
      <c r="I29" s="1887"/>
      <c r="J29" s="1887"/>
    </row>
    <row r="30" spans="2:19">
      <c r="B30" s="1054"/>
      <c r="C30" s="1054"/>
      <c r="D30" s="1054"/>
      <c r="E30" s="1054"/>
      <c r="F30" s="1054"/>
      <c r="G30" s="1054"/>
      <c r="H30" s="1054"/>
      <c r="I30" s="1054"/>
      <c r="J30" s="1054"/>
    </row>
    <row r="31" spans="2:19" ht="15.6">
      <c r="B31" s="1883" t="str">
        <f>IF('KEY INPUTS'!C42="State Fiscal Year",(UPPER("Fiscal Year "&amp;'KEY INPUTS'!D33))&amp;"",'KEY INPUTS'!D34+1)&amp;""</f>
        <v>2022</v>
      </c>
      <c r="C31" s="1883"/>
      <c r="D31" s="1883"/>
      <c r="E31" s="1883"/>
      <c r="F31" s="1883"/>
      <c r="G31" s="1883"/>
      <c r="H31" s="1883"/>
      <c r="I31" s="1883"/>
      <c r="J31" s="1883"/>
    </row>
    <row r="32" spans="2:19" ht="13.8" thickBot="1">
      <c r="B32" s="1054"/>
      <c r="C32" s="1054"/>
      <c r="D32" s="1054"/>
      <c r="E32" s="1054"/>
      <c r="F32" s="1054"/>
      <c r="G32" s="1054"/>
      <c r="H32" s="1054"/>
      <c r="I32" s="1054"/>
      <c r="J32" s="1054"/>
    </row>
    <row r="33" spans="2:10" ht="28.5" customHeight="1" thickTop="1" thickBot="1">
      <c r="B33" s="1273"/>
      <c r="C33" s="1273"/>
      <c r="D33" s="1273"/>
      <c r="E33" s="1273"/>
      <c r="F33" s="1273"/>
      <c r="G33" s="1273"/>
      <c r="H33" s="1273"/>
      <c r="I33" s="1055" t="s">
        <v>96</v>
      </c>
      <c r="J33" s="1056" t="s">
        <v>97</v>
      </c>
    </row>
    <row r="34" spans="2:10" ht="21" customHeight="1" thickTop="1">
      <c r="B34" s="1349" t="str">
        <f>IF('KEY INPUTS'!C42 = "State Fiscal Year", 'KEY INPUTS'!F25,'KEY INPUTS'!D25)</f>
        <v>Balance - January 1, 2021</v>
      </c>
      <c r="C34" s="1110"/>
      <c r="D34" s="1110"/>
      <c r="E34" s="1110"/>
      <c r="F34" s="1110"/>
      <c r="G34" s="1110"/>
      <c r="H34" s="1110"/>
      <c r="I34" s="1111" t="s">
        <v>628</v>
      </c>
      <c r="J34" s="606"/>
    </row>
    <row r="35" spans="2:10" ht="21" customHeight="1">
      <c r="B35" s="659" t="s">
        <v>155</v>
      </c>
      <c r="C35" s="659"/>
      <c r="D35" s="659"/>
      <c r="E35" s="659"/>
      <c r="F35" s="659"/>
      <c r="G35" s="659"/>
      <c r="H35" s="659"/>
      <c r="I35" s="1114" t="s">
        <v>628</v>
      </c>
      <c r="J35" s="550"/>
    </row>
    <row r="36" spans="2:10" ht="21" customHeight="1">
      <c r="B36" s="659" t="s">
        <v>156</v>
      </c>
      <c r="C36" s="659"/>
      <c r="D36" s="659"/>
      <c r="E36" s="659"/>
      <c r="F36" s="659"/>
      <c r="G36" s="659"/>
      <c r="H36" s="659"/>
      <c r="I36" s="1114" t="s">
        <v>628</v>
      </c>
      <c r="J36" s="550"/>
    </row>
    <row r="37" spans="2:10" ht="21" customHeight="1">
      <c r="B37" s="617" t="s">
        <v>3215</v>
      </c>
      <c r="C37" s="617"/>
      <c r="D37" s="617"/>
      <c r="E37" s="617"/>
      <c r="F37" s="617"/>
      <c r="G37" s="617"/>
      <c r="H37" s="617"/>
      <c r="I37" s="800"/>
      <c r="J37" s="550"/>
    </row>
    <row r="38" spans="2:10" ht="21" customHeight="1">
      <c r="B38" s="617"/>
      <c r="C38" s="617"/>
      <c r="D38" s="617"/>
      <c r="E38" s="617"/>
      <c r="F38" s="617"/>
      <c r="G38" s="617"/>
      <c r="H38" s="617"/>
      <c r="I38" s="353"/>
      <c r="J38" s="550"/>
    </row>
    <row r="39" spans="2:10" ht="21" customHeight="1">
      <c r="B39" s="617"/>
      <c r="C39" s="617"/>
      <c r="D39" s="617"/>
      <c r="E39" s="617"/>
      <c r="F39" s="617"/>
      <c r="G39" s="617"/>
      <c r="H39" s="617"/>
      <c r="I39" s="353"/>
      <c r="J39" s="550"/>
    </row>
    <row r="40" spans="2:10" ht="21" customHeight="1">
      <c r="B40" s="659" t="s">
        <v>3176</v>
      </c>
      <c r="C40" s="659"/>
      <c r="D40" s="659"/>
      <c r="E40" s="659"/>
      <c r="F40" s="659"/>
      <c r="G40" s="659"/>
      <c r="H40" s="659"/>
      <c r="I40" s="353"/>
      <c r="J40" s="1240" t="s">
        <v>628</v>
      </c>
    </row>
    <row r="41" spans="2:10" ht="21" customHeight="1">
      <c r="B41" s="871" t="str">
        <f>"Appropriation to "&amp;IF('KEY INPUTS'!C42="State Fiscal Year","Fiscal Year "&amp;'KEY INPUTS'!D33&amp;"",'KEY INPUTS'!D34+1)&amp;" Budget Reserve"</f>
        <v>Appropriation to 2022 Budget Reserve</v>
      </c>
      <c r="C41" s="659"/>
      <c r="D41" s="659"/>
      <c r="E41" s="659"/>
      <c r="F41" s="659"/>
      <c r="G41" s="1350"/>
      <c r="H41" s="659"/>
      <c r="I41" s="547"/>
      <c r="J41" s="1240" t="s">
        <v>628</v>
      </c>
    </row>
    <row r="42" spans="2:10" ht="21" customHeight="1">
      <c r="B42" s="659" t="str">
        <f>IF('KEY INPUTS'!C42 = "State Fiscal Year", 'KEY INPUTS'!F26,'KEY INPUTS'!D26)</f>
        <v>Balance - December 31, 2021</v>
      </c>
      <c r="C42" s="659"/>
      <c r="D42" s="659"/>
      <c r="E42" s="659"/>
      <c r="F42" s="659"/>
      <c r="G42" s="659"/>
      <c r="H42" s="659"/>
      <c r="I42" s="800">
        <f>SUM(J34:J39)-SUM(I37:I41)</f>
        <v>0</v>
      </c>
      <c r="J42" s="1240" t="s">
        <v>628</v>
      </c>
    </row>
    <row r="43" spans="2:10" ht="21" customHeight="1" thickBot="1">
      <c r="B43" s="1054"/>
      <c r="C43" s="1054"/>
      <c r="D43" s="1054"/>
      <c r="E43" s="1054"/>
      <c r="F43" s="1054"/>
      <c r="G43" s="1054"/>
      <c r="H43" s="1054"/>
      <c r="I43" s="1049">
        <f>SUM(I34:I42)</f>
        <v>0</v>
      </c>
      <c r="J43" s="1351">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882" t="s">
        <v>3175</v>
      </c>
      <c r="C52" s="1882"/>
      <c r="D52" s="1882"/>
      <c r="E52" s="1882"/>
      <c r="F52" s="1882"/>
      <c r="G52" s="1882"/>
      <c r="H52" s="1882"/>
      <c r="I52" s="1882"/>
      <c r="J52" s="1882"/>
    </row>
  </sheetData>
  <sheetProtection algorithmName="SHA-512" hashValue="SVojEU/y/oKrZs/GZVG8aVS7lICbqJT3EHNSFDePfuCEiLkSb90DOLQ6W3NCk05RIVz3lFydNg3oHTIbcobFrA==" saltValue="yRpzZElwyjF88Riys/0xIw==" spinCount="100000"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0">
    <tabColor theme="3" tint="0.79998168889431442"/>
  </sheetPr>
  <dimension ref="B1:R57"/>
  <sheetViews>
    <sheetView zoomScaleNormal="100" zoomScaleSheetLayoutView="80" workbookViewId="0">
      <selection activeCell="M33" sqref="M33"/>
    </sheetView>
  </sheetViews>
  <sheetFormatPr defaultColWidth="8.88671875" defaultRowHeight="13.2"/>
  <cols>
    <col min="1" max="1" width="4.6640625" style="370" customWidth="1"/>
    <col min="2" max="2" width="4.88671875" style="370" customWidth="1"/>
    <col min="3" max="4" width="4.6640625" style="370" customWidth="1"/>
    <col min="5" max="5" width="30.6640625" style="370" customWidth="1"/>
    <col min="6" max="6" width="15.6640625" style="370" customWidth="1"/>
    <col min="7" max="8" width="16.6640625" style="370" customWidth="1"/>
    <col min="9" max="9" width="3.6640625" style="370" bestFit="1" customWidth="1"/>
    <col min="10" max="10" width="13.5546875" style="370" bestFit="1" customWidth="1"/>
    <col min="11" max="16384" width="8.88671875" style="370"/>
  </cols>
  <sheetData>
    <row r="1" spans="2:18">
      <c r="B1" s="1054"/>
      <c r="C1" s="1054"/>
      <c r="D1" s="1054"/>
      <c r="E1" s="1054"/>
      <c r="F1" s="1054"/>
      <c r="G1" s="1054"/>
      <c r="H1" s="1054"/>
    </row>
    <row r="2" spans="2:18">
      <c r="B2" s="1886" t="s">
        <v>35</v>
      </c>
      <c r="C2" s="1886"/>
      <c r="D2" s="1886"/>
      <c r="E2" s="1886"/>
      <c r="F2" s="1886"/>
      <c r="G2" s="1886"/>
      <c r="H2" s="1886"/>
    </row>
    <row r="3" spans="2:18">
      <c r="B3" s="1886" t="s">
        <v>449</v>
      </c>
      <c r="C3" s="1886"/>
      <c r="D3" s="1886"/>
      <c r="E3" s="1886"/>
      <c r="F3" s="1886"/>
      <c r="G3" s="1886"/>
      <c r="H3" s="1886"/>
    </row>
    <row r="4" spans="2:18">
      <c r="B4" s="1054"/>
      <c r="C4" s="1054"/>
      <c r="D4" s="1054"/>
      <c r="E4" s="1054"/>
      <c r="F4" s="1054"/>
      <c r="G4" s="1054"/>
      <c r="H4" s="1054"/>
    </row>
    <row r="5" spans="2:18" ht="22.8">
      <c r="B5" s="1887" t="s">
        <v>424</v>
      </c>
      <c r="C5" s="1887"/>
      <c r="D5" s="1887"/>
      <c r="E5" s="1887"/>
      <c r="F5" s="1887"/>
      <c r="G5" s="1887"/>
      <c r="H5" s="1887"/>
    </row>
    <row r="6" spans="2:18" ht="22.8">
      <c r="B6" s="1887" t="str">
        <f>"TRIAL  BALANCE - "&amp;UPPER('KEY INPUTS'!D559)&amp;"  UTILITY  FUND"</f>
        <v>TRIAL  BALANCE -   UTILITY  FUND</v>
      </c>
      <c r="C6" s="1887"/>
      <c r="D6" s="1887"/>
      <c r="E6" s="1887"/>
      <c r="F6" s="1887"/>
      <c r="G6" s="1887"/>
      <c r="H6" s="1887"/>
    </row>
    <row r="7" spans="2:18" ht="15.6">
      <c r="B7" s="1888" t="str">
        <f>IF('KEY INPUTS'!C42 = "State Fiscal Year", 'KEY INPUTS'!F45,'KEY INPUTS'!D45)</f>
        <v>AS  AT  DECEMBER  31, 2021</v>
      </c>
      <c r="C7" s="1889"/>
      <c r="D7" s="1889"/>
      <c r="E7" s="1889"/>
      <c r="F7" s="1889"/>
      <c r="G7" s="1889"/>
      <c r="H7" s="1889"/>
    </row>
    <row r="8" spans="2:18" ht="15.6">
      <c r="B8" s="1883" t="s">
        <v>450</v>
      </c>
      <c r="C8" s="1883"/>
      <c r="D8" s="1883"/>
      <c r="E8" s="1883"/>
      <c r="F8" s="1883"/>
      <c r="G8" s="1883"/>
      <c r="H8" s="1883"/>
    </row>
    <row r="9" spans="2:18">
      <c r="B9" s="1884" t="s">
        <v>70</v>
      </c>
      <c r="C9" s="1884"/>
      <c r="D9" s="1884"/>
      <c r="E9" s="1884"/>
      <c r="F9" s="1884"/>
      <c r="G9" s="1884"/>
      <c r="H9" s="1884"/>
    </row>
    <row r="10" spans="2:18" ht="15" customHeight="1" thickBot="1">
      <c r="B10" s="1885" t="s">
        <v>71</v>
      </c>
      <c r="C10" s="1885"/>
      <c r="D10" s="1885"/>
      <c r="E10" s="1885"/>
      <c r="F10" s="1885"/>
      <c r="G10" s="1885"/>
      <c r="H10" s="1885"/>
    </row>
    <row r="11" spans="2:18" ht="36" customHeight="1" thickTop="1" thickBot="1">
      <c r="B11" s="1879" t="s">
        <v>95</v>
      </c>
      <c r="C11" s="1879"/>
      <c r="D11" s="1879"/>
      <c r="E11" s="1879"/>
      <c r="F11" s="1880"/>
      <c r="G11" s="1055" t="s">
        <v>96</v>
      </c>
      <c r="H11" s="1056" t="s">
        <v>97</v>
      </c>
      <c r="L11" s="309"/>
      <c r="M11" s="309"/>
      <c r="N11" s="309"/>
      <c r="O11" s="309"/>
      <c r="P11" s="309"/>
      <c r="Q11" s="309"/>
      <c r="R11" s="309"/>
    </row>
    <row r="12" spans="2:18" ht="21" customHeight="1" thickTop="1">
      <c r="B12" s="1054"/>
      <c r="C12" s="1054"/>
      <c r="D12" s="1054"/>
      <c r="E12" s="1054"/>
      <c r="F12" s="1054"/>
      <c r="G12" s="1057"/>
      <c r="H12" s="1058"/>
      <c r="L12" s="309"/>
      <c r="M12" s="309"/>
      <c r="N12" s="309"/>
      <c r="O12" s="309"/>
      <c r="P12" s="309"/>
      <c r="Q12" s="309"/>
      <c r="R12" s="309"/>
    </row>
    <row r="13" spans="2:18" ht="21" customHeight="1">
      <c r="B13" s="659" t="s">
        <v>194</v>
      </c>
      <c r="C13" s="659"/>
      <c r="D13" s="659"/>
      <c r="E13" s="659"/>
      <c r="F13" s="659"/>
      <c r="G13" s="571"/>
      <c r="H13" s="578"/>
      <c r="J13" s="708"/>
      <c r="L13" s="356"/>
      <c r="M13" s="309"/>
      <c r="N13" s="309"/>
      <c r="O13" s="309"/>
      <c r="P13" s="309"/>
      <c r="Q13" s="309"/>
      <c r="R13" s="309"/>
    </row>
    <row r="14" spans="2:18" ht="21" customHeight="1">
      <c r="B14" s="617" t="s">
        <v>315</v>
      </c>
      <c r="C14" s="617"/>
      <c r="D14" s="617"/>
      <c r="E14" s="617"/>
      <c r="F14" s="621"/>
      <c r="G14" s="571"/>
      <c r="H14" s="578"/>
      <c r="J14" s="708"/>
      <c r="L14" s="309"/>
      <c r="M14" s="309"/>
      <c r="N14" s="309"/>
      <c r="O14" s="309"/>
      <c r="P14" s="309"/>
      <c r="Q14" s="309"/>
      <c r="R14" s="309"/>
    </row>
    <row r="15" spans="2:18" ht="21" customHeight="1">
      <c r="B15" s="618"/>
      <c r="C15" s="618"/>
      <c r="D15" s="618"/>
      <c r="E15" s="618"/>
      <c r="F15" s="618"/>
      <c r="G15" s="571"/>
      <c r="H15" s="578"/>
      <c r="L15" s="309"/>
      <c r="M15" s="309"/>
      <c r="N15" s="309"/>
      <c r="O15" s="309"/>
      <c r="P15" s="309"/>
      <c r="Q15" s="309"/>
      <c r="R15" s="309"/>
    </row>
    <row r="16" spans="2:18" ht="21" customHeight="1">
      <c r="B16" s="617" t="s">
        <v>3216</v>
      </c>
      <c r="C16" s="617"/>
      <c r="D16" s="617"/>
      <c r="E16" s="617"/>
      <c r="F16" s="617"/>
      <c r="G16" s="1051"/>
      <c r="H16" s="1051"/>
      <c r="L16" s="309"/>
      <c r="M16" s="309"/>
      <c r="N16" s="309"/>
      <c r="O16" s="309"/>
      <c r="P16" s="309"/>
      <c r="Q16" s="309"/>
      <c r="R16" s="309"/>
    </row>
    <row r="17" spans="2:18" ht="21" customHeight="1">
      <c r="B17" s="617" t="s">
        <v>3216</v>
      </c>
      <c r="C17" s="617"/>
      <c r="D17" s="617"/>
      <c r="E17" s="617"/>
      <c r="F17" s="617"/>
      <c r="G17" s="1051"/>
      <c r="H17" s="1051"/>
      <c r="L17" s="309"/>
      <c r="M17" s="309"/>
      <c r="N17" s="309"/>
      <c r="O17" s="309"/>
      <c r="P17" s="309"/>
      <c r="Q17" s="309"/>
      <c r="R17" s="309"/>
    </row>
    <row r="18" spans="2:18" ht="21" customHeight="1">
      <c r="B18" s="617"/>
      <c r="C18" s="617"/>
      <c r="D18" s="617"/>
      <c r="E18" s="617"/>
      <c r="F18" s="617"/>
      <c r="G18" s="1051"/>
      <c r="H18" s="1051"/>
      <c r="L18" s="309"/>
      <c r="M18" s="309"/>
      <c r="N18" s="309"/>
      <c r="O18" s="309"/>
      <c r="P18" s="309"/>
      <c r="Q18" s="309"/>
      <c r="R18" s="309"/>
    </row>
    <row r="19" spans="2:18" ht="21" customHeight="1">
      <c r="B19" s="1059" t="s">
        <v>3205</v>
      </c>
      <c r="C19" s="1054"/>
      <c r="D19" s="1054"/>
      <c r="E19" s="1054"/>
      <c r="F19" s="1054"/>
      <c r="G19" s="1060"/>
      <c r="H19" s="1061"/>
      <c r="L19" s="309"/>
      <c r="M19" s="309"/>
      <c r="N19" s="309"/>
      <c r="O19" s="309"/>
      <c r="P19" s="309"/>
      <c r="Q19" s="309"/>
      <c r="R19" s="309"/>
    </row>
    <row r="20" spans="2:18" ht="21" customHeight="1">
      <c r="B20" s="659" t="s">
        <v>3206</v>
      </c>
      <c r="C20" s="659"/>
      <c r="D20" s="659"/>
      <c r="E20" s="659"/>
      <c r="F20" s="659"/>
      <c r="G20" s="1062">
        <f>+'47-Utility6'!L24</f>
        <v>0</v>
      </c>
      <c r="H20" s="1063"/>
      <c r="L20" s="309"/>
      <c r="M20" s="309"/>
      <c r="N20" s="309"/>
      <c r="O20" s="309"/>
      <c r="P20" s="309"/>
      <c r="Q20" s="309"/>
      <c r="R20" s="309"/>
    </row>
    <row r="21" spans="2:18" ht="21" customHeight="1">
      <c r="B21" s="659" t="s">
        <v>3207</v>
      </c>
      <c r="C21" s="659"/>
      <c r="D21" s="659"/>
      <c r="E21" s="659"/>
      <c r="F21" s="659"/>
      <c r="G21" s="658">
        <f>+'47-Utility6'!L54</f>
        <v>0</v>
      </c>
      <c r="H21" s="1054"/>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J23" s="708"/>
      <c r="L23" s="309"/>
      <c r="M23" s="309"/>
      <c r="N23" s="309"/>
      <c r="O23" s="309"/>
      <c r="P23" s="309"/>
      <c r="Q23" s="309"/>
      <c r="R23" s="309"/>
    </row>
    <row r="24" spans="2:18" ht="21" customHeight="1">
      <c r="B24" s="617"/>
      <c r="C24" s="617"/>
      <c r="D24" s="617"/>
      <c r="E24" s="617"/>
      <c r="F24" s="617"/>
      <c r="G24" s="571"/>
      <c r="H24" s="578"/>
      <c r="J24" s="70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59" t="s">
        <v>3208</v>
      </c>
      <c r="C26" s="659"/>
      <c r="D26" s="659"/>
      <c r="E26" s="659"/>
      <c r="F26" s="659"/>
      <c r="G26" s="658"/>
      <c r="H26" s="1064"/>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1065" t="s">
        <v>3209</v>
      </c>
      <c r="C30" s="659"/>
      <c r="D30" s="659"/>
      <c r="E30" s="659"/>
      <c r="F30" s="659"/>
      <c r="G30" s="658"/>
      <c r="H30" s="1064"/>
    </row>
    <row r="31" spans="2:18" ht="21" customHeight="1">
      <c r="B31" s="659" t="s">
        <v>3137</v>
      </c>
      <c r="C31" s="659"/>
      <c r="D31" s="659"/>
      <c r="E31" s="659"/>
      <c r="F31" s="659"/>
      <c r="G31" s="571"/>
      <c r="H31" s="1064">
        <f>+'44-Utility6'!I37</f>
        <v>0</v>
      </c>
      <c r="J31" s="708"/>
    </row>
    <row r="32" spans="2:18" ht="21" customHeight="1">
      <c r="B32" s="659" t="s">
        <v>3136</v>
      </c>
      <c r="C32" s="659"/>
      <c r="D32" s="659"/>
      <c r="E32" s="659"/>
      <c r="F32" s="659"/>
      <c r="G32" s="571"/>
      <c r="H32" s="578"/>
    </row>
    <row r="33" spans="2:18" ht="21" customHeight="1">
      <c r="B33" s="659" t="s">
        <v>3135</v>
      </c>
      <c r="C33" s="659"/>
      <c r="D33" s="659"/>
      <c r="E33" s="659"/>
      <c r="F33" s="659"/>
      <c r="G33" s="571"/>
      <c r="H33" s="1066">
        <f>+'49-Utility6'!I29+'49a-Utility6'!I29+'50.1-Utility6'!M24+'49a.1-Utility6'!I29</f>
        <v>0</v>
      </c>
      <c r="J33" s="708"/>
    </row>
    <row r="34" spans="2:18" ht="21" customHeight="1">
      <c r="B34" s="617" t="s">
        <v>3217</v>
      </c>
      <c r="C34" s="617"/>
      <c r="D34" s="617"/>
      <c r="E34" s="617"/>
      <c r="F34" s="621"/>
      <c r="G34" s="571"/>
      <c r="H34" s="578"/>
    </row>
    <row r="35" spans="2:18" ht="21" customHeight="1">
      <c r="B35" s="617"/>
      <c r="C35" s="617"/>
      <c r="D35" s="617"/>
      <c r="E35" s="617"/>
      <c r="F35" s="617"/>
      <c r="G35" s="571"/>
      <c r="H35" s="578"/>
      <c r="L35" s="309"/>
      <c r="M35" s="309"/>
      <c r="N35" s="309"/>
      <c r="O35" s="309"/>
      <c r="P35" s="309"/>
      <c r="Q35" s="309"/>
      <c r="R35" s="309"/>
    </row>
    <row r="36" spans="2:18" ht="21" customHeight="1">
      <c r="B36" s="617"/>
      <c r="C36" s="617"/>
      <c r="D36" s="617"/>
      <c r="E36" s="617"/>
      <c r="F36" s="617"/>
      <c r="G36" s="571"/>
      <c r="H36" s="578"/>
      <c r="J36" s="708"/>
      <c r="L36" s="309"/>
      <c r="M36" s="309"/>
      <c r="N36" s="309"/>
      <c r="O36" s="309"/>
      <c r="P36" s="309"/>
      <c r="Q36" s="309"/>
      <c r="R36" s="309"/>
    </row>
    <row r="37" spans="2:18" ht="21" customHeight="1">
      <c r="B37" s="617"/>
      <c r="C37" s="617"/>
      <c r="D37" s="617"/>
      <c r="E37" s="617"/>
      <c r="F37" s="617"/>
      <c r="G37" s="571"/>
      <c r="H37" s="578"/>
      <c r="J37" s="708"/>
      <c r="L37" s="309"/>
      <c r="M37" s="309"/>
      <c r="N37" s="309"/>
      <c r="O37" s="309"/>
      <c r="P37" s="309"/>
      <c r="Q37" s="309"/>
      <c r="R37" s="309"/>
    </row>
    <row r="38" spans="2:18" ht="21" customHeight="1" thickBot="1">
      <c r="B38" s="617"/>
      <c r="C38" s="617"/>
      <c r="D38" s="617"/>
      <c r="E38" s="617"/>
      <c r="F38" s="617"/>
      <c r="G38" s="571"/>
      <c r="H38" s="602"/>
      <c r="L38" s="309"/>
      <c r="M38" s="309"/>
      <c r="N38" s="309"/>
      <c r="O38" s="309"/>
      <c r="P38" s="309"/>
      <c r="Q38" s="309"/>
      <c r="R38" s="309"/>
    </row>
    <row r="39" spans="2:18" ht="21" customHeight="1" thickTop="1">
      <c r="B39" s="659"/>
      <c r="C39" s="659" t="s">
        <v>3134</v>
      </c>
      <c r="D39" s="659"/>
      <c r="E39" s="659"/>
      <c r="F39" s="1224"/>
      <c r="G39" s="1225"/>
      <c r="H39" s="1067">
        <f>SUM(H30:H38)</f>
        <v>0</v>
      </c>
      <c r="I39" s="370" t="s">
        <v>796</v>
      </c>
    </row>
    <row r="40" spans="2:18" ht="21" customHeight="1">
      <c r="B40" s="1068" t="s">
        <v>3218</v>
      </c>
      <c r="C40" s="1068"/>
      <c r="D40" s="1068"/>
      <c r="E40" s="1068"/>
      <c r="F40" s="1068"/>
      <c r="G40" s="1063"/>
      <c r="H40" s="1051"/>
    </row>
    <row r="41" spans="2:18" ht="21" customHeight="1">
      <c r="B41" s="617"/>
      <c r="C41" s="617"/>
      <c r="D41" s="617"/>
      <c r="E41" s="617"/>
      <c r="F41" s="617"/>
      <c r="G41" s="571"/>
      <c r="H41" s="578"/>
    </row>
    <row r="42" spans="2:18" ht="21" customHeight="1">
      <c r="B42" s="659" t="s">
        <v>618</v>
      </c>
      <c r="C42" s="659"/>
      <c r="D42" s="659"/>
      <c r="E42" s="659"/>
      <c r="F42" s="659"/>
      <c r="G42" s="658"/>
      <c r="H42" s="1064">
        <f>+'46-Utility6'!K27</f>
        <v>0</v>
      </c>
    </row>
    <row r="43" spans="2:18" ht="21" customHeight="1" thickBot="1">
      <c r="B43" s="659"/>
      <c r="C43" s="659"/>
      <c r="D43" s="659"/>
      <c r="E43" s="659"/>
      <c r="F43" s="659"/>
      <c r="G43" s="1069"/>
      <c r="H43" s="1070"/>
    </row>
    <row r="44" spans="2:18" ht="21" customHeight="1" thickBot="1">
      <c r="B44" s="659" t="s">
        <v>3219</v>
      </c>
      <c r="C44" s="659"/>
      <c r="D44" s="659"/>
      <c r="E44" s="659"/>
      <c r="F44" s="659"/>
      <c r="G44" s="1071">
        <f>SUM(G12:G43)</f>
        <v>0</v>
      </c>
      <c r="H44" s="1072">
        <f>SUM(H39:H43)</f>
        <v>0</v>
      </c>
      <c r="J44" s="371">
        <f>G44-H44</f>
        <v>0</v>
      </c>
    </row>
    <row r="45" spans="2:18" ht="13.8" thickTop="1">
      <c r="B45" s="1992" t="s">
        <v>98</v>
      </c>
      <c r="C45" s="1992"/>
      <c r="D45" s="1992"/>
      <c r="E45" s="1992"/>
      <c r="F45" s="1992"/>
      <c r="G45" s="1992"/>
      <c r="H45" s="1992"/>
    </row>
    <row r="46" spans="2:18">
      <c r="B46" s="1239"/>
      <c r="C46" s="1239"/>
      <c r="D46" s="1239"/>
      <c r="E46" s="1239"/>
      <c r="F46" s="1239"/>
      <c r="G46" s="1239"/>
      <c r="H46" s="1239"/>
    </row>
    <row r="47" spans="2:18">
      <c r="B47" s="1239"/>
      <c r="C47" s="1239"/>
      <c r="D47" s="1239"/>
      <c r="E47" s="1239"/>
      <c r="F47" s="1239"/>
      <c r="G47" s="1239"/>
      <c r="H47" s="1239"/>
    </row>
    <row r="48" spans="2:18">
      <c r="B48" s="1239"/>
      <c r="C48" s="1239"/>
      <c r="D48" s="1239"/>
      <c r="E48" s="1239"/>
      <c r="F48" s="1239"/>
      <c r="G48" s="1239"/>
      <c r="H48" s="1239"/>
    </row>
    <row r="49" spans="2:8">
      <c r="B49" s="1239"/>
      <c r="C49" s="1239"/>
      <c r="D49" s="1239"/>
      <c r="E49" s="1239"/>
      <c r="F49" s="1239"/>
      <c r="G49" s="1239"/>
      <c r="H49" s="1239"/>
    </row>
    <row r="50" spans="2:8" ht="13.8">
      <c r="B50" s="2076" t="s">
        <v>3132</v>
      </c>
      <c r="C50" s="2076"/>
      <c r="D50" s="2076"/>
      <c r="E50" s="2076"/>
      <c r="F50" s="2076"/>
      <c r="G50" s="2076"/>
      <c r="H50" s="2076"/>
    </row>
    <row r="54" spans="2:8">
      <c r="H54" s="371"/>
    </row>
    <row r="57" spans="2:8">
      <c r="H57" s="371">
        <f>+H44-G44</f>
        <v>0</v>
      </c>
    </row>
  </sheetData>
  <sheetProtection algorithmName="SHA-512" hashValue="uy05NuF9l/NfrAc/AXH4MyYBqihUaWFL6v6d4eZXrzWPwySrT9gg4aYCJRTBAxa3pGScFNGAGmDJuc/ijw92Bw==" saltValue="/IVoc6F1F/2LJsLcLG2Adg=="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1">
    <tabColor theme="3" tint="0.79998168889431442"/>
  </sheetPr>
  <dimension ref="B1:Q55"/>
  <sheetViews>
    <sheetView topLeftCell="A10"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INPUTS'!D59)&amp;"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1054"/>
      <c r="C12" s="1054"/>
      <c r="D12" s="1054"/>
      <c r="E12" s="1054"/>
      <c r="F12" s="1054"/>
      <c r="G12" s="1057"/>
      <c r="H12" s="1058"/>
    </row>
    <row r="13" spans="2:17" ht="21" customHeight="1">
      <c r="B13" s="1065" t="s">
        <v>643</v>
      </c>
      <c r="C13" s="659"/>
      <c r="D13" s="659"/>
      <c r="E13" s="659"/>
      <c r="F13" s="659"/>
      <c r="G13" s="658"/>
      <c r="H13" s="1064"/>
      <c r="K13" s="309"/>
      <c r="L13" s="309"/>
      <c r="M13" s="309"/>
      <c r="N13" s="309"/>
      <c r="O13" s="309"/>
      <c r="P13" s="309"/>
      <c r="Q13" s="309"/>
    </row>
    <row r="14" spans="2:17" ht="21" customHeight="1">
      <c r="B14" s="659"/>
      <c r="C14" s="659"/>
      <c r="D14" s="659"/>
      <c r="E14" s="659"/>
      <c r="F14" s="659"/>
      <c r="G14" s="658"/>
      <c r="H14" s="1064"/>
      <c r="K14" s="309"/>
      <c r="L14" s="309"/>
      <c r="M14" s="309"/>
      <c r="N14" s="309"/>
      <c r="O14" s="309"/>
      <c r="P14" s="309"/>
      <c r="Q14" s="309"/>
    </row>
    <row r="15" spans="2:17" ht="21" customHeight="1">
      <c r="B15" s="1054" t="s">
        <v>192</v>
      </c>
      <c r="C15" s="659"/>
      <c r="D15" s="659"/>
      <c r="E15" s="659"/>
      <c r="F15" s="659"/>
      <c r="G15" s="351"/>
      <c r="H15" s="1240" t="s">
        <v>628</v>
      </c>
      <c r="K15" s="356"/>
      <c r="L15" s="309"/>
      <c r="M15" s="309"/>
      <c r="N15" s="309"/>
      <c r="O15" s="309"/>
      <c r="P15" s="309"/>
      <c r="Q15" s="309"/>
    </row>
    <row r="16" spans="2:17" ht="21" customHeight="1">
      <c r="B16" s="659" t="s">
        <v>193</v>
      </c>
      <c r="C16" s="659"/>
      <c r="D16" s="659"/>
      <c r="E16" s="659"/>
      <c r="F16" s="659"/>
      <c r="G16" s="1114" t="s">
        <v>628</v>
      </c>
      <c r="H16" s="870">
        <f>+G15</f>
        <v>0</v>
      </c>
      <c r="K16" s="309"/>
      <c r="L16" s="309"/>
      <c r="M16" s="309"/>
      <c r="N16" s="309"/>
      <c r="O16" s="309"/>
      <c r="P16" s="309"/>
      <c r="Q16" s="309"/>
    </row>
    <row r="17" spans="2:17" ht="21" customHeight="1">
      <c r="B17" s="659"/>
      <c r="C17" s="659"/>
      <c r="D17" s="659"/>
      <c r="E17" s="659"/>
      <c r="F17" s="659"/>
      <c r="G17" s="864"/>
      <c r="H17" s="870"/>
      <c r="K17" s="309"/>
      <c r="L17" s="309"/>
      <c r="M17" s="309"/>
      <c r="N17" s="309"/>
      <c r="O17" s="309"/>
      <c r="P17" s="309"/>
      <c r="Q17" s="309"/>
    </row>
    <row r="18" spans="2:17" ht="21" customHeight="1">
      <c r="B18" s="659"/>
      <c r="C18" s="659" t="s">
        <v>351</v>
      </c>
      <c r="D18" s="659"/>
      <c r="E18" s="659"/>
      <c r="F18" s="659"/>
      <c r="G18" s="351"/>
      <c r="H18" s="540"/>
      <c r="K18" s="309"/>
      <c r="L18" s="309"/>
      <c r="M18" s="309"/>
      <c r="N18" s="309"/>
      <c r="O18" s="309"/>
      <c r="P18" s="309"/>
      <c r="Q18" s="309"/>
    </row>
    <row r="19" spans="2:17" ht="21" customHeight="1">
      <c r="B19" s="374"/>
      <c r="C19" s="617"/>
      <c r="D19" s="617"/>
      <c r="E19" s="617"/>
      <c r="F19" s="617"/>
      <c r="G19" s="351"/>
      <c r="H19" s="540"/>
      <c r="K19" s="309"/>
      <c r="L19" s="309"/>
      <c r="M19" s="309"/>
      <c r="N19" s="309"/>
      <c r="O19" s="309"/>
      <c r="P19" s="309"/>
      <c r="Q19" s="309"/>
    </row>
    <row r="20" spans="2:17" ht="21" customHeight="1">
      <c r="B20" s="659"/>
      <c r="C20" s="659" t="s">
        <v>889</v>
      </c>
      <c r="D20" s="659"/>
      <c r="E20" s="659"/>
      <c r="F20" s="659"/>
      <c r="G20" s="351"/>
      <c r="H20" s="540"/>
      <c r="K20" s="309"/>
      <c r="L20" s="309"/>
      <c r="M20" s="309"/>
      <c r="N20" s="309"/>
      <c r="O20" s="309"/>
      <c r="P20" s="309"/>
      <c r="Q20" s="309"/>
    </row>
    <row r="21" spans="2:17" ht="21" customHeight="1">
      <c r="B21" s="659"/>
      <c r="C21" s="659" t="s">
        <v>644</v>
      </c>
      <c r="D21" s="659"/>
      <c r="E21" s="659"/>
      <c r="F21" s="659"/>
      <c r="G21" s="864"/>
      <c r="H21" s="865"/>
      <c r="K21" s="309"/>
      <c r="L21" s="309"/>
      <c r="M21" s="309"/>
      <c r="N21" s="309"/>
      <c r="O21" s="309"/>
      <c r="P21" s="309"/>
      <c r="Q21" s="309"/>
    </row>
    <row r="22" spans="2:17" ht="21" customHeight="1">
      <c r="B22" s="659"/>
      <c r="C22" s="659"/>
      <c r="D22" s="659" t="s">
        <v>87</v>
      </c>
      <c r="E22" s="659"/>
      <c r="F22" s="659"/>
      <c r="G22" s="351"/>
      <c r="H22" s="540"/>
      <c r="K22" s="309"/>
      <c r="L22" s="309"/>
      <c r="M22" s="309"/>
      <c r="N22" s="309"/>
      <c r="O22" s="309"/>
      <c r="P22" s="309"/>
      <c r="Q22" s="309"/>
    </row>
    <row r="23" spans="2:17" ht="21" customHeight="1">
      <c r="B23" s="659"/>
      <c r="C23" s="659"/>
      <c r="D23" s="659" t="s">
        <v>672</v>
      </c>
      <c r="E23" s="659"/>
      <c r="F23" s="659"/>
      <c r="G23" s="351"/>
      <c r="H23" s="540"/>
      <c r="K23" s="309"/>
      <c r="L23" s="309"/>
      <c r="M23" s="309"/>
      <c r="N23" s="309"/>
      <c r="O23" s="309"/>
      <c r="P23" s="309"/>
      <c r="Q23" s="309"/>
    </row>
    <row r="24" spans="2:17" ht="21" customHeight="1">
      <c r="B24" s="374"/>
      <c r="C24" s="617"/>
      <c r="D24" s="617" t="s">
        <v>3133</v>
      </c>
      <c r="E24" s="617"/>
      <c r="F24" s="617"/>
      <c r="G24" s="351"/>
      <c r="H24" s="559"/>
      <c r="K24" s="309"/>
      <c r="L24" s="309"/>
      <c r="M24" s="309"/>
      <c r="N24" s="309"/>
      <c r="O24" s="309"/>
      <c r="P24" s="309"/>
      <c r="Q24" s="309"/>
    </row>
    <row r="25" spans="2:17" ht="21" customHeight="1">
      <c r="B25" s="374"/>
      <c r="C25" s="617"/>
      <c r="D25" s="617" t="s">
        <v>3133</v>
      </c>
      <c r="E25" s="617"/>
      <c r="F25" s="617"/>
      <c r="G25" s="351"/>
      <c r="H25" s="559" t="s">
        <v>3133</v>
      </c>
    </row>
    <row r="26" spans="2:17" ht="21" customHeight="1">
      <c r="B26" s="374"/>
      <c r="C26" s="618"/>
      <c r="D26" s="617"/>
      <c r="E26" s="617"/>
      <c r="F26" s="617"/>
      <c r="G26" s="351"/>
      <c r="H26" s="620"/>
    </row>
    <row r="27" spans="2:17" ht="21" customHeight="1">
      <c r="B27" s="374"/>
      <c r="C27" s="617" t="s">
        <v>3133</v>
      </c>
      <c r="D27" s="617"/>
      <c r="E27" s="617"/>
      <c r="F27" s="617"/>
      <c r="G27" s="351"/>
      <c r="H27" s="559" t="s">
        <v>3133</v>
      </c>
    </row>
    <row r="28" spans="2:17" ht="21" customHeight="1">
      <c r="B28" s="374"/>
      <c r="C28" s="617"/>
      <c r="D28" s="617"/>
      <c r="E28" s="617"/>
      <c r="F28" s="617"/>
      <c r="G28" s="351"/>
      <c r="H28" s="559"/>
    </row>
    <row r="29" spans="2:17" ht="21" customHeight="1">
      <c r="B29" s="374"/>
      <c r="C29" s="617"/>
      <c r="D29" s="617" t="s">
        <v>3133</v>
      </c>
      <c r="E29" s="617"/>
      <c r="F29" s="617"/>
      <c r="G29" s="351"/>
      <c r="H29" s="559"/>
      <c r="K29" s="309"/>
      <c r="L29" s="309"/>
      <c r="M29" s="309"/>
      <c r="N29" s="309"/>
      <c r="O29" s="309"/>
      <c r="P29" s="309"/>
      <c r="Q29" s="309"/>
    </row>
    <row r="30" spans="2:17" ht="21" customHeight="1">
      <c r="B30" s="374"/>
      <c r="C30" s="617"/>
      <c r="D30" s="617" t="s">
        <v>3133</v>
      </c>
      <c r="E30" s="617"/>
      <c r="F30" s="617"/>
      <c r="G30" s="351"/>
      <c r="H30" s="559"/>
      <c r="K30" s="309"/>
      <c r="L30" s="309"/>
      <c r="M30" s="309"/>
      <c r="N30" s="309"/>
      <c r="O30" s="309"/>
      <c r="P30" s="309"/>
      <c r="Q30" s="309"/>
    </row>
    <row r="31" spans="2:17" ht="21" customHeight="1">
      <c r="B31" s="374"/>
      <c r="C31" s="617"/>
      <c r="D31" s="617" t="s">
        <v>3133</v>
      </c>
      <c r="E31" s="617"/>
      <c r="F31" s="617"/>
      <c r="G31" s="351"/>
      <c r="H31" s="559" t="s">
        <v>3133</v>
      </c>
    </row>
    <row r="32" spans="2:17" ht="21" customHeight="1">
      <c r="B32" s="374"/>
      <c r="C32" s="618"/>
      <c r="D32" s="617"/>
      <c r="E32" s="617"/>
      <c r="F32" s="617"/>
      <c r="G32" s="351"/>
      <c r="H32" s="620"/>
    </row>
    <row r="33" spans="2:17" ht="21" customHeight="1">
      <c r="B33" s="374"/>
      <c r="C33" s="617" t="s">
        <v>3133</v>
      </c>
      <c r="D33" s="617"/>
      <c r="E33" s="617"/>
      <c r="F33" s="617"/>
      <c r="G33" s="351"/>
      <c r="H33" s="559" t="s">
        <v>3133</v>
      </c>
    </row>
    <row r="34" spans="2:17" ht="21" customHeight="1">
      <c r="B34" s="374"/>
      <c r="C34" s="617"/>
      <c r="D34" s="617"/>
      <c r="E34" s="617"/>
      <c r="F34" s="617"/>
      <c r="G34" s="351"/>
      <c r="H34" s="559"/>
    </row>
    <row r="35" spans="2:17" ht="21" customHeight="1">
      <c r="B35" s="374"/>
      <c r="C35" s="617"/>
      <c r="D35" s="617" t="s">
        <v>3133</v>
      </c>
      <c r="E35" s="617"/>
      <c r="F35" s="617"/>
      <c r="G35" s="351"/>
      <c r="H35" s="559"/>
      <c r="K35" s="309"/>
      <c r="L35" s="309"/>
      <c r="M35" s="309"/>
      <c r="N35" s="309"/>
      <c r="O35" s="309"/>
      <c r="P35" s="309"/>
      <c r="Q35" s="309"/>
    </row>
    <row r="36" spans="2:17" ht="21" customHeight="1">
      <c r="B36" s="374"/>
      <c r="C36" s="617"/>
      <c r="D36" s="617" t="s">
        <v>3133</v>
      </c>
      <c r="E36" s="617"/>
      <c r="F36" s="617"/>
      <c r="G36" s="351"/>
      <c r="H36" s="559" t="s">
        <v>3133</v>
      </c>
    </row>
    <row r="37" spans="2:17" ht="21" customHeight="1">
      <c r="B37" s="374"/>
      <c r="C37" s="618"/>
      <c r="D37" s="617"/>
      <c r="E37" s="617"/>
      <c r="F37" s="617"/>
      <c r="G37" s="351"/>
      <c r="H37" s="620"/>
    </row>
    <row r="38" spans="2:17" ht="21" customHeight="1">
      <c r="B38" s="374"/>
      <c r="C38" s="617" t="s">
        <v>3133</v>
      </c>
      <c r="D38" s="617"/>
      <c r="E38" s="617"/>
      <c r="F38" s="617"/>
      <c r="G38" s="351"/>
      <c r="H38" s="559" t="s">
        <v>3133</v>
      </c>
    </row>
    <row r="39" spans="2:17" ht="21" customHeight="1">
      <c r="B39" s="374"/>
      <c r="C39" s="617"/>
      <c r="D39" s="617"/>
      <c r="E39" s="617"/>
      <c r="F39" s="617"/>
      <c r="G39" s="351"/>
      <c r="H39" s="559"/>
    </row>
    <row r="40" spans="2:17" ht="21" customHeight="1">
      <c r="B40" s="374"/>
      <c r="C40" s="617"/>
      <c r="D40" s="617"/>
      <c r="E40" s="617"/>
      <c r="F40" s="617"/>
      <c r="G40" s="351"/>
      <c r="H40" s="559"/>
    </row>
    <row r="41" spans="2:17" ht="21" customHeight="1">
      <c r="B41" s="374"/>
      <c r="C41" s="617" t="s">
        <v>3133</v>
      </c>
      <c r="D41" s="617"/>
      <c r="E41" s="617"/>
      <c r="F41" s="617"/>
      <c r="G41" s="351"/>
      <c r="H41" s="559" t="s">
        <v>3133</v>
      </c>
    </row>
    <row r="42" spans="2:17" ht="21" customHeight="1">
      <c r="B42" s="374"/>
      <c r="C42" s="617" t="s">
        <v>3133</v>
      </c>
      <c r="D42" s="617"/>
      <c r="E42" s="617"/>
      <c r="F42" s="617"/>
      <c r="G42" s="351"/>
      <c r="H42" s="559" t="s">
        <v>3133</v>
      </c>
    </row>
    <row r="43" spans="2:17" ht="21" customHeight="1" thickBot="1">
      <c r="B43" s="659"/>
      <c r="C43" s="659"/>
      <c r="D43" s="659"/>
      <c r="E43" s="659"/>
      <c r="F43" s="659"/>
      <c r="G43" s="1234"/>
      <c r="H43" s="1235"/>
      <c r="I43" s="371"/>
      <c r="M43" s="371"/>
    </row>
    <row r="44" spans="2:17" ht="21" customHeight="1" thickBot="1">
      <c r="B44" s="659"/>
      <c r="C44" s="659" t="s">
        <v>3265</v>
      </c>
      <c r="D44" s="659"/>
      <c r="E44" s="659"/>
      <c r="F44" s="659"/>
      <c r="G44" s="1236">
        <f>SUM(G15:G42)</f>
        <v>0</v>
      </c>
      <c r="H44" s="1237">
        <f>SUM(H15:H43)</f>
        <v>0</v>
      </c>
      <c r="I44" s="371"/>
      <c r="K44" s="371"/>
    </row>
    <row r="45" spans="2:17" ht="13.8" thickTop="1">
      <c r="B45" s="2046" t="s">
        <v>98</v>
      </c>
      <c r="C45" s="2046"/>
      <c r="D45" s="2046"/>
      <c r="E45" s="2046"/>
      <c r="F45" s="2046"/>
      <c r="G45" s="2047"/>
      <c r="H45" s="2047"/>
    </row>
    <row r="46" spans="2:17">
      <c r="B46" s="1239"/>
      <c r="C46" s="1239"/>
      <c r="D46" s="1239"/>
      <c r="E46" s="1239"/>
      <c r="F46" s="1239"/>
      <c r="G46" s="1239"/>
      <c r="H46" s="1239"/>
    </row>
    <row r="47" spans="2:17">
      <c r="B47" s="1239"/>
      <c r="C47" s="1239"/>
      <c r="D47" s="1239"/>
      <c r="E47" s="1239"/>
      <c r="F47" s="1239"/>
      <c r="G47" s="1239"/>
      <c r="H47" s="1239"/>
    </row>
    <row r="48" spans="2:17">
      <c r="B48" s="1239"/>
      <c r="C48" s="1239"/>
      <c r="D48" s="1239"/>
      <c r="E48" s="1239"/>
      <c r="F48" s="1239"/>
      <c r="G48" s="1239"/>
      <c r="H48" s="1239"/>
    </row>
    <row r="49" spans="2:8">
      <c r="B49" s="1239"/>
      <c r="C49" s="1239"/>
      <c r="D49" s="1239"/>
      <c r="E49" s="1239"/>
      <c r="F49" s="1239"/>
      <c r="G49" s="1239"/>
      <c r="H49" s="1239"/>
    </row>
    <row r="50" spans="2:8" ht="13.8">
      <c r="B50" s="2076" t="s">
        <v>3138</v>
      </c>
      <c r="C50" s="2076"/>
      <c r="D50" s="2076"/>
      <c r="E50" s="2076"/>
      <c r="F50" s="2076"/>
      <c r="G50" s="2076"/>
      <c r="H50" s="2076"/>
    </row>
    <row r="55" spans="2:8">
      <c r="H55" s="371"/>
    </row>
  </sheetData>
  <sheetProtection algorithmName="SHA-512" hashValue="XXglU9/3/hCkiJPTN3pC9Z+oqOIvhwmfWQY02Bkrxxft5n2Kfhrx3+nsHa3axRGqxXy8DR1pgC8w6rgvbySZlg==" saltValue="CyjNNnu50ba21kZGYR919Q=="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2">
    <tabColor theme="3" tint="0.79998168889431442"/>
  </sheetPr>
  <dimension ref="B1:Q55"/>
  <sheetViews>
    <sheetView topLeftCell="A25" zoomScaleNormal="100" zoomScaleSheetLayoutView="80" workbookViewId="0">
      <selection activeCell="B8" sqref="B8:H8"/>
    </sheetView>
  </sheetViews>
  <sheetFormatPr defaultColWidth="8.88671875" defaultRowHeight="13.2"/>
  <cols>
    <col min="1" max="1" width="4.6640625" style="370" customWidth="1"/>
    <col min="2" max="2" width="4.88671875" style="370" customWidth="1"/>
    <col min="3" max="4" width="4.6640625" style="370" customWidth="1"/>
    <col min="5" max="5" width="34.33203125" style="370" customWidth="1"/>
    <col min="6" max="6" width="15.6640625" style="370" customWidth="1"/>
    <col min="7" max="8" width="16.6640625" style="370" customWidth="1"/>
    <col min="9" max="9" width="10.88671875" style="370" bestFit="1" customWidth="1"/>
    <col min="10" max="10" width="8.88671875" style="370"/>
    <col min="11" max="11" width="10.33203125" style="370" bestFit="1" customWidth="1"/>
    <col min="12" max="12" width="8.88671875" style="370"/>
    <col min="13" max="13" width="13.88671875" style="370" bestFit="1" customWidth="1"/>
    <col min="14" max="16384" width="8.88671875" style="370"/>
  </cols>
  <sheetData>
    <row r="1" spans="2:17">
      <c r="B1" s="1054"/>
      <c r="C1" s="1054"/>
      <c r="D1" s="1054"/>
      <c r="E1" s="1054"/>
      <c r="F1" s="1054"/>
      <c r="G1" s="1054"/>
      <c r="H1" s="1054"/>
    </row>
    <row r="2" spans="2:17">
      <c r="B2" s="1886" t="s">
        <v>35</v>
      </c>
      <c r="C2" s="1886"/>
      <c r="D2" s="1886"/>
      <c r="E2" s="1886"/>
      <c r="F2" s="1886"/>
      <c r="G2" s="1886"/>
      <c r="H2" s="1886"/>
    </row>
    <row r="3" spans="2:17">
      <c r="B3" s="1886" t="s">
        <v>449</v>
      </c>
      <c r="C3" s="1886"/>
      <c r="D3" s="1886"/>
      <c r="E3" s="1886"/>
      <c r="F3" s="1886"/>
      <c r="G3" s="1886"/>
      <c r="H3" s="1886"/>
    </row>
    <row r="4" spans="2:17">
      <c r="B4" s="1054"/>
      <c r="C4" s="1054"/>
      <c r="D4" s="1054"/>
      <c r="E4" s="1054"/>
      <c r="F4" s="1054"/>
      <c r="G4" s="1054"/>
      <c r="H4" s="1054"/>
    </row>
    <row r="5" spans="2:17" ht="22.8">
      <c r="B5" s="1887" t="s">
        <v>424</v>
      </c>
      <c r="C5" s="1887"/>
      <c r="D5" s="1887"/>
      <c r="E5" s="1887"/>
      <c r="F5" s="1887"/>
      <c r="G5" s="1887"/>
      <c r="H5" s="1887"/>
    </row>
    <row r="6" spans="2:17" ht="22.8">
      <c r="B6" s="1887" t="str">
        <f>"TRIAL  BALANCE - "&amp;UPPER('KEY INPUTS'!D59)&amp;"  UTILITY  FUND (cont'd)"</f>
        <v>TRIAL  BALANCE -   UTILITY  FUND (cont'd)</v>
      </c>
      <c r="C6" s="1887"/>
      <c r="D6" s="1887"/>
      <c r="E6" s="1887"/>
      <c r="F6" s="1887"/>
      <c r="G6" s="1887"/>
      <c r="H6" s="1887"/>
    </row>
    <row r="7" spans="2:17" ht="15.6">
      <c r="B7" s="1888" t="str">
        <f>IF('KEY INPUTS'!C42 = "State Fiscal Year", 'KEY INPUTS'!F45,'KEY INPUTS'!D45)</f>
        <v>AS  AT  DECEMBER  31, 2021</v>
      </c>
      <c r="C7" s="1889"/>
      <c r="D7" s="1889"/>
      <c r="E7" s="1889"/>
      <c r="F7" s="1889"/>
      <c r="G7" s="1889"/>
      <c r="H7" s="1889"/>
    </row>
    <row r="8" spans="2:17" ht="15.6">
      <c r="B8" s="1883" t="s">
        <v>450</v>
      </c>
      <c r="C8" s="1883"/>
      <c r="D8" s="1883"/>
      <c r="E8" s="1883"/>
      <c r="F8" s="1883"/>
      <c r="G8" s="1883"/>
      <c r="H8" s="1883"/>
    </row>
    <row r="9" spans="2:17">
      <c r="B9" s="1884" t="s">
        <v>70</v>
      </c>
      <c r="C9" s="1884"/>
      <c r="D9" s="1884"/>
      <c r="E9" s="1884"/>
      <c r="F9" s="1884"/>
      <c r="G9" s="1884"/>
      <c r="H9" s="1884"/>
    </row>
    <row r="10" spans="2:17" ht="15" customHeight="1" thickBot="1">
      <c r="B10" s="1885" t="s">
        <v>71</v>
      </c>
      <c r="C10" s="1885"/>
      <c r="D10" s="1885"/>
      <c r="E10" s="1885"/>
      <c r="F10" s="1885"/>
      <c r="G10" s="1885"/>
      <c r="H10" s="1885"/>
    </row>
    <row r="11" spans="2:17" ht="36" customHeight="1" thickTop="1" thickBot="1">
      <c r="B11" s="1879" t="s">
        <v>95</v>
      </c>
      <c r="C11" s="1879"/>
      <c r="D11" s="1879"/>
      <c r="E11" s="1879"/>
      <c r="F11" s="1880"/>
      <c r="G11" s="1055" t="s">
        <v>96</v>
      </c>
      <c r="H11" s="1056" t="s">
        <v>97</v>
      </c>
    </row>
    <row r="12" spans="2:17" ht="21" customHeight="1" thickTop="1">
      <c r="B12" s="659"/>
      <c r="C12" s="659" t="s">
        <v>3266</v>
      </c>
      <c r="D12" s="659"/>
      <c r="E12" s="659"/>
      <c r="F12" s="659"/>
      <c r="G12" s="864">
        <f>'41a-Utility6'!G44</f>
        <v>0</v>
      </c>
      <c r="H12" s="870">
        <f>'41a-Utility6'!H44</f>
        <v>0</v>
      </c>
    </row>
    <row r="13" spans="2:17" ht="21" customHeight="1">
      <c r="C13" s="618"/>
      <c r="D13" s="618"/>
      <c r="E13" s="618"/>
      <c r="F13" s="618"/>
      <c r="G13" s="571"/>
      <c r="H13" s="620"/>
    </row>
    <row r="14" spans="2:17" ht="21" customHeight="1">
      <c r="B14" s="379"/>
      <c r="C14" s="617"/>
      <c r="D14" s="617"/>
      <c r="E14" s="617"/>
      <c r="F14" s="617"/>
      <c r="G14" s="571"/>
      <c r="H14" s="578"/>
      <c r="K14" s="309"/>
      <c r="L14" s="309"/>
      <c r="M14" s="309"/>
      <c r="N14" s="309"/>
      <c r="O14" s="309"/>
      <c r="P14" s="309"/>
      <c r="Q14" s="309"/>
    </row>
    <row r="15" spans="2:17" ht="21" customHeight="1">
      <c r="B15" s="374"/>
      <c r="C15" s="617"/>
      <c r="D15" s="617"/>
      <c r="E15" s="617"/>
      <c r="F15" s="617"/>
      <c r="G15" s="571"/>
      <c r="H15" s="578"/>
      <c r="K15" s="309"/>
      <c r="L15" s="309"/>
      <c r="M15" s="309"/>
      <c r="N15" s="309"/>
      <c r="O15" s="309"/>
      <c r="P15" s="309"/>
      <c r="Q15" s="309"/>
    </row>
    <row r="16" spans="2:17" ht="21" customHeight="1">
      <c r="B16" s="374"/>
      <c r="C16" s="617"/>
      <c r="D16" s="617"/>
      <c r="E16" s="617"/>
      <c r="F16" s="617"/>
      <c r="G16" s="351"/>
      <c r="H16" s="559"/>
      <c r="K16" s="309"/>
      <c r="L16" s="309"/>
      <c r="M16" s="309"/>
      <c r="N16" s="309"/>
      <c r="O16" s="309"/>
      <c r="P16" s="309"/>
      <c r="Q16" s="309"/>
    </row>
    <row r="17" spans="2:17" ht="21" customHeight="1">
      <c r="B17" s="659"/>
      <c r="C17" s="659" t="s">
        <v>3141</v>
      </c>
      <c r="D17" s="659"/>
      <c r="E17" s="659"/>
      <c r="F17" s="659"/>
      <c r="G17" s="864"/>
      <c r="H17" s="870">
        <f>'49-Utility6'!G22</f>
        <v>0</v>
      </c>
      <c r="K17" s="309"/>
      <c r="L17" s="309"/>
      <c r="M17" s="309"/>
      <c r="N17" s="309"/>
      <c r="O17" s="309"/>
      <c r="P17" s="309"/>
      <c r="Q17" s="309"/>
    </row>
    <row r="18" spans="2:17" ht="21" customHeight="1">
      <c r="B18" s="659"/>
      <c r="C18" s="659" t="s">
        <v>3386</v>
      </c>
      <c r="D18" s="659"/>
      <c r="E18" s="659"/>
      <c r="F18" s="659"/>
      <c r="G18" s="864"/>
      <c r="H18" s="870">
        <f>'49a-Utility6'!G11+'49a-Utility6'!G22+'49a.1-Utility6'!G11+'49a.1-Utility6'!G22</f>
        <v>0</v>
      </c>
    </row>
    <row r="19" spans="2:17" ht="21" customHeight="1">
      <c r="B19" s="659"/>
      <c r="C19" s="659" t="s">
        <v>3395</v>
      </c>
      <c r="D19" s="659"/>
      <c r="E19" s="659"/>
      <c r="F19" s="659"/>
      <c r="G19" s="864"/>
      <c r="H19" s="870">
        <f>+'51a-Utility6'!G23</f>
        <v>0</v>
      </c>
      <c r="K19" s="309"/>
      <c r="L19" s="309"/>
      <c r="M19" s="309"/>
      <c r="N19" s="309"/>
      <c r="O19" s="309"/>
      <c r="P19" s="309"/>
      <c r="Q19" s="309"/>
    </row>
    <row r="20" spans="2:17" ht="21" customHeight="1">
      <c r="B20" s="659"/>
      <c r="C20" s="871" t="s">
        <v>3140</v>
      </c>
      <c r="D20" s="659"/>
      <c r="E20" s="659"/>
      <c r="F20" s="659"/>
      <c r="G20" s="864"/>
      <c r="H20" s="870">
        <f>+'50.1-Utility6'!G18</f>
        <v>0</v>
      </c>
      <c r="K20" s="309"/>
      <c r="L20" s="309"/>
      <c r="M20" s="309"/>
      <c r="N20" s="309"/>
      <c r="O20" s="309"/>
      <c r="P20" s="309"/>
      <c r="Q20" s="309"/>
    </row>
    <row r="21" spans="2:17" ht="21" customHeight="1">
      <c r="B21" s="659"/>
      <c r="C21" s="659" t="s">
        <v>803</v>
      </c>
      <c r="D21" s="659"/>
      <c r="E21" s="659"/>
      <c r="F21" s="659"/>
      <c r="G21" s="864"/>
      <c r="H21" s="870" t="s">
        <v>3133</v>
      </c>
      <c r="K21" s="309"/>
      <c r="L21" s="309"/>
      <c r="M21" s="309"/>
      <c r="N21" s="309"/>
      <c r="O21" s="309"/>
      <c r="P21" s="309"/>
      <c r="Q21" s="309"/>
    </row>
    <row r="22" spans="2:17" ht="21" customHeight="1">
      <c r="B22" s="659"/>
      <c r="C22" s="659"/>
      <c r="D22" s="659" t="s">
        <v>800</v>
      </c>
      <c r="E22" s="659"/>
      <c r="F22" s="659"/>
      <c r="G22" s="864"/>
      <c r="H22" s="870">
        <f>+'52-Utility6'!K27</f>
        <v>0</v>
      </c>
      <c r="J22" s="371"/>
      <c r="K22" s="309"/>
      <c r="L22" s="309"/>
      <c r="M22" s="309"/>
      <c r="N22" s="309"/>
      <c r="O22" s="309"/>
      <c r="P22" s="309"/>
      <c r="Q22" s="309"/>
    </row>
    <row r="23" spans="2:17" ht="21" customHeight="1">
      <c r="B23" s="659"/>
      <c r="C23" s="659"/>
      <c r="D23" s="659" t="s">
        <v>801</v>
      </c>
      <c r="E23" s="659"/>
      <c r="F23" s="659"/>
      <c r="G23" s="864"/>
      <c r="H23" s="870">
        <f>+'52-Utility6'!L27</f>
        <v>0</v>
      </c>
      <c r="J23" s="371"/>
      <c r="K23" s="309"/>
      <c r="L23" s="309"/>
      <c r="M23" s="309"/>
      <c r="N23" s="309"/>
      <c r="O23" s="309"/>
      <c r="P23" s="309"/>
      <c r="Q23" s="309"/>
    </row>
    <row r="24" spans="2:17" ht="21" customHeight="1">
      <c r="B24" s="374"/>
      <c r="C24" s="617" t="s">
        <v>3139</v>
      </c>
      <c r="D24" s="617"/>
      <c r="E24" s="617"/>
      <c r="F24" s="617"/>
      <c r="G24" s="351"/>
      <c r="H24" s="540"/>
    </row>
    <row r="25" spans="2:17" ht="21" customHeight="1">
      <c r="B25" s="374"/>
      <c r="C25" s="617" t="s">
        <v>675</v>
      </c>
      <c r="D25" s="617"/>
      <c r="E25" s="617"/>
      <c r="F25" s="617"/>
      <c r="G25" s="351"/>
      <c r="H25" s="540"/>
    </row>
    <row r="26" spans="2:17" ht="21" customHeight="1">
      <c r="B26" s="374"/>
      <c r="C26" s="617" t="str">
        <f>"DUE TO "&amp;UPPER('KEY INPUTS'!D54)&amp;" OPERATING"</f>
        <v>DUE TO WATER/SEWER UTILITY OPERATING</v>
      </c>
      <c r="D26" s="617"/>
      <c r="E26" s="617"/>
      <c r="F26" s="617"/>
      <c r="G26" s="351"/>
      <c r="H26" s="540"/>
    </row>
    <row r="27" spans="2:17" ht="21" customHeight="1">
      <c r="B27" s="374"/>
      <c r="C27" s="617" t="s">
        <v>674</v>
      </c>
      <c r="D27" s="617"/>
      <c r="E27" s="617"/>
      <c r="F27" s="617"/>
      <c r="G27" s="351"/>
      <c r="H27" s="540"/>
    </row>
    <row r="28" spans="2:17" ht="21" customHeight="1">
      <c r="B28" s="374"/>
      <c r="C28" s="617" t="s">
        <v>673</v>
      </c>
      <c r="D28" s="617"/>
      <c r="E28" s="617"/>
      <c r="F28" s="617"/>
      <c r="G28" s="351"/>
      <c r="H28" s="540"/>
    </row>
    <row r="29" spans="2:17" ht="21" customHeight="1">
      <c r="B29" s="374"/>
      <c r="C29" s="617" t="s">
        <v>287</v>
      </c>
      <c r="D29" s="617"/>
      <c r="E29" s="617"/>
      <c r="F29" s="617"/>
      <c r="G29" s="351"/>
      <c r="H29" s="540"/>
    </row>
    <row r="30" spans="2:17" ht="21" customHeight="1">
      <c r="B30" s="374"/>
      <c r="C30" s="617"/>
      <c r="D30" s="617"/>
      <c r="E30" s="617"/>
      <c r="F30" s="617"/>
      <c r="G30" s="351"/>
      <c r="H30" s="559" t="s">
        <v>3133</v>
      </c>
    </row>
    <row r="31" spans="2:17" ht="21" customHeight="1">
      <c r="B31" s="374"/>
      <c r="C31" s="617"/>
      <c r="D31" s="617"/>
      <c r="E31" s="617"/>
      <c r="F31" s="617"/>
      <c r="G31" s="351"/>
      <c r="H31" s="559" t="s">
        <v>3133</v>
      </c>
    </row>
    <row r="32" spans="2:17" ht="21" customHeight="1">
      <c r="B32" s="374"/>
      <c r="C32" s="617"/>
      <c r="D32" s="617"/>
      <c r="E32" s="617"/>
      <c r="F32" s="617"/>
      <c r="G32" s="351"/>
      <c r="H32" s="620"/>
    </row>
    <row r="33" spans="2:13" ht="21" customHeight="1">
      <c r="B33" s="374"/>
      <c r="C33" s="617"/>
      <c r="D33" s="617"/>
      <c r="E33" s="617"/>
      <c r="F33" s="617"/>
      <c r="G33" s="351"/>
      <c r="H33" s="559" t="s">
        <v>3133</v>
      </c>
    </row>
    <row r="34" spans="2:13" ht="21" customHeight="1">
      <c r="B34" s="374"/>
      <c r="C34" s="617"/>
      <c r="D34" s="617"/>
      <c r="E34" s="617"/>
      <c r="F34" s="617"/>
      <c r="G34" s="351"/>
      <c r="H34" s="559"/>
    </row>
    <row r="35" spans="2:13" ht="21" customHeight="1">
      <c r="B35" s="374"/>
      <c r="C35" s="617"/>
      <c r="D35" s="617"/>
      <c r="E35" s="617"/>
      <c r="F35" s="617"/>
      <c r="G35" s="351"/>
      <c r="H35" s="559"/>
    </row>
    <row r="36" spans="2:13" ht="21" customHeight="1">
      <c r="B36" s="374"/>
      <c r="C36" s="617"/>
      <c r="D36" s="617"/>
      <c r="E36" s="617"/>
      <c r="F36" s="617"/>
      <c r="G36" s="351"/>
      <c r="H36" s="559" t="s">
        <v>3133</v>
      </c>
    </row>
    <row r="37" spans="2:13" ht="21" customHeight="1">
      <c r="B37" s="374"/>
      <c r="C37" s="617"/>
      <c r="D37" s="617"/>
      <c r="E37" s="617"/>
      <c r="F37" s="617"/>
      <c r="G37" s="351"/>
      <c r="H37" s="620"/>
    </row>
    <row r="38" spans="2:13" ht="21" customHeight="1">
      <c r="B38" s="374"/>
      <c r="C38" s="617"/>
      <c r="D38" s="617"/>
      <c r="E38" s="617"/>
      <c r="F38" s="617"/>
      <c r="G38" s="351"/>
      <c r="H38" s="559" t="s">
        <v>3133</v>
      </c>
    </row>
    <row r="39" spans="2:13" ht="21" customHeight="1">
      <c r="B39" s="374"/>
      <c r="C39" s="617"/>
      <c r="D39" s="617"/>
      <c r="E39" s="617"/>
      <c r="F39" s="617"/>
      <c r="G39" s="351"/>
      <c r="H39" s="559"/>
    </row>
    <row r="40" spans="2:13" ht="21" customHeight="1">
      <c r="B40" s="659"/>
      <c r="C40" s="659" t="s">
        <v>3202</v>
      </c>
      <c r="D40" s="659"/>
      <c r="E40" s="659"/>
      <c r="F40" s="659"/>
      <c r="G40" s="864"/>
      <c r="H40" s="870">
        <f>+'53-Utility6'!I41</f>
        <v>0</v>
      </c>
    </row>
    <row r="41" spans="2:13" ht="21" customHeight="1">
      <c r="B41" s="659"/>
      <c r="C41" s="659" t="s">
        <v>804</v>
      </c>
      <c r="D41" s="659"/>
      <c r="E41" s="659"/>
      <c r="F41" s="659"/>
      <c r="G41" s="864"/>
      <c r="H41" s="870">
        <f>+'53-Utility6'!I24</f>
        <v>0</v>
      </c>
    </row>
    <row r="42" spans="2:13" ht="21" customHeight="1">
      <c r="B42" s="659"/>
      <c r="C42" s="659" t="s">
        <v>642</v>
      </c>
      <c r="D42" s="659"/>
      <c r="E42" s="659"/>
      <c r="F42" s="659"/>
      <c r="G42" s="864"/>
      <c r="H42" s="870">
        <f>+'54-Utility6'!I42</f>
        <v>0</v>
      </c>
    </row>
    <row r="43" spans="2:13" ht="21" customHeight="1" thickBot="1">
      <c r="B43" s="659"/>
      <c r="C43" s="659"/>
      <c r="D43" s="659"/>
      <c r="E43" s="659"/>
      <c r="F43" s="659"/>
      <c r="G43" s="1234"/>
      <c r="H43" s="1235"/>
      <c r="I43" s="371"/>
      <c r="M43" s="371"/>
    </row>
    <row r="44" spans="2:13" ht="21" customHeight="1" thickBot="1">
      <c r="B44" s="659"/>
      <c r="C44" s="659" t="s">
        <v>799</v>
      </c>
      <c r="D44" s="659"/>
      <c r="E44" s="659"/>
      <c r="F44" s="659"/>
      <c r="G44" s="1236">
        <f>SUM(G12:G42)</f>
        <v>0</v>
      </c>
      <c r="H44" s="1237">
        <f>SUM(H12:H43)</f>
        <v>0</v>
      </c>
      <c r="I44" s="371"/>
      <c r="K44" s="371"/>
    </row>
    <row r="45" spans="2:13" ht="13.8" thickTop="1">
      <c r="B45" s="2046" t="s">
        <v>98</v>
      </c>
      <c r="C45" s="2046"/>
      <c r="D45" s="2046"/>
      <c r="E45" s="2046"/>
      <c r="F45" s="2046"/>
      <c r="G45" s="2047"/>
      <c r="H45" s="2047"/>
    </row>
    <row r="46" spans="2:13">
      <c r="B46" s="1239"/>
      <c r="C46" s="1239"/>
      <c r="D46" s="1239"/>
      <c r="E46" s="1239"/>
      <c r="F46" s="1239"/>
      <c r="G46" s="1239"/>
      <c r="H46" s="1239"/>
    </row>
    <row r="47" spans="2:13">
      <c r="B47" s="1239"/>
      <c r="C47" s="1239"/>
      <c r="D47" s="1239"/>
      <c r="E47" s="1239"/>
      <c r="F47" s="1239"/>
      <c r="G47" s="1239"/>
      <c r="H47" s="1239"/>
    </row>
    <row r="48" spans="2:13">
      <c r="B48" s="1239"/>
      <c r="C48" s="1239"/>
      <c r="D48" s="1239"/>
      <c r="E48" s="1239"/>
      <c r="F48" s="1239"/>
      <c r="G48" s="1239"/>
      <c r="H48" s="1239"/>
    </row>
    <row r="49" spans="2:8">
      <c r="B49" s="1239"/>
      <c r="C49" s="1239"/>
      <c r="D49" s="1239"/>
      <c r="E49" s="1239"/>
      <c r="F49" s="1239"/>
      <c r="G49" s="1239"/>
      <c r="H49" s="1239"/>
    </row>
    <row r="50" spans="2:8" ht="13.8">
      <c r="B50" s="2076" t="s">
        <v>3397</v>
      </c>
      <c r="C50" s="2076"/>
      <c r="D50" s="2076"/>
      <c r="E50" s="2076"/>
      <c r="F50" s="2076"/>
      <c r="G50" s="2076"/>
      <c r="H50" s="2076"/>
    </row>
    <row r="55" spans="2:8">
      <c r="H55" s="371"/>
    </row>
  </sheetData>
  <sheetProtection algorithmName="SHA-512" hashValue="ThfBIMPitl+4+HHd/fqZOOM327C9TtGejhe8C0/pkE6lwqRb4JwA9Q5CjVyKuuB1KHhyek1kU1sjymDFhATJig==" saltValue="qYK9FASQZE/euvuQBIBDHA==" spinCount="100000" sheet="1" objects="1" scenarios="1"/>
  <mergeCells count="11">
    <mergeCell ref="B8:H8"/>
    <mergeCell ref="B2:H2"/>
    <mergeCell ref="B3:H3"/>
    <mergeCell ref="B5:H5"/>
    <mergeCell ref="B6:H6"/>
    <mergeCell ref="B7:H7"/>
    <mergeCell ref="B9:H9"/>
    <mergeCell ref="B10:H10"/>
    <mergeCell ref="B11:F11"/>
    <mergeCell ref="B45:H45"/>
    <mergeCell ref="B50:H50"/>
  </mergeCells>
  <pageMargins left="0.25" right="0.25" top="0.5" bottom="0.5" header="0.25" footer="0.25"/>
  <pageSetup paperSize="5" orientation="portrait" r:id="rId1"/>
  <headerFooter alignWithMargins="0"/>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3">
    <tabColor theme="3" tint="0.79998168889431442"/>
  </sheetPr>
  <dimension ref="B1:R49"/>
  <sheetViews>
    <sheetView zoomScaleNormal="100" zoomScaleSheetLayoutView="80" workbookViewId="0">
      <selection activeCell="B10" sqref="B10:F10"/>
    </sheetView>
  </sheetViews>
  <sheetFormatPr defaultColWidth="9.109375" defaultRowHeight="13.2"/>
  <cols>
    <col min="1" max="1" width="4.6640625" style="318" customWidth="1"/>
    <col min="2" max="2" width="4.88671875" style="318" customWidth="1"/>
    <col min="3" max="4" width="4.6640625" style="318" customWidth="1"/>
    <col min="5" max="5" width="30.6640625" style="318" customWidth="1"/>
    <col min="6" max="6" width="15.6640625" style="318" customWidth="1"/>
    <col min="7" max="8" width="16.6640625" style="318" customWidth="1"/>
    <col min="9" max="16384" width="9.109375" style="318"/>
  </cols>
  <sheetData>
    <row r="1" spans="2:18">
      <c r="B1" s="1086"/>
      <c r="C1" s="1086"/>
      <c r="D1" s="1086"/>
      <c r="E1" s="1086"/>
      <c r="F1" s="1086"/>
      <c r="G1" s="1086"/>
      <c r="H1" s="1086"/>
    </row>
    <row r="2" spans="2:18">
      <c r="B2" s="1086"/>
      <c r="C2" s="1086"/>
      <c r="D2" s="1086"/>
      <c r="E2" s="1086"/>
      <c r="F2" s="1086"/>
      <c r="G2" s="1086"/>
      <c r="H2" s="1086"/>
    </row>
    <row r="3" spans="2:18" ht="22.8">
      <c r="B3" s="1903" t="s">
        <v>824</v>
      </c>
      <c r="C3" s="1903"/>
      <c r="D3" s="1903"/>
      <c r="E3" s="1903"/>
      <c r="F3" s="1903"/>
      <c r="G3" s="1903"/>
      <c r="H3" s="1903"/>
    </row>
    <row r="4" spans="2:18" ht="22.8">
      <c r="B4" s="1903" t="s">
        <v>825</v>
      </c>
      <c r="C4" s="1903"/>
      <c r="D4" s="1903"/>
      <c r="E4" s="1903"/>
      <c r="F4" s="1903"/>
      <c r="G4" s="1903"/>
      <c r="H4" s="1903"/>
    </row>
    <row r="5" spans="2:18" ht="15.6">
      <c r="B5" s="1904"/>
      <c r="C5" s="1904"/>
      <c r="D5" s="1904"/>
      <c r="E5" s="1904"/>
      <c r="F5" s="1904"/>
      <c r="G5" s="1904"/>
      <c r="H5" s="1904"/>
    </row>
    <row r="6" spans="2:18" ht="13.8">
      <c r="B6" s="1902" t="s">
        <v>826</v>
      </c>
      <c r="C6" s="1902"/>
      <c r="D6" s="1902"/>
      <c r="E6" s="1902"/>
      <c r="F6" s="1902"/>
      <c r="G6" s="1902"/>
      <c r="H6" s="1902"/>
    </row>
    <row r="7" spans="2:18" ht="13.8">
      <c r="B7" s="1902" t="s">
        <v>830</v>
      </c>
      <c r="C7" s="1902"/>
      <c r="D7" s="1902"/>
      <c r="E7" s="1902"/>
      <c r="F7" s="1902"/>
      <c r="G7" s="1902"/>
      <c r="H7" s="1902"/>
    </row>
    <row r="8" spans="2:18" ht="13.8">
      <c r="B8" s="1073"/>
      <c r="C8" s="1073"/>
      <c r="D8" s="1073"/>
      <c r="E8" s="1073"/>
      <c r="F8" s="1073"/>
      <c r="G8" s="1073"/>
      <c r="H8" s="1073"/>
    </row>
    <row r="9" spans="2:18" ht="15" customHeight="1" thickBot="1">
      <c r="B9" s="1905" t="str">
        <f>IF('KEY INPUTS'!C42 = "State Fiscal Year", 'KEY INPUTS'!F45,'KEY INPUTS'!D45)</f>
        <v>AS  AT  DECEMBER  31, 2021</v>
      </c>
      <c r="C9" s="1904"/>
      <c r="D9" s="1904"/>
      <c r="E9" s="1904"/>
      <c r="F9" s="1904"/>
      <c r="G9" s="1904"/>
      <c r="H9" s="1904"/>
    </row>
    <row r="10" spans="2:18" ht="36" customHeight="1" thickTop="1" thickBot="1">
      <c r="B10" s="1906" t="s">
        <v>95</v>
      </c>
      <c r="C10" s="1906"/>
      <c r="D10" s="1906"/>
      <c r="E10" s="1906"/>
      <c r="F10" s="1907"/>
      <c r="G10" s="1074" t="s">
        <v>96</v>
      </c>
      <c r="H10" s="1075" t="s">
        <v>97</v>
      </c>
    </row>
    <row r="11" spans="2:18" ht="21" customHeight="1" thickTop="1">
      <c r="B11" s="1076" t="s">
        <v>351</v>
      </c>
      <c r="C11" s="1076"/>
      <c r="D11" s="1076"/>
      <c r="E11" s="1076"/>
      <c r="F11" s="1076"/>
      <c r="G11" s="619"/>
      <c r="H11" s="620"/>
      <c r="L11" s="309"/>
      <c r="M11" s="309"/>
      <c r="N11" s="309"/>
      <c r="O11" s="309"/>
      <c r="P11" s="309"/>
      <c r="Q11" s="309"/>
      <c r="R11" s="309"/>
    </row>
    <row r="12" spans="2:18" ht="21" customHeight="1">
      <c r="B12" s="617"/>
      <c r="C12" s="617"/>
      <c r="D12" s="617"/>
      <c r="E12" s="617"/>
      <c r="F12" s="617"/>
      <c r="G12" s="571"/>
      <c r="H12" s="578"/>
      <c r="L12" s="309"/>
      <c r="M12" s="309"/>
      <c r="N12" s="309"/>
      <c r="O12" s="309"/>
      <c r="P12" s="309"/>
      <c r="Q12" s="309"/>
      <c r="R12" s="309"/>
    </row>
    <row r="13" spans="2:18" ht="21" customHeight="1">
      <c r="B13" s="617"/>
      <c r="C13" s="617"/>
      <c r="D13" s="617"/>
      <c r="E13" s="617"/>
      <c r="F13" s="617"/>
      <c r="G13" s="571"/>
      <c r="H13" s="578"/>
      <c r="L13" s="356"/>
      <c r="M13" s="309"/>
      <c r="N13" s="309"/>
      <c r="O13" s="309"/>
      <c r="P13" s="309"/>
      <c r="Q13" s="309"/>
      <c r="R13" s="309"/>
    </row>
    <row r="14" spans="2:18" ht="21" customHeight="1">
      <c r="B14" s="617"/>
      <c r="C14" s="617"/>
      <c r="D14" s="617"/>
      <c r="E14" s="617"/>
      <c r="F14" s="617"/>
      <c r="G14" s="571"/>
      <c r="H14" s="578"/>
      <c r="L14" s="309"/>
      <c r="M14" s="309"/>
      <c r="N14" s="309"/>
      <c r="O14" s="309"/>
      <c r="P14" s="309"/>
      <c r="Q14" s="309"/>
      <c r="R14" s="309"/>
    </row>
    <row r="15" spans="2:18" ht="21" customHeight="1">
      <c r="B15" s="617"/>
      <c r="C15" s="617"/>
      <c r="D15" s="617"/>
      <c r="E15" s="617"/>
      <c r="F15" s="617"/>
      <c r="G15" s="571"/>
      <c r="H15" s="578"/>
      <c r="L15" s="309"/>
      <c r="M15" s="309"/>
      <c r="N15" s="309"/>
      <c r="O15" s="309"/>
      <c r="P15" s="309"/>
      <c r="Q15" s="309"/>
      <c r="R15" s="309"/>
    </row>
    <row r="16" spans="2:18" ht="21" customHeight="1">
      <c r="B16" s="617"/>
      <c r="C16" s="617"/>
      <c r="D16" s="617"/>
      <c r="E16" s="617"/>
      <c r="F16" s="617"/>
      <c r="G16" s="571"/>
      <c r="H16" s="578"/>
      <c r="L16" s="309"/>
      <c r="M16" s="309"/>
      <c r="N16" s="309"/>
      <c r="O16" s="309"/>
      <c r="P16" s="309"/>
      <c r="Q16" s="309"/>
      <c r="R16" s="309"/>
    </row>
    <row r="17" spans="2:18" ht="21" customHeight="1">
      <c r="B17" s="617"/>
      <c r="C17" s="617"/>
      <c r="D17" s="617"/>
      <c r="E17" s="617"/>
      <c r="F17" s="617"/>
      <c r="G17" s="571"/>
      <c r="H17" s="578"/>
      <c r="L17" s="309"/>
      <c r="M17" s="309"/>
      <c r="N17" s="309"/>
      <c r="O17" s="309"/>
      <c r="P17" s="309"/>
      <c r="Q17" s="309"/>
      <c r="R17" s="309"/>
    </row>
    <row r="18" spans="2:18" ht="21" customHeight="1">
      <c r="B18" s="617"/>
      <c r="C18" s="617"/>
      <c r="D18" s="617"/>
      <c r="E18" s="617"/>
      <c r="F18" s="617"/>
      <c r="G18" s="571"/>
      <c r="H18" s="578"/>
      <c r="L18" s="309"/>
      <c r="M18" s="309"/>
      <c r="N18" s="309"/>
      <c r="O18" s="309"/>
      <c r="P18" s="309"/>
      <c r="Q18" s="309"/>
      <c r="R18" s="309"/>
    </row>
    <row r="19" spans="2:18" ht="21" customHeight="1">
      <c r="B19" s="617"/>
      <c r="C19" s="617"/>
      <c r="D19" s="617"/>
      <c r="E19" s="617"/>
      <c r="F19" s="617"/>
      <c r="G19" s="571"/>
      <c r="H19" s="578"/>
      <c r="L19" s="309"/>
      <c r="M19" s="309"/>
      <c r="N19" s="309"/>
      <c r="O19" s="309"/>
      <c r="P19" s="309"/>
      <c r="Q19" s="309"/>
      <c r="R19" s="309"/>
    </row>
    <row r="20" spans="2:18" ht="21" customHeight="1">
      <c r="B20" s="617"/>
      <c r="C20" s="617"/>
      <c r="D20" s="617"/>
      <c r="E20" s="617"/>
      <c r="F20" s="617"/>
      <c r="G20" s="571"/>
      <c r="H20" s="578"/>
      <c r="L20" s="309"/>
      <c r="M20" s="309"/>
      <c r="N20" s="309"/>
      <c r="O20" s="309"/>
      <c r="P20" s="309"/>
      <c r="Q20" s="309"/>
      <c r="R20" s="309"/>
    </row>
    <row r="21" spans="2:18" ht="21" customHeight="1">
      <c r="B21" s="617"/>
      <c r="C21" s="617"/>
      <c r="D21" s="617"/>
      <c r="E21" s="617"/>
      <c r="F21" s="617"/>
      <c r="G21" s="571"/>
      <c r="H21" s="578"/>
      <c r="L21" s="309"/>
      <c r="M21" s="309"/>
      <c r="N21" s="309"/>
      <c r="O21" s="309"/>
      <c r="P21" s="309"/>
      <c r="Q21" s="309"/>
      <c r="R21" s="309"/>
    </row>
    <row r="22" spans="2:18" ht="21" customHeight="1">
      <c r="B22" s="617"/>
      <c r="C22" s="617"/>
      <c r="D22" s="617"/>
      <c r="E22" s="617"/>
      <c r="F22" s="617"/>
      <c r="G22" s="571"/>
      <c r="H22" s="578"/>
      <c r="L22" s="309"/>
      <c r="M22" s="309"/>
      <c r="N22" s="309"/>
      <c r="O22" s="309"/>
      <c r="P22" s="309"/>
      <c r="Q22" s="309"/>
      <c r="R22" s="309"/>
    </row>
    <row r="23" spans="2:18" ht="21" customHeight="1">
      <c r="B23" s="617"/>
      <c r="C23" s="617"/>
      <c r="D23" s="617"/>
      <c r="E23" s="617"/>
      <c r="F23" s="617"/>
      <c r="G23" s="571"/>
      <c r="H23" s="578"/>
      <c r="L23" s="309"/>
      <c r="M23" s="309"/>
      <c r="N23" s="309"/>
      <c r="O23" s="309"/>
      <c r="P23" s="309"/>
      <c r="Q23" s="309"/>
      <c r="R23" s="309"/>
    </row>
    <row r="24" spans="2:18" ht="21" customHeight="1">
      <c r="B24" s="617"/>
      <c r="C24" s="617"/>
      <c r="D24" s="617"/>
      <c r="E24" s="617"/>
      <c r="F24" s="617"/>
      <c r="G24" s="571"/>
      <c r="H24" s="578"/>
      <c r="L24" s="309"/>
      <c r="M24" s="309"/>
      <c r="N24" s="309"/>
      <c r="O24" s="309"/>
      <c r="P24" s="309"/>
      <c r="Q24" s="309"/>
      <c r="R24" s="309"/>
    </row>
    <row r="25" spans="2:18" ht="21" customHeight="1">
      <c r="B25" s="617"/>
      <c r="C25" s="617"/>
      <c r="D25" s="617"/>
      <c r="E25" s="617"/>
      <c r="F25" s="617"/>
      <c r="G25" s="571"/>
      <c r="H25" s="578"/>
      <c r="L25" s="309"/>
      <c r="M25" s="309"/>
      <c r="N25" s="309"/>
      <c r="O25" s="309"/>
      <c r="P25" s="309"/>
      <c r="Q25" s="309"/>
      <c r="R25" s="309"/>
    </row>
    <row r="26" spans="2:18" ht="21" customHeight="1">
      <c r="B26" s="617"/>
      <c r="C26" s="617"/>
      <c r="D26" s="617"/>
      <c r="E26" s="617"/>
      <c r="F26" s="617"/>
      <c r="G26" s="571"/>
      <c r="H26" s="578"/>
      <c r="L26" s="309"/>
      <c r="M26" s="309"/>
      <c r="N26" s="309"/>
      <c r="O26" s="309"/>
      <c r="P26" s="309"/>
      <c r="Q26" s="309"/>
      <c r="R26" s="309"/>
    </row>
    <row r="27" spans="2:18" ht="21" customHeight="1">
      <c r="B27" s="617"/>
      <c r="C27" s="617"/>
      <c r="D27" s="617"/>
      <c r="E27" s="617"/>
      <c r="F27" s="617"/>
      <c r="G27" s="571"/>
      <c r="H27" s="578"/>
      <c r="L27" s="309"/>
      <c r="M27" s="309"/>
      <c r="N27" s="309"/>
      <c r="O27" s="309"/>
      <c r="P27" s="309"/>
      <c r="Q27" s="309"/>
      <c r="R27" s="309"/>
    </row>
    <row r="28" spans="2:18" ht="21" customHeight="1">
      <c r="B28" s="617"/>
      <c r="C28" s="617"/>
      <c r="D28" s="617"/>
      <c r="E28" s="617"/>
      <c r="F28" s="617"/>
      <c r="G28" s="571"/>
      <c r="H28" s="578"/>
    </row>
    <row r="29" spans="2:18" ht="21" customHeight="1">
      <c r="B29" s="617"/>
      <c r="C29" s="617"/>
      <c r="D29" s="617"/>
      <c r="E29" s="617"/>
      <c r="F29" s="617"/>
      <c r="G29" s="571"/>
      <c r="H29" s="578"/>
    </row>
    <row r="30" spans="2:18" ht="21" customHeight="1">
      <c r="B30" s="617"/>
      <c r="C30" s="617"/>
      <c r="D30" s="617"/>
      <c r="E30" s="617"/>
      <c r="F30" s="617"/>
      <c r="G30" s="571"/>
      <c r="H30" s="578"/>
    </row>
    <row r="31" spans="2:18" ht="21" customHeight="1">
      <c r="B31" s="617"/>
      <c r="C31" s="617"/>
      <c r="D31" s="617"/>
      <c r="E31" s="617"/>
      <c r="F31" s="617"/>
      <c r="G31" s="571"/>
      <c r="H31" s="578"/>
    </row>
    <row r="32" spans="2:18" ht="21" customHeight="1">
      <c r="B32" s="617"/>
      <c r="C32" s="617"/>
      <c r="D32" s="617"/>
      <c r="E32" s="617"/>
      <c r="F32" s="617"/>
      <c r="G32" s="571"/>
      <c r="H32" s="578"/>
    </row>
    <row r="33" spans="2:8" ht="21" customHeight="1">
      <c r="B33" s="617"/>
      <c r="C33" s="617"/>
      <c r="D33" s="617"/>
      <c r="E33" s="617"/>
      <c r="F33" s="617"/>
      <c r="G33" s="571"/>
      <c r="H33" s="578"/>
    </row>
    <row r="34" spans="2:8" ht="21" customHeight="1">
      <c r="B34" s="617"/>
      <c r="C34" s="617"/>
      <c r="D34" s="617"/>
      <c r="E34" s="617"/>
      <c r="F34" s="617"/>
      <c r="G34" s="571"/>
      <c r="H34" s="578"/>
    </row>
    <row r="35" spans="2:8" ht="21" customHeight="1">
      <c r="B35" s="617"/>
      <c r="C35" s="617"/>
      <c r="D35" s="617"/>
      <c r="E35" s="617"/>
      <c r="F35" s="617"/>
      <c r="G35" s="571"/>
      <c r="H35" s="578"/>
    </row>
    <row r="36" spans="2:8" ht="21" customHeight="1">
      <c r="B36" s="617"/>
      <c r="C36" s="617"/>
      <c r="D36" s="617"/>
      <c r="E36" s="617"/>
      <c r="F36" s="617"/>
      <c r="G36" s="571"/>
      <c r="H36" s="578"/>
    </row>
    <row r="37" spans="2:8" ht="21" customHeight="1">
      <c r="B37" s="617"/>
      <c r="C37" s="617"/>
      <c r="D37" s="617"/>
      <c r="E37" s="617"/>
      <c r="F37" s="617"/>
      <c r="G37" s="571"/>
      <c r="H37" s="578"/>
    </row>
    <row r="38" spans="2:8" ht="21" customHeight="1">
      <c r="B38" s="1077" t="s">
        <v>3203</v>
      </c>
      <c r="C38" s="1077"/>
      <c r="D38" s="1077"/>
      <c r="E38" s="1077"/>
      <c r="F38" s="1077"/>
      <c r="G38" s="1078"/>
      <c r="H38" s="1066">
        <f>'51-Utility6'!G23</f>
        <v>0</v>
      </c>
    </row>
    <row r="39" spans="2:8" ht="21" customHeight="1">
      <c r="B39" s="1077" t="s">
        <v>3204</v>
      </c>
      <c r="C39" s="1077"/>
      <c r="D39" s="1077"/>
      <c r="E39" s="1077"/>
      <c r="F39" s="1077"/>
      <c r="G39" s="1078"/>
      <c r="H39" s="1066">
        <f>'49-Utility6'!G11</f>
        <v>0</v>
      </c>
    </row>
    <row r="40" spans="2:8" ht="21" customHeight="1">
      <c r="B40" s="1077" t="s">
        <v>798</v>
      </c>
      <c r="C40" s="1077"/>
      <c r="D40" s="1077"/>
      <c r="E40" s="1077"/>
      <c r="F40" s="1077"/>
      <c r="G40" s="1078"/>
      <c r="H40" s="1066">
        <f>'43-Utility6'!L20</f>
        <v>0</v>
      </c>
    </row>
    <row r="41" spans="2:8" ht="21" customHeight="1">
      <c r="B41" s="617"/>
      <c r="C41" s="617"/>
      <c r="D41" s="617"/>
      <c r="E41" s="617"/>
      <c r="F41" s="617"/>
      <c r="G41" s="571"/>
      <c r="H41" s="578"/>
    </row>
    <row r="42" spans="2:8" ht="21" customHeight="1">
      <c r="B42" s="617"/>
      <c r="C42" s="617"/>
      <c r="D42" s="617"/>
      <c r="E42" s="617"/>
      <c r="F42" s="617"/>
      <c r="G42" s="571"/>
      <c r="H42" s="578"/>
    </row>
    <row r="43" spans="2:8" ht="21" customHeight="1">
      <c r="B43" s="1079" t="s">
        <v>799</v>
      </c>
      <c r="C43" s="1079"/>
      <c r="D43" s="1079"/>
      <c r="E43" s="1079"/>
      <c r="F43" s="1079"/>
      <c r="G43" s="1046">
        <f>SUM(G11:G42)</f>
        <v>0</v>
      </c>
      <c r="H43" s="1080">
        <f>SUM(H11:H42)</f>
        <v>0</v>
      </c>
    </row>
    <row r="44" spans="2:8">
      <c r="B44" s="1908" t="s">
        <v>98</v>
      </c>
      <c r="C44" s="1908"/>
      <c r="D44" s="1908"/>
      <c r="E44" s="1908"/>
      <c r="F44" s="1908"/>
      <c r="G44" s="1908"/>
      <c r="H44" s="1908"/>
    </row>
    <row r="45" spans="2:8">
      <c r="B45" s="1081"/>
      <c r="C45" s="1081"/>
      <c r="D45" s="1081"/>
      <c r="E45" s="1081"/>
      <c r="F45" s="1081"/>
      <c r="G45" s="1081"/>
      <c r="H45" s="1081"/>
    </row>
    <row r="46" spans="2:8">
      <c r="B46" s="1081"/>
      <c r="C46" s="1081"/>
      <c r="D46" s="1081"/>
      <c r="E46" s="1081"/>
      <c r="F46" s="1081"/>
      <c r="G46" s="1081"/>
      <c r="H46" s="1081"/>
    </row>
    <row r="47" spans="2:8">
      <c r="B47" s="1081"/>
      <c r="C47" s="1081"/>
      <c r="D47" s="1081"/>
      <c r="E47" s="1081"/>
      <c r="F47" s="1081"/>
      <c r="G47" s="1081"/>
      <c r="H47" s="1081"/>
    </row>
    <row r="48" spans="2:8">
      <c r="B48" s="1081"/>
      <c r="C48" s="1081"/>
      <c r="D48" s="1081"/>
      <c r="E48" s="1081"/>
      <c r="F48" s="1081"/>
      <c r="G48" s="1081"/>
      <c r="H48" s="1081"/>
    </row>
    <row r="49" spans="2:8" ht="13.8">
      <c r="B49" s="1901" t="s">
        <v>3142</v>
      </c>
      <c r="C49" s="1901"/>
      <c r="D49" s="1901"/>
      <c r="E49" s="1901"/>
      <c r="F49" s="1901"/>
      <c r="G49" s="1901"/>
      <c r="H49" s="1901"/>
    </row>
  </sheetData>
  <sheetProtection algorithmName="SHA-512" hashValue="Al+vp7PkXYPrP73s/QABbY9tfp8eXYS5xPlYONM3+9XO1JnTBLsUdPO3BWFjG9Ip55ixNBWpcm0A6YpxR8lfCg==" saltValue="XUXWQfEx1aEe54dPOakjUA==" spinCount="100000" sheet="1" objects="1" scenarios="1"/>
  <mergeCells count="9">
    <mergeCell ref="B10:F10"/>
    <mergeCell ref="B44:H44"/>
    <mergeCell ref="B49:H49"/>
    <mergeCell ref="B3:H3"/>
    <mergeCell ref="B4:H4"/>
    <mergeCell ref="B5:H5"/>
    <mergeCell ref="B6:H6"/>
    <mergeCell ref="B7:H7"/>
    <mergeCell ref="B9:H9"/>
  </mergeCells>
  <pageMargins left="0.25" right="0.25" top="0.5" bottom="0.5" header="0.25" footer="0.25"/>
  <pageSetup paperSize="5" orientation="portrait" r:id="rId1"/>
  <headerFooter alignWithMargins="0"/>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4">
    <tabColor theme="3" tint="0.79998168889431442"/>
  </sheetPr>
  <dimension ref="A2:V27"/>
  <sheetViews>
    <sheetView zoomScaleNormal="100" zoomScaleSheetLayoutView="80" workbookViewId="0">
      <selection activeCell="L7" sqref="L7"/>
    </sheetView>
  </sheetViews>
  <sheetFormatPr defaultColWidth="9.109375" defaultRowHeight="13.2"/>
  <cols>
    <col min="1" max="1" width="5.6640625" style="318" customWidth="1"/>
    <col min="2" max="3" width="4.88671875" style="318" customWidth="1"/>
    <col min="4" max="4" width="30.6640625" style="318" customWidth="1"/>
    <col min="5" max="12" width="15.6640625" style="318" customWidth="1"/>
    <col min="13" max="16384" width="9.109375" style="318"/>
  </cols>
  <sheetData>
    <row r="2" spans="1:22" ht="20.399999999999999">
      <c r="B2" s="1909" t="str">
        <f>"ANALYSIS  OF "&amp;UPPER('KEY INPUTS'!D59)&amp;" UTILITY  ASSESSMENT  TRUST  CASH  AND  INVESTMENTS"</f>
        <v>ANALYSIS  OF  UTILITY  ASSESSMENT  TRUST  CASH  AND  INVESTMENTS</v>
      </c>
      <c r="C2" s="1909"/>
      <c r="D2" s="1909"/>
      <c r="E2" s="1909"/>
      <c r="F2" s="1909"/>
      <c r="G2" s="1909"/>
      <c r="H2" s="1909"/>
      <c r="I2" s="1909"/>
      <c r="J2" s="1909"/>
      <c r="K2" s="1909"/>
      <c r="L2" s="1909"/>
    </row>
    <row r="3" spans="1:22" ht="21" thickBot="1">
      <c r="B3" s="1909" t="s">
        <v>831</v>
      </c>
      <c r="C3" s="1909"/>
      <c r="D3" s="1909"/>
      <c r="E3" s="1909"/>
      <c r="F3" s="1909"/>
      <c r="G3" s="1909"/>
      <c r="H3" s="1909"/>
      <c r="I3" s="1909"/>
      <c r="J3" s="1909"/>
      <c r="K3" s="1909"/>
      <c r="L3" s="1909"/>
    </row>
    <row r="4" spans="1:22" ht="13.8" thickTop="1">
      <c r="B4" s="1082"/>
      <c r="C4" s="1082"/>
      <c r="D4" s="1082"/>
      <c r="E4" s="1083" t="s">
        <v>529</v>
      </c>
      <c r="F4" s="1082"/>
      <c r="G4" s="1082"/>
      <c r="H4" s="1082"/>
      <c r="I4" s="1082"/>
      <c r="J4" s="1084"/>
      <c r="K4" s="1082"/>
      <c r="L4" s="1085"/>
    </row>
    <row r="5" spans="1:22" ht="15.6">
      <c r="B5" s="1086"/>
      <c r="C5" s="1086" t="s">
        <v>537</v>
      </c>
      <c r="D5" s="1086"/>
      <c r="E5" s="1087" t="s">
        <v>530</v>
      </c>
      <c r="F5" s="1910" t="s">
        <v>531</v>
      </c>
      <c r="G5" s="1911"/>
      <c r="H5" s="1911"/>
      <c r="I5" s="1912"/>
      <c r="J5" s="1088"/>
      <c r="K5" s="1086"/>
      <c r="L5" s="1089" t="s">
        <v>530</v>
      </c>
    </row>
    <row r="6" spans="1:22">
      <c r="B6" s="1086"/>
      <c r="C6" s="1086" t="s">
        <v>538</v>
      </c>
      <c r="D6" s="1086"/>
      <c r="E6" s="1090" t="str">
        <f>IF('KEY INPUTS'!C42 = "State Fiscal Year", 'KEY INPUTS'!F46,'KEY INPUTS'!D46)</f>
        <v>Dec. 31, 2020</v>
      </c>
      <c r="F6" s="1087" t="s">
        <v>532</v>
      </c>
      <c r="G6" s="1087" t="s">
        <v>248</v>
      </c>
      <c r="H6" s="1088"/>
      <c r="I6" s="1088"/>
      <c r="J6" s="1088"/>
      <c r="K6" s="1091" t="s">
        <v>536</v>
      </c>
      <c r="L6" s="1092" t="str">
        <f>IF('KEY INPUTS'!C42 = "State Fiscal Year", 'KEY INPUTS'!F47,'KEY INPUTS'!D47)</f>
        <v>Dec. 31, 2021</v>
      </c>
    </row>
    <row r="7" spans="1:22" ht="13.8" thickBot="1">
      <c r="B7" s="1093"/>
      <c r="C7" s="1093"/>
      <c r="D7" s="1093"/>
      <c r="E7" s="1094"/>
      <c r="F7" s="1095" t="s">
        <v>533</v>
      </c>
      <c r="G7" s="1095" t="s">
        <v>535</v>
      </c>
      <c r="H7" s="1094"/>
      <c r="I7" s="1094"/>
      <c r="J7" s="1094"/>
      <c r="K7" s="1096"/>
      <c r="L7" s="1097"/>
    </row>
    <row r="8" spans="1:22" ht="21" customHeight="1" thickTop="1">
      <c r="B8" s="1098" t="s">
        <v>622</v>
      </c>
      <c r="C8" s="1098"/>
      <c r="D8" s="1099"/>
      <c r="E8" s="1029" t="s">
        <v>628</v>
      </c>
      <c r="F8" s="1029" t="s">
        <v>628</v>
      </c>
      <c r="G8" s="1029" t="s">
        <v>628</v>
      </c>
      <c r="H8" s="1029" t="s">
        <v>628</v>
      </c>
      <c r="I8" s="1029" t="s">
        <v>628</v>
      </c>
      <c r="J8" s="1029" t="s">
        <v>628</v>
      </c>
      <c r="K8" s="1029" t="s">
        <v>628</v>
      </c>
      <c r="L8" s="825" t="s">
        <v>628</v>
      </c>
      <c r="P8" s="309"/>
      <c r="Q8" s="309"/>
      <c r="R8" s="309"/>
      <c r="S8" s="309"/>
      <c r="T8" s="309"/>
      <c r="U8" s="309"/>
      <c r="V8" s="309"/>
    </row>
    <row r="9" spans="1:22" ht="21" customHeight="1">
      <c r="B9" s="617"/>
      <c r="C9" s="617"/>
      <c r="D9" s="621"/>
      <c r="E9" s="571"/>
      <c r="F9" s="571"/>
      <c r="G9" s="571"/>
      <c r="H9" s="571"/>
      <c r="I9" s="571"/>
      <c r="J9" s="571"/>
      <c r="K9" s="571"/>
      <c r="L9" s="1025">
        <f>+E9+F9+G9+H9+I9+J9-K9</f>
        <v>0</v>
      </c>
      <c r="P9" s="309"/>
      <c r="Q9" s="309"/>
      <c r="R9" s="309"/>
      <c r="S9" s="309"/>
      <c r="T9" s="309"/>
      <c r="U9" s="309"/>
      <c r="V9" s="309"/>
    </row>
    <row r="10" spans="1:22" ht="21" customHeight="1">
      <c r="B10" s="617"/>
      <c r="C10" s="617"/>
      <c r="D10" s="621"/>
      <c r="E10" s="571"/>
      <c r="F10" s="571"/>
      <c r="G10" s="571"/>
      <c r="H10" s="571"/>
      <c r="I10" s="571"/>
      <c r="J10" s="571"/>
      <c r="K10" s="571"/>
      <c r="L10" s="1025">
        <f t="shared" ref="L10:L25" si="0">+E10+F10+G10+H10+I10+J10-K10</f>
        <v>0</v>
      </c>
      <c r="P10" s="356"/>
      <c r="Q10" s="309"/>
      <c r="R10" s="309"/>
      <c r="S10" s="309"/>
      <c r="T10" s="309"/>
      <c r="U10" s="309"/>
      <c r="V10" s="309"/>
    </row>
    <row r="11" spans="1:22" ht="21" customHeight="1">
      <c r="B11" s="617"/>
      <c r="C11" s="617"/>
      <c r="D11" s="621"/>
      <c r="E11" s="571"/>
      <c r="F11" s="571"/>
      <c r="G11" s="571"/>
      <c r="H11" s="571"/>
      <c r="I11" s="571"/>
      <c r="J11" s="571"/>
      <c r="K11" s="571"/>
      <c r="L11" s="1025">
        <f t="shared" si="0"/>
        <v>0</v>
      </c>
      <c r="P11" s="309"/>
      <c r="Q11" s="309"/>
      <c r="R11" s="309"/>
      <c r="S11" s="309"/>
      <c r="T11" s="309"/>
      <c r="U11" s="309"/>
      <c r="V11" s="309"/>
    </row>
    <row r="12" spans="1:22" ht="21" customHeight="1">
      <c r="B12" s="617"/>
      <c r="C12" s="617"/>
      <c r="D12" s="621"/>
      <c r="E12" s="571"/>
      <c r="F12" s="571"/>
      <c r="G12" s="571"/>
      <c r="H12" s="571"/>
      <c r="I12" s="571"/>
      <c r="J12" s="571"/>
      <c r="K12" s="571"/>
      <c r="L12" s="1025">
        <f t="shared" si="0"/>
        <v>0</v>
      </c>
      <c r="P12" s="309"/>
      <c r="Q12" s="309"/>
      <c r="R12" s="309"/>
      <c r="S12" s="309"/>
      <c r="T12" s="309"/>
      <c r="U12" s="309"/>
      <c r="V12" s="309"/>
    </row>
    <row r="13" spans="1:22" ht="21" customHeight="1">
      <c r="B13" s="617"/>
      <c r="C13" s="617"/>
      <c r="D13" s="621"/>
      <c r="E13" s="574"/>
      <c r="F13" s="571"/>
      <c r="G13" s="571"/>
      <c r="H13" s="571"/>
      <c r="I13" s="571"/>
      <c r="J13" s="571"/>
      <c r="K13" s="571"/>
      <c r="L13" s="1025">
        <f t="shared" si="0"/>
        <v>0</v>
      </c>
      <c r="P13" s="309"/>
      <c r="Q13" s="309"/>
      <c r="R13" s="309"/>
      <c r="S13" s="309"/>
      <c r="T13" s="309"/>
      <c r="U13" s="309"/>
      <c r="V13" s="309"/>
    </row>
    <row r="14" spans="1:22" ht="21" customHeight="1">
      <c r="B14" s="1079" t="s">
        <v>623</v>
      </c>
      <c r="C14" s="1079"/>
      <c r="D14" s="1105"/>
      <c r="E14" s="926" t="s">
        <v>628</v>
      </c>
      <c r="F14" s="926" t="s">
        <v>628</v>
      </c>
      <c r="G14" s="926" t="s">
        <v>628</v>
      </c>
      <c r="H14" s="926" t="s">
        <v>628</v>
      </c>
      <c r="I14" s="926" t="s">
        <v>628</v>
      </c>
      <c r="J14" s="926" t="s">
        <v>628</v>
      </c>
      <c r="K14" s="926" t="s">
        <v>628</v>
      </c>
      <c r="L14" s="827" t="s">
        <v>628</v>
      </c>
      <c r="P14" s="309"/>
      <c r="Q14" s="309"/>
      <c r="R14" s="309"/>
      <c r="S14" s="309"/>
      <c r="T14" s="309"/>
      <c r="U14" s="309"/>
      <c r="V14" s="309"/>
    </row>
    <row r="15" spans="1:22" ht="21" customHeight="1">
      <c r="A15" s="1913" t="s">
        <v>3143</v>
      </c>
      <c r="B15" s="617"/>
      <c r="C15" s="617"/>
      <c r="D15" s="621"/>
      <c r="E15" s="571"/>
      <c r="F15" s="571"/>
      <c r="G15" s="571"/>
      <c r="H15" s="571"/>
      <c r="I15" s="571"/>
      <c r="J15" s="571"/>
      <c r="K15" s="571"/>
      <c r="L15" s="1025">
        <f t="shared" si="0"/>
        <v>0</v>
      </c>
      <c r="P15" s="309"/>
      <c r="Q15" s="309"/>
      <c r="R15" s="309"/>
      <c r="S15" s="309"/>
      <c r="T15" s="309"/>
      <c r="U15" s="309"/>
      <c r="V15" s="309"/>
    </row>
    <row r="16" spans="1:22" ht="21" customHeight="1">
      <c r="A16" s="1913"/>
      <c r="B16" s="617"/>
      <c r="C16" s="617"/>
      <c r="D16" s="621"/>
      <c r="E16" s="571"/>
      <c r="F16" s="571"/>
      <c r="G16" s="571"/>
      <c r="H16" s="571"/>
      <c r="I16" s="571"/>
      <c r="J16" s="571"/>
      <c r="K16" s="571"/>
      <c r="L16" s="1025">
        <f t="shared" si="0"/>
        <v>0</v>
      </c>
      <c r="P16" s="309"/>
      <c r="Q16" s="309"/>
      <c r="R16" s="309"/>
      <c r="S16" s="309"/>
      <c r="T16" s="309"/>
      <c r="U16" s="309"/>
      <c r="V16" s="309"/>
    </row>
    <row r="17" spans="1:22" ht="21" customHeight="1">
      <c r="A17" s="1913"/>
      <c r="B17" s="617"/>
      <c r="C17" s="617"/>
      <c r="D17" s="621"/>
      <c r="E17" s="571"/>
      <c r="F17" s="571"/>
      <c r="G17" s="571"/>
      <c r="H17" s="571"/>
      <c r="I17" s="571"/>
      <c r="J17" s="571"/>
      <c r="K17" s="571"/>
      <c r="L17" s="1025">
        <f t="shared" si="0"/>
        <v>0</v>
      </c>
      <c r="P17" s="309"/>
      <c r="Q17" s="309"/>
      <c r="R17" s="309"/>
      <c r="S17" s="309"/>
      <c r="T17" s="309"/>
      <c r="U17" s="309"/>
      <c r="V17" s="309"/>
    </row>
    <row r="18" spans="1:22" ht="21" customHeight="1">
      <c r="B18" s="617"/>
      <c r="C18" s="617"/>
      <c r="D18" s="621"/>
      <c r="E18" s="571"/>
      <c r="F18" s="571"/>
      <c r="G18" s="571"/>
      <c r="H18" s="571"/>
      <c r="I18" s="571"/>
      <c r="J18" s="571"/>
      <c r="K18" s="571"/>
      <c r="L18" s="1025">
        <f t="shared" si="0"/>
        <v>0</v>
      </c>
      <c r="P18" s="309"/>
      <c r="Q18" s="309"/>
      <c r="R18" s="309"/>
      <c r="S18" s="309"/>
      <c r="T18" s="309"/>
      <c r="U18" s="309"/>
      <c r="V18" s="309"/>
    </row>
    <row r="19" spans="1:22" ht="21" customHeight="1">
      <c r="B19" s="1079" t="s">
        <v>624</v>
      </c>
      <c r="C19" s="1079"/>
      <c r="D19" s="1105"/>
      <c r="E19" s="571"/>
      <c r="F19" s="571"/>
      <c r="G19" s="571"/>
      <c r="H19" s="571"/>
      <c r="I19" s="571"/>
      <c r="J19" s="571"/>
      <c r="K19" s="571"/>
      <c r="L19" s="1025">
        <f t="shared" si="0"/>
        <v>0</v>
      </c>
      <c r="P19" s="309"/>
      <c r="Q19" s="309"/>
      <c r="R19" s="309"/>
      <c r="S19" s="309"/>
      <c r="T19" s="309"/>
      <c r="U19" s="309"/>
      <c r="V19" s="309"/>
    </row>
    <row r="20" spans="1:22" ht="21" customHeight="1">
      <c r="B20" s="1079" t="s">
        <v>625</v>
      </c>
      <c r="C20" s="1079"/>
      <c r="D20" s="1105"/>
      <c r="E20" s="571"/>
      <c r="F20" s="571"/>
      <c r="G20" s="571"/>
      <c r="H20" s="571"/>
      <c r="I20" s="571"/>
      <c r="J20" s="571"/>
      <c r="K20" s="571"/>
      <c r="L20" s="1025">
        <f t="shared" si="0"/>
        <v>0</v>
      </c>
      <c r="P20" s="309"/>
      <c r="Q20" s="309"/>
      <c r="R20" s="309"/>
      <c r="S20" s="309"/>
      <c r="T20" s="309"/>
      <c r="U20" s="309"/>
      <c r="V20" s="309"/>
    </row>
    <row r="21" spans="1:22" ht="21" customHeight="1">
      <c r="B21" s="1079" t="s">
        <v>249</v>
      </c>
      <c r="C21" s="1079"/>
      <c r="D21" s="1105"/>
      <c r="E21" s="926" t="s">
        <v>628</v>
      </c>
      <c r="F21" s="926" t="s">
        <v>628</v>
      </c>
      <c r="G21" s="926" t="s">
        <v>628</v>
      </c>
      <c r="H21" s="926" t="s">
        <v>628</v>
      </c>
      <c r="I21" s="926" t="s">
        <v>628</v>
      </c>
      <c r="J21" s="926" t="s">
        <v>628</v>
      </c>
      <c r="K21" s="926" t="s">
        <v>628</v>
      </c>
      <c r="L21" s="827" t="s">
        <v>628</v>
      </c>
      <c r="P21" s="309"/>
      <c r="Q21" s="309"/>
      <c r="R21" s="309"/>
      <c r="S21" s="309"/>
      <c r="T21" s="309"/>
      <c r="U21" s="309"/>
      <c r="V21" s="309"/>
    </row>
    <row r="22" spans="1:22" ht="21" customHeight="1">
      <c r="B22" s="617"/>
      <c r="C22" s="617"/>
      <c r="D22" s="621"/>
      <c r="E22" s="571"/>
      <c r="F22" s="571"/>
      <c r="G22" s="571"/>
      <c r="H22" s="571"/>
      <c r="I22" s="571"/>
      <c r="J22" s="571"/>
      <c r="K22" s="571"/>
      <c r="L22" s="1025">
        <f t="shared" si="0"/>
        <v>0</v>
      </c>
      <c r="P22" s="309"/>
      <c r="Q22" s="309"/>
      <c r="R22" s="309"/>
      <c r="S22" s="309"/>
      <c r="T22" s="309"/>
      <c r="U22" s="309"/>
      <c r="V22" s="309"/>
    </row>
    <row r="23" spans="1:22" ht="21" customHeight="1">
      <c r="B23" s="617"/>
      <c r="C23" s="617"/>
      <c r="D23" s="621"/>
      <c r="E23" s="571"/>
      <c r="F23" s="571"/>
      <c r="G23" s="571"/>
      <c r="H23" s="571"/>
      <c r="I23" s="571"/>
      <c r="J23" s="571"/>
      <c r="K23" s="571"/>
      <c r="L23" s="1025">
        <f t="shared" si="0"/>
        <v>0</v>
      </c>
      <c r="P23" s="309"/>
      <c r="Q23" s="309"/>
      <c r="R23" s="309"/>
      <c r="S23" s="309"/>
      <c r="T23" s="309"/>
      <c r="U23" s="309"/>
      <c r="V23" s="309"/>
    </row>
    <row r="24" spans="1:22" ht="21" customHeight="1">
      <c r="B24" s="617"/>
      <c r="C24" s="617"/>
      <c r="D24" s="621"/>
      <c r="E24" s="571"/>
      <c r="F24" s="571"/>
      <c r="G24" s="571"/>
      <c r="H24" s="571"/>
      <c r="I24" s="571"/>
      <c r="J24" s="571"/>
      <c r="K24" s="571"/>
      <c r="L24" s="1025">
        <f t="shared" si="0"/>
        <v>0</v>
      </c>
      <c r="P24" s="309"/>
      <c r="Q24" s="309"/>
      <c r="R24" s="309"/>
      <c r="S24" s="309"/>
      <c r="T24" s="309"/>
      <c r="U24" s="309"/>
      <c r="V24" s="309"/>
    </row>
    <row r="25" spans="1:22" ht="21" customHeight="1" thickBot="1">
      <c r="B25" s="617"/>
      <c r="C25" s="617"/>
      <c r="D25" s="621"/>
      <c r="E25" s="596"/>
      <c r="F25" s="596"/>
      <c r="G25" s="596"/>
      <c r="H25" s="596"/>
      <c r="I25" s="596"/>
      <c r="J25" s="596"/>
      <c r="K25" s="596"/>
      <c r="L25" s="1100">
        <f t="shared" si="0"/>
        <v>0</v>
      </c>
    </row>
    <row r="26" spans="1:22" ht="21" customHeight="1" thickTop="1" thickBot="1">
      <c r="B26" s="1102"/>
      <c r="C26" s="1102"/>
      <c r="D26" s="1103"/>
      <c r="E26" s="1027">
        <f t="shared" ref="E26:K26" si="1">SUM(E9:E25)</f>
        <v>0</v>
      </c>
      <c r="F26" s="1027">
        <f t="shared" si="1"/>
        <v>0</v>
      </c>
      <c r="G26" s="1027">
        <f t="shared" si="1"/>
        <v>0</v>
      </c>
      <c r="H26" s="1027">
        <f t="shared" si="1"/>
        <v>0</v>
      </c>
      <c r="I26" s="1027">
        <f t="shared" si="1"/>
        <v>0</v>
      </c>
      <c r="J26" s="1027">
        <f t="shared" si="1"/>
        <v>0</v>
      </c>
      <c r="K26" s="1027">
        <f t="shared" si="1"/>
        <v>0</v>
      </c>
      <c r="L26" s="1101">
        <f>SUM(L9:L25)</f>
        <v>0</v>
      </c>
    </row>
    <row r="27" spans="1:22" ht="13.8" thickTop="1">
      <c r="B27" s="1104" t="s">
        <v>627</v>
      </c>
      <c r="C27" s="1086"/>
      <c r="D27" s="1086"/>
      <c r="E27" s="1086"/>
      <c r="F27" s="1086"/>
      <c r="G27" s="1086"/>
      <c r="H27" s="1086"/>
      <c r="I27" s="1086"/>
      <c r="J27" s="1086"/>
      <c r="K27" s="1086"/>
      <c r="L27" s="1086"/>
    </row>
  </sheetData>
  <sheetProtection algorithmName="SHA-512" hashValue="xpZd/yrHUA+wUFz+oIPHytKf930RoBsUjOS30phOVeKsEhbTxmlHmUv6D6W3h27oxpyHLzUgrvnVWTW7HgL4dQ==" saltValue="oraXZ5yhjXeU9IRAD4mesw==" spinCount="100000" sheet="1" objects="1" scenarios="1"/>
  <mergeCells count="4">
    <mergeCell ref="B2:L2"/>
    <mergeCell ref="B3:L3"/>
    <mergeCell ref="F5:I5"/>
    <mergeCell ref="A15:A17"/>
  </mergeCells>
  <pageMargins left="0.25" right="0.25" top="0.5" bottom="0.5" header="0.25" footer="0.25"/>
  <pageSetup paperSize="5" orientation="landscape" r:id="rId1"/>
  <headerFooter alignWithMargins="0"/>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5">
    <tabColor theme="3" tint="0.79998168889431442"/>
  </sheetPr>
  <dimension ref="B1:T55"/>
  <sheetViews>
    <sheetView zoomScaleNormal="100" zoomScaleSheetLayoutView="80" workbookViewId="0">
      <selection activeCell="B3" sqref="B3"/>
    </sheetView>
  </sheetViews>
  <sheetFormatPr defaultColWidth="8.88671875" defaultRowHeight="13.2"/>
  <cols>
    <col min="1" max="1" width="4.6640625" style="370" customWidth="1"/>
    <col min="2" max="3" width="3.6640625" style="370" customWidth="1"/>
    <col min="4" max="4" width="4.6640625" style="370" customWidth="1"/>
    <col min="5" max="5" width="8.88671875" style="370"/>
    <col min="6" max="6" width="16.6640625" style="370" customWidth="1"/>
    <col min="7" max="7" width="8.6640625" style="370" customWidth="1"/>
    <col min="8" max="10" width="16.6640625" style="370" customWidth="1"/>
    <col min="11" max="11" width="8.88671875" style="370"/>
    <col min="12" max="12" width="11.33203125" style="370" bestFit="1" customWidth="1"/>
    <col min="13" max="16384" width="8.88671875" style="370"/>
  </cols>
  <sheetData>
    <row r="1" spans="2:20">
      <c r="B1" s="1054"/>
      <c r="C1" s="1054"/>
      <c r="D1" s="1054"/>
      <c r="E1" s="1054"/>
      <c r="F1" s="1054"/>
      <c r="G1" s="1054"/>
      <c r="H1" s="1054"/>
      <c r="I1" s="1054"/>
      <c r="J1" s="1054"/>
    </row>
    <row r="2" spans="2:20" ht="22.8">
      <c r="B2" s="1887" t="str">
        <f>"SCHEDULE OF "&amp;UPPER('KEY INPUTS'!D59)&amp;" UTILITY BUDGET  -  "&amp;IF('KEY INPUTS'!C42="State Fiscal Year","FY "&amp;'KEY INPUTS'!D33&amp;"",'KEY INPUTS'!D34)&amp;""</f>
        <v>SCHEDULE OF  UTILITY BUDGET  -  2021</v>
      </c>
      <c r="C2" s="1887"/>
      <c r="D2" s="1887"/>
      <c r="E2" s="1887"/>
      <c r="F2" s="1887"/>
      <c r="G2" s="1887"/>
      <c r="H2" s="1887"/>
      <c r="I2" s="1887"/>
      <c r="J2" s="1887"/>
    </row>
    <row r="3" spans="2:20" ht="12" customHeight="1">
      <c r="B3" s="1241"/>
      <c r="C3" s="1241"/>
      <c r="D3" s="1241"/>
      <c r="E3" s="1241"/>
      <c r="F3" s="1241"/>
      <c r="G3" s="1241"/>
      <c r="H3" s="1241"/>
      <c r="I3" s="1241"/>
      <c r="J3" s="1241"/>
    </row>
    <row r="4" spans="2:20" ht="17.25" customHeight="1" thickBot="1">
      <c r="B4" s="2048" t="s">
        <v>832</v>
      </c>
      <c r="C4" s="2048"/>
      <c r="D4" s="2048"/>
      <c r="E4" s="2048"/>
      <c r="F4" s="2048"/>
      <c r="G4" s="2048"/>
      <c r="H4" s="2048"/>
      <c r="I4" s="2048"/>
      <c r="J4" s="2048"/>
    </row>
    <row r="5" spans="2:20" ht="13.8" thickTop="1">
      <c r="B5" s="2049" t="s">
        <v>165</v>
      </c>
      <c r="C5" s="2049"/>
      <c r="D5" s="2049"/>
      <c r="E5" s="2049"/>
      <c r="F5" s="2049"/>
      <c r="G5" s="2013"/>
      <c r="H5" s="1178" t="s">
        <v>535</v>
      </c>
      <c r="I5" s="1178" t="s">
        <v>638</v>
      </c>
      <c r="J5" s="1242" t="s">
        <v>319</v>
      </c>
    </row>
    <row r="6" spans="2:20" ht="13.8" thickBot="1">
      <c r="B6" s="2050"/>
      <c r="C6" s="2050"/>
      <c r="D6" s="2050"/>
      <c r="E6" s="2050"/>
      <c r="F6" s="2050"/>
      <c r="G6" s="2051"/>
      <c r="H6" s="1243"/>
      <c r="I6" s="1243" t="s">
        <v>318</v>
      </c>
      <c r="J6" s="1244" t="s">
        <v>320</v>
      </c>
    </row>
    <row r="7" spans="2:20" ht="21" customHeight="1" thickTop="1">
      <c r="B7" s="1110" t="s">
        <v>3156</v>
      </c>
      <c r="C7" s="1110"/>
      <c r="D7" s="1110"/>
      <c r="E7" s="1110"/>
      <c r="F7" s="1110"/>
      <c r="G7" s="1245"/>
      <c r="H7" s="575"/>
      <c r="I7" s="1249">
        <f>H7</f>
        <v>0</v>
      </c>
      <c r="J7" s="1143">
        <f>+I7-H7</f>
        <v>0</v>
      </c>
    </row>
    <row r="8" spans="2:20" ht="10.5" customHeight="1">
      <c r="B8" s="1149" t="s">
        <v>3155</v>
      </c>
      <c r="C8" s="1054"/>
      <c r="D8" s="1054"/>
      <c r="E8" s="1054"/>
      <c r="F8" s="1054"/>
      <c r="G8" s="1246"/>
      <c r="H8" s="1248"/>
      <c r="I8" s="1248"/>
      <c r="J8" s="1058"/>
    </row>
    <row r="9" spans="2:20">
      <c r="B9" s="1068" t="s">
        <v>168</v>
      </c>
      <c r="C9" s="1068"/>
      <c r="D9" s="1068"/>
      <c r="E9" s="1068"/>
      <c r="F9" s="1068"/>
      <c r="G9" s="1247"/>
      <c r="H9" s="622"/>
      <c r="I9" s="622"/>
      <c r="J9" s="816">
        <f t="shared" ref="J9:J15" si="0">+I9-H9</f>
        <v>0</v>
      </c>
    </row>
    <row r="10" spans="2:20" ht="21" customHeight="1">
      <c r="B10" s="617"/>
      <c r="C10" s="617"/>
      <c r="D10" s="617"/>
      <c r="E10" s="617"/>
      <c r="F10" s="617"/>
      <c r="G10" s="1106"/>
      <c r="H10" s="742"/>
      <c r="I10" s="742"/>
      <c r="J10" s="1250">
        <f t="shared" si="0"/>
        <v>0</v>
      </c>
      <c r="N10" s="309"/>
      <c r="O10" s="309"/>
      <c r="P10" s="309"/>
      <c r="Q10" s="309"/>
      <c r="R10" s="309"/>
      <c r="S10" s="309"/>
      <c r="T10" s="309"/>
    </row>
    <row r="11" spans="2:20" ht="21" customHeight="1">
      <c r="B11" s="617"/>
      <c r="C11" s="617"/>
      <c r="D11" s="617"/>
      <c r="E11" s="617"/>
      <c r="F11" s="617"/>
      <c r="G11" s="1106"/>
      <c r="H11" s="742"/>
      <c r="I11" s="742"/>
      <c r="J11" s="1064">
        <f t="shared" si="0"/>
        <v>0</v>
      </c>
      <c r="N11" s="309"/>
      <c r="O11" s="309"/>
      <c r="P11" s="309"/>
      <c r="Q11" s="309"/>
      <c r="R11" s="309"/>
      <c r="S11" s="309"/>
      <c r="T11" s="309"/>
    </row>
    <row r="12" spans="2:20" ht="21" customHeight="1">
      <c r="B12" s="617"/>
      <c r="C12" s="617"/>
      <c r="D12" s="617"/>
      <c r="E12" s="617"/>
      <c r="F12" s="617"/>
      <c r="G12" s="1106"/>
      <c r="H12" s="742"/>
      <c r="I12" s="742"/>
      <c r="J12" s="1064">
        <f t="shared" si="0"/>
        <v>0</v>
      </c>
      <c r="N12" s="356"/>
      <c r="O12" s="309"/>
      <c r="P12" s="309"/>
      <c r="Q12" s="309"/>
      <c r="R12" s="309"/>
      <c r="S12" s="309"/>
      <c r="T12" s="309"/>
    </row>
    <row r="13" spans="2:20" ht="21" customHeight="1">
      <c r="B13" s="617"/>
      <c r="C13" s="617"/>
      <c r="D13" s="617"/>
      <c r="E13" s="617"/>
      <c r="F13" s="617"/>
      <c r="G13" s="1106"/>
      <c r="H13" s="742"/>
      <c r="I13" s="742"/>
      <c r="J13" s="1064">
        <f t="shared" si="0"/>
        <v>0</v>
      </c>
      <c r="N13" s="309"/>
      <c r="O13" s="309"/>
      <c r="P13" s="309"/>
      <c r="Q13" s="309"/>
      <c r="R13" s="309"/>
      <c r="S13" s="309"/>
      <c r="T13" s="309"/>
    </row>
    <row r="14" spans="2:20" ht="21" customHeight="1">
      <c r="B14" s="617"/>
      <c r="C14" s="617"/>
      <c r="D14" s="617"/>
      <c r="E14" s="617"/>
      <c r="F14" s="617"/>
      <c r="G14" s="1106"/>
      <c r="H14" s="742"/>
      <c r="I14" s="742"/>
      <c r="J14" s="1064">
        <f t="shared" si="0"/>
        <v>0</v>
      </c>
      <c r="N14" s="309"/>
      <c r="O14" s="309"/>
      <c r="P14" s="309"/>
      <c r="Q14" s="309"/>
      <c r="R14" s="309"/>
      <c r="S14" s="309"/>
      <c r="T14" s="309"/>
    </row>
    <row r="15" spans="2:20" ht="21" customHeight="1">
      <c r="B15" s="659" t="s">
        <v>3154</v>
      </c>
      <c r="C15" s="659"/>
      <c r="D15" s="659"/>
      <c r="E15" s="659"/>
      <c r="F15" s="659"/>
      <c r="G15" s="1247"/>
      <c r="H15" s="742"/>
      <c r="I15" s="742"/>
      <c r="J15" s="1064">
        <f t="shared" si="0"/>
        <v>0</v>
      </c>
      <c r="N15" s="309"/>
      <c r="O15" s="309"/>
      <c r="P15" s="309"/>
      <c r="Q15" s="309"/>
      <c r="R15" s="309"/>
      <c r="S15" s="309"/>
      <c r="T15" s="309"/>
    </row>
    <row r="16" spans="2:20" ht="21" customHeight="1">
      <c r="B16" s="659" t="s">
        <v>3153</v>
      </c>
      <c r="C16" s="659"/>
      <c r="D16" s="659"/>
      <c r="E16" s="659"/>
      <c r="F16" s="659"/>
      <c r="G16" s="1247"/>
      <c r="H16" s="742"/>
      <c r="I16" s="742"/>
      <c r="J16" s="1064"/>
      <c r="N16" s="309"/>
      <c r="O16" s="309"/>
      <c r="P16" s="309"/>
      <c r="Q16" s="309"/>
      <c r="R16" s="309"/>
      <c r="S16" s="309"/>
      <c r="T16" s="309"/>
    </row>
    <row r="17" spans="2:20" ht="21" customHeight="1">
      <c r="B17" s="659" t="s">
        <v>3573</v>
      </c>
      <c r="C17" s="659"/>
      <c r="D17" s="659"/>
      <c r="E17" s="659"/>
      <c r="F17" s="659"/>
      <c r="G17" s="1247"/>
      <c r="H17" s="1114" t="s">
        <v>628</v>
      </c>
      <c r="I17" s="1114" t="s">
        <v>628</v>
      </c>
      <c r="J17" s="1240" t="s">
        <v>628</v>
      </c>
      <c r="N17" s="309"/>
      <c r="O17" s="309"/>
      <c r="P17" s="309"/>
      <c r="Q17" s="309"/>
      <c r="R17" s="309"/>
      <c r="S17" s="309"/>
      <c r="T17" s="309"/>
    </row>
    <row r="18" spans="2:20" ht="21" customHeight="1">
      <c r="B18" s="617"/>
      <c r="C18" s="617"/>
      <c r="D18" s="617"/>
      <c r="E18" s="617"/>
      <c r="F18" s="617"/>
      <c r="G18" s="617"/>
      <c r="H18" s="571"/>
      <c r="I18" s="571"/>
      <c r="J18" s="1064">
        <f>I18-H18</f>
        <v>0</v>
      </c>
      <c r="N18" s="309"/>
      <c r="O18" s="309"/>
      <c r="P18" s="309"/>
      <c r="Q18" s="309"/>
      <c r="R18" s="309"/>
      <c r="S18" s="309"/>
      <c r="T18" s="309"/>
    </row>
    <row r="19" spans="2:20" ht="21" customHeight="1" thickBot="1">
      <c r="B19" s="617"/>
      <c r="C19" s="617"/>
      <c r="D19" s="617"/>
      <c r="E19" s="617"/>
      <c r="F19" s="617"/>
      <c r="G19" s="617"/>
      <c r="H19" s="596"/>
      <c r="I19" s="596"/>
      <c r="J19" s="1474">
        <f>I19-H19</f>
        <v>0</v>
      </c>
      <c r="N19" s="309"/>
      <c r="O19" s="309"/>
      <c r="P19" s="309"/>
      <c r="Q19" s="309"/>
      <c r="R19" s="309"/>
      <c r="S19" s="309"/>
      <c r="T19" s="309"/>
    </row>
    <row r="20" spans="2:20" ht="21" customHeight="1" thickTop="1">
      <c r="B20" s="659"/>
      <c r="C20" s="659"/>
      <c r="D20" s="659" t="s">
        <v>317</v>
      </c>
      <c r="E20" s="659"/>
      <c r="F20" s="659"/>
      <c r="G20" s="1252"/>
      <c r="H20" s="1255">
        <f>SUM(H7:H19)</f>
        <v>0</v>
      </c>
      <c r="I20" s="1255">
        <f>SUM(I7:I19)</f>
        <v>0</v>
      </c>
      <c r="J20" s="816">
        <f>SUM(J7:J19)</f>
        <v>0</v>
      </c>
      <c r="N20" s="309"/>
      <c r="O20" s="309"/>
      <c r="P20" s="309"/>
      <c r="Q20" s="309"/>
      <c r="R20" s="309"/>
      <c r="S20" s="309"/>
      <c r="T20" s="309"/>
    </row>
    <row r="21" spans="2:20" ht="21" customHeight="1" thickBot="1">
      <c r="B21" s="659" t="s">
        <v>3152</v>
      </c>
      <c r="C21" s="1253"/>
      <c r="D21" s="1253"/>
      <c r="E21" s="659"/>
      <c r="F21" s="659"/>
      <c r="G21" s="1247"/>
      <c r="H21" s="623"/>
      <c r="I21" s="623"/>
      <c r="J21" s="1058">
        <f>I21-H21</f>
        <v>0</v>
      </c>
      <c r="N21" s="309"/>
      <c r="O21" s="309"/>
      <c r="P21" s="309"/>
      <c r="Q21" s="309"/>
      <c r="R21" s="309"/>
      <c r="S21" s="309"/>
      <c r="T21" s="309"/>
    </row>
    <row r="22" spans="2:20" ht="21" customHeight="1" thickTop="1" thickBot="1">
      <c r="B22" s="1054"/>
      <c r="C22" s="1054"/>
      <c r="D22" s="1054"/>
      <c r="E22" s="1054"/>
      <c r="F22" s="1054"/>
      <c r="G22" s="1254"/>
      <c r="H22" s="1256">
        <f>+H20+H21</f>
        <v>0</v>
      </c>
      <c r="I22" s="1256">
        <f>+I20+I21</f>
        <v>0</v>
      </c>
      <c r="J22" s="1251">
        <f>+J20+J21</f>
        <v>0</v>
      </c>
      <c r="L22" s="371" t="s">
        <v>3133</v>
      </c>
      <c r="N22" s="309"/>
      <c r="O22" s="309"/>
      <c r="P22" s="309"/>
      <c r="Q22" s="309"/>
      <c r="R22" s="309"/>
      <c r="S22" s="309"/>
      <c r="T22" s="309"/>
    </row>
    <row r="23" spans="2:20" ht="13.8" thickTop="1">
      <c r="B23" s="399" t="s">
        <v>3151</v>
      </c>
      <c r="N23" s="309"/>
      <c r="O23" s="309"/>
      <c r="P23" s="309"/>
      <c r="Q23" s="309"/>
      <c r="R23" s="309"/>
      <c r="S23" s="309"/>
      <c r="T23" s="309"/>
    </row>
    <row r="24" spans="2:20">
      <c r="B24" s="399" t="s">
        <v>3150</v>
      </c>
      <c r="N24" s="309"/>
      <c r="O24" s="309"/>
      <c r="P24" s="309"/>
      <c r="Q24" s="309"/>
      <c r="R24" s="309"/>
      <c r="S24" s="309"/>
      <c r="T24" s="309"/>
    </row>
    <row r="25" spans="2:20">
      <c r="N25" s="309"/>
      <c r="O25" s="309"/>
      <c r="P25" s="309"/>
      <c r="Q25" s="309"/>
      <c r="R25" s="309"/>
      <c r="S25" s="309"/>
      <c r="T25" s="309"/>
    </row>
    <row r="26" spans="2:20">
      <c r="N26" s="309"/>
      <c r="O26" s="309"/>
      <c r="P26" s="309"/>
      <c r="Q26" s="309"/>
      <c r="R26" s="309"/>
      <c r="S26" s="309"/>
      <c r="T26" s="309"/>
    </row>
    <row r="27" spans="2:20" ht="17.25" customHeight="1" thickBot="1">
      <c r="B27" s="2048" t="s">
        <v>321</v>
      </c>
      <c r="C27" s="2048"/>
      <c r="D27" s="2048"/>
      <c r="E27" s="2048"/>
      <c r="F27" s="2048"/>
      <c r="G27" s="2048"/>
      <c r="H27" s="2048"/>
      <c r="I27" s="2048"/>
      <c r="J27" s="2048"/>
    </row>
    <row r="28" spans="2:20" ht="21" customHeight="1" thickTop="1">
      <c r="B28" s="1257" t="s">
        <v>322</v>
      </c>
      <c r="C28" s="1258"/>
      <c r="D28" s="1258"/>
      <c r="E28" s="1258"/>
      <c r="F28" s="1258"/>
      <c r="G28" s="1258"/>
      <c r="H28" s="1258"/>
      <c r="I28" s="1259"/>
      <c r="J28" s="1260" t="s">
        <v>628</v>
      </c>
    </row>
    <row r="29" spans="2:20" ht="21" customHeight="1">
      <c r="B29" s="1261"/>
      <c r="C29" s="1262" t="s">
        <v>174</v>
      </c>
      <c r="D29" s="1262"/>
      <c r="E29" s="1262"/>
      <c r="F29" s="1262"/>
      <c r="G29" s="1262"/>
      <c r="H29" s="1262"/>
      <c r="I29" s="1263"/>
      <c r="J29" s="624"/>
    </row>
    <row r="30" spans="2:20" ht="21" customHeight="1">
      <c r="B30" s="1261"/>
      <c r="C30" s="1262" t="s">
        <v>3574</v>
      </c>
      <c r="D30" s="1262"/>
      <c r="E30" s="1262"/>
      <c r="F30" s="1262"/>
      <c r="G30" s="1262"/>
      <c r="H30" s="1262"/>
      <c r="I30" s="1263"/>
      <c r="J30" s="624"/>
    </row>
    <row r="31" spans="2:20" ht="21" customHeight="1" thickBot="1">
      <c r="B31" s="1261"/>
      <c r="C31" s="1262" t="s">
        <v>323</v>
      </c>
      <c r="D31" s="1262"/>
      <c r="E31" s="1262"/>
      <c r="F31" s="1262"/>
      <c r="G31" s="1262"/>
      <c r="H31" s="1262"/>
      <c r="I31" s="1263"/>
      <c r="J31" s="626"/>
    </row>
    <row r="32" spans="2:20" ht="21" customHeight="1" thickTop="1">
      <c r="B32" s="1261" t="s">
        <v>324</v>
      </c>
      <c r="C32" s="1262"/>
      <c r="D32" s="1262"/>
      <c r="E32" s="1262"/>
      <c r="F32" s="1262"/>
      <c r="G32" s="1262"/>
      <c r="H32" s="1262"/>
      <c r="I32" s="1264"/>
      <c r="J32" s="1265">
        <f>SUM(J29:J31)</f>
        <v>0</v>
      </c>
    </row>
    <row r="33" spans="2:13" ht="21" customHeight="1" thickBot="1">
      <c r="B33" s="1261" t="s">
        <v>325</v>
      </c>
      <c r="C33" s="1262"/>
      <c r="D33" s="1262"/>
      <c r="E33" s="1262"/>
      <c r="F33" s="1262"/>
      <c r="G33" s="1262"/>
      <c r="H33" s="1262"/>
      <c r="I33" s="1264"/>
      <c r="J33" s="626"/>
    </row>
    <row r="34" spans="2:13" ht="21" customHeight="1" thickTop="1">
      <c r="B34" s="1261" t="s">
        <v>727</v>
      </c>
      <c r="C34" s="1262"/>
      <c r="D34" s="1262"/>
      <c r="E34" s="1262"/>
      <c r="F34" s="1262"/>
      <c r="G34" s="1262"/>
      <c r="H34" s="1262"/>
      <c r="I34" s="1264"/>
      <c r="J34" s="1265">
        <f>+J32+J33</f>
        <v>0</v>
      </c>
    </row>
    <row r="35" spans="2:13" ht="21" customHeight="1">
      <c r="B35" s="1261" t="s">
        <v>326</v>
      </c>
      <c r="C35" s="1262"/>
      <c r="D35" s="1262"/>
      <c r="E35" s="1262"/>
      <c r="F35" s="1262"/>
      <c r="G35" s="1262"/>
      <c r="H35" s="1262"/>
      <c r="I35" s="1264"/>
      <c r="J35" s="1266"/>
    </row>
    <row r="36" spans="2:13" ht="21" customHeight="1">
      <c r="B36" s="1268"/>
      <c r="C36" s="1268" t="s">
        <v>594</v>
      </c>
      <c r="D36" s="1268"/>
      <c r="E36" s="1268"/>
      <c r="F36" s="1268"/>
      <c r="G36" s="1268"/>
      <c r="H36" s="1268"/>
      <c r="I36" s="627"/>
      <c r="J36" s="1267"/>
    </row>
    <row r="37" spans="2:13" ht="21" customHeight="1">
      <c r="B37" s="1268"/>
      <c r="C37" s="1268" t="s">
        <v>731</v>
      </c>
      <c r="D37" s="1268"/>
      <c r="E37" s="1268"/>
      <c r="F37" s="1268"/>
      <c r="G37" s="1268"/>
      <c r="H37" s="1268"/>
      <c r="I37" s="627"/>
      <c r="J37" s="1267"/>
    </row>
    <row r="38" spans="2:13" ht="21" customHeight="1" thickBot="1">
      <c r="B38" s="1268" t="s">
        <v>327</v>
      </c>
      <c r="C38" s="1268"/>
      <c r="D38" s="1268"/>
      <c r="E38" s="1268"/>
      <c r="F38" s="1268"/>
      <c r="G38" s="1268"/>
      <c r="H38" s="1268"/>
      <c r="I38" s="628"/>
      <c r="J38" s="624"/>
      <c r="M38" s="371"/>
    </row>
    <row r="39" spans="2:13" ht="21" customHeight="1" thickTop="1" thickBot="1">
      <c r="B39" s="1268" t="s">
        <v>732</v>
      </c>
      <c r="C39" s="1268"/>
      <c r="D39" s="1268"/>
      <c r="E39" s="1268"/>
      <c r="F39" s="1268"/>
      <c r="G39" s="1268"/>
      <c r="H39" s="1268"/>
      <c r="I39" s="1269"/>
      <c r="J39" s="403">
        <f>SUM(I36:I38)</f>
        <v>0</v>
      </c>
    </row>
    <row r="40" spans="2:13" ht="21" customHeight="1" thickTop="1" thickBot="1">
      <c r="B40" s="1268" t="s">
        <v>328</v>
      </c>
      <c r="C40" s="1268"/>
      <c r="D40" s="1268"/>
      <c r="E40" s="1268"/>
      <c r="F40" s="1268"/>
      <c r="G40" s="1268"/>
      <c r="H40" s="1268"/>
      <c r="I40" s="1270"/>
      <c r="J40" s="400">
        <f>+J34-J39</f>
        <v>0</v>
      </c>
      <c r="K40" s="371"/>
    </row>
    <row r="41" spans="2:13" ht="13.8" thickTop="1"/>
    <row r="42" spans="2:13">
      <c r="B42" s="399" t="s">
        <v>3149</v>
      </c>
      <c r="C42" s="399"/>
      <c r="D42" s="399"/>
      <c r="E42" s="399"/>
      <c r="F42" s="399"/>
    </row>
    <row r="43" spans="2:13">
      <c r="B43" s="399"/>
      <c r="C43" s="399" t="s">
        <v>3148</v>
      </c>
      <c r="D43" s="399"/>
      <c r="E43" s="399"/>
      <c r="F43" s="399"/>
    </row>
    <row r="44" spans="2:13">
      <c r="B44" s="399"/>
      <c r="C44" s="399"/>
      <c r="D44" s="399" t="s">
        <v>3147</v>
      </c>
      <c r="E44" s="399"/>
      <c r="F44" s="399"/>
      <c r="M44" s="371"/>
    </row>
    <row r="45" spans="2:13">
      <c r="B45" s="399"/>
      <c r="C45" s="399" t="s">
        <v>39</v>
      </c>
      <c r="D45" s="399"/>
      <c r="E45" s="399"/>
      <c r="F45" s="399"/>
    </row>
    <row r="46" spans="2:13">
      <c r="B46" s="399"/>
      <c r="C46" s="399" t="s">
        <v>3146</v>
      </c>
      <c r="D46" s="399"/>
      <c r="E46" s="399"/>
      <c r="F46" s="399"/>
    </row>
    <row r="47" spans="2:13">
      <c r="B47" s="399"/>
      <c r="C47" s="399"/>
      <c r="D47" s="399" t="s">
        <v>3145</v>
      </c>
      <c r="E47" s="399"/>
      <c r="F47" s="399"/>
    </row>
    <row r="48" spans="2:13">
      <c r="B48" s="399"/>
      <c r="C48" s="399"/>
      <c r="D48" s="399"/>
      <c r="E48" s="399"/>
      <c r="F48" s="399"/>
    </row>
    <row r="55" spans="2:10" ht="13.8">
      <c r="B55" s="1882" t="s">
        <v>3144</v>
      </c>
      <c r="C55" s="1882"/>
      <c r="D55" s="1882"/>
      <c r="E55" s="1882"/>
      <c r="F55" s="1882"/>
      <c r="G55" s="1882"/>
      <c r="H55" s="1882"/>
      <c r="I55" s="1882"/>
      <c r="J55" s="1882"/>
    </row>
  </sheetData>
  <sheetProtection algorithmName="SHA-512" hashValue="K4KX27ypkyeYed9/koo5zhvjAWGrP3iseiFtvqyYPEmrDN8MM9quvYsU2au28p95N20dCjFD0RqLKpif7hSGyw==" saltValue="ubLx5NLp28wtkVVaCW5Vag==" spinCount="100000" sheet="1" objects="1" scenarios="1"/>
  <mergeCells count="5">
    <mergeCell ref="B2:J2"/>
    <mergeCell ref="B4:J4"/>
    <mergeCell ref="B5:G6"/>
    <mergeCell ref="B27:J27"/>
    <mergeCell ref="B55:J55"/>
  </mergeCells>
  <pageMargins left="0.25" right="0.25" top="0.5" bottom="0.5" header="0.25" footer="0.25"/>
  <pageSetup paperSize="5" orientation="portrait" r:id="rId1"/>
  <headerFooter alignWithMargins="0"/>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6">
    <tabColor theme="3" tint="0.79998168889431442"/>
  </sheetPr>
  <dimension ref="B1:T57"/>
  <sheetViews>
    <sheetView zoomScaleNormal="100" zoomScaleSheetLayoutView="80" workbookViewId="0">
      <selection activeCell="P38" sqref="P38"/>
    </sheetView>
  </sheetViews>
  <sheetFormatPr defaultColWidth="8.88671875" defaultRowHeight="13.2"/>
  <cols>
    <col min="1" max="1" width="4.6640625" style="370" customWidth="1"/>
    <col min="2" max="2" width="6.109375" style="370" customWidth="1"/>
    <col min="3" max="3" width="3.33203125" style="370" customWidth="1"/>
    <col min="4" max="4" width="2.6640625" style="370" customWidth="1"/>
    <col min="5" max="5" width="8.88671875" style="370"/>
    <col min="6" max="6" width="5.88671875" style="370" customWidth="1"/>
    <col min="7" max="7" width="8.88671875" style="370"/>
    <col min="8" max="8" width="16" style="370" customWidth="1"/>
    <col min="9" max="9" width="8.88671875" style="370"/>
    <col min="10" max="11" width="16.6640625" style="370" customWidth="1"/>
    <col min="12" max="12" width="8.88671875" style="370"/>
    <col min="13" max="13" width="11.33203125" style="370" customWidth="1"/>
    <col min="14" max="16384" width="8.88671875" style="370"/>
  </cols>
  <sheetData>
    <row r="1" spans="2:20">
      <c r="B1" s="737"/>
      <c r="C1" s="1054"/>
      <c r="D1" s="1054"/>
      <c r="E1" s="1054"/>
      <c r="F1" s="1054"/>
      <c r="G1" s="1054"/>
      <c r="H1" s="1054"/>
      <c r="I1" s="1054"/>
      <c r="J1" s="1054"/>
      <c r="K1" s="1054"/>
    </row>
    <row r="2" spans="2:20">
      <c r="B2" s="1054"/>
      <c r="C2" s="1054"/>
      <c r="D2" s="1054"/>
      <c r="E2" s="1054"/>
      <c r="F2" s="1054"/>
      <c r="G2" s="1054"/>
      <c r="H2" s="1054"/>
      <c r="I2" s="1054"/>
      <c r="J2" s="1054"/>
      <c r="K2" s="1054"/>
    </row>
    <row r="3" spans="2:20" ht="22.8">
      <c r="B3" s="1887" t="str">
        <f>"STATEMENT  OF  "&amp;IF('KEY INPUTS'!C42="State Fiscal Year","FISCAL  YEAR  "&amp;'KEY INPUTS'!D33&amp;"",'KEY INPUTS'!D34)&amp;"  OPERATION"</f>
        <v>STATEMENT  OF  2021  OPERATION</v>
      </c>
      <c r="C3" s="1887"/>
      <c r="D3" s="1887"/>
      <c r="E3" s="1887"/>
      <c r="F3" s="1887"/>
      <c r="G3" s="1887"/>
      <c r="H3" s="1887"/>
      <c r="I3" s="1887"/>
      <c r="J3" s="1887"/>
      <c r="K3" s="1887"/>
    </row>
    <row r="4" spans="2:20">
      <c r="B4" s="1054"/>
      <c r="C4" s="1054"/>
      <c r="D4" s="1054"/>
      <c r="E4" s="1054"/>
      <c r="F4" s="1054"/>
      <c r="G4" s="1054"/>
      <c r="H4" s="1054"/>
      <c r="I4" s="1054"/>
      <c r="J4" s="1054"/>
      <c r="K4" s="1054"/>
    </row>
    <row r="5" spans="2:20" ht="20.399999999999999">
      <c r="B5" s="1909" t="str">
        <f>UPPER('KEY INPUTS'!D59)&amp;" UTILITY"</f>
        <v xml:space="preserve"> UTILITY</v>
      </c>
      <c r="C5" s="1909"/>
      <c r="D5" s="1909"/>
      <c r="E5" s="1909"/>
      <c r="F5" s="1909"/>
      <c r="G5" s="1909"/>
      <c r="H5" s="1909"/>
      <c r="I5" s="1909"/>
      <c r="J5" s="1909"/>
      <c r="K5" s="1909"/>
    </row>
    <row r="6" spans="2:20">
      <c r="B6" s="1054"/>
      <c r="C6" s="1054"/>
      <c r="D6" s="1054"/>
      <c r="E6" s="1054"/>
      <c r="F6" s="1054"/>
      <c r="G6" s="1054"/>
      <c r="H6" s="1054"/>
      <c r="I6" s="1054"/>
      <c r="J6" s="1054"/>
      <c r="K6" s="1054"/>
    </row>
    <row r="7" spans="2:20">
      <c r="B7" s="1054"/>
      <c r="C7" s="1054"/>
      <c r="D7" s="1054"/>
      <c r="E7" s="1054"/>
      <c r="F7" s="1054"/>
      <c r="G7" s="1054"/>
      <c r="H7" s="1054"/>
      <c r="I7" s="1054"/>
      <c r="J7" s="1054"/>
      <c r="K7" s="1054"/>
    </row>
    <row r="8" spans="2:20">
      <c r="B8" s="1054" t="s">
        <v>313</v>
      </c>
      <c r="C8" s="1129" t="str">
        <f>"Section 1 of this sheet is required to be filled out ONLY IF the "&amp;IF('KEY INPUTS'!C42="State Fiscal Year","Fiscal Year "&amp;'KEY INPUTS'!D33&amp;"",'KEY INPUTS'!D34)&amp;" "&amp;PROPER('KEY INPUTS'!D59)&amp;" Utility Budget contained"</f>
        <v>Section 1 of this sheet is required to be filled out ONLY IF the 2021  Utility Budget contained</v>
      </c>
      <c r="D8" s="1054"/>
      <c r="E8" s="1054"/>
      <c r="F8" s="1054"/>
      <c r="G8" s="1054"/>
      <c r="H8" s="1054"/>
      <c r="I8" s="1054"/>
      <c r="J8" s="1054"/>
      <c r="K8" s="1054"/>
    </row>
    <row r="9" spans="2:20">
      <c r="B9" s="1054"/>
      <c r="C9" s="1054" t="s">
        <v>329</v>
      </c>
      <c r="D9" s="1054"/>
      <c r="E9" s="1054"/>
      <c r="F9" s="1054"/>
      <c r="G9" s="1054"/>
      <c r="H9" s="1054"/>
      <c r="I9" s="1054"/>
      <c r="J9" s="1054"/>
      <c r="K9" s="1054"/>
    </row>
    <row r="10" spans="2:20">
      <c r="B10" s="1054"/>
      <c r="C10" s="1054" t="s">
        <v>330</v>
      </c>
      <c r="D10" s="1054"/>
      <c r="E10" s="1054"/>
      <c r="F10" s="1054"/>
      <c r="G10" s="1054"/>
      <c r="H10" s="1054"/>
      <c r="I10" s="1054"/>
      <c r="J10" s="1054"/>
      <c r="K10" s="1054"/>
    </row>
    <row r="11" spans="2:20">
      <c r="B11" s="1054"/>
      <c r="C11" s="1107" t="s">
        <v>3160</v>
      </c>
      <c r="D11" s="1054"/>
      <c r="E11" s="1054"/>
      <c r="F11" s="1054"/>
      <c r="G11" s="1054"/>
      <c r="H11" s="1054"/>
      <c r="I11" s="1054"/>
      <c r="J11" s="1054"/>
      <c r="K11" s="1054"/>
    </row>
    <row r="12" spans="2:20">
      <c r="B12" s="1054"/>
      <c r="C12" s="1054"/>
      <c r="D12" s="1054"/>
      <c r="E12" s="1054"/>
      <c r="F12" s="1054"/>
      <c r="G12" s="1054"/>
      <c r="H12" s="1054"/>
      <c r="I12" s="1054"/>
      <c r="J12" s="1054"/>
      <c r="K12" s="1054"/>
    </row>
    <row r="13" spans="2:20" ht="17.399999999999999">
      <c r="B13" s="1108" t="s">
        <v>331</v>
      </c>
      <c r="C13" s="1054"/>
      <c r="D13" s="1054"/>
      <c r="E13" s="1054"/>
      <c r="F13" s="1054"/>
      <c r="G13" s="1054"/>
      <c r="H13" s="1054"/>
      <c r="I13" s="1054"/>
      <c r="J13" s="1054"/>
      <c r="K13" s="1054"/>
    </row>
    <row r="14" spans="2:20" ht="13.8" thickBot="1">
      <c r="B14" s="1109"/>
      <c r="C14" s="1109"/>
      <c r="D14" s="1109"/>
      <c r="E14" s="1109"/>
      <c r="F14" s="1109"/>
      <c r="G14" s="1109"/>
      <c r="H14" s="1109"/>
      <c r="I14" s="1109"/>
      <c r="J14" s="1109"/>
      <c r="K14" s="1109"/>
    </row>
    <row r="15" spans="2:20" ht="21" customHeight="1" thickTop="1">
      <c r="B15" s="1110" t="s">
        <v>332</v>
      </c>
      <c r="C15" s="1110"/>
      <c r="D15" s="1110"/>
      <c r="E15" s="1110"/>
      <c r="F15" s="1110"/>
      <c r="G15" s="1110"/>
      <c r="H15" s="1110"/>
      <c r="I15" s="1110"/>
      <c r="J15" s="1111" t="s">
        <v>628</v>
      </c>
      <c r="K15" s="799"/>
      <c r="N15" s="309"/>
      <c r="O15" s="309"/>
      <c r="P15" s="309"/>
      <c r="Q15" s="309"/>
      <c r="R15" s="309"/>
      <c r="S15" s="309"/>
      <c r="T15" s="309"/>
    </row>
    <row r="16" spans="2:20" ht="21" customHeight="1">
      <c r="B16" s="659"/>
      <c r="C16" s="659" t="s">
        <v>333</v>
      </c>
      <c r="D16" s="659"/>
      <c r="E16" s="659"/>
      <c r="F16" s="659"/>
      <c r="G16" s="659"/>
      <c r="H16" s="659"/>
      <c r="I16" s="659"/>
      <c r="J16" s="800">
        <f>+'44-Utility6'!I20</f>
        <v>0</v>
      </c>
      <c r="K16" s="799"/>
      <c r="N16" s="309"/>
      <c r="O16" s="309"/>
      <c r="P16" s="309"/>
      <c r="Q16" s="309"/>
      <c r="R16" s="309"/>
      <c r="S16" s="309"/>
      <c r="T16" s="309"/>
    </row>
    <row r="17" spans="2:20" ht="21" customHeight="1">
      <c r="B17" s="659"/>
      <c r="C17" s="659" t="s">
        <v>334</v>
      </c>
      <c r="D17" s="659"/>
      <c r="E17" s="659"/>
      <c r="F17" s="659"/>
      <c r="G17" s="659"/>
      <c r="H17" s="659"/>
      <c r="I17" s="659"/>
      <c r="J17" s="547"/>
      <c r="K17" s="799"/>
      <c r="N17" s="356"/>
      <c r="O17" s="309"/>
      <c r="P17" s="309"/>
      <c r="Q17" s="309"/>
      <c r="R17" s="309"/>
      <c r="S17" s="309"/>
      <c r="T17" s="309"/>
    </row>
    <row r="18" spans="2:20" ht="21" customHeight="1">
      <c r="B18" s="659"/>
      <c r="C18" s="871" t="str">
        <f>IF('KEY INPUTS'!C42="State Fiscal Year","FY "&amp;'KEY INPUTS'!D33-1&amp;"",'KEY INPUTS'!D34-1)&amp;" Appropriation Reserves Canceled in "&amp;IF('KEY INPUTS'!C42="State Fiscal Year","FY "&amp;'KEY INPUTS'!D33&amp;"",'KEY INPUTS'!D34)</f>
        <v>2020 Appropriation Reserves Canceled in 2021</v>
      </c>
      <c r="D18" s="1112"/>
      <c r="E18" s="1112"/>
      <c r="F18" s="1112"/>
      <c r="G18" s="1112"/>
      <c r="H18" s="659"/>
      <c r="I18" s="659"/>
      <c r="J18" s="353"/>
      <c r="K18" s="799"/>
      <c r="N18" s="309"/>
      <c r="O18" s="309"/>
      <c r="P18" s="309"/>
      <c r="Q18" s="309"/>
      <c r="R18" s="309"/>
      <c r="S18" s="309"/>
      <c r="T18" s="309"/>
    </row>
    <row r="19" spans="2:20" ht="21" customHeight="1">
      <c r="B19" s="659"/>
      <c r="C19" s="617"/>
      <c r="D19" s="617"/>
      <c r="E19" s="617"/>
      <c r="F19" s="617"/>
      <c r="G19" s="617"/>
      <c r="H19" s="617"/>
      <c r="I19" s="617"/>
      <c r="J19" s="353"/>
      <c r="K19" s="799"/>
      <c r="N19" s="309"/>
      <c r="O19" s="309"/>
      <c r="P19" s="309"/>
      <c r="Q19" s="309"/>
      <c r="R19" s="309"/>
      <c r="S19" s="309"/>
      <c r="T19" s="309"/>
    </row>
    <row r="20" spans="2:20" ht="21" customHeight="1">
      <c r="B20" s="659"/>
      <c r="C20" s="617"/>
      <c r="D20" s="617"/>
      <c r="E20" s="617"/>
      <c r="F20" s="617"/>
      <c r="G20" s="617"/>
      <c r="H20" s="617"/>
      <c r="I20" s="617"/>
      <c r="J20" s="353"/>
      <c r="K20" s="799"/>
      <c r="N20" s="309"/>
      <c r="O20" s="309"/>
      <c r="P20" s="309"/>
      <c r="Q20" s="309"/>
      <c r="R20" s="309"/>
      <c r="S20" s="309"/>
      <c r="T20" s="309"/>
    </row>
    <row r="21" spans="2:20" ht="21" customHeight="1">
      <c r="B21" s="659"/>
      <c r="C21" s="659" t="s">
        <v>335</v>
      </c>
      <c r="D21" s="659"/>
      <c r="E21" s="659"/>
      <c r="F21" s="659"/>
      <c r="G21" s="659"/>
      <c r="H21" s="659"/>
      <c r="I21" s="659"/>
      <c r="J21" s="547"/>
      <c r="K21" s="809">
        <f>SUM(J16:J20)</f>
        <v>0</v>
      </c>
      <c r="N21" s="309"/>
      <c r="O21" s="309"/>
      <c r="P21" s="309"/>
      <c r="Q21" s="309"/>
      <c r="R21" s="309"/>
      <c r="S21" s="309"/>
      <c r="T21" s="309"/>
    </row>
    <row r="22" spans="2:20" ht="21" customHeight="1">
      <c r="B22" s="659" t="s">
        <v>336</v>
      </c>
      <c r="C22" s="659"/>
      <c r="D22" s="659"/>
      <c r="E22" s="659"/>
      <c r="F22" s="659"/>
      <c r="G22" s="659"/>
      <c r="H22" s="659"/>
      <c r="I22" s="659"/>
      <c r="J22" s="1114" t="s">
        <v>628</v>
      </c>
      <c r="K22" s="799"/>
      <c r="N22" s="309"/>
      <c r="O22" s="309"/>
      <c r="P22" s="309"/>
      <c r="Q22" s="309"/>
      <c r="R22" s="309"/>
      <c r="S22" s="309"/>
      <c r="T22" s="309"/>
    </row>
    <row r="23" spans="2:20" ht="21" customHeight="1">
      <c r="B23" s="659"/>
      <c r="C23" s="659" t="s">
        <v>337</v>
      </c>
      <c r="D23" s="659"/>
      <c r="E23" s="659"/>
      <c r="F23" s="659"/>
      <c r="G23" s="659"/>
      <c r="H23" s="659"/>
      <c r="I23" s="659"/>
      <c r="J23" s="1114" t="s">
        <v>628</v>
      </c>
      <c r="K23" s="799"/>
      <c r="N23" s="309"/>
      <c r="O23" s="309"/>
      <c r="P23" s="309"/>
      <c r="Q23" s="309"/>
      <c r="R23" s="309"/>
      <c r="S23" s="309"/>
      <c r="T23" s="309"/>
    </row>
    <row r="24" spans="2:20" ht="21" customHeight="1">
      <c r="B24" s="659"/>
      <c r="C24" s="659"/>
      <c r="D24" s="659" t="s">
        <v>594</v>
      </c>
      <c r="E24" s="659"/>
      <c r="F24" s="659"/>
      <c r="G24" s="659"/>
      <c r="H24" s="659"/>
      <c r="I24" s="659"/>
      <c r="J24" s="800">
        <f>+'44-Utility6'!I36</f>
        <v>0</v>
      </c>
      <c r="K24" s="799"/>
      <c r="N24" s="309"/>
      <c r="O24" s="309"/>
      <c r="P24" s="309"/>
      <c r="Q24" s="309"/>
      <c r="R24" s="309"/>
      <c r="S24" s="309"/>
      <c r="T24" s="309"/>
    </row>
    <row r="25" spans="2:20" ht="21" customHeight="1">
      <c r="B25" s="659"/>
      <c r="C25" s="659"/>
      <c r="D25" s="659" t="s">
        <v>731</v>
      </c>
      <c r="E25" s="659"/>
      <c r="F25" s="659"/>
      <c r="G25" s="659"/>
      <c r="H25" s="659"/>
      <c r="I25" s="659"/>
      <c r="J25" s="800">
        <f>+'44-Utility6'!I37</f>
        <v>0</v>
      </c>
      <c r="K25" s="799"/>
      <c r="N25" s="309"/>
      <c r="O25" s="309"/>
      <c r="P25" s="309"/>
      <c r="Q25" s="309"/>
      <c r="R25" s="309"/>
      <c r="S25" s="309"/>
      <c r="T25" s="309"/>
    </row>
    <row r="26" spans="2:20" ht="21" customHeight="1">
      <c r="B26" s="659"/>
      <c r="C26" s="659" t="s">
        <v>338</v>
      </c>
      <c r="D26" s="659"/>
      <c r="E26" s="659"/>
      <c r="F26" s="659"/>
      <c r="G26" s="659"/>
      <c r="H26" s="659"/>
      <c r="I26" s="659"/>
      <c r="J26" s="547"/>
      <c r="K26" s="799"/>
      <c r="N26" s="309"/>
      <c r="O26" s="309"/>
      <c r="P26" s="309"/>
      <c r="Q26" s="309"/>
      <c r="R26" s="309"/>
      <c r="S26" s="309"/>
      <c r="T26" s="309"/>
    </row>
    <row r="27" spans="2:20" ht="21" customHeight="1">
      <c r="B27" s="659"/>
      <c r="C27" s="659" t="s">
        <v>339</v>
      </c>
      <c r="D27" s="659"/>
      <c r="E27" s="659"/>
      <c r="F27" s="659"/>
      <c r="G27" s="659"/>
      <c r="H27" s="659"/>
      <c r="I27" s="659"/>
      <c r="J27" s="547"/>
      <c r="K27" s="799"/>
      <c r="N27" s="309"/>
      <c r="O27" s="309"/>
      <c r="P27" s="309"/>
      <c r="Q27" s="309"/>
      <c r="R27" s="309"/>
      <c r="S27" s="309"/>
      <c r="T27" s="309"/>
    </row>
    <row r="28" spans="2:20" ht="21" customHeight="1" thickBot="1">
      <c r="B28" s="659"/>
      <c r="C28" s="617"/>
      <c r="D28" s="617"/>
      <c r="E28" s="617"/>
      <c r="F28" s="617"/>
      <c r="G28" s="617"/>
      <c r="H28" s="617"/>
      <c r="I28" s="617"/>
      <c r="J28" s="969"/>
      <c r="K28" s="799"/>
      <c r="N28" s="309"/>
      <c r="O28" s="309"/>
      <c r="P28" s="309"/>
      <c r="Q28" s="309"/>
      <c r="R28" s="309"/>
      <c r="S28" s="309"/>
      <c r="T28" s="309"/>
    </row>
    <row r="29" spans="2:20" ht="21" customHeight="1">
      <c r="B29" s="659"/>
      <c r="C29" s="659"/>
      <c r="D29" s="659"/>
      <c r="E29" s="659"/>
      <c r="F29" s="659" t="s">
        <v>732</v>
      </c>
      <c r="G29" s="659"/>
      <c r="H29" s="659"/>
      <c r="I29" s="659"/>
      <c r="J29" s="806">
        <f>SUM(J24:J28)</f>
        <v>0</v>
      </c>
      <c r="K29" s="799"/>
      <c r="N29" s="309"/>
      <c r="O29" s="309"/>
      <c r="P29" s="309"/>
      <c r="Q29" s="309"/>
      <c r="R29" s="309"/>
      <c r="S29" s="309"/>
      <c r="T29" s="309"/>
    </row>
    <row r="30" spans="2:20" ht="11.25" customHeight="1">
      <c r="B30" s="1054"/>
      <c r="C30" s="1054"/>
      <c r="D30" s="1054"/>
      <c r="E30" s="1054"/>
      <c r="F30" s="1054" t="s">
        <v>756</v>
      </c>
      <c r="G30" s="1054" t="s">
        <v>757</v>
      </c>
      <c r="H30" s="1054"/>
      <c r="I30" s="1054"/>
      <c r="J30" s="1117"/>
      <c r="K30" s="799"/>
      <c r="N30" s="309"/>
      <c r="O30" s="309"/>
      <c r="P30" s="309"/>
      <c r="Q30" s="309"/>
      <c r="R30" s="309"/>
      <c r="S30" s="309"/>
      <c r="T30" s="309"/>
    </row>
    <row r="31" spans="2:20" ht="13.5" customHeight="1">
      <c r="B31" s="1068"/>
      <c r="C31" s="1068"/>
      <c r="D31" s="1068"/>
      <c r="E31" s="1068"/>
      <c r="F31" s="1068"/>
      <c r="G31" s="1068" t="s">
        <v>758</v>
      </c>
      <c r="H31" s="1068"/>
      <c r="I31" s="1118"/>
      <c r="J31" s="1422"/>
      <c r="K31" s="1115"/>
      <c r="N31" s="309"/>
      <c r="O31" s="309"/>
      <c r="P31" s="309"/>
      <c r="Q31" s="309"/>
      <c r="R31" s="309"/>
      <c r="S31" s="309"/>
      <c r="T31" s="309"/>
    </row>
    <row r="32" spans="2:20" ht="21" customHeight="1" thickBot="1">
      <c r="B32" s="1120"/>
      <c r="C32" s="1120"/>
      <c r="D32" s="1120" t="s">
        <v>759</v>
      </c>
      <c r="E32" s="1120"/>
      <c r="F32" s="1120"/>
      <c r="G32" s="1120"/>
      <c r="H32" s="1120"/>
      <c r="I32" s="1120"/>
      <c r="J32" s="1121"/>
      <c r="K32" s="1116">
        <f>+J29-J31</f>
        <v>0</v>
      </c>
    </row>
    <row r="33" spans="2:15" ht="21" customHeight="1" thickTop="1" thickBot="1">
      <c r="B33" s="1122" t="s">
        <v>760</v>
      </c>
      <c r="C33" s="1122"/>
      <c r="D33" s="1122"/>
      <c r="E33" s="1122"/>
      <c r="F33" s="1122"/>
      <c r="G33" s="1122"/>
      <c r="H33" s="1122"/>
      <c r="I33" s="1122"/>
      <c r="J33" s="1123"/>
      <c r="K33" s="1124">
        <f>IF(M33&gt;0,M33,0)</f>
        <v>0</v>
      </c>
      <c r="M33" s="371">
        <f>+K21-K32</f>
        <v>0</v>
      </c>
      <c r="N33" s="679" t="s">
        <v>3374</v>
      </c>
    </row>
    <row r="34" spans="2:15" ht="21" customHeight="1">
      <c r="B34" s="659" t="s">
        <v>761</v>
      </c>
      <c r="C34" s="659"/>
      <c r="D34" s="659"/>
      <c r="E34" s="659"/>
      <c r="F34" s="659"/>
      <c r="G34" s="659"/>
      <c r="H34" s="659"/>
      <c r="I34" s="659"/>
      <c r="J34" s="547"/>
      <c r="K34" s="799"/>
    </row>
    <row r="35" spans="2:15" ht="11.25" customHeight="1">
      <c r="B35" s="1921" t="s">
        <v>762</v>
      </c>
      <c r="C35" s="1921"/>
      <c r="D35" s="1921"/>
      <c r="E35" s="1129" t="str">
        <f>"Balance of Results of "&amp;IF('KEY INPUTS'!C42="State Fiscal Year","Fiscal Year "&amp;'KEY INPUTS'!D33&amp;"",'KEY INPUTS'!D34)&amp;" Operation"</f>
        <v>Balance of Results of 2021 Operation</v>
      </c>
      <c r="F35" s="1054"/>
      <c r="G35" s="1054"/>
      <c r="H35" s="1054"/>
      <c r="I35" s="1054"/>
      <c r="J35" s="1117"/>
      <c r="K35" s="799"/>
    </row>
    <row r="36" spans="2:15" ht="12.75" customHeight="1" thickBot="1">
      <c r="B36" s="1922"/>
      <c r="C36" s="1922"/>
      <c r="D36" s="1922"/>
      <c r="E36" s="1068" t="s">
        <v>3484</v>
      </c>
      <c r="F36" s="1068"/>
      <c r="G36" s="1068"/>
      <c r="H36" s="1068"/>
      <c r="I36" s="1068"/>
      <c r="J36" s="1119">
        <f>+K33-J34</f>
        <v>0</v>
      </c>
      <c r="K36" s="799"/>
    </row>
    <row r="37" spans="2:15" ht="21" customHeight="1" thickBot="1">
      <c r="B37" s="1130"/>
      <c r="C37" s="1130"/>
      <c r="D37" s="1130"/>
      <c r="E37" s="1130"/>
      <c r="F37" s="1130"/>
      <c r="G37" s="1130"/>
      <c r="H37" s="1130"/>
      <c r="I37" s="1130"/>
      <c r="J37" s="1133"/>
      <c r="K37" s="1125"/>
    </row>
    <row r="38" spans="2:15" ht="21" customHeight="1" thickBot="1">
      <c r="B38" s="1131" t="s">
        <v>763</v>
      </c>
      <c r="C38" s="1131"/>
      <c r="D38" s="1131"/>
      <c r="E38" s="1131"/>
      <c r="F38" s="1131"/>
      <c r="G38" s="1131"/>
      <c r="H38" s="1131"/>
      <c r="I38" s="1131"/>
      <c r="J38" s="1134"/>
      <c r="K38" s="1126">
        <f>IF(+M33&gt;0,0,+M33*-1)</f>
        <v>0</v>
      </c>
    </row>
    <row r="39" spans="2:15" ht="21" customHeight="1">
      <c r="B39" s="659" t="s">
        <v>764</v>
      </c>
      <c r="C39" s="659"/>
      <c r="D39" s="659"/>
      <c r="E39" s="659"/>
      <c r="F39" s="659"/>
      <c r="G39" s="659"/>
      <c r="H39" s="659"/>
      <c r="I39" s="659"/>
      <c r="J39" s="1134">
        <f>+'44-Utility6'!I21</f>
        <v>0</v>
      </c>
      <c r="K39" s="799"/>
    </row>
    <row r="40" spans="2:15">
      <c r="B40" s="1923" t="s">
        <v>762</v>
      </c>
      <c r="C40" s="1923"/>
      <c r="D40" s="1923"/>
      <c r="E40" s="1129" t="str">
        <f>"Balance of Results of "&amp;IF('KEY INPUTS'!C42="State Fiscal Year","Fiscal Year "&amp;'KEY INPUTS'!D33&amp;"",'KEY INPUTS'!D34)&amp;" Operation"</f>
        <v>Balance of Results of 2021 Operation</v>
      </c>
      <c r="F40" s="1132"/>
      <c r="G40" s="1132"/>
      <c r="H40" s="1132"/>
      <c r="I40" s="1132"/>
      <c r="J40" s="1117"/>
      <c r="K40" s="1127"/>
    </row>
    <row r="41" spans="2:15" ht="13.8" thickBot="1">
      <c r="B41" s="1924"/>
      <c r="C41" s="1924"/>
      <c r="D41" s="1924"/>
      <c r="E41" s="1109" t="s">
        <v>3159</v>
      </c>
      <c r="F41" s="1109"/>
      <c r="G41" s="1109"/>
      <c r="H41" s="1109"/>
      <c r="I41" s="1109"/>
      <c r="J41" s="1135">
        <f>+K38-J39</f>
        <v>0</v>
      </c>
      <c r="K41" s="1128"/>
      <c r="L41" s="708"/>
      <c r="O41" s="371"/>
    </row>
    <row r="42" spans="2:15" ht="13.8" thickTop="1">
      <c r="J42" s="436"/>
      <c r="K42" s="436"/>
    </row>
    <row r="43" spans="2:15" ht="17.399999999999999">
      <c r="B43" s="1108" t="s">
        <v>765</v>
      </c>
      <c r="C43" s="1054"/>
      <c r="D43" s="1054"/>
      <c r="E43" s="1054"/>
      <c r="F43" s="1054"/>
      <c r="G43" s="1054"/>
      <c r="H43" s="1054"/>
      <c r="I43" s="1054"/>
      <c r="J43" s="799"/>
      <c r="K43" s="799"/>
    </row>
    <row r="44" spans="2:15">
      <c r="B44" s="1129" t="str">
        <f>"The following Item of '"&amp;IF('KEY INPUTS'!C42="State Fiscal Year","Fiscal Year "&amp;'KEY INPUTS'!D33-1&amp;"",'KEY INPUTS'!D34-1)&amp;" Appropriation Reserves Canceled in "&amp;IF('KEY INPUTS'!C42="State Fiscal Year","Fiscal Year "&amp;'KEY INPUTS'!D33&amp;"",'KEY INPUTS'!D34)&amp;"' is Due to the Current"</f>
        <v>The following Item of '2020 Appropriation Reserves Canceled in 2021' is Due to the Current</v>
      </c>
      <c r="C44" s="1054"/>
      <c r="D44" s="1054"/>
      <c r="E44" s="1054"/>
      <c r="F44" s="1054"/>
      <c r="G44" s="1054"/>
      <c r="H44" s="1054"/>
      <c r="I44" s="1054"/>
      <c r="J44" s="799"/>
      <c r="K44" s="799"/>
    </row>
    <row r="45" spans="2:15">
      <c r="B45" s="1129" t="str">
        <f>"fund TO THE EXTENT OF the amount received and Due from the General Budget of "&amp;IF('KEY INPUTS'!C42="State Fiscal Year","Fiscal Year "&amp;'KEY INPUTS'!D33-1&amp;"",'KEY INPUTS'!D34-1)&amp;" for an"</f>
        <v>fund TO THE EXTENT OF the amount received and Due from the General Budget of 2020 for an</v>
      </c>
      <c r="C45" s="1054"/>
      <c r="D45" s="1054"/>
      <c r="E45" s="1054"/>
      <c r="F45" s="1054"/>
      <c r="G45" s="1054"/>
      <c r="H45" s="1054"/>
      <c r="I45" s="1054"/>
      <c r="J45" s="799"/>
      <c r="K45" s="799"/>
    </row>
    <row r="46" spans="2:15">
      <c r="B46" s="1129" t="str">
        <f>"Anticipated Deficit in the "&amp;PROPER('KEY INPUTS'!D59)&amp;" Utility for "&amp;IF('KEY INPUTS'!C42="State Fiscal Year","Fiscal Year "&amp;'KEY INPUTS'!D33-1&amp;"",'KEY INPUTS'!D34-1)&amp;""</f>
        <v>Anticipated Deficit in the  Utility for 2020</v>
      </c>
      <c r="C46" s="1054"/>
      <c r="D46" s="1054"/>
      <c r="E46" s="1054"/>
      <c r="F46" s="1054"/>
      <c r="G46" s="1054"/>
      <c r="H46" s="1054"/>
      <c r="I46" s="1054"/>
      <c r="J46" s="799"/>
      <c r="K46" s="799"/>
      <c r="O46" s="309"/>
    </row>
    <row r="47" spans="2:15">
      <c r="B47" s="1054"/>
      <c r="C47" s="1054"/>
      <c r="D47" s="1054"/>
      <c r="E47" s="1054"/>
      <c r="F47" s="1054"/>
      <c r="G47" s="1054"/>
      <c r="H47" s="1054"/>
      <c r="I47" s="1054"/>
      <c r="J47" s="799"/>
      <c r="K47" s="799"/>
      <c r="O47" s="309"/>
    </row>
    <row r="48" spans="2:15" ht="21" customHeight="1">
      <c r="B48" s="871" t="str">
        <f>IF('KEY INPUTS'!C42="State Fiscal Year","Fiscal Year "&amp;'KEY INPUTS'!D33-1&amp;"",'KEY INPUTS'!D34-1)&amp;" Appropriation Reserves Canceled in "&amp;IF('KEY INPUTS'!C42="State Fiscal Year","Fiscal Year "&amp;'KEY INPUTS'!D33&amp;"",'KEY INPUTS'!D34)&amp;""</f>
        <v>2020 Appropriation Reserves Canceled in 2021</v>
      </c>
      <c r="C48" s="659"/>
      <c r="D48" s="659"/>
      <c r="E48" s="659"/>
      <c r="F48" s="659"/>
      <c r="G48" s="659"/>
      <c r="H48" s="659"/>
      <c r="I48" s="659"/>
      <c r="J48" s="353"/>
      <c r="K48" s="799"/>
      <c r="O48" s="309"/>
    </row>
    <row r="49" spans="2:15" ht="24" customHeight="1">
      <c r="B49" s="659"/>
      <c r="C49" s="1136" t="s">
        <v>756</v>
      </c>
      <c r="D49" s="659"/>
      <c r="E49" s="1919" t="str">
        <f>"Anticipated Deficit in "&amp;IF('KEY INPUTS'!C42="State Fiscal Year","Fiscal Year "&amp;'KEY INPUTS'!D33-1&amp;"",'KEY INPUTS'!D34-1)&amp;" Budget - Amount Received and Due from Current Fund - If none, enter 'None '"</f>
        <v>Anticipated Deficit in 2020 Budget - Amount Received and Due from Current Fund - If none, enter 'None '</v>
      </c>
      <c r="F49" s="1919"/>
      <c r="G49" s="1919"/>
      <c r="H49" s="1919"/>
      <c r="I49" s="1920"/>
      <c r="J49" s="547"/>
      <c r="K49" s="799"/>
      <c r="O49" s="309"/>
    </row>
    <row r="50" spans="2:15" ht="21" customHeight="1">
      <c r="B50" s="659" t="s">
        <v>766</v>
      </c>
      <c r="C50" s="659"/>
      <c r="D50" s="659"/>
      <c r="E50" s="659"/>
      <c r="F50" s="659"/>
      <c r="G50" s="659"/>
      <c r="H50" s="659"/>
      <c r="I50" s="659"/>
      <c r="J50" s="632"/>
      <c r="K50" s="809">
        <f>+MAX(0,J48-J49)</f>
        <v>0</v>
      </c>
    </row>
    <row r="52" spans="2:15">
      <c r="B52" s="435" t="s">
        <v>3158</v>
      </c>
    </row>
    <row r="53" spans="2:15">
      <c r="B53" s="435"/>
    </row>
    <row r="54" spans="2:15">
      <c r="B54" s="435"/>
    </row>
    <row r="55" spans="2:15">
      <c r="B55" s="435"/>
    </row>
    <row r="56" spans="2:15">
      <c r="B56" s="435"/>
    </row>
    <row r="57" spans="2:15" ht="13.8">
      <c r="B57" s="1882" t="s">
        <v>3157</v>
      </c>
      <c r="C57" s="1882"/>
      <c r="D57" s="1882"/>
      <c r="E57" s="1882"/>
      <c r="F57" s="1882"/>
      <c r="G57" s="1882"/>
      <c r="H57" s="1882"/>
      <c r="I57" s="1882"/>
      <c r="J57" s="1882"/>
      <c r="K57" s="1882"/>
    </row>
  </sheetData>
  <sheetProtection algorithmName="SHA-512" hashValue="FwHyVr9xMu+InFOcHPMNTcWDzMb9t2ErzTEalEiXwet0VTS+UTzji8Q6SfWItwNS15f+1XzayMjXlpnryr7j8A==" saltValue="kBPKe07qro5b7O3Jbv3+Fg==" spinCount="100000" sheet="1" objects="1" scenarios="1"/>
  <mergeCells count="6">
    <mergeCell ref="B57:K57"/>
    <mergeCell ref="B3:K3"/>
    <mergeCell ref="B5:K5"/>
    <mergeCell ref="B35:D36"/>
    <mergeCell ref="B40:D41"/>
    <mergeCell ref="E49:I49"/>
  </mergeCells>
  <pageMargins left="0.25" right="0.25" top="0.5" bottom="0.5" header="0.25" footer="0.25"/>
  <pageSetup paperSize="5" orientation="portrait" r:id="rId1"/>
  <headerFooter alignWithMargins="0"/>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7">
    <tabColor theme="3" tint="0.79998168889431442"/>
  </sheetPr>
  <dimension ref="B2:Z52"/>
  <sheetViews>
    <sheetView zoomScaleNormal="100" zoomScaleSheetLayoutView="80" workbookViewId="0">
      <selection activeCell="B7" sqref="B7"/>
    </sheetView>
  </sheetViews>
  <sheetFormatPr defaultColWidth="8.88671875" defaultRowHeight="13.2"/>
  <cols>
    <col min="1" max="5" width="4.6640625" style="370" customWidth="1"/>
    <col min="6" max="8" width="8.88671875" style="370"/>
    <col min="9" max="9" width="6.33203125" style="370" customWidth="1"/>
    <col min="10" max="10" width="8.88671875" style="370"/>
    <col min="11" max="12" width="16.6640625" style="370" customWidth="1"/>
    <col min="13" max="13" width="13.5546875" style="370" bestFit="1" customWidth="1"/>
    <col min="14" max="14" width="11.88671875" style="370" bestFit="1" customWidth="1"/>
    <col min="15" max="16384" width="8.88671875" style="370"/>
  </cols>
  <sheetData>
    <row r="2" spans="2:26" ht="20.399999999999999">
      <c r="B2" s="1909" t="str">
        <f>"RESULTS  OF  "&amp;IF('KEY INPUTS'!C42="State Fiscal Year","FY  "&amp;'KEY INPUTS'!D33&amp;"",'KEY INPUTS'!D34)&amp;"  OPERATIONS  - "&amp;UPPER('KEY INPUTS'!D59)&amp;" UTILITY"</f>
        <v>RESULTS  OF  2021  OPERATIONS  -  UTILITY</v>
      </c>
      <c r="C2" s="1909"/>
      <c r="D2" s="1909"/>
      <c r="E2" s="1909"/>
      <c r="F2" s="1909"/>
      <c r="G2" s="1909"/>
      <c r="H2" s="1909"/>
      <c r="I2" s="1909"/>
      <c r="J2" s="1909"/>
      <c r="K2" s="1909"/>
      <c r="L2" s="1909"/>
    </row>
    <row r="3" spans="2:26" ht="13.8" thickBot="1">
      <c r="B3" s="1054"/>
      <c r="C3" s="1054"/>
      <c r="D3" s="1054"/>
      <c r="E3" s="1054"/>
      <c r="F3" s="1054"/>
      <c r="G3" s="1054"/>
      <c r="H3" s="1054"/>
      <c r="I3" s="1054"/>
      <c r="J3" s="1054"/>
      <c r="K3" s="1054"/>
      <c r="L3" s="1054"/>
    </row>
    <row r="4" spans="2:26" ht="21" customHeight="1" thickTop="1" thickBot="1">
      <c r="B4" s="1273"/>
      <c r="C4" s="1273"/>
      <c r="D4" s="1273"/>
      <c r="E4" s="1273"/>
      <c r="F4" s="1273"/>
      <c r="G4" s="1273"/>
      <c r="H4" s="1273"/>
      <c r="I4" s="1273"/>
      <c r="J4" s="1273"/>
      <c r="K4" s="1055" t="s">
        <v>96</v>
      </c>
      <c r="L4" s="1056" t="s">
        <v>97</v>
      </c>
    </row>
    <row r="5" spans="2:26" ht="21" customHeight="1" thickTop="1">
      <c r="B5" s="1150" t="s">
        <v>209</v>
      </c>
      <c r="C5" s="1110"/>
      <c r="D5" s="1110"/>
      <c r="E5" s="1110"/>
      <c r="F5" s="1110"/>
      <c r="G5" s="1110"/>
      <c r="H5" s="1110"/>
      <c r="I5" s="1110"/>
      <c r="J5" s="1110"/>
      <c r="K5" s="1142" t="s">
        <v>628</v>
      </c>
      <c r="L5" s="1143">
        <f>IF(+'44-Utility6'!J22&gt;0,+'44-Utility6'!J22,0)</f>
        <v>0</v>
      </c>
      <c r="N5" s="309"/>
      <c r="O5" s="309"/>
      <c r="P5" s="309"/>
      <c r="Q5" s="309"/>
      <c r="R5" s="309"/>
      <c r="S5" s="309"/>
      <c r="T5" s="309"/>
    </row>
    <row r="6" spans="2:26" ht="21" customHeight="1">
      <c r="B6" s="1572" t="s">
        <v>3604</v>
      </c>
      <c r="C6" s="659"/>
      <c r="D6" s="659"/>
      <c r="E6" s="659"/>
      <c r="F6" s="659"/>
      <c r="G6" s="659"/>
      <c r="H6" s="659"/>
      <c r="I6" s="659"/>
      <c r="J6" s="659"/>
      <c r="K6" s="1144" t="s">
        <v>628</v>
      </c>
      <c r="L6" s="1064">
        <f>+'44-Utility6'!J40</f>
        <v>0</v>
      </c>
      <c r="M6" s="708"/>
      <c r="N6" s="309"/>
      <c r="O6" s="309"/>
      <c r="P6" s="309"/>
      <c r="Q6" s="309"/>
      <c r="R6" s="309"/>
      <c r="S6" s="309"/>
      <c r="T6" s="309"/>
    </row>
    <row r="7" spans="2:26" ht="21" customHeight="1">
      <c r="B7" s="665" t="s">
        <v>210</v>
      </c>
      <c r="C7" s="659"/>
      <c r="D7" s="659"/>
      <c r="E7" s="659"/>
      <c r="F7" s="659"/>
      <c r="G7" s="659"/>
      <c r="H7" s="659"/>
      <c r="I7" s="659"/>
      <c r="J7" s="659"/>
      <c r="K7" s="1144" t="s">
        <v>628</v>
      </c>
      <c r="L7" s="1064">
        <f>'45-Utility6'!J17</f>
        <v>0</v>
      </c>
      <c r="N7" s="356"/>
      <c r="O7" s="309"/>
      <c r="P7" s="309"/>
      <c r="Q7" s="309"/>
      <c r="R7" s="309"/>
      <c r="S7" s="309"/>
      <c r="T7" s="309"/>
    </row>
    <row r="8" spans="2:26" ht="21" customHeight="1">
      <c r="B8" s="1054" t="str">
        <f>"Unexpended Balances of "&amp;IF('KEY INPUTS'!C42="State Fiscal Year","FY "&amp;'KEY INPUTS'!D33-1&amp;"",'KEY INPUTS'!D34-1)&amp;" Appropriation Reserves*"</f>
        <v>Unexpended Balances of 2020 Appropriation Reserves*</v>
      </c>
      <c r="C8" s="659"/>
      <c r="D8" s="659"/>
      <c r="E8" s="659"/>
      <c r="F8" s="659"/>
      <c r="G8" s="659"/>
      <c r="H8" s="659"/>
      <c r="I8" s="659"/>
      <c r="J8" s="659"/>
      <c r="K8" s="1144" t="s">
        <v>628</v>
      </c>
      <c r="L8" s="1064">
        <f>+'45-Utility6'!K50</f>
        <v>0</v>
      </c>
      <c r="N8" s="309"/>
      <c r="O8" s="309"/>
      <c r="P8" s="309"/>
      <c r="Q8" s="309"/>
      <c r="R8" s="309"/>
      <c r="S8" s="309"/>
      <c r="T8" s="309"/>
    </row>
    <row r="9" spans="2:26" ht="21" customHeight="1">
      <c r="B9" s="674"/>
      <c r="C9" s="617"/>
      <c r="D9" s="617"/>
      <c r="E9" s="617"/>
      <c r="F9" s="617"/>
      <c r="G9" s="617"/>
      <c r="H9" s="617"/>
      <c r="I9" s="659"/>
      <c r="J9" s="659"/>
      <c r="K9" s="627"/>
      <c r="L9" s="578"/>
      <c r="N9" s="309"/>
      <c r="O9" s="309"/>
      <c r="P9" s="309"/>
      <c r="Q9" s="309"/>
      <c r="R9" s="309"/>
      <c r="S9" s="309"/>
      <c r="T9" s="309"/>
    </row>
    <row r="10" spans="2:26" ht="21" customHeight="1">
      <c r="B10" s="1054" t="s">
        <v>3164</v>
      </c>
      <c r="C10" s="1054"/>
      <c r="D10" s="1054"/>
      <c r="E10" s="1054"/>
      <c r="F10" s="1054"/>
      <c r="G10" s="1054"/>
      <c r="H10" s="1054"/>
      <c r="I10" s="1054"/>
      <c r="J10" s="1054"/>
      <c r="K10" s="658">
        <f>IF(+'44-Utility6'!J22&lt;0,-'44-Utility6'!J22,0)</f>
        <v>0</v>
      </c>
      <c r="L10" s="1146" t="s">
        <v>628</v>
      </c>
      <c r="M10" s="371">
        <f>+L9+L8+L7+L6+L5-K11-K10-K9</f>
        <v>0</v>
      </c>
      <c r="N10" s="679" t="s">
        <v>3374</v>
      </c>
      <c r="O10" s="309"/>
      <c r="P10" s="309"/>
      <c r="Q10" s="309"/>
      <c r="R10" s="309"/>
      <c r="S10" s="309"/>
      <c r="T10" s="309"/>
      <c r="V10" s="449">
        <f>-'44-Utility6'!U22</f>
        <v>0</v>
      </c>
    </row>
    <row r="11" spans="2:26" ht="21" customHeight="1">
      <c r="B11" s="671"/>
      <c r="C11" s="1139"/>
      <c r="D11" s="617"/>
      <c r="E11" s="617"/>
      <c r="F11" s="617"/>
      <c r="G11" s="617"/>
      <c r="H11" s="617"/>
      <c r="I11" s="659"/>
      <c r="J11" s="659"/>
      <c r="K11" s="571"/>
      <c r="L11" s="1146" t="s">
        <v>628</v>
      </c>
      <c r="N11" s="309"/>
      <c r="O11" s="309"/>
      <c r="P11" s="309"/>
      <c r="Q11" s="309"/>
      <c r="R11" s="309"/>
      <c r="S11" s="309"/>
      <c r="T11" s="309"/>
      <c r="U11" s="309"/>
      <c r="V11" s="309"/>
      <c r="W11" s="309"/>
      <c r="X11" s="309"/>
      <c r="Y11" s="309"/>
      <c r="Z11" s="309"/>
    </row>
    <row r="12" spans="2:26" ht="21" customHeight="1">
      <c r="B12" s="665" t="s">
        <v>211</v>
      </c>
      <c r="C12" s="1112"/>
      <c r="D12" s="659"/>
      <c r="E12" s="659"/>
      <c r="F12" s="659"/>
      <c r="G12" s="659"/>
      <c r="H12" s="659"/>
      <c r="I12" s="659"/>
      <c r="J12" s="659"/>
      <c r="K12" s="1144" t="s">
        <v>628</v>
      </c>
      <c r="L12" s="1145">
        <f>IF(M10&gt;0,0,M10*-1)</f>
        <v>0</v>
      </c>
      <c r="N12" s="309"/>
      <c r="O12" s="309"/>
      <c r="P12" s="309"/>
      <c r="Q12" s="309"/>
      <c r="R12" s="309"/>
      <c r="S12" s="309"/>
      <c r="T12" s="309"/>
      <c r="U12" s="309"/>
      <c r="V12" s="309"/>
      <c r="W12" s="309"/>
      <c r="X12" s="309"/>
      <c r="Y12" s="309"/>
      <c r="Z12" s="309"/>
    </row>
    <row r="13" spans="2:26" ht="21" customHeight="1" thickBot="1">
      <c r="B13" s="665" t="s">
        <v>212</v>
      </c>
      <c r="C13" s="1112"/>
      <c r="D13" s="659"/>
      <c r="E13" s="659"/>
      <c r="F13" s="659"/>
      <c r="G13" s="659"/>
      <c r="H13" s="659"/>
      <c r="I13" s="659"/>
      <c r="J13" s="659"/>
      <c r="K13" s="658">
        <f>IF(M10&gt;0,M10,0)</f>
        <v>0</v>
      </c>
      <c r="L13" s="1147" t="s">
        <v>628</v>
      </c>
      <c r="M13" s="371"/>
      <c r="N13" s="309"/>
      <c r="O13" s="309"/>
      <c r="P13" s="309"/>
      <c r="Q13" s="309"/>
      <c r="R13" s="309"/>
      <c r="S13" s="309"/>
      <c r="T13" s="309"/>
      <c r="U13" s="309"/>
      <c r="V13" s="448">
        <f>U11</f>
        <v>0</v>
      </c>
      <c r="W13" s="309"/>
      <c r="X13" s="309"/>
      <c r="Y13" s="309"/>
      <c r="Z13" s="309"/>
    </row>
    <row r="14" spans="2:26" ht="21" customHeight="1" thickBot="1">
      <c r="B14" s="1149" t="s">
        <v>3163</v>
      </c>
      <c r="C14" s="1054"/>
      <c r="D14" s="1054"/>
      <c r="E14" s="1054"/>
      <c r="F14" s="1054"/>
      <c r="G14" s="1054"/>
      <c r="H14" s="1054"/>
      <c r="I14" s="1054"/>
      <c r="J14" s="1054"/>
      <c r="K14" s="1071">
        <f>SUM(K5:K13)</f>
        <v>0</v>
      </c>
      <c r="L14" s="1072">
        <f>SUM(L5:L13)</f>
        <v>0</v>
      </c>
      <c r="M14" s="371">
        <f>L14-K14</f>
        <v>0</v>
      </c>
      <c r="N14" s="679" t="s">
        <v>3374</v>
      </c>
      <c r="O14" s="309"/>
      <c r="P14" s="309"/>
      <c r="Q14" s="309"/>
      <c r="R14" s="309"/>
      <c r="S14" s="309"/>
      <c r="T14" s="309"/>
      <c r="U14" s="309"/>
      <c r="V14" s="309"/>
      <c r="W14" s="309"/>
      <c r="X14" s="309"/>
      <c r="Y14" s="309"/>
      <c r="Z14" s="309"/>
    </row>
    <row r="15" spans="2:26" ht="18.75" customHeight="1" thickTop="1">
      <c r="N15" s="309"/>
      <c r="O15" s="309"/>
      <c r="P15" s="309"/>
      <c r="Q15" s="309"/>
      <c r="R15" s="309"/>
      <c r="S15" s="309"/>
      <c r="T15" s="309"/>
    </row>
    <row r="16" spans="2:26" ht="18.75" customHeight="1">
      <c r="K16" s="371"/>
      <c r="N16" s="309"/>
      <c r="O16" s="309"/>
      <c r="P16" s="309"/>
      <c r="Q16" s="309"/>
      <c r="R16" s="309"/>
      <c r="S16" s="309"/>
      <c r="T16" s="309"/>
    </row>
    <row r="17" spans="2:20" ht="22.8">
      <c r="B17" s="1887" t="str">
        <f>"OPERATING  SURPLUS  - "&amp;UPPER('KEY INPUTS'!D59)&amp;" UTILITY"</f>
        <v>OPERATING  SURPLUS  -  UTILITY</v>
      </c>
      <c r="C17" s="1887"/>
      <c r="D17" s="1887"/>
      <c r="E17" s="1887"/>
      <c r="F17" s="1887"/>
      <c r="G17" s="1887"/>
      <c r="H17" s="1887"/>
      <c r="I17" s="1887"/>
      <c r="J17" s="1887"/>
      <c r="K17" s="1887"/>
      <c r="L17" s="1887"/>
      <c r="N17" s="309"/>
      <c r="O17" s="309"/>
      <c r="P17" s="309"/>
      <c r="Q17" s="309"/>
      <c r="R17" s="309"/>
      <c r="S17" s="309"/>
      <c r="T17" s="309"/>
    </row>
    <row r="18" spans="2:20" ht="6.75" customHeight="1" thickBot="1">
      <c r="B18" s="1054"/>
      <c r="C18" s="1054"/>
      <c r="D18" s="1054"/>
      <c r="E18" s="1054"/>
      <c r="F18" s="1054"/>
      <c r="G18" s="1054"/>
      <c r="H18" s="1054"/>
      <c r="I18" s="1054"/>
      <c r="J18" s="1054"/>
      <c r="K18" s="1054"/>
      <c r="L18" s="1054"/>
      <c r="N18" s="309"/>
      <c r="O18" s="309"/>
      <c r="P18" s="309"/>
      <c r="Q18" s="309"/>
      <c r="R18" s="309"/>
      <c r="S18" s="309"/>
      <c r="T18" s="309"/>
    </row>
    <row r="19" spans="2:20" ht="25.5" customHeight="1" thickTop="1" thickBot="1">
      <c r="B19" s="1273"/>
      <c r="C19" s="1273"/>
      <c r="D19" s="1273"/>
      <c r="E19" s="1273"/>
      <c r="F19" s="1273"/>
      <c r="G19" s="1273"/>
      <c r="H19" s="1273"/>
      <c r="I19" s="1273"/>
      <c r="J19" s="1273"/>
      <c r="K19" s="1055" t="s">
        <v>96</v>
      </c>
      <c r="L19" s="1056" t="s">
        <v>97</v>
      </c>
      <c r="N19" s="309"/>
      <c r="O19" s="309"/>
      <c r="P19" s="309"/>
      <c r="Q19" s="309"/>
      <c r="R19" s="309"/>
      <c r="S19" s="309"/>
      <c r="T19" s="309"/>
    </row>
    <row r="20" spans="2:20" ht="21" customHeight="1" thickTop="1">
      <c r="B20" s="1151" t="str">
        <f>IF('KEY INPUTS'!C42 = "State Fiscal Year", 'KEY INPUTS'!F25,'KEY INPUTS'!D25)</f>
        <v>Balance - January 1, 2021</v>
      </c>
      <c r="C20" s="1110"/>
      <c r="D20" s="1110"/>
      <c r="E20" s="1110"/>
      <c r="F20" s="1110"/>
      <c r="G20" s="1110"/>
      <c r="H20" s="1110"/>
      <c r="I20" s="1110"/>
      <c r="J20" s="1110"/>
      <c r="K20" s="1142" t="s">
        <v>628</v>
      </c>
      <c r="L20" s="607"/>
      <c r="N20" s="309"/>
      <c r="O20" s="309"/>
      <c r="P20" s="309"/>
      <c r="Q20" s="309"/>
      <c r="R20" s="309"/>
      <c r="S20" s="309"/>
      <c r="T20" s="309"/>
    </row>
    <row r="21" spans="2:20" ht="21" customHeight="1">
      <c r="B21" s="1140"/>
      <c r="C21" s="617"/>
      <c r="D21" s="617"/>
      <c r="E21" s="617"/>
      <c r="F21" s="617"/>
      <c r="G21" s="617"/>
      <c r="H21" s="617"/>
      <c r="I21" s="617"/>
      <c r="J21" s="617"/>
      <c r="K21" s="1137"/>
      <c r="L21" s="578"/>
      <c r="N21" s="309"/>
      <c r="O21" s="309"/>
      <c r="P21" s="309"/>
      <c r="Q21" s="309"/>
      <c r="R21" s="309"/>
      <c r="S21" s="309"/>
      <c r="T21" s="309"/>
    </row>
    <row r="22" spans="2:20" ht="21" customHeight="1">
      <c r="B22" s="871" t="str">
        <f>"Excess in Results of "&amp;IF('KEY INPUTS'!C42="State Fiscal Year","Fiscal Year "&amp;'KEY INPUTS'!D33&amp;"",'KEY INPUTS'!D34)&amp;" Operations"</f>
        <v>Excess in Results of 2021 Operations</v>
      </c>
      <c r="C22" s="659"/>
      <c r="D22" s="659"/>
      <c r="E22" s="659"/>
      <c r="F22" s="659"/>
      <c r="G22" s="659"/>
      <c r="H22" s="659"/>
      <c r="I22" s="659"/>
      <c r="J22" s="659"/>
      <c r="K22" s="1144" t="s">
        <v>628</v>
      </c>
      <c r="L22" s="1064">
        <f>+K13</f>
        <v>0</v>
      </c>
    </row>
    <row r="23" spans="2:20" ht="21" customHeight="1">
      <c r="B23" s="871" t="str">
        <f>"Amount Appropriated in the "&amp;IF('KEY INPUTS'!C42="State Fiscal Year","FY "&amp;'KEY INPUTS'!D33&amp;"",'KEY INPUTS'!D34)&amp;" Budget - Cash"</f>
        <v>Amount Appropriated in the 2021 Budget - Cash</v>
      </c>
      <c r="C23" s="659"/>
      <c r="D23" s="659"/>
      <c r="E23" s="659"/>
      <c r="F23" s="659"/>
      <c r="G23" s="659"/>
      <c r="H23" s="659"/>
      <c r="I23" s="659"/>
      <c r="J23" s="659"/>
      <c r="K23" s="658">
        <f>'44-Utility6'!I7</f>
        <v>0</v>
      </c>
      <c r="L23" s="1146" t="s">
        <v>628</v>
      </c>
    </row>
    <row r="24" spans="2:20">
      <c r="B24" s="1129" t="str">
        <f>"Amount Appropriated in "&amp;IF('KEY INPUTS'!C42="State Fiscal Year","FY "&amp;'KEY INPUTS'!D33&amp;"",'KEY INPUTS'!D34)&amp;" Budget with Prior Written"</f>
        <v>Amount Appropriated in 2021 Budget with Prior Written</v>
      </c>
      <c r="C24" s="1054"/>
      <c r="D24" s="1054"/>
      <c r="E24" s="1054"/>
      <c r="F24" s="1054"/>
      <c r="G24" s="1054"/>
      <c r="H24" s="1054"/>
      <c r="I24" s="1054"/>
      <c r="J24" s="1054"/>
      <c r="K24" s="1928"/>
      <c r="L24" s="1930" t="s">
        <v>628</v>
      </c>
    </row>
    <row r="25" spans="2:20" ht="12.75" customHeight="1">
      <c r="B25" s="1068" t="s">
        <v>842</v>
      </c>
      <c r="C25" s="1068"/>
      <c r="D25" s="1068"/>
      <c r="E25" s="1068"/>
      <c r="F25" s="1068"/>
      <c r="G25" s="1068"/>
      <c r="H25" s="1068"/>
      <c r="I25" s="1068"/>
      <c r="J25" s="1068"/>
      <c r="K25" s="1929"/>
      <c r="L25" s="1931"/>
    </row>
    <row r="26" spans="2:20" ht="21" customHeight="1">
      <c r="B26" s="1140"/>
      <c r="C26" s="617"/>
      <c r="D26" s="617"/>
      <c r="E26" s="617"/>
      <c r="F26" s="617"/>
      <c r="G26" s="617"/>
      <c r="H26" s="617"/>
      <c r="I26" s="617"/>
      <c r="J26" s="617"/>
      <c r="K26" s="571"/>
      <c r="L26" s="1274"/>
    </row>
    <row r="27" spans="2:20" ht="21" customHeight="1" thickBot="1">
      <c r="B27" s="659" t="str">
        <f>IF('KEY INPUTS'!C42 = "State Fiscal Year", 'KEY INPUTS'!F26,'KEY INPUTS'!D26)</f>
        <v>Balance - December 31, 2021</v>
      </c>
      <c r="C27" s="659"/>
      <c r="D27" s="659"/>
      <c r="E27" s="659"/>
      <c r="F27" s="659"/>
      <c r="G27" s="659"/>
      <c r="H27" s="659"/>
      <c r="I27" s="659"/>
      <c r="J27" s="659"/>
      <c r="K27" s="1069">
        <f>+SUM(L20:L26)-SUM(K21:K26)</f>
        <v>0</v>
      </c>
      <c r="L27" s="1147" t="s">
        <v>628</v>
      </c>
      <c r="N27" s="738" t="s">
        <v>3249</v>
      </c>
    </row>
    <row r="28" spans="2:20" ht="21" customHeight="1" thickBot="1">
      <c r="B28" s="1054"/>
      <c r="C28" s="1054"/>
      <c r="D28" s="1054"/>
      <c r="E28" s="1054"/>
      <c r="F28" s="1054"/>
      <c r="G28" s="1054"/>
      <c r="H28" s="1054"/>
      <c r="I28" s="1054"/>
      <c r="J28" s="1054"/>
      <c r="K28" s="1071">
        <f>SUM(K21:K27)</f>
        <v>0</v>
      </c>
      <c r="L28" s="1072">
        <f>SUM(L20:L27)</f>
        <v>0</v>
      </c>
    </row>
    <row r="29" spans="2:20" ht="13.8" thickTop="1"/>
    <row r="32" spans="2:20" ht="17.399999999999999">
      <c r="B32" s="1926" t="str">
        <f>"ANALYSIS  OF  BALANCE  "&amp;IF('KEY INPUTS'!C42="State Fiscal Year","JUNE  30,  "&amp;'KEY INPUTS'!D33&amp;"","DECEMBER 31, "&amp;'KEY INPUTS'!D34&amp;"")</f>
        <v>ANALYSIS  OF  BALANCE  DECEMBER 31, 2021</v>
      </c>
      <c r="C32" s="1926"/>
      <c r="D32" s="1926"/>
      <c r="E32" s="1926"/>
      <c r="F32" s="1926"/>
      <c r="G32" s="1926"/>
      <c r="H32" s="1926"/>
      <c r="I32" s="1926"/>
      <c r="J32" s="1926"/>
      <c r="K32" s="1926"/>
      <c r="L32" s="1926"/>
    </row>
    <row r="33" spans="2:14" ht="17.399999999999999">
      <c r="B33" s="1926" t="str">
        <f>"(FROM "&amp;UPPER('KEY INPUTS'!D59)&amp;" UTILITY  -  TRIAL  BALANCE)"</f>
        <v>(FROM  UTILITY  -  TRIAL  BALANCE)</v>
      </c>
      <c r="C33" s="1926"/>
      <c r="D33" s="1926"/>
      <c r="E33" s="1926"/>
      <c r="F33" s="1926"/>
      <c r="G33" s="1926"/>
      <c r="H33" s="1926"/>
      <c r="I33" s="1926"/>
      <c r="J33" s="1926"/>
      <c r="K33" s="1926"/>
      <c r="L33" s="1926"/>
    </row>
    <row r="34" spans="2:14" ht="13.8" thickBot="1">
      <c r="B34" s="1054"/>
      <c r="C34" s="1054"/>
      <c r="D34" s="1054"/>
      <c r="E34" s="1054"/>
      <c r="F34" s="1054"/>
      <c r="G34" s="1054"/>
      <c r="H34" s="1054"/>
      <c r="I34" s="1054"/>
      <c r="J34" s="1054"/>
      <c r="K34" s="1054"/>
      <c r="L34" s="1054"/>
    </row>
    <row r="35" spans="2:14" ht="21" customHeight="1" thickTop="1">
      <c r="B35" s="1110" t="s">
        <v>194</v>
      </c>
      <c r="C35" s="1110"/>
      <c r="D35" s="1110"/>
      <c r="E35" s="1110"/>
      <c r="F35" s="1110"/>
      <c r="G35" s="1110"/>
      <c r="H35" s="1110"/>
      <c r="I35" s="1110"/>
      <c r="J35" s="1110"/>
      <c r="K35" s="1154"/>
      <c r="L35" s="1153">
        <f>+'41-Utility6'!G13</f>
        <v>0</v>
      </c>
    </row>
    <row r="36" spans="2:14" ht="21" customHeight="1">
      <c r="B36" s="659" t="s">
        <v>315</v>
      </c>
      <c r="C36" s="659"/>
      <c r="D36" s="659"/>
      <c r="E36" s="659"/>
      <c r="F36" s="659"/>
      <c r="G36" s="659"/>
      <c r="H36" s="659"/>
      <c r="I36" s="659"/>
      <c r="J36" s="659"/>
      <c r="K36" s="1155"/>
      <c r="L36" s="600"/>
    </row>
    <row r="37" spans="2:14" ht="21" customHeight="1" thickBot="1">
      <c r="B37" s="659" t="s">
        <v>664</v>
      </c>
      <c r="C37" s="659"/>
      <c r="D37" s="659"/>
      <c r="E37" s="659"/>
      <c r="F37" s="659"/>
      <c r="G37" s="659"/>
      <c r="H37" s="659"/>
      <c r="I37" s="659"/>
      <c r="J37" s="659"/>
      <c r="K37" s="1155"/>
      <c r="L37" s="602"/>
    </row>
    <row r="38" spans="2:14" ht="21" customHeight="1" thickTop="1">
      <c r="B38" s="659"/>
      <c r="C38" s="659"/>
      <c r="D38" s="659" t="s">
        <v>317</v>
      </c>
      <c r="E38" s="659"/>
      <c r="F38" s="659"/>
      <c r="G38" s="659"/>
      <c r="H38" s="659"/>
      <c r="I38" s="659"/>
      <c r="J38" s="659"/>
      <c r="K38" s="1155"/>
      <c r="L38" s="1156">
        <f>SUM(L35:L37)</f>
        <v>0</v>
      </c>
    </row>
    <row r="39" spans="2:14" ht="21" customHeight="1" thickBot="1">
      <c r="B39" s="659" t="s">
        <v>362</v>
      </c>
      <c r="C39" s="659"/>
      <c r="D39" s="659"/>
      <c r="E39" s="659"/>
      <c r="F39" s="659"/>
      <c r="G39" s="659"/>
      <c r="H39" s="659"/>
      <c r="I39" s="659"/>
      <c r="J39" s="659"/>
      <c r="K39" s="1155"/>
      <c r="L39" s="1157">
        <f>+'41-Utility6'!H39</f>
        <v>0</v>
      </c>
    </row>
    <row r="40" spans="2:14" ht="21" customHeight="1" thickTop="1">
      <c r="B40" s="659"/>
      <c r="C40" s="659"/>
      <c r="D40" s="659" t="s">
        <v>207</v>
      </c>
      <c r="E40" s="659"/>
      <c r="F40" s="659"/>
      <c r="G40" s="659"/>
      <c r="H40" s="659"/>
      <c r="I40" s="659"/>
      <c r="J40" s="659"/>
      <c r="K40" s="1155"/>
      <c r="L40" s="1156">
        <f>+L38-L39</f>
        <v>0</v>
      </c>
    </row>
    <row r="41" spans="2:14" ht="21" customHeight="1">
      <c r="B41" s="659" t="s">
        <v>369</v>
      </c>
      <c r="C41" s="659"/>
      <c r="D41" s="659"/>
      <c r="E41" s="659"/>
      <c r="F41" s="659"/>
      <c r="G41" s="659"/>
      <c r="H41" s="659"/>
      <c r="I41" s="659"/>
      <c r="J41" s="659"/>
      <c r="K41" s="660"/>
      <c r="L41" s="1060"/>
    </row>
    <row r="42" spans="2:14" ht="22.5" customHeight="1">
      <c r="B42" s="659"/>
      <c r="C42" s="1925" t="s">
        <v>365</v>
      </c>
      <c r="D42" s="1925"/>
      <c r="E42" s="1925"/>
      <c r="F42" s="1925"/>
      <c r="G42" s="1925"/>
      <c r="H42" s="1163"/>
      <c r="I42" s="659"/>
      <c r="J42" s="659"/>
      <c r="K42" s="571"/>
      <c r="L42" s="1060"/>
    </row>
    <row r="43" spans="2:14" ht="21" customHeight="1">
      <c r="B43" s="659"/>
      <c r="C43" s="659" t="s">
        <v>208</v>
      </c>
      <c r="D43" s="659"/>
      <c r="E43" s="659"/>
      <c r="F43" s="659"/>
      <c r="G43" s="659"/>
      <c r="H43" s="659"/>
      <c r="I43" s="659"/>
      <c r="J43" s="659"/>
      <c r="K43" s="571"/>
      <c r="L43" s="1060"/>
      <c r="M43" s="371"/>
      <c r="N43" s="371"/>
    </row>
    <row r="44" spans="2:14" ht="21" customHeight="1" thickBot="1">
      <c r="B44" s="659"/>
      <c r="C44" s="659"/>
      <c r="D44" s="659" t="s">
        <v>367</v>
      </c>
      <c r="E44" s="659"/>
      <c r="F44" s="659"/>
      <c r="G44" s="659"/>
      <c r="H44" s="659"/>
      <c r="I44" s="659"/>
      <c r="J44" s="659"/>
      <c r="K44" s="1159"/>
      <c r="L44" s="1070">
        <f>SUM(K42:K43)</f>
        <v>0</v>
      </c>
    </row>
    <row r="45" spans="2:14" ht="21" customHeight="1" thickBot="1">
      <c r="B45" s="1160" t="str">
        <f>"# MAY NOT BE ANTICIPATED AS NON-CASH SURPLUS IN "&amp;TEXT('KEY INPUTS'!D34,"0")&amp;" BUDGET."</f>
        <v># MAY NOT BE ANTICIPATED AS NON-CASH SURPLUS IN 2021 BUDGET.</v>
      </c>
      <c r="C45" s="1054"/>
      <c r="D45" s="1054"/>
      <c r="E45" s="1054"/>
      <c r="F45" s="1054"/>
      <c r="G45" s="1054"/>
      <c r="H45" s="1054"/>
      <c r="I45" s="1054"/>
      <c r="J45" s="1054"/>
      <c r="K45" s="1161"/>
      <c r="L45" s="1158">
        <f>+L40+L44</f>
        <v>0</v>
      </c>
      <c r="M45" s="371"/>
      <c r="N45" s="738" t="s">
        <v>3249</v>
      </c>
    </row>
    <row r="46" spans="2:14" ht="13.8" thickTop="1">
      <c r="B46" s="442" t="s">
        <v>213</v>
      </c>
      <c r="C46" s="442"/>
    </row>
    <row r="47" spans="2:14">
      <c r="B47" s="442"/>
      <c r="C47" s="442" t="s">
        <v>3162</v>
      </c>
    </row>
    <row r="52" spans="2:12" ht="13.8">
      <c r="B52" s="1882" t="s">
        <v>3161</v>
      </c>
      <c r="C52" s="1882"/>
      <c r="D52" s="1882"/>
      <c r="E52" s="1882"/>
      <c r="F52" s="1882"/>
      <c r="G52" s="1882"/>
      <c r="H52" s="1882"/>
      <c r="I52" s="1882"/>
      <c r="J52" s="1882"/>
      <c r="K52" s="1882"/>
      <c r="L52" s="1882"/>
    </row>
  </sheetData>
  <sheetProtection algorithmName="SHA-512" hashValue="RII3Dud0EXlWtkcK24VddoPV9dO/s6YDAqDJWauI2AwKwYaAPJrXXTX6mvg7TwRKz2BwEuIGuKrWDDMBhy3Rhw==" saltValue="eViKTjUoqGlzr4ChTQ/8CQ==" spinCount="100000" sheet="1" objects="1" scenarios="1"/>
  <mergeCells count="8">
    <mergeCell ref="B52:L52"/>
    <mergeCell ref="B2:L2"/>
    <mergeCell ref="B17:L17"/>
    <mergeCell ref="B32:L32"/>
    <mergeCell ref="B33:L33"/>
    <mergeCell ref="C42:G42"/>
    <mergeCell ref="K24:K25"/>
    <mergeCell ref="L24:L25"/>
  </mergeCells>
  <pageMargins left="0.25" right="0.25" top="0.5" bottom="0.5" header="0.25" footer="0.25"/>
  <pageSetup paperSize="5" orientation="portrait" r:id="rId1"/>
  <headerFooter alignWithMargins="0"/>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8">
    <tabColor theme="3" tint="0.79998168889431442"/>
  </sheetPr>
  <dimension ref="B3:T69"/>
  <sheetViews>
    <sheetView topLeftCell="A28" zoomScaleNormal="100" zoomScaleSheetLayoutView="80" workbookViewId="0">
      <selection activeCell="B55" sqref="B55"/>
    </sheetView>
  </sheetViews>
  <sheetFormatPr defaultColWidth="9.109375" defaultRowHeight="13.2"/>
  <cols>
    <col min="1" max="4" width="4.6640625" style="318" customWidth="1"/>
    <col min="5" max="8" width="9.109375" style="318"/>
    <col min="9" max="9" width="1.6640625" style="318" customWidth="1"/>
    <col min="10" max="10" width="16.6640625" style="318" customWidth="1"/>
    <col min="11" max="11" width="1.6640625" style="318" customWidth="1"/>
    <col min="12" max="12" width="16.6640625" style="318" customWidth="1"/>
    <col min="13" max="16384" width="9.109375" style="318"/>
  </cols>
  <sheetData>
    <row r="3" spans="2:20" ht="17.399999999999999">
      <c r="B3" s="1932" t="str">
        <f>"SCHEDULE  OF "&amp;UPPER('KEY INPUTS'!D59&amp;"  UTILITY  ACCOUNTS  RECEIVABLE")</f>
        <v>SCHEDULE  OF   UTILITY  ACCOUNTS  RECEIVABLE</v>
      </c>
      <c r="C3" s="1932"/>
      <c r="D3" s="1932"/>
      <c r="E3" s="1932"/>
      <c r="F3" s="1932"/>
      <c r="G3" s="1932"/>
      <c r="H3" s="1932"/>
      <c r="I3" s="1932"/>
      <c r="J3" s="1932"/>
      <c r="K3" s="1932"/>
      <c r="L3" s="1932"/>
    </row>
    <row r="6" spans="2:20">
      <c r="B6" s="452" t="str">
        <f>IF('KEY INPUTS'!C42="State Fiscal Year","Balance June 30, "&amp;'KEY INPUTS'!D33-1&amp;"","Balance December 31, "&amp;'KEY INPUTS'!D34-1&amp;"")</f>
        <v>Balance December 31, 2020</v>
      </c>
      <c r="J6" s="275"/>
      <c r="K6" s="318" t="s">
        <v>373</v>
      </c>
      <c r="L6" s="552"/>
      <c r="N6" s="309"/>
      <c r="O6" s="309"/>
      <c r="P6" s="309"/>
      <c r="Q6" s="309"/>
      <c r="R6" s="309"/>
      <c r="S6" s="309"/>
      <c r="T6" s="309"/>
    </row>
    <row r="7" spans="2:20">
      <c r="J7" s="275"/>
      <c r="K7" s="275"/>
      <c r="L7" s="275"/>
      <c r="N7" s="309"/>
      <c r="O7" s="309"/>
      <c r="P7" s="309"/>
      <c r="Q7" s="309"/>
      <c r="R7" s="309"/>
      <c r="S7" s="309"/>
      <c r="T7" s="309"/>
    </row>
    <row r="8" spans="2:20">
      <c r="J8" s="275"/>
      <c r="K8" s="275"/>
      <c r="L8" s="275"/>
      <c r="N8" s="356"/>
      <c r="O8" s="309"/>
      <c r="P8" s="309"/>
      <c r="Q8" s="309"/>
      <c r="R8" s="309"/>
      <c r="S8" s="309"/>
      <c r="T8" s="309"/>
    </row>
    <row r="9" spans="2:20">
      <c r="J9" s="275"/>
      <c r="K9" s="275"/>
      <c r="L9" s="275"/>
      <c r="N9" s="309"/>
      <c r="O9" s="309"/>
      <c r="P9" s="309"/>
      <c r="Q9" s="309"/>
      <c r="R9" s="309"/>
      <c r="S9" s="309"/>
      <c r="T9" s="309"/>
    </row>
    <row r="10" spans="2:20">
      <c r="B10" s="318" t="s">
        <v>214</v>
      </c>
      <c r="J10" s="275"/>
      <c r="K10" s="275"/>
      <c r="L10" s="275"/>
      <c r="N10" s="309"/>
      <c r="O10" s="309"/>
      <c r="P10" s="309"/>
      <c r="Q10" s="309"/>
      <c r="R10" s="309"/>
      <c r="S10" s="309"/>
      <c r="T10" s="309"/>
    </row>
    <row r="11" spans="2:20">
      <c r="D11" s="1412" t="s">
        <v>3485</v>
      </c>
      <c r="E11" s="1411"/>
      <c r="F11" s="1132"/>
      <c r="G11" s="1054"/>
      <c r="J11" s="275"/>
      <c r="K11" s="318" t="s">
        <v>373</v>
      </c>
      <c r="L11" s="552"/>
      <c r="N11" s="309"/>
      <c r="O11" s="309"/>
      <c r="P11" s="309"/>
      <c r="Q11" s="309"/>
      <c r="R11" s="309"/>
      <c r="S11" s="309"/>
      <c r="T11" s="309"/>
    </row>
    <row r="12" spans="2:20">
      <c r="J12" s="275"/>
      <c r="K12" s="275"/>
      <c r="L12" s="275"/>
      <c r="N12" s="309"/>
      <c r="O12" s="309"/>
      <c r="P12" s="309"/>
      <c r="Q12" s="309"/>
      <c r="R12" s="309"/>
      <c r="S12" s="309"/>
      <c r="T12" s="309"/>
    </row>
    <row r="13" spans="2:20">
      <c r="J13" s="275"/>
      <c r="K13" s="275"/>
      <c r="L13" s="275"/>
      <c r="N13" s="309"/>
      <c r="O13" s="309"/>
      <c r="P13" s="309"/>
      <c r="Q13" s="309"/>
      <c r="R13" s="309"/>
      <c r="S13" s="309"/>
      <c r="T13" s="309"/>
    </row>
    <row r="14" spans="2:20">
      <c r="J14" s="275"/>
      <c r="K14" s="275"/>
      <c r="L14" s="275"/>
      <c r="N14" s="309"/>
      <c r="O14" s="309"/>
      <c r="P14" s="309"/>
      <c r="Q14" s="309"/>
      <c r="R14" s="309"/>
      <c r="S14" s="309"/>
      <c r="T14" s="309"/>
    </row>
    <row r="15" spans="2:20">
      <c r="B15" s="318" t="s">
        <v>215</v>
      </c>
      <c r="J15" s="275"/>
      <c r="K15" s="275"/>
      <c r="L15" s="275"/>
      <c r="N15" s="309"/>
      <c r="O15" s="309"/>
      <c r="P15" s="309"/>
      <c r="Q15" s="309"/>
      <c r="R15" s="309"/>
      <c r="S15" s="309"/>
      <c r="T15" s="309"/>
    </row>
    <row r="16" spans="2:20" ht="21" customHeight="1">
      <c r="D16" s="318" t="s">
        <v>216</v>
      </c>
      <c r="I16" s="318" t="s">
        <v>373</v>
      </c>
      <c r="J16" s="552"/>
      <c r="K16" s="275"/>
      <c r="L16" s="275"/>
      <c r="N16" s="309"/>
      <c r="O16" s="309"/>
      <c r="P16" s="309"/>
      <c r="Q16" s="309"/>
      <c r="R16" s="309"/>
      <c r="S16" s="309"/>
      <c r="T16" s="309"/>
    </row>
    <row r="17" spans="2:20" ht="21" customHeight="1">
      <c r="D17" s="318" t="s">
        <v>217</v>
      </c>
      <c r="I17" s="318" t="s">
        <v>373</v>
      </c>
      <c r="J17" s="552"/>
      <c r="K17" s="275"/>
      <c r="L17" s="275"/>
      <c r="N17" s="309"/>
      <c r="O17" s="309"/>
      <c r="P17" s="309"/>
      <c r="Q17" s="309"/>
      <c r="R17" s="309"/>
      <c r="S17" s="309"/>
      <c r="T17" s="309"/>
    </row>
    <row r="18" spans="2:20" ht="21" customHeight="1">
      <c r="D18" s="1054" t="s">
        <v>3486</v>
      </c>
      <c r="E18" s="1054"/>
      <c r="F18" s="1132"/>
      <c r="G18" s="1054"/>
      <c r="I18" s="318" t="s">
        <v>373</v>
      </c>
      <c r="J18" s="552"/>
      <c r="K18" s="275"/>
      <c r="L18" s="275"/>
      <c r="N18" s="309"/>
      <c r="O18" s="309"/>
      <c r="P18" s="309"/>
      <c r="Q18" s="309"/>
      <c r="R18" s="309"/>
      <c r="S18" s="309"/>
      <c r="T18" s="309"/>
    </row>
    <row r="19" spans="2:20" ht="21" customHeight="1">
      <c r="D19" s="318" t="s">
        <v>218</v>
      </c>
      <c r="I19" s="318" t="s">
        <v>373</v>
      </c>
      <c r="J19" s="552"/>
      <c r="K19" s="275"/>
      <c r="L19" s="275"/>
      <c r="N19" s="309"/>
      <c r="O19" s="309"/>
      <c r="P19" s="309"/>
      <c r="Q19" s="309"/>
      <c r="R19" s="309"/>
      <c r="S19" s="309"/>
      <c r="T19" s="309"/>
    </row>
    <row r="20" spans="2:20">
      <c r="J20" s="275"/>
      <c r="K20" s="275"/>
      <c r="L20" s="275"/>
      <c r="N20" s="309"/>
      <c r="O20" s="309"/>
      <c r="P20" s="309"/>
      <c r="Q20" s="309"/>
      <c r="R20" s="309"/>
      <c r="S20" s="309"/>
      <c r="T20" s="309"/>
    </row>
    <row r="21" spans="2:20">
      <c r="J21" s="275"/>
      <c r="K21" s="318" t="s">
        <v>373</v>
      </c>
      <c r="L21" s="65">
        <f>SUM(J16:J19)</f>
        <v>0</v>
      </c>
      <c r="N21" s="309"/>
      <c r="O21" s="309"/>
      <c r="P21" s="309"/>
      <c r="Q21" s="309"/>
      <c r="R21" s="309"/>
      <c r="S21" s="309"/>
      <c r="T21" s="309"/>
    </row>
    <row r="22" spans="2:20">
      <c r="J22" s="275"/>
      <c r="K22" s="275"/>
      <c r="L22" s="275"/>
      <c r="N22" s="309"/>
      <c r="O22" s="309"/>
      <c r="P22" s="309"/>
      <c r="Q22" s="309"/>
      <c r="R22" s="309"/>
      <c r="S22" s="309"/>
      <c r="T22" s="309"/>
    </row>
    <row r="23" spans="2:20">
      <c r="J23" s="275"/>
      <c r="K23" s="275"/>
      <c r="L23" s="275"/>
    </row>
    <row r="24" spans="2:20" ht="13.8" thickBot="1">
      <c r="B24" s="450" t="str">
        <f>IF('KEY INPUTS'!C42="State Fiscal Year","Balance June 30, "&amp;'KEY INPUTS'!D33&amp;"","Balance December 31, "&amp;'KEY INPUTS'!D34&amp;"")</f>
        <v>Balance December 31, 2021</v>
      </c>
      <c r="J24" s="275"/>
      <c r="K24" s="318" t="s">
        <v>373</v>
      </c>
      <c r="L24" s="82">
        <f>+L6+L11-L21</f>
        <v>0</v>
      </c>
    </row>
    <row r="25" spans="2:20" ht="13.8" thickTop="1"/>
    <row r="28" spans="2:20">
      <c r="B28" s="451"/>
      <c r="C28" s="451"/>
      <c r="D28" s="451"/>
      <c r="E28" s="451"/>
      <c r="F28" s="451"/>
      <c r="G28" s="451"/>
      <c r="H28" s="451"/>
      <c r="I28" s="451"/>
      <c r="J28" s="451"/>
      <c r="K28" s="451"/>
      <c r="L28" s="451"/>
    </row>
    <row r="29" spans="2:20" ht="4.5" customHeight="1">
      <c r="B29" s="451"/>
      <c r="C29" s="451"/>
      <c r="D29" s="451"/>
      <c r="E29" s="451"/>
      <c r="F29" s="451"/>
      <c r="G29" s="451"/>
      <c r="H29" s="451"/>
      <c r="I29" s="451"/>
      <c r="J29" s="451"/>
      <c r="K29" s="451"/>
      <c r="L29" s="451"/>
    </row>
    <row r="33" spans="2:12" ht="17.399999999999999">
      <c r="B33" s="1926" t="str">
        <f>"SCHEDULE  OF "&amp;UPPER('KEY INPUTS'!D59)&amp;" UTILITY  LIENS"</f>
        <v>SCHEDULE  OF  UTILITY  LIENS</v>
      </c>
      <c r="C33" s="1926"/>
      <c r="D33" s="1926"/>
      <c r="E33" s="1926"/>
      <c r="F33" s="1926"/>
      <c r="G33" s="1926"/>
      <c r="H33" s="1926"/>
      <c r="I33" s="1926"/>
      <c r="J33" s="1926"/>
      <c r="K33" s="1926"/>
      <c r="L33" s="1926"/>
    </row>
    <row r="36" spans="2:12">
      <c r="B36" s="450" t="str">
        <f>IF('KEY INPUTS'!C42="State Fiscal Year","Balance June 30, "&amp;'KEY INPUTS'!D33-1&amp;"","Balance December 31, "&amp;'KEY INPUTS'!D34-1&amp;"")</f>
        <v>Balance December 31, 2020</v>
      </c>
      <c r="I36" s="275"/>
      <c r="J36" s="275"/>
      <c r="K36" s="275" t="s">
        <v>373</v>
      </c>
      <c r="L36" s="552"/>
    </row>
    <row r="37" spans="2:12">
      <c r="I37" s="275"/>
      <c r="J37" s="275"/>
      <c r="K37" s="275"/>
      <c r="L37" s="275"/>
    </row>
    <row r="38" spans="2:12">
      <c r="I38" s="275"/>
      <c r="J38" s="275"/>
      <c r="K38" s="275"/>
      <c r="L38" s="275"/>
    </row>
    <row r="39" spans="2:12">
      <c r="I39" s="275"/>
      <c r="J39" s="275"/>
      <c r="K39" s="275"/>
      <c r="L39" s="275"/>
    </row>
    <row r="40" spans="2:12">
      <c r="B40" s="318" t="s">
        <v>214</v>
      </c>
      <c r="I40" s="275"/>
      <c r="J40" s="275"/>
      <c r="K40" s="275"/>
      <c r="L40" s="275"/>
    </row>
    <row r="41" spans="2:12" ht="21" customHeight="1">
      <c r="D41" s="318" t="s">
        <v>219</v>
      </c>
      <c r="I41" s="318" t="s">
        <v>373</v>
      </c>
      <c r="J41" s="552"/>
      <c r="K41" s="275"/>
      <c r="L41" s="275"/>
    </row>
    <row r="42" spans="2:12" ht="21" customHeight="1">
      <c r="D42" s="318" t="s">
        <v>220</v>
      </c>
      <c r="I42" s="318" t="s">
        <v>373</v>
      </c>
      <c r="J42" s="552"/>
      <c r="K42" s="275"/>
      <c r="L42" s="275"/>
    </row>
    <row r="43" spans="2:12" ht="21" customHeight="1">
      <c r="D43" s="318" t="s">
        <v>218</v>
      </c>
      <c r="I43" s="318" t="s">
        <v>373</v>
      </c>
      <c r="J43" s="552"/>
      <c r="K43" s="121"/>
      <c r="L43" s="121"/>
    </row>
    <row r="44" spans="2:12">
      <c r="I44" s="275"/>
      <c r="J44" s="275"/>
      <c r="K44" s="275"/>
      <c r="L44" s="275"/>
    </row>
    <row r="45" spans="2:12">
      <c r="I45" s="275"/>
      <c r="J45" s="275"/>
      <c r="K45" s="318" t="s">
        <v>373</v>
      </c>
      <c r="L45" s="65">
        <f>SUM(J41:J43)</f>
        <v>0</v>
      </c>
    </row>
    <row r="46" spans="2:12">
      <c r="I46" s="275"/>
      <c r="J46" s="275"/>
      <c r="K46" s="275"/>
      <c r="L46" s="275"/>
    </row>
    <row r="47" spans="2:12">
      <c r="B47" s="318" t="s">
        <v>215</v>
      </c>
      <c r="I47" s="275"/>
      <c r="J47" s="275"/>
      <c r="K47" s="275"/>
      <c r="L47" s="275"/>
    </row>
    <row r="48" spans="2:12" ht="21" customHeight="1">
      <c r="D48" s="318" t="s">
        <v>216</v>
      </c>
      <c r="I48" s="318" t="s">
        <v>373</v>
      </c>
      <c r="J48" s="552"/>
      <c r="K48" s="275"/>
      <c r="L48" s="275"/>
    </row>
    <row r="49" spans="2:12" ht="21" customHeight="1">
      <c r="D49" s="318" t="s">
        <v>218</v>
      </c>
      <c r="I49" s="318" t="s">
        <v>373</v>
      </c>
      <c r="J49" s="552"/>
      <c r="K49" s="275"/>
      <c r="L49" s="275"/>
    </row>
    <row r="50" spans="2:12">
      <c r="I50" s="275"/>
      <c r="J50" s="275"/>
      <c r="K50" s="275"/>
      <c r="L50" s="275"/>
    </row>
    <row r="51" spans="2:12">
      <c r="I51" s="275"/>
      <c r="J51" s="275"/>
      <c r="K51" s="318" t="s">
        <v>373</v>
      </c>
      <c r="L51" s="65">
        <f>+J49+J48</f>
        <v>0</v>
      </c>
    </row>
    <row r="52" spans="2:12">
      <c r="I52" s="275"/>
      <c r="J52" s="275"/>
      <c r="K52" s="275"/>
      <c r="L52" s="275"/>
    </row>
    <row r="53" spans="2:12">
      <c r="I53" s="275"/>
      <c r="J53" s="275"/>
      <c r="K53" s="275"/>
      <c r="L53" s="275"/>
    </row>
    <row r="54" spans="2:12" ht="13.8" thickBot="1">
      <c r="B54" s="450" t="str">
        <f>IF('KEY INPUTS'!C42="State Fiscal Year","Balance June 30, "&amp;'KEY INPUTS'!D33&amp;"","Balance December 31, "&amp;'KEY INPUTS'!D34&amp;"")</f>
        <v>Balance December 31, 2021</v>
      </c>
      <c r="I54" s="275"/>
      <c r="J54" s="275"/>
      <c r="K54" s="318" t="s">
        <v>373</v>
      </c>
      <c r="L54" s="82">
        <f>+L36+L45-L51</f>
        <v>0</v>
      </c>
    </row>
    <row r="55" spans="2:12" ht="13.8" thickTop="1">
      <c r="I55" s="275"/>
      <c r="J55" s="275"/>
      <c r="K55" s="275"/>
      <c r="L55" s="275"/>
    </row>
    <row r="69" spans="2:12" ht="13.8">
      <c r="B69" s="1933" t="s">
        <v>3165</v>
      </c>
      <c r="C69" s="1933"/>
      <c r="D69" s="1933"/>
      <c r="E69" s="1933"/>
      <c r="F69" s="1933"/>
      <c r="G69" s="1933"/>
      <c r="H69" s="1933"/>
      <c r="I69" s="1933"/>
      <c r="J69" s="1933"/>
      <c r="K69" s="1933"/>
      <c r="L69" s="1933"/>
    </row>
  </sheetData>
  <sheetProtection algorithmName="SHA-512" hashValue="sCz9QnePSajoDqTDvs6OfY/ARnw5cz2SzREotFtQxUxBuTjGOVLEbknuOoVHRvcnm4PK4Rfj0yWjsFdwn5V49A==" saltValue="g0Jt/4YLGbFUyMYPCAk53A==" spinCount="100000" sheet="1" objects="1" scenarios="1"/>
  <mergeCells count="3">
    <mergeCell ref="B3:L3"/>
    <mergeCell ref="B33:L33"/>
    <mergeCell ref="B69:L69"/>
  </mergeCells>
  <pageMargins left="0.25" right="0.25" top="0.5" bottom="0.5" header="0.25" footer="0.25"/>
  <pageSetup paperSize="5" orientation="portrait" r:id="rId1"/>
  <headerFooter alignWithMargins="0"/>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9">
    <tabColor theme="3" tint="0.79998168889431442"/>
  </sheetPr>
  <dimension ref="B1:W69"/>
  <sheetViews>
    <sheetView zoomScaleNormal="100" zoomScaleSheetLayoutView="80" workbookViewId="0">
      <selection activeCell="N45" sqref="N45"/>
    </sheetView>
  </sheetViews>
  <sheetFormatPr defaultColWidth="9.109375" defaultRowHeight="13.2"/>
  <cols>
    <col min="1" max="4" width="4.6640625" style="318" customWidth="1"/>
    <col min="5" max="6" width="9.109375" style="318"/>
    <col min="7" max="7" width="1.6640625" style="318" customWidth="1"/>
    <col min="8" max="8" width="14.6640625" style="318" customWidth="1"/>
    <col min="9" max="9" width="1.6640625" style="318" customWidth="1"/>
    <col min="10" max="10" width="14.6640625" style="318" customWidth="1"/>
    <col min="11" max="11" width="1.6640625" style="318" customWidth="1"/>
    <col min="12" max="12" width="14.6640625" style="318" customWidth="1"/>
    <col min="13" max="13" width="1.6640625" style="318" customWidth="1"/>
    <col min="14" max="14" width="14.6640625" style="318" customWidth="1"/>
    <col min="15" max="16384" width="9.109375" style="318"/>
  </cols>
  <sheetData>
    <row r="1" spans="2:23">
      <c r="B1" s="1086"/>
      <c r="C1" s="1086"/>
      <c r="D1" s="1086"/>
      <c r="E1" s="1086"/>
      <c r="F1" s="1086"/>
      <c r="G1" s="1086"/>
      <c r="H1" s="1086"/>
      <c r="I1" s="1086"/>
      <c r="J1" s="1086"/>
      <c r="K1" s="1086"/>
      <c r="L1" s="1086"/>
      <c r="M1" s="1086"/>
      <c r="N1" s="1086"/>
    </row>
    <row r="2" spans="2:23">
      <c r="B2" s="1086"/>
      <c r="C2" s="1086"/>
      <c r="D2" s="1086"/>
      <c r="E2" s="1086"/>
      <c r="F2" s="1086"/>
      <c r="G2" s="1086"/>
      <c r="H2" s="1086"/>
      <c r="I2" s="1086"/>
      <c r="J2" s="1086"/>
      <c r="K2" s="1086"/>
      <c r="L2" s="1086"/>
      <c r="M2" s="1086"/>
      <c r="N2" s="1086"/>
    </row>
    <row r="3" spans="2:23" ht="20.399999999999999">
      <c r="B3" s="2000" t="s">
        <v>869</v>
      </c>
      <c r="C3" s="2000"/>
      <c r="D3" s="2000"/>
      <c r="E3" s="2000"/>
      <c r="F3" s="2000"/>
      <c r="G3" s="2000"/>
      <c r="H3" s="2000"/>
      <c r="I3" s="2000"/>
      <c r="J3" s="2000"/>
      <c r="K3" s="2000"/>
      <c r="L3" s="2000"/>
      <c r="M3" s="2000"/>
      <c r="N3" s="2000"/>
    </row>
    <row r="4" spans="2:23" ht="15.6">
      <c r="B4" s="2059" t="s">
        <v>421</v>
      </c>
      <c r="C4" s="2059"/>
      <c r="D4" s="2059"/>
      <c r="E4" s="2059"/>
      <c r="F4" s="2059"/>
      <c r="G4" s="2059"/>
      <c r="H4" s="2059"/>
      <c r="I4" s="2059"/>
      <c r="J4" s="2059"/>
      <c r="K4" s="2059"/>
      <c r="L4" s="2059"/>
      <c r="M4" s="2059"/>
      <c r="N4" s="2059"/>
    </row>
    <row r="5" spans="2:23" ht="20.399999999999999">
      <c r="B5" s="1909" t="str">
        <f>UPPER('KEY INPUTS'!D59)&amp;" UTILITY  FUND"</f>
        <v xml:space="preserve"> UTILITY  FUND</v>
      </c>
      <c r="C5" s="1909"/>
      <c r="D5" s="1909"/>
      <c r="E5" s="1909"/>
      <c r="F5" s="1909"/>
      <c r="G5" s="1909"/>
      <c r="H5" s="1909"/>
      <c r="I5" s="1909"/>
      <c r="J5" s="1909"/>
      <c r="K5" s="1909"/>
      <c r="L5" s="1909"/>
      <c r="M5" s="1909"/>
      <c r="N5" s="1909"/>
    </row>
    <row r="6" spans="2:23">
      <c r="B6" s="2060" t="s">
        <v>3575</v>
      </c>
      <c r="C6" s="2060"/>
      <c r="D6" s="2060"/>
      <c r="E6" s="2060"/>
      <c r="F6" s="2060"/>
      <c r="G6" s="2060"/>
      <c r="H6" s="2060"/>
      <c r="I6" s="2060"/>
      <c r="J6" s="2060"/>
      <c r="K6" s="2060"/>
      <c r="L6" s="2060"/>
      <c r="M6" s="2060"/>
      <c r="N6" s="2060"/>
    </row>
    <row r="7" spans="2:23">
      <c r="B7" s="1086"/>
      <c r="C7" s="1086"/>
      <c r="D7" s="1086"/>
      <c r="E7" s="1086"/>
      <c r="F7" s="1086"/>
      <c r="G7" s="1086"/>
      <c r="H7" s="1086"/>
      <c r="I7" s="1086"/>
      <c r="J7" s="1086"/>
      <c r="K7" s="1086"/>
      <c r="L7" s="1086"/>
      <c r="M7" s="1086"/>
      <c r="N7" s="1086"/>
    </row>
    <row r="8" spans="2:23">
      <c r="B8" s="1086"/>
      <c r="C8" s="1086"/>
      <c r="D8" s="1086"/>
      <c r="E8" s="1086"/>
      <c r="F8" s="1086"/>
      <c r="G8" s="1086"/>
      <c r="H8" s="1081" t="s">
        <v>414</v>
      </c>
      <c r="I8" s="1086"/>
      <c r="J8" s="1086"/>
      <c r="K8" s="1086"/>
      <c r="L8" s="1086"/>
      <c r="M8" s="1086"/>
      <c r="N8" s="1086"/>
    </row>
    <row r="9" spans="2:23">
      <c r="B9" s="1086"/>
      <c r="C9" s="2058" t="s">
        <v>434</v>
      </c>
      <c r="D9" s="2058"/>
      <c r="E9" s="2058"/>
      <c r="F9" s="1086"/>
      <c r="G9" s="1086"/>
      <c r="H9" s="1284" t="str">
        <f>IF('KEY INPUTS'!C42 = "State Fiscal Year", 'KEY INPUTS'!F46,'KEY INPUTS'!D46)</f>
        <v>Dec. 31, 2020</v>
      </c>
      <c r="I9" s="1086"/>
      <c r="J9" s="1081" t="s">
        <v>435</v>
      </c>
      <c r="K9" s="1086"/>
      <c r="L9" s="1081" t="s">
        <v>414</v>
      </c>
      <c r="M9" s="1086"/>
      <c r="N9" s="1081" t="s">
        <v>530</v>
      </c>
    </row>
    <row r="10" spans="2:23">
      <c r="B10" s="1086"/>
      <c r="C10" s="1086"/>
      <c r="D10" s="1086"/>
      <c r="E10" s="1086"/>
      <c r="F10" s="1086"/>
      <c r="G10" s="1086"/>
      <c r="H10" s="1081" t="s">
        <v>433</v>
      </c>
      <c r="I10" s="1086"/>
      <c r="J10" s="1081" t="str">
        <f>IF('KEY INPUTS'!C42="State Fiscal Year","Fiscal Year "&amp;'KEY INPUTS'!D33&amp;"",'KEY INPUTS'!D34)&amp;""</f>
        <v>2021</v>
      </c>
      <c r="K10" s="1086"/>
      <c r="L10" s="1081" t="s">
        <v>436</v>
      </c>
      <c r="M10" s="1086"/>
      <c r="N10" s="1081" t="s">
        <v>437</v>
      </c>
    </row>
    <row r="11" spans="2:23">
      <c r="B11" s="1086"/>
      <c r="C11" s="1086"/>
      <c r="D11" s="1086"/>
      <c r="E11" s="1086"/>
      <c r="F11" s="1086"/>
      <c r="G11" s="1086"/>
      <c r="H11" s="1285" t="s">
        <v>432</v>
      </c>
      <c r="I11" s="1086"/>
      <c r="J11" s="1285" t="s">
        <v>535</v>
      </c>
      <c r="K11" s="1086"/>
      <c r="L11" s="1285" t="str">
        <f>IF('KEY INPUTS'!C42="State Fiscal Year","Fiscal Year "&amp;'KEY INPUTS'!D33&amp;"",'KEY INPUTS'!D34)&amp;""</f>
        <v>2021</v>
      </c>
      <c r="M11" s="1086"/>
      <c r="N11" s="1286" t="str">
        <f>IF('KEY INPUTS'!C42 = "State Fiscal Year", 'KEY INPUTS'!F47,'KEY INPUTS'!D47)</f>
        <v>Dec. 31, 2021</v>
      </c>
      <c r="Q11" s="309"/>
      <c r="R11" s="309"/>
      <c r="S11" s="309"/>
      <c r="T11" s="309"/>
      <c r="U11" s="309"/>
      <c r="V11" s="309"/>
      <c r="W11" s="309"/>
    </row>
    <row r="12" spans="2:23">
      <c r="B12" s="1287" t="s">
        <v>292</v>
      </c>
      <c r="C12" s="1086" t="s">
        <v>870</v>
      </c>
      <c r="D12" s="1086"/>
      <c r="E12" s="1086"/>
      <c r="F12" s="1086"/>
      <c r="G12" s="1086"/>
      <c r="H12" s="1086"/>
      <c r="I12" s="1086"/>
      <c r="J12" s="1086"/>
      <c r="K12" s="1086"/>
      <c r="L12" s="1086"/>
      <c r="M12" s="1086"/>
      <c r="N12" s="1086"/>
      <c r="Q12" s="309"/>
      <c r="R12" s="309"/>
      <c r="S12" s="309"/>
      <c r="T12" s="309"/>
      <c r="U12" s="309"/>
      <c r="V12" s="309"/>
      <c r="W12" s="309"/>
    </row>
    <row r="13" spans="2:23">
      <c r="B13" s="453"/>
      <c r="D13" s="318" t="s">
        <v>871</v>
      </c>
      <c r="G13" s="318" t="s">
        <v>373</v>
      </c>
      <c r="H13" s="552"/>
      <c r="I13" s="318" t="s">
        <v>373</v>
      </c>
      <c r="J13" s="552"/>
      <c r="K13" s="318" t="s">
        <v>373</v>
      </c>
      <c r="L13" s="552"/>
      <c r="M13" s="318" t="s">
        <v>373</v>
      </c>
      <c r="N13" s="639">
        <f>+H13-J13+L13</f>
        <v>0</v>
      </c>
      <c r="Q13" s="356"/>
      <c r="R13" s="309"/>
      <c r="S13" s="309"/>
      <c r="T13" s="309"/>
      <c r="U13" s="309"/>
      <c r="V13" s="309"/>
      <c r="W13" s="309"/>
    </row>
    <row r="14" spans="2:23">
      <c r="B14" s="453"/>
      <c r="H14" s="275"/>
      <c r="J14" s="275"/>
      <c r="L14" s="275"/>
      <c r="Q14" s="309"/>
      <c r="R14" s="309"/>
      <c r="S14" s="309"/>
      <c r="T14" s="309"/>
      <c r="U14" s="309"/>
      <c r="V14" s="309"/>
      <c r="W14" s="309"/>
    </row>
    <row r="15" spans="2:23" ht="21" customHeight="1">
      <c r="B15" s="453" t="s">
        <v>293</v>
      </c>
      <c r="C15" s="638" t="s">
        <v>3133</v>
      </c>
      <c r="D15" s="637"/>
      <c r="E15" s="637"/>
      <c r="F15" s="637"/>
      <c r="G15" s="318" t="s">
        <v>373</v>
      </c>
      <c r="H15" s="552"/>
      <c r="I15" s="318" t="s">
        <v>373</v>
      </c>
      <c r="J15" s="552"/>
      <c r="K15" s="318" t="s">
        <v>373</v>
      </c>
      <c r="L15" s="552"/>
      <c r="M15" s="318" t="s">
        <v>373</v>
      </c>
      <c r="N15" s="1164">
        <f>+H15-J15+L15</f>
        <v>0</v>
      </c>
      <c r="Q15" s="309"/>
      <c r="R15" s="309"/>
      <c r="S15" s="309"/>
      <c r="T15" s="309"/>
      <c r="U15" s="309"/>
      <c r="V15" s="309"/>
      <c r="W15" s="309"/>
    </row>
    <row r="16" spans="2:23" ht="21" customHeight="1">
      <c r="B16" s="453" t="s">
        <v>294</v>
      </c>
      <c r="C16" s="637"/>
      <c r="D16" s="637"/>
      <c r="E16" s="637"/>
      <c r="F16" s="637"/>
      <c r="G16" s="318" t="s">
        <v>373</v>
      </c>
      <c r="H16" s="552"/>
      <c r="I16" s="318" t="s">
        <v>373</v>
      </c>
      <c r="J16" s="552"/>
      <c r="K16" s="318" t="s">
        <v>373</v>
      </c>
      <c r="L16" s="552"/>
      <c r="M16" s="318" t="s">
        <v>373</v>
      </c>
      <c r="N16" s="1164">
        <f>+H16-J16+L16</f>
        <v>0</v>
      </c>
      <c r="Q16" s="309"/>
      <c r="R16" s="309"/>
      <c r="S16" s="309"/>
      <c r="T16" s="309"/>
      <c r="U16" s="309"/>
      <c r="V16" s="309"/>
      <c r="W16" s="309"/>
    </row>
    <row r="17" spans="2:23" ht="21" customHeight="1">
      <c r="B17" s="453" t="s">
        <v>295</v>
      </c>
      <c r="C17" s="637"/>
      <c r="D17" s="637"/>
      <c r="E17" s="637"/>
      <c r="F17" s="637"/>
      <c r="G17" s="318" t="s">
        <v>373</v>
      </c>
      <c r="H17" s="552"/>
      <c r="I17" s="318" t="s">
        <v>373</v>
      </c>
      <c r="J17" s="552"/>
      <c r="K17" s="318" t="s">
        <v>373</v>
      </c>
      <c r="L17" s="552"/>
      <c r="M17" s="318" t="s">
        <v>373</v>
      </c>
      <c r="N17" s="1164">
        <f t="shared" ref="N17:N23" si="0">+H17-J17+L17</f>
        <v>0</v>
      </c>
      <c r="Q17" s="309"/>
      <c r="R17" s="309"/>
      <c r="S17" s="309"/>
      <c r="T17" s="309"/>
      <c r="U17" s="309"/>
      <c r="V17" s="309"/>
      <c r="W17" s="309"/>
    </row>
    <row r="18" spans="2:23" ht="21" customHeight="1">
      <c r="B18" s="453" t="s">
        <v>296</v>
      </c>
      <c r="C18" s="637"/>
      <c r="D18" s="637"/>
      <c r="E18" s="637"/>
      <c r="F18" s="637"/>
      <c r="G18" s="318" t="s">
        <v>373</v>
      </c>
      <c r="H18" s="552"/>
      <c r="I18" s="318" t="s">
        <v>373</v>
      </c>
      <c r="J18" s="552"/>
      <c r="K18" s="318" t="s">
        <v>373</v>
      </c>
      <c r="L18" s="552"/>
      <c r="M18" s="318" t="s">
        <v>373</v>
      </c>
      <c r="N18" s="1164">
        <f t="shared" si="0"/>
        <v>0</v>
      </c>
      <c r="Q18" s="309"/>
      <c r="R18" s="309"/>
      <c r="S18" s="309"/>
      <c r="T18" s="309"/>
      <c r="U18" s="309"/>
      <c r="V18" s="309"/>
      <c r="W18" s="309"/>
    </row>
    <row r="19" spans="2:23" ht="21" customHeight="1">
      <c r="B19" s="453"/>
      <c r="C19" s="1166" t="s">
        <v>3210</v>
      </c>
      <c r="D19" s="1166"/>
      <c r="E19" s="1166"/>
      <c r="F19" s="1166"/>
      <c r="G19" s="709" t="s">
        <v>373</v>
      </c>
      <c r="H19" s="552"/>
      <c r="I19" s="709" t="s">
        <v>373</v>
      </c>
      <c r="J19" s="552"/>
      <c r="K19" s="709" t="s">
        <v>373</v>
      </c>
      <c r="L19" s="552"/>
      <c r="M19" s="318" t="s">
        <v>373</v>
      </c>
      <c r="N19" s="1164">
        <f t="shared" si="0"/>
        <v>0</v>
      </c>
      <c r="Q19" s="309"/>
      <c r="R19" s="309"/>
      <c r="S19" s="309"/>
      <c r="T19" s="309"/>
      <c r="U19" s="309"/>
      <c r="V19" s="309"/>
      <c r="W19" s="309"/>
    </row>
    <row r="20" spans="2:23" ht="21" customHeight="1">
      <c r="B20" s="453"/>
      <c r="C20" s="1288" t="s">
        <v>3211</v>
      </c>
      <c r="D20" s="1166"/>
      <c r="E20" s="1166"/>
      <c r="F20" s="1166"/>
      <c r="G20" s="709" t="s">
        <v>373</v>
      </c>
      <c r="H20" s="1165">
        <f>H13+H15+H16+H17+H18+H19</f>
        <v>0</v>
      </c>
      <c r="I20" s="709" t="s">
        <v>373</v>
      </c>
      <c r="J20" s="1165">
        <f>J13+J15+J16+J17+J18+J19</f>
        <v>0</v>
      </c>
      <c r="K20" s="709" t="s">
        <v>373</v>
      </c>
      <c r="L20" s="1165">
        <f>L13+L15+L16+L17+L18+L19</f>
        <v>0</v>
      </c>
      <c r="M20" s="318" t="s">
        <v>373</v>
      </c>
      <c r="N20" s="1165">
        <f>N13+N15+N16+N17+N18+N19</f>
        <v>0</v>
      </c>
      <c r="Q20" s="309"/>
      <c r="R20" s="309"/>
      <c r="S20" s="309"/>
      <c r="T20" s="309"/>
      <c r="U20" s="309"/>
      <c r="V20" s="309"/>
      <c r="W20" s="309"/>
    </row>
    <row r="21" spans="2:23" ht="21" customHeight="1">
      <c r="B21" s="453" t="s">
        <v>297</v>
      </c>
      <c r="C21" s="637"/>
      <c r="D21" s="637"/>
      <c r="E21" s="637"/>
      <c r="F21" s="637"/>
      <c r="G21" s="318" t="s">
        <v>373</v>
      </c>
      <c r="H21" s="552"/>
      <c r="I21" s="318" t="s">
        <v>373</v>
      </c>
      <c r="J21" s="552"/>
      <c r="K21" s="318" t="s">
        <v>373</v>
      </c>
      <c r="L21" s="552"/>
      <c r="M21" s="318" t="s">
        <v>373</v>
      </c>
      <c r="N21" s="1164">
        <f t="shared" si="0"/>
        <v>0</v>
      </c>
      <c r="Q21" s="309"/>
      <c r="R21" s="309"/>
      <c r="S21" s="309"/>
      <c r="T21" s="309"/>
      <c r="U21" s="309"/>
      <c r="V21" s="309"/>
      <c r="W21" s="309"/>
    </row>
    <row r="22" spans="2:23" ht="21" customHeight="1">
      <c r="B22" s="453" t="s">
        <v>298</v>
      </c>
      <c r="C22" s="637"/>
      <c r="D22" s="637"/>
      <c r="E22" s="637"/>
      <c r="F22" s="637"/>
      <c r="G22" s="318" t="s">
        <v>373</v>
      </c>
      <c r="H22" s="552"/>
      <c r="I22" s="318" t="s">
        <v>373</v>
      </c>
      <c r="J22" s="552"/>
      <c r="K22" s="318" t="s">
        <v>373</v>
      </c>
      <c r="L22" s="552"/>
      <c r="M22" s="318" t="s">
        <v>373</v>
      </c>
      <c r="N22" s="1164">
        <f t="shared" si="0"/>
        <v>0</v>
      </c>
      <c r="Q22" s="309"/>
      <c r="R22" s="309"/>
      <c r="S22" s="309"/>
      <c r="T22" s="309"/>
      <c r="U22" s="309"/>
      <c r="V22" s="309"/>
      <c r="W22" s="309"/>
    </row>
    <row r="23" spans="2:23" ht="21" customHeight="1">
      <c r="B23" s="453"/>
      <c r="C23" s="1288" t="s">
        <v>3483</v>
      </c>
      <c r="D23" s="1166"/>
      <c r="E23" s="1166"/>
      <c r="F23" s="1166"/>
      <c r="G23" s="709" t="s">
        <v>373</v>
      </c>
      <c r="H23" s="1165">
        <f>H21+H22</f>
        <v>0</v>
      </c>
      <c r="I23" s="709" t="s">
        <v>373</v>
      </c>
      <c r="J23" s="1165">
        <f>J21+J22</f>
        <v>0</v>
      </c>
      <c r="K23" s="709" t="s">
        <v>373</v>
      </c>
      <c r="L23" s="1165">
        <f>L21+L22</f>
        <v>0</v>
      </c>
      <c r="M23" s="318" t="s">
        <v>373</v>
      </c>
      <c r="N23" s="1164">
        <f t="shared" si="0"/>
        <v>0</v>
      </c>
      <c r="Q23" s="309"/>
      <c r="R23" s="309"/>
      <c r="S23" s="309"/>
      <c r="T23" s="309"/>
      <c r="U23" s="309"/>
      <c r="V23" s="309"/>
      <c r="W23" s="309"/>
    </row>
    <row r="24" spans="2:23">
      <c r="B24" s="453"/>
      <c r="Q24" s="309"/>
      <c r="R24" s="309"/>
      <c r="S24" s="309"/>
      <c r="T24" s="309"/>
      <c r="U24" s="309"/>
      <c r="V24" s="309"/>
      <c r="W24" s="309"/>
    </row>
    <row r="25" spans="2:23">
      <c r="B25" s="1287"/>
      <c r="C25" s="1086" t="s">
        <v>873</v>
      </c>
      <c r="D25" s="1086"/>
      <c r="E25" s="1086"/>
      <c r="F25" s="1086"/>
      <c r="G25" s="1086"/>
      <c r="H25" s="1086"/>
      <c r="I25" s="1086"/>
      <c r="J25" s="1086"/>
      <c r="K25" s="1086"/>
      <c r="L25" s="1086"/>
      <c r="M25" s="1086"/>
      <c r="N25" s="1086"/>
      <c r="Q25" s="309"/>
      <c r="R25" s="309"/>
      <c r="S25" s="309"/>
      <c r="T25" s="309"/>
      <c r="U25" s="309"/>
      <c r="V25" s="309"/>
      <c r="W25" s="309"/>
    </row>
    <row r="26" spans="2:23">
      <c r="B26" s="1287"/>
      <c r="C26" s="1086"/>
      <c r="D26" s="1086"/>
      <c r="E26" s="1086"/>
      <c r="F26" s="1086"/>
      <c r="G26" s="1086"/>
      <c r="H26" s="1086"/>
      <c r="I26" s="1086"/>
      <c r="J26" s="1086"/>
      <c r="K26" s="1086"/>
      <c r="L26" s="1086"/>
      <c r="M26" s="1086"/>
      <c r="N26" s="1086"/>
      <c r="Q26" s="309"/>
      <c r="R26" s="309"/>
      <c r="S26" s="309"/>
      <c r="T26" s="309"/>
      <c r="U26" s="309"/>
      <c r="V26" s="309"/>
      <c r="W26" s="309"/>
    </row>
    <row r="27" spans="2:23">
      <c r="B27" s="1287"/>
      <c r="C27" s="1086"/>
      <c r="D27" s="1086"/>
      <c r="E27" s="1086"/>
      <c r="F27" s="1086"/>
      <c r="G27" s="1086"/>
      <c r="H27" s="1086"/>
      <c r="I27" s="1086"/>
      <c r="J27" s="1086"/>
      <c r="K27" s="1086"/>
      <c r="L27" s="1086"/>
      <c r="M27" s="1086"/>
      <c r="N27" s="1086"/>
      <c r="Q27" s="309"/>
      <c r="R27" s="309"/>
      <c r="S27" s="309"/>
      <c r="T27" s="309"/>
      <c r="U27" s="309"/>
      <c r="V27" s="309"/>
      <c r="W27" s="309"/>
    </row>
    <row r="28" spans="2:23" ht="15.6">
      <c r="B28" s="1935" t="s">
        <v>3357</v>
      </c>
      <c r="C28" s="1935"/>
      <c r="D28" s="1935"/>
      <c r="E28" s="1935"/>
      <c r="F28" s="1935"/>
      <c r="G28" s="1935"/>
      <c r="H28" s="1935"/>
      <c r="I28" s="1935"/>
      <c r="J28" s="1935"/>
      <c r="K28" s="1935"/>
      <c r="L28" s="1935"/>
      <c r="M28" s="1935"/>
      <c r="N28" s="1935"/>
    </row>
    <row r="29" spans="2:23" ht="15.6">
      <c r="B29" s="1935" t="s">
        <v>3576</v>
      </c>
      <c r="C29" s="1935"/>
      <c r="D29" s="1935"/>
      <c r="E29" s="1935"/>
      <c r="F29" s="1935"/>
      <c r="G29" s="1935"/>
      <c r="H29" s="1935"/>
      <c r="I29" s="1935"/>
      <c r="J29" s="1935"/>
      <c r="K29" s="1935"/>
      <c r="L29" s="1935"/>
      <c r="M29" s="1935"/>
      <c r="N29" s="1935"/>
    </row>
    <row r="30" spans="2:23" ht="6.75" customHeight="1">
      <c r="B30" s="1289"/>
      <c r="C30" s="1289"/>
      <c r="D30" s="1289"/>
      <c r="E30" s="1289"/>
      <c r="F30" s="1289"/>
      <c r="G30" s="1289"/>
      <c r="H30" s="1289"/>
      <c r="I30" s="1289"/>
      <c r="J30" s="1289"/>
      <c r="K30" s="1289"/>
      <c r="L30" s="1289"/>
      <c r="M30" s="1289"/>
      <c r="N30" s="1289"/>
    </row>
    <row r="31" spans="2:23" ht="18" customHeight="1">
      <c r="B31" s="1287"/>
      <c r="C31" s="1086"/>
      <c r="D31" s="2056" t="s">
        <v>17</v>
      </c>
      <c r="E31" s="2056"/>
      <c r="F31" s="1290"/>
      <c r="G31" s="2056" t="s">
        <v>413</v>
      </c>
      <c r="H31" s="2056"/>
      <c r="I31" s="2056"/>
      <c r="J31" s="2056"/>
      <c r="K31" s="2056"/>
      <c r="L31" s="2056"/>
      <c r="M31" s="1290"/>
      <c r="N31" s="1291" t="s">
        <v>414</v>
      </c>
    </row>
    <row r="32" spans="2:23" ht="21" customHeight="1">
      <c r="B32" s="453"/>
      <c r="C32" s="453" t="s">
        <v>292</v>
      </c>
      <c r="D32" s="637"/>
      <c r="E32" s="637"/>
      <c r="G32" s="637"/>
      <c r="H32" s="637"/>
      <c r="I32" s="637"/>
      <c r="J32" s="637"/>
      <c r="K32" s="637"/>
      <c r="L32" s="637"/>
      <c r="M32" s="318" t="s">
        <v>373</v>
      </c>
      <c r="N32" s="355"/>
    </row>
    <row r="33" spans="2:14" ht="21" customHeight="1">
      <c r="B33" s="453"/>
      <c r="C33" s="453" t="s">
        <v>293</v>
      </c>
      <c r="D33" s="637"/>
      <c r="E33" s="637"/>
      <c r="G33" s="637"/>
      <c r="H33" s="637"/>
      <c r="I33" s="637"/>
      <c r="J33" s="637"/>
      <c r="K33" s="637"/>
      <c r="L33" s="637"/>
      <c r="M33" s="318" t="s">
        <v>373</v>
      </c>
      <c r="N33" s="355"/>
    </row>
    <row r="34" spans="2:14" ht="21" customHeight="1">
      <c r="B34" s="453"/>
      <c r="C34" s="453" t="s">
        <v>294</v>
      </c>
      <c r="D34" s="637"/>
      <c r="E34" s="637"/>
      <c r="G34" s="637"/>
      <c r="H34" s="637"/>
      <c r="I34" s="637"/>
      <c r="J34" s="637"/>
      <c r="K34" s="637"/>
      <c r="L34" s="637"/>
      <c r="M34" s="318" t="s">
        <v>373</v>
      </c>
      <c r="N34" s="355"/>
    </row>
    <row r="35" spans="2:14" ht="21" customHeight="1">
      <c r="B35" s="453"/>
      <c r="C35" s="453" t="s">
        <v>295</v>
      </c>
      <c r="D35" s="637"/>
      <c r="E35" s="637"/>
      <c r="G35" s="637"/>
      <c r="H35" s="637"/>
      <c r="I35" s="637"/>
      <c r="J35" s="637"/>
      <c r="K35" s="637"/>
      <c r="L35" s="637"/>
      <c r="M35" s="318" t="s">
        <v>373</v>
      </c>
      <c r="N35" s="355"/>
    </row>
    <row r="36" spans="2:14" ht="21" customHeight="1">
      <c r="B36" s="453"/>
      <c r="C36" s="453" t="s">
        <v>296</v>
      </c>
      <c r="D36" s="637"/>
      <c r="E36" s="637"/>
      <c r="G36" s="637"/>
      <c r="H36" s="637"/>
      <c r="I36" s="637"/>
      <c r="J36" s="637"/>
      <c r="K36" s="637"/>
      <c r="L36" s="637"/>
      <c r="M36" s="318" t="s">
        <v>373</v>
      </c>
      <c r="N36" s="355"/>
    </row>
    <row r="37" spans="2:14">
      <c r="B37" s="1287"/>
      <c r="C37" s="1086"/>
      <c r="D37" s="1086"/>
      <c r="E37" s="1086"/>
      <c r="F37" s="1086"/>
      <c r="G37" s="1086"/>
      <c r="H37" s="1086"/>
      <c r="I37" s="1086"/>
      <c r="J37" s="1086"/>
      <c r="K37" s="1086"/>
      <c r="L37" s="1086"/>
      <c r="M37" s="1086"/>
      <c r="N37" s="1086"/>
    </row>
    <row r="38" spans="2:14">
      <c r="B38" s="1287"/>
      <c r="C38" s="1086"/>
      <c r="D38" s="1086"/>
      <c r="E38" s="1086"/>
      <c r="F38" s="1086"/>
      <c r="G38" s="1086"/>
      <c r="H38" s="1086"/>
      <c r="I38" s="1086"/>
      <c r="J38" s="1086"/>
      <c r="K38" s="1086"/>
      <c r="L38" s="1086"/>
      <c r="M38" s="1086"/>
      <c r="N38" s="1086"/>
    </row>
    <row r="39" spans="2:14">
      <c r="B39" s="1287"/>
      <c r="C39" s="1086"/>
      <c r="D39" s="1086"/>
      <c r="E39" s="1086"/>
      <c r="F39" s="1086"/>
      <c r="G39" s="1086"/>
      <c r="H39" s="1086"/>
      <c r="I39" s="1086"/>
      <c r="J39" s="1086"/>
      <c r="K39" s="1086"/>
      <c r="L39" s="1086"/>
      <c r="M39" s="1086"/>
      <c r="N39" s="1086"/>
    </row>
    <row r="40" spans="2:14" ht="15.6">
      <c r="B40" s="2057" t="s">
        <v>250</v>
      </c>
      <c r="C40" s="2057"/>
      <c r="D40" s="2057"/>
      <c r="E40" s="2057"/>
      <c r="F40" s="2057"/>
      <c r="G40" s="2057"/>
      <c r="H40" s="2057"/>
      <c r="I40" s="2057"/>
      <c r="J40" s="2057"/>
      <c r="K40" s="2057"/>
      <c r="L40" s="2057"/>
      <c r="M40" s="2057"/>
      <c r="N40" s="2057"/>
    </row>
    <row r="41" spans="2:14">
      <c r="B41" s="1287"/>
      <c r="C41" s="1086"/>
      <c r="D41" s="1086"/>
      <c r="E41" s="1086"/>
      <c r="F41" s="1086"/>
      <c r="G41" s="1086"/>
      <c r="H41" s="1086"/>
      <c r="I41" s="1086"/>
      <c r="J41" s="1086"/>
      <c r="K41" s="1086"/>
      <c r="L41" s="1086"/>
      <c r="M41" s="1086"/>
      <c r="N41" s="1086"/>
    </row>
    <row r="42" spans="2:14">
      <c r="B42" s="1287"/>
      <c r="C42" s="1086"/>
      <c r="D42" s="1086"/>
      <c r="E42" s="1086"/>
      <c r="F42" s="1086"/>
      <c r="G42" s="1086"/>
      <c r="H42" s="1086"/>
      <c r="I42" s="1086"/>
      <c r="J42" s="1086"/>
      <c r="K42" s="1086"/>
      <c r="L42" s="1086"/>
      <c r="M42" s="1086"/>
      <c r="N42" s="1081" t="s">
        <v>419</v>
      </c>
    </row>
    <row r="43" spans="2:14">
      <c r="B43" s="1287"/>
      <c r="C43" s="1086"/>
      <c r="D43" s="1086"/>
      <c r="E43" s="1086"/>
      <c r="F43" s="1086"/>
      <c r="G43" s="1086"/>
      <c r="H43" s="1086"/>
      <c r="I43" s="1086"/>
      <c r="J43" s="1086"/>
      <c r="K43" s="1086"/>
      <c r="L43" s="1086"/>
      <c r="M43" s="1086"/>
      <c r="N43" s="1081" t="s">
        <v>420</v>
      </c>
    </row>
    <row r="44" spans="2:14">
      <c r="B44" s="1287"/>
      <c r="C44" s="1086"/>
      <c r="D44" s="2058" t="s">
        <v>416</v>
      </c>
      <c r="E44" s="2058"/>
      <c r="F44" s="1086"/>
      <c r="G44" s="1086"/>
      <c r="H44" s="2058" t="s">
        <v>417</v>
      </c>
      <c r="I44" s="2058"/>
      <c r="J44" s="1285" t="s">
        <v>418</v>
      </c>
      <c r="K44" s="1086"/>
      <c r="L44" s="1285" t="s">
        <v>414</v>
      </c>
      <c r="M44" s="1086"/>
      <c r="N44" s="1285" t="str">
        <f>IF('KEY INPUTS'!C42="State Fiscal Year","Fiscal Year "&amp;'KEY INPUTS'!D33&amp;"",'KEY INPUTS'!D34)&amp;""</f>
        <v>2021</v>
      </c>
    </row>
    <row r="45" spans="2:14">
      <c r="B45" s="1287"/>
      <c r="C45" s="1086"/>
      <c r="D45" s="1086"/>
      <c r="E45" s="1086"/>
      <c r="F45" s="1086"/>
      <c r="G45" s="1086"/>
      <c r="H45" s="1086"/>
      <c r="I45" s="1086"/>
      <c r="J45" s="1086"/>
      <c r="K45" s="1086"/>
      <c r="L45" s="1086"/>
      <c r="M45" s="1086"/>
      <c r="N45" s="1086"/>
    </row>
    <row r="46" spans="2:14" ht="21" customHeight="1">
      <c r="B46" s="453"/>
      <c r="C46" s="453" t="s">
        <v>292</v>
      </c>
      <c r="D46" s="637"/>
      <c r="E46" s="637"/>
      <c r="F46" s="637"/>
      <c r="G46" s="637"/>
      <c r="H46" s="637"/>
      <c r="I46" s="637"/>
      <c r="J46" s="637"/>
      <c r="K46" s="318" t="s">
        <v>373</v>
      </c>
      <c r="L46" s="355"/>
      <c r="M46" s="636"/>
      <c r="N46" s="355"/>
    </row>
    <row r="47" spans="2:14" ht="21" customHeight="1">
      <c r="B47" s="453"/>
      <c r="C47" s="453" t="s">
        <v>293</v>
      </c>
      <c r="D47" s="637"/>
      <c r="E47" s="637"/>
      <c r="F47" s="637"/>
      <c r="G47" s="637"/>
      <c r="H47" s="637"/>
      <c r="I47" s="637"/>
      <c r="J47" s="637"/>
      <c r="K47" s="318" t="s">
        <v>373</v>
      </c>
      <c r="L47" s="355"/>
      <c r="M47" s="636"/>
      <c r="N47" s="355"/>
    </row>
    <row r="48" spans="2:14" ht="21" customHeight="1">
      <c r="B48" s="453"/>
      <c r="C48" s="453" t="s">
        <v>294</v>
      </c>
      <c r="D48" s="637"/>
      <c r="E48" s="637"/>
      <c r="F48" s="637"/>
      <c r="G48" s="637"/>
      <c r="H48" s="637"/>
      <c r="I48" s="637"/>
      <c r="J48" s="637"/>
      <c r="K48" s="318" t="s">
        <v>373</v>
      </c>
      <c r="L48" s="355"/>
      <c r="M48" s="636"/>
      <c r="N48" s="355"/>
    </row>
    <row r="49" spans="2:14" ht="21" customHeight="1">
      <c r="B49" s="453"/>
      <c r="C49" s="453" t="s">
        <v>295</v>
      </c>
      <c r="D49" s="637"/>
      <c r="E49" s="637"/>
      <c r="F49" s="637"/>
      <c r="G49" s="637"/>
      <c r="H49" s="637"/>
      <c r="I49" s="637"/>
      <c r="J49" s="637"/>
      <c r="K49" s="318" t="s">
        <v>373</v>
      </c>
      <c r="L49" s="355"/>
      <c r="M49" s="636"/>
      <c r="N49" s="355"/>
    </row>
    <row r="50" spans="2:14">
      <c r="B50" s="453"/>
    </row>
    <row r="51" spans="2:14">
      <c r="B51" s="453"/>
    </row>
    <row r="52" spans="2:14">
      <c r="B52" s="453"/>
    </row>
    <row r="53" spans="2:14">
      <c r="B53" s="453"/>
    </row>
    <row r="54" spans="2:14">
      <c r="B54" s="453"/>
    </row>
    <row r="55" spans="2:14">
      <c r="B55" s="453"/>
    </row>
    <row r="56" spans="2:14">
      <c r="B56" s="453"/>
    </row>
    <row r="57" spans="2:14">
      <c r="B57" s="453"/>
    </row>
    <row r="58" spans="2:14">
      <c r="B58" s="453"/>
    </row>
    <row r="59" spans="2:14">
      <c r="B59" s="453"/>
    </row>
    <row r="60" spans="2:14">
      <c r="B60" s="453"/>
    </row>
    <row r="61" spans="2:14" ht="13.8">
      <c r="B61" s="1934" t="s">
        <v>3166</v>
      </c>
      <c r="C61" s="1934"/>
      <c r="D61" s="1934"/>
      <c r="E61" s="1934"/>
      <c r="F61" s="1934"/>
      <c r="G61" s="1934"/>
      <c r="H61" s="1934"/>
      <c r="I61" s="1934"/>
      <c r="J61" s="1934"/>
      <c r="K61" s="1934"/>
      <c r="L61" s="1934"/>
      <c r="M61" s="1934"/>
      <c r="N61" s="1934"/>
    </row>
    <row r="62" spans="2:14">
      <c r="B62" s="453"/>
    </row>
    <row r="63" spans="2:14">
      <c r="B63" s="453"/>
    </row>
    <row r="64" spans="2:14">
      <c r="B64" s="453"/>
    </row>
    <row r="65" spans="2:2">
      <c r="B65" s="453"/>
    </row>
    <row r="66" spans="2:2">
      <c r="B66" s="453"/>
    </row>
    <row r="67" spans="2:2">
      <c r="B67" s="453"/>
    </row>
    <row r="68" spans="2:2">
      <c r="B68" s="453"/>
    </row>
    <row r="69" spans="2:2">
      <c r="B69" s="453"/>
    </row>
  </sheetData>
  <sheetProtection algorithmName="SHA-512" hashValue="7uv7VHNH8BcVg0b6xkHUh5YynBtwGtfL5fqL1OjqhZKPPrSPtTKa6ICXonJiTAUe2EmtNOuYsh/e4Vz7UeU8xg==" saltValue="dDzqlcFrf4NbCtQYYMKwsA==" spinCount="100000" sheet="1" objects="1" scenarios="1"/>
  <mergeCells count="13">
    <mergeCell ref="B28:N28"/>
    <mergeCell ref="B3:N3"/>
    <mergeCell ref="B4:N4"/>
    <mergeCell ref="B5:N5"/>
    <mergeCell ref="B6:N6"/>
    <mergeCell ref="C9:E9"/>
    <mergeCell ref="B61:N61"/>
    <mergeCell ref="B29:N29"/>
    <mergeCell ref="D31:E31"/>
    <mergeCell ref="G31:L31"/>
    <mergeCell ref="B40:N40"/>
    <mergeCell ref="D44:E44"/>
    <mergeCell ref="H44:I44"/>
  </mergeCells>
  <pageMargins left="0.25" right="0.25" top="0.5" bottom="0.5" header="0.25" footer="0.25"/>
  <pageSetup paperSize="5" orientation="portrait" r:id="rId1"/>
  <headerFooter alignWithMargins="0"/>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5">
    <tabColor theme="3" tint="0.79998168889431442"/>
  </sheetPr>
  <dimension ref="A1:O36"/>
  <sheetViews>
    <sheetView zoomScaleNormal="100" workbookViewId="0">
      <selection activeCell="I18" sqref="I18"/>
    </sheetView>
  </sheetViews>
  <sheetFormatPr defaultColWidth="9.109375" defaultRowHeight="13.2"/>
  <cols>
    <col min="1" max="1" width="5.6640625" style="309" customWidth="1"/>
    <col min="2" max="4" width="4.88671875" style="309" customWidth="1"/>
    <col min="5" max="5" width="46.6640625" style="309" customWidth="1"/>
    <col min="6" max="6" width="7.6640625" style="309" customWidth="1"/>
    <col min="7" max="8" width="16.6640625" style="309" customWidth="1"/>
    <col min="9" max="12" width="15.6640625" style="309" customWidth="1"/>
    <col min="13" max="13" width="10.44140625" style="309" bestFit="1" customWidth="1"/>
    <col min="14" max="16384" width="9.109375" style="309"/>
  </cols>
  <sheetData>
    <row r="1" spans="1:15">
      <c r="B1" s="811"/>
      <c r="C1" s="811"/>
      <c r="D1" s="811"/>
      <c r="E1" s="811"/>
      <c r="F1" s="811"/>
      <c r="G1" s="811"/>
      <c r="H1" s="811"/>
      <c r="I1" s="811"/>
      <c r="J1" s="811"/>
      <c r="K1" s="811"/>
      <c r="L1" s="811"/>
    </row>
    <row r="2" spans="1:15" ht="17.399999999999999">
      <c r="B2" s="1681" t="s">
        <v>3530</v>
      </c>
      <c r="C2" s="1681"/>
      <c r="D2" s="1681"/>
      <c r="E2" s="1681"/>
      <c r="F2" s="1681"/>
      <c r="G2" s="1681"/>
      <c r="H2" s="1681"/>
      <c r="I2" s="1681"/>
      <c r="J2" s="1681"/>
      <c r="K2" s="1681"/>
      <c r="L2" s="1681"/>
    </row>
    <row r="3" spans="1:15">
      <c r="B3" s="811"/>
      <c r="C3" s="811"/>
      <c r="D3" s="811"/>
      <c r="E3" s="811"/>
      <c r="F3" s="811"/>
      <c r="G3" s="811"/>
      <c r="H3" s="811"/>
      <c r="I3" s="811"/>
      <c r="J3" s="811"/>
      <c r="K3" s="811"/>
      <c r="L3" s="811"/>
    </row>
    <row r="4" spans="1:15">
      <c r="B4" s="811"/>
      <c r="C4" s="811"/>
      <c r="D4" s="811"/>
      <c r="E4" s="811"/>
      <c r="F4" s="811"/>
      <c r="G4" s="811"/>
      <c r="H4" s="811"/>
      <c r="I4" s="811"/>
      <c r="J4" s="811"/>
      <c r="K4" s="811"/>
      <c r="L4" s="811"/>
    </row>
    <row r="5" spans="1:15" ht="13.8" thickBot="1">
      <c r="B5" s="811"/>
      <c r="C5" s="811"/>
      <c r="D5" s="811"/>
      <c r="E5" s="811"/>
      <c r="F5" s="811"/>
      <c r="G5" s="811"/>
      <c r="H5" s="811"/>
      <c r="I5" s="811"/>
      <c r="J5" s="811"/>
      <c r="K5" s="811"/>
      <c r="L5" s="811"/>
    </row>
    <row r="6" spans="1:15" ht="13.8" thickTop="1">
      <c r="B6" s="844"/>
      <c r="C6" s="844"/>
      <c r="D6" s="844"/>
      <c r="E6" s="1020"/>
      <c r="F6" s="844"/>
      <c r="G6" s="845"/>
      <c r="H6" s="1021"/>
      <c r="I6" s="845"/>
      <c r="J6" s="844"/>
      <c r="K6" s="844"/>
      <c r="L6" s="821"/>
    </row>
    <row r="7" spans="1:15" ht="15.6">
      <c r="B7" s="1717" t="s">
        <v>17</v>
      </c>
      <c r="C7" s="1717"/>
      <c r="D7" s="1717"/>
      <c r="E7" s="1765" t="s">
        <v>413</v>
      </c>
      <c r="F7" s="1718"/>
      <c r="G7" s="847" t="s">
        <v>414</v>
      </c>
      <c r="H7" s="1457" t="s">
        <v>442</v>
      </c>
      <c r="I7" s="847" t="s">
        <v>530</v>
      </c>
      <c r="J7" s="1772" t="str">
        <f>"REDUCED  IN  "&amp;IF('KEY INPUTS'!C42="State Fiscal Year","FY  "&amp;'KEY INPUTS'!D33&amp;"",'KEY INPUTS'!D34)&amp;""</f>
        <v>REDUCED  IN  2021</v>
      </c>
      <c r="K7" s="1773"/>
      <c r="L7" s="822" t="s">
        <v>530</v>
      </c>
    </row>
    <row r="8" spans="1:15">
      <c r="B8" s="811"/>
      <c r="C8" s="811"/>
      <c r="D8" s="811"/>
      <c r="E8" s="1022"/>
      <c r="F8" s="811"/>
      <c r="G8" s="847" t="s">
        <v>441</v>
      </c>
      <c r="H8" s="1457" t="s">
        <v>443</v>
      </c>
      <c r="I8" s="850" t="str">
        <f>IF('KEY INPUTS'!C42 = "State Fiscal Year", 'KEY INPUTS'!F46,'KEY INPUTS'!D46)</f>
        <v>Dec. 31, 2020</v>
      </c>
      <c r="J8" s="847" t="str">
        <f>"By "&amp;IF('KEY INPUTS'!C42="State Fiscal Year","FY "&amp;'KEY INPUTS'!D33&amp;"",'KEY INPUTS'!D34)&amp;""</f>
        <v>By 2021</v>
      </c>
      <c r="K8" s="847" t="s">
        <v>439</v>
      </c>
      <c r="L8" s="823" t="str">
        <f>IF('KEY INPUTS'!C42 = "State Fiscal Year", 'KEY INPUTS'!F47,'KEY INPUTS'!D47)</f>
        <v>Dec. 31, 2021</v>
      </c>
    </row>
    <row r="9" spans="1:15" ht="13.8" thickBot="1">
      <c r="B9" s="853"/>
      <c r="C9" s="853"/>
      <c r="D9" s="853"/>
      <c r="E9" s="856"/>
      <c r="F9" s="853"/>
      <c r="G9" s="855"/>
      <c r="H9" s="1023" t="s">
        <v>444</v>
      </c>
      <c r="I9" s="854"/>
      <c r="J9" s="855" t="s">
        <v>535</v>
      </c>
      <c r="K9" s="855" t="s">
        <v>440</v>
      </c>
      <c r="L9" s="824"/>
    </row>
    <row r="10" spans="1:15" ht="21" customHeight="1" thickTop="1">
      <c r="B10" s="1767"/>
      <c r="C10" s="1767"/>
      <c r="D10" s="1768"/>
      <c r="E10" s="562"/>
      <c r="F10" s="542"/>
      <c r="G10" s="563"/>
      <c r="H10" s="563"/>
      <c r="I10" s="564"/>
      <c r="J10" s="564"/>
      <c r="K10" s="564"/>
      <c r="L10" s="1475">
        <f>+I10-J10-K10</f>
        <v>0</v>
      </c>
    </row>
    <row r="11" spans="1:15" ht="21" customHeight="1">
      <c r="B11" s="1769"/>
      <c r="C11" s="1642"/>
      <c r="D11" s="1770"/>
      <c r="E11" s="565"/>
      <c r="F11" s="544"/>
      <c r="G11" s="553"/>
      <c r="H11" s="553"/>
      <c r="I11" s="353"/>
      <c r="J11" s="353"/>
      <c r="K11" s="353"/>
      <c r="L11" s="1476">
        <f>+I11-J11-K11</f>
        <v>0</v>
      </c>
      <c r="M11" s="312"/>
    </row>
    <row r="12" spans="1:15" ht="21" customHeight="1">
      <c r="B12" s="1769"/>
      <c r="C12" s="1642"/>
      <c r="D12" s="1770"/>
      <c r="E12" s="565"/>
      <c r="F12" s="544"/>
      <c r="G12" s="566"/>
      <c r="H12" s="553"/>
      <c r="I12" s="567"/>
      <c r="J12" s="353"/>
      <c r="K12" s="353"/>
      <c r="L12" s="1476">
        <f t="shared" ref="L12:L23" si="0">+I12-J12-K12</f>
        <v>0</v>
      </c>
      <c r="M12" s="312"/>
    </row>
    <row r="13" spans="1:15" ht="21" customHeight="1">
      <c r="B13" s="1642"/>
      <c r="C13" s="1642"/>
      <c r="D13" s="1770"/>
      <c r="E13" s="565"/>
      <c r="F13" s="544"/>
      <c r="G13" s="553"/>
      <c r="H13" s="553"/>
      <c r="I13" s="353"/>
      <c r="J13" s="353"/>
      <c r="K13" s="353"/>
      <c r="L13" s="1476">
        <f t="shared" si="0"/>
        <v>0</v>
      </c>
    </row>
    <row r="14" spans="1:15" ht="21" customHeight="1">
      <c r="B14" s="1769"/>
      <c r="C14" s="1642"/>
      <c r="D14" s="1770"/>
      <c r="E14" s="565"/>
      <c r="F14" s="544"/>
      <c r="G14" s="553"/>
      <c r="H14" s="553"/>
      <c r="I14" s="353"/>
      <c r="J14" s="353"/>
      <c r="K14" s="353"/>
      <c r="L14" s="1476">
        <f t="shared" si="0"/>
        <v>0</v>
      </c>
      <c r="O14" s="356"/>
    </row>
    <row r="15" spans="1:15" ht="21" customHeight="1">
      <c r="B15" s="1769"/>
      <c r="C15" s="1642"/>
      <c r="D15" s="1770"/>
      <c r="E15" s="565"/>
      <c r="F15" s="544"/>
      <c r="G15" s="566"/>
      <c r="H15" s="553"/>
      <c r="I15" s="567"/>
      <c r="J15" s="353"/>
      <c r="K15" s="353"/>
      <c r="L15" s="1476">
        <f t="shared" si="0"/>
        <v>0</v>
      </c>
    </row>
    <row r="16" spans="1:15" ht="21" customHeight="1">
      <c r="A16" s="1692" t="s">
        <v>3531</v>
      </c>
      <c r="B16" s="1642"/>
      <c r="C16" s="1642"/>
      <c r="D16" s="1770"/>
      <c r="E16" s="565"/>
      <c r="F16" s="544"/>
      <c r="G16" s="553"/>
      <c r="H16" s="553"/>
      <c r="I16" s="353"/>
      <c r="J16" s="353"/>
      <c r="K16" s="353"/>
      <c r="L16" s="1476">
        <f t="shared" si="0"/>
        <v>0</v>
      </c>
    </row>
    <row r="17" spans="1:12" ht="21" customHeight="1">
      <c r="A17" s="1692"/>
      <c r="B17" s="1642"/>
      <c r="C17" s="1642"/>
      <c r="D17" s="1770"/>
      <c r="E17" s="565"/>
      <c r="F17" s="544"/>
      <c r="G17" s="553"/>
      <c r="H17" s="553"/>
      <c r="I17" s="353"/>
      <c r="J17" s="353"/>
      <c r="K17" s="353"/>
      <c r="L17" s="1476">
        <f t="shared" si="0"/>
        <v>0</v>
      </c>
    </row>
    <row r="18" spans="1:12" ht="21" customHeight="1">
      <c r="A18" s="1692"/>
      <c r="B18" s="1642"/>
      <c r="C18" s="1642"/>
      <c r="D18" s="1770"/>
      <c r="E18" s="565"/>
      <c r="F18" s="544"/>
      <c r="G18" s="553"/>
      <c r="H18" s="553"/>
      <c r="I18" s="353"/>
      <c r="J18" s="353"/>
      <c r="K18" s="353"/>
      <c r="L18" s="1476">
        <f t="shared" si="0"/>
        <v>0</v>
      </c>
    </row>
    <row r="19" spans="1:12" ht="21" customHeight="1">
      <c r="A19" s="1456"/>
      <c r="B19" s="1455"/>
      <c r="C19" s="1455"/>
      <c r="D19" s="1458"/>
      <c r="E19" s="565"/>
      <c r="F19" s="544"/>
      <c r="G19" s="553"/>
      <c r="H19" s="553"/>
      <c r="I19" s="353"/>
      <c r="J19" s="353"/>
      <c r="K19" s="353"/>
      <c r="L19" s="1476">
        <f t="shared" si="0"/>
        <v>0</v>
      </c>
    </row>
    <row r="20" spans="1:12" ht="21" customHeight="1">
      <c r="A20" s="1456"/>
      <c r="B20" s="1455"/>
      <c r="C20" s="1455"/>
      <c r="D20" s="1458"/>
      <c r="E20" s="565"/>
      <c r="F20" s="544"/>
      <c r="G20" s="553"/>
      <c r="H20" s="553"/>
      <c r="I20" s="353"/>
      <c r="J20" s="353"/>
      <c r="K20" s="353"/>
      <c r="L20" s="1476">
        <f t="shared" si="0"/>
        <v>0</v>
      </c>
    </row>
    <row r="21" spans="1:12" ht="21" customHeight="1">
      <c r="B21" s="1642"/>
      <c r="C21" s="1642"/>
      <c r="D21" s="1770"/>
      <c r="E21" s="565"/>
      <c r="F21" s="544"/>
      <c r="G21" s="553"/>
      <c r="H21" s="553"/>
      <c r="I21" s="353"/>
      <c r="J21" s="353"/>
      <c r="K21" s="353"/>
      <c r="L21" s="1476">
        <f t="shared" si="0"/>
        <v>0</v>
      </c>
    </row>
    <row r="22" spans="1:12" ht="21" customHeight="1">
      <c r="B22" s="1455"/>
      <c r="C22" s="1455"/>
      <c r="D22" s="1458"/>
      <c r="E22" s="565"/>
      <c r="F22" s="544"/>
      <c r="G22" s="553"/>
      <c r="H22" s="553"/>
      <c r="I22" s="353"/>
      <c r="J22" s="353"/>
      <c r="K22" s="353"/>
      <c r="L22" s="1476">
        <f t="shared" si="0"/>
        <v>0</v>
      </c>
    </row>
    <row r="23" spans="1:12" ht="21" customHeight="1">
      <c r="B23" s="1642"/>
      <c r="C23" s="1642"/>
      <c r="D23" s="1770"/>
      <c r="E23" s="565"/>
      <c r="F23" s="544"/>
      <c r="G23" s="553"/>
      <c r="H23" s="553"/>
      <c r="I23" s="353"/>
      <c r="J23" s="353"/>
      <c r="K23" s="353"/>
      <c r="L23" s="1476">
        <f t="shared" si="0"/>
        <v>0</v>
      </c>
    </row>
    <row r="24" spans="1:12" ht="21" customHeight="1" thickBot="1">
      <c r="B24" s="274"/>
      <c r="C24" s="274"/>
      <c r="D24" s="274"/>
      <c r="E24" s="274"/>
      <c r="F24" s="855" t="s">
        <v>640</v>
      </c>
      <c r="G24" s="968">
        <f t="shared" ref="G24:L24" si="1">SUM(G10:G23)</f>
        <v>0</v>
      </c>
      <c r="H24" s="968">
        <f t="shared" si="1"/>
        <v>0</v>
      </c>
      <c r="I24" s="968">
        <f t="shared" si="1"/>
        <v>0</v>
      </c>
      <c r="J24" s="968">
        <f t="shared" si="1"/>
        <v>0</v>
      </c>
      <c r="K24" s="968">
        <f t="shared" si="1"/>
        <v>0</v>
      </c>
      <c r="L24" s="820">
        <f t="shared" si="1"/>
        <v>0</v>
      </c>
    </row>
    <row r="25" spans="1:12" ht="12.75" customHeight="1" thickTop="1">
      <c r="B25" s="274"/>
      <c r="C25" s="274"/>
      <c r="D25" s="274"/>
      <c r="E25" s="274"/>
      <c r="F25" s="1010"/>
      <c r="G25" s="1010"/>
      <c r="H25" s="1010"/>
      <c r="I25" s="1024"/>
      <c r="J25" s="1024"/>
      <c r="K25" s="1010"/>
      <c r="L25" s="1010"/>
    </row>
    <row r="26" spans="1:12">
      <c r="B26" s="1471" t="s">
        <v>3527</v>
      </c>
      <c r="C26" s="1010"/>
      <c r="D26" s="1010"/>
      <c r="E26" s="1010"/>
      <c r="F26" s="1010"/>
      <c r="G26" s="1010"/>
      <c r="H26" s="1010"/>
      <c r="I26" s="1010"/>
      <c r="J26" s="1010"/>
      <c r="K26" s="1010"/>
      <c r="L26" s="1010"/>
    </row>
    <row r="27" spans="1:12" ht="13.5" customHeight="1">
      <c r="B27" s="1010" t="s">
        <v>123</v>
      </c>
      <c r="C27" s="1010"/>
      <c r="D27" s="1010"/>
      <c r="E27" s="1010"/>
      <c r="F27" s="274"/>
      <c r="G27" s="274"/>
      <c r="H27" s="274"/>
      <c r="I27" s="274"/>
      <c r="J27" s="274"/>
      <c r="K27" s="274"/>
      <c r="L27" s="274"/>
    </row>
    <row r="28" spans="1:12" ht="13.5" customHeight="1">
      <c r="B28" s="34"/>
      <c r="J28" s="1651"/>
      <c r="K28" s="1651"/>
    </row>
    <row r="29" spans="1:12">
      <c r="B29" s="811"/>
      <c r="C29" s="811"/>
      <c r="D29" s="811"/>
      <c r="E29" s="811"/>
      <c r="F29" s="811"/>
      <c r="G29" s="811"/>
      <c r="H29" s="811"/>
      <c r="I29" s="811"/>
      <c r="J29" s="1771" t="s">
        <v>124</v>
      </c>
      <c r="K29" s="1771"/>
    </row>
    <row r="30" spans="1:12">
      <c r="B30" s="811"/>
      <c r="C30" s="811"/>
      <c r="D30" s="811"/>
      <c r="E30" s="811"/>
      <c r="F30" s="811"/>
      <c r="G30" s="811"/>
      <c r="H30" s="811"/>
      <c r="I30" s="811"/>
      <c r="J30" s="811"/>
      <c r="K30" s="811"/>
    </row>
    <row r="35" spans="9:12">
      <c r="L35" s="312">
        <f>+I24-J24-L24</f>
        <v>0</v>
      </c>
    </row>
    <row r="36" spans="9:12">
      <c r="I36" s="312"/>
      <c r="J36" s="312"/>
    </row>
  </sheetData>
  <sheetProtection algorithmName="SHA-512" hashValue="gEFlHAeedPQv8wp01ETDMgE3Wj/wc9OhoJsUYgkoPCFdw3QMF/DM3MhU3BJsNXj7tZ7qszrQVvbuGCiQnsMG5w==" saltValue="hTJo5GI1By4nb6t0T7PqFQ==" spinCount="100000" sheet="1" objects="1" scenarios="1"/>
  <mergeCells count="18">
    <mergeCell ref="A16:A18"/>
    <mergeCell ref="B16:D16"/>
    <mergeCell ref="B17:D17"/>
    <mergeCell ref="B18:D18"/>
    <mergeCell ref="B2:L2"/>
    <mergeCell ref="B7:D7"/>
    <mergeCell ref="E7:F7"/>
    <mergeCell ref="J7:K7"/>
    <mergeCell ref="B10:D10"/>
    <mergeCell ref="B11:D11"/>
    <mergeCell ref="B21:D21"/>
    <mergeCell ref="B23:D23"/>
    <mergeCell ref="J28:K28"/>
    <mergeCell ref="J29:K29"/>
    <mergeCell ref="B12:D12"/>
    <mergeCell ref="B13:D13"/>
    <mergeCell ref="B14:D14"/>
    <mergeCell ref="B15:D15"/>
  </mergeCells>
  <pageMargins left="0.25" right="0.25" top="0.5" bottom="0.5" header="0.25" footer="0.25"/>
  <pageSetup paperSize="5" orientation="landscape" r:id="rId1"/>
  <headerFooter alignWithMargins="0"/>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0">
    <tabColor theme="3" tint="0.79998168889431442"/>
  </sheetPr>
  <dimension ref="B1:U50"/>
  <sheetViews>
    <sheetView zoomScaleNormal="100" zoomScaleSheetLayoutView="80" workbookViewId="0">
      <selection activeCell="R28" sqref="R28"/>
    </sheetView>
  </sheetViews>
  <sheetFormatPr defaultColWidth="8.88671875" defaultRowHeight="13.2"/>
  <cols>
    <col min="1" max="4" width="4.6640625" style="370" customWidth="1"/>
    <col min="5" max="5" width="17.88671875" style="370" customWidth="1"/>
    <col min="6" max="6" width="8.88671875" style="370"/>
    <col min="7" max="7" width="16.6640625" style="370" customWidth="1"/>
    <col min="8" max="8" width="1.6640625" style="370" customWidth="1"/>
    <col min="9" max="9" width="15.6640625" style="370" customWidth="1"/>
    <col min="10" max="10" width="1.6640625" style="370" customWidth="1"/>
    <col min="11" max="11" width="8.6640625" style="370" customWidth="1"/>
    <col min="12" max="12" width="7.6640625" style="370" customWidth="1"/>
    <col min="13" max="15" width="8.88671875" style="370"/>
    <col min="16" max="17" width="10.33203125" style="370" bestFit="1" customWidth="1"/>
    <col min="18" max="16384" width="8.88671875" style="370"/>
  </cols>
  <sheetData>
    <row r="1" spans="2:21">
      <c r="B1" s="1054"/>
      <c r="C1" s="1054"/>
      <c r="D1" s="1054"/>
      <c r="E1" s="1054"/>
      <c r="F1" s="1054"/>
      <c r="G1" s="1054"/>
      <c r="H1" s="1054"/>
      <c r="I1" s="1054"/>
      <c r="J1" s="1054"/>
      <c r="K1" s="1054"/>
      <c r="L1" s="1054"/>
    </row>
    <row r="2" spans="2:21" ht="20.399999999999999">
      <c r="B2" s="1909" t="s">
        <v>127</v>
      </c>
      <c r="C2" s="1909"/>
      <c r="D2" s="1909"/>
      <c r="E2" s="1909"/>
      <c r="F2" s="1909"/>
      <c r="G2" s="1909"/>
      <c r="H2" s="1909"/>
      <c r="I2" s="1909"/>
      <c r="J2" s="1909"/>
      <c r="K2" s="1909"/>
      <c r="L2" s="1909"/>
    </row>
    <row r="3" spans="2:21" ht="20.399999999999999">
      <c r="B3" s="1909" t="str">
        <f>" AND  "&amp;IF('KEY INPUTS'!C42="State Fiscal Year","FISCAL  YEAR  "&amp;'KEY INPUTS'!D33+1&amp;"",'KEY INPUTS'!D34+1)&amp;"  DEBT  SERVICE  FOR  BONDS"</f>
        <v xml:space="preserve"> AND  2022  DEBT  SERVICE  FOR  BONDS</v>
      </c>
      <c r="C3" s="1909"/>
      <c r="D3" s="1909"/>
      <c r="E3" s="1909"/>
      <c r="F3" s="1909"/>
      <c r="G3" s="1909"/>
      <c r="H3" s="1909"/>
      <c r="I3" s="1909"/>
      <c r="J3" s="1909"/>
      <c r="K3" s="1909"/>
      <c r="L3" s="1909"/>
    </row>
    <row r="4" spans="2:21" ht="15.6">
      <c r="B4" s="1889" t="str">
        <f>UPPER('KEY INPUTS'!D59)&amp;" UTILITY  ASSESSMENT  BONDS"</f>
        <v xml:space="preserve"> UTILITY  ASSESSMENT  BONDS</v>
      </c>
      <c r="C4" s="1889"/>
      <c r="D4" s="1889"/>
      <c r="E4" s="1889"/>
      <c r="F4" s="1889"/>
      <c r="G4" s="1889"/>
      <c r="H4" s="1889"/>
      <c r="I4" s="1889"/>
      <c r="J4" s="1889"/>
      <c r="K4" s="1889"/>
      <c r="L4" s="1889"/>
    </row>
    <row r="5" spans="2:21" ht="9.75" customHeight="1" thickBot="1">
      <c r="B5" s="1318"/>
      <c r="C5" s="1318"/>
      <c r="D5" s="1318"/>
      <c r="E5" s="1318"/>
      <c r="F5" s="1318"/>
      <c r="G5" s="1318"/>
      <c r="H5" s="1318"/>
      <c r="I5" s="1318"/>
      <c r="J5" s="1318"/>
      <c r="K5" s="1318"/>
      <c r="L5" s="1318"/>
    </row>
    <row r="6" spans="2:21" ht="27.75" customHeight="1" thickTop="1" thickBot="1">
      <c r="B6" s="1273"/>
      <c r="C6" s="1273"/>
      <c r="D6" s="1273"/>
      <c r="E6" s="1273"/>
      <c r="F6" s="1273"/>
      <c r="G6" s="1055" t="s">
        <v>96</v>
      </c>
      <c r="H6" s="2061" t="s">
        <v>97</v>
      </c>
      <c r="I6" s="1880"/>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'32-Bond Schedule'!B7</f>
        <v>Outstanding - January 1, 2021</v>
      </c>
      <c r="C7" s="1110"/>
      <c r="D7" s="1110"/>
      <c r="E7" s="1110"/>
      <c r="F7" s="1110"/>
      <c r="G7" s="1111" t="s">
        <v>628</v>
      </c>
      <c r="H7" s="1809"/>
      <c r="I7" s="1810"/>
      <c r="K7" s="1054"/>
      <c r="L7" s="1054"/>
      <c r="O7" s="309"/>
      <c r="P7" s="309"/>
      <c r="Q7" s="309"/>
      <c r="R7" s="309"/>
      <c r="S7" s="309"/>
      <c r="T7" s="309"/>
      <c r="U7" s="309"/>
    </row>
    <row r="8" spans="2:21" ht="21" customHeight="1">
      <c r="B8" s="659" t="s">
        <v>92</v>
      </c>
      <c r="C8" s="659"/>
      <c r="D8" s="659"/>
      <c r="E8" s="659"/>
      <c r="F8" s="659"/>
      <c r="G8" s="1114" t="s">
        <v>628</v>
      </c>
      <c r="H8" s="1807"/>
      <c r="I8" s="1808"/>
      <c r="K8" s="1054"/>
      <c r="L8" s="1054"/>
      <c r="O8" s="356"/>
      <c r="P8" s="309"/>
      <c r="Q8" s="309"/>
      <c r="R8" s="309"/>
      <c r="S8" s="309"/>
      <c r="T8" s="309"/>
      <c r="U8" s="309"/>
    </row>
    <row r="9" spans="2:21" ht="21" customHeight="1">
      <c r="B9" s="659"/>
      <c r="C9" s="659"/>
      <c r="D9" s="659"/>
      <c r="E9" s="659"/>
      <c r="F9" s="659"/>
      <c r="G9" s="1114"/>
      <c r="H9" s="747"/>
      <c r="I9" s="1169"/>
      <c r="K9" s="1054"/>
      <c r="L9" s="1054"/>
      <c r="O9" s="309"/>
      <c r="P9" s="309"/>
      <c r="Q9" s="309"/>
      <c r="R9" s="309"/>
      <c r="S9" s="309"/>
      <c r="T9" s="309"/>
      <c r="U9" s="309"/>
    </row>
    <row r="10" spans="2:21" ht="21" customHeight="1">
      <c r="B10" s="659" t="s">
        <v>254</v>
      </c>
      <c r="C10" s="659"/>
      <c r="D10" s="659"/>
      <c r="E10" s="659"/>
      <c r="F10" s="659"/>
      <c r="G10" s="571"/>
      <c r="H10" s="1957" t="s">
        <v>628</v>
      </c>
      <c r="I10" s="1958"/>
      <c r="K10" s="1054"/>
      <c r="L10" s="1054"/>
      <c r="O10" s="309"/>
      <c r="P10" s="309"/>
      <c r="Q10" s="309"/>
      <c r="R10" s="309"/>
      <c r="S10" s="309"/>
      <c r="T10" s="309"/>
      <c r="U10" s="309"/>
    </row>
    <row r="11" spans="2:21" ht="21" customHeight="1" thickBot="1">
      <c r="B11" s="659" t="str">
        <f>'32-Bond Schedule'!B11</f>
        <v>Outstanding - December 31, 2021</v>
      </c>
      <c r="C11" s="659"/>
      <c r="D11" s="659"/>
      <c r="E11" s="659"/>
      <c r="F11" s="659"/>
      <c r="G11" s="1069">
        <f>+H7+H8-G10</f>
        <v>0</v>
      </c>
      <c r="H11" s="1953" t="s">
        <v>628</v>
      </c>
      <c r="I11" s="1954"/>
      <c r="K11" s="1054"/>
      <c r="L11" s="1054"/>
      <c r="O11" s="309"/>
      <c r="P11" s="309"/>
      <c r="Q11" s="309"/>
      <c r="R11" s="309"/>
      <c r="S11" s="309"/>
      <c r="T11" s="309"/>
      <c r="U11" s="309"/>
    </row>
    <row r="12" spans="2:21" ht="21" customHeight="1" thickBot="1">
      <c r="B12" s="1054"/>
      <c r="C12" s="1054"/>
      <c r="D12" s="1054"/>
      <c r="E12" s="1054"/>
      <c r="F12" s="1054"/>
      <c r="G12" s="1071">
        <f>SUM(G7:G11)</f>
        <v>0</v>
      </c>
      <c r="H12" s="1941">
        <f>SUM(H7:I11)</f>
        <v>0</v>
      </c>
      <c r="I12" s="1942"/>
      <c r="K12" s="1054"/>
      <c r="L12" s="1054"/>
      <c r="O12" s="309"/>
      <c r="P12" s="309"/>
      <c r="Q12" s="309"/>
      <c r="R12" s="309"/>
      <c r="S12" s="309"/>
      <c r="T12" s="309"/>
      <c r="U12" s="309"/>
    </row>
    <row r="13" spans="2:21" ht="21" customHeight="1" thickTop="1">
      <c r="B13" s="1321" t="str">
        <f>'49-Utility1'!B13</f>
        <v>2022 Bond Maturities - Assessment Bonds</v>
      </c>
      <c r="C13" s="1068"/>
      <c r="D13" s="1068"/>
      <c r="E13" s="1068"/>
      <c r="F13" s="1068"/>
      <c r="G13" s="1068"/>
      <c r="H13" s="1068"/>
      <c r="I13" s="1320"/>
      <c r="J13" s="423" t="s">
        <v>373</v>
      </c>
      <c r="K13" s="1834"/>
      <c r="L13" s="1834"/>
      <c r="O13" s="309"/>
      <c r="P13" s="309"/>
      <c r="Q13" s="309"/>
      <c r="R13" s="309"/>
      <c r="S13" s="309"/>
      <c r="T13" s="309"/>
      <c r="U13" s="309"/>
    </row>
    <row r="14" spans="2:21" ht="21" customHeight="1" thickBot="1">
      <c r="B14" s="1322" t="str">
        <f>'49-Utility1'!B14</f>
        <v>2022 Interest on Bonds</v>
      </c>
      <c r="C14" s="1172"/>
      <c r="D14" s="1172"/>
      <c r="E14" s="1172"/>
      <c r="F14" s="1172"/>
      <c r="G14" s="1197"/>
      <c r="H14" s="460" t="s">
        <v>373</v>
      </c>
      <c r="I14" s="577"/>
      <c r="K14" s="1054"/>
      <c r="L14" s="1054"/>
      <c r="O14" s="309"/>
      <c r="P14" s="309"/>
      <c r="Q14" s="309"/>
      <c r="R14" s="309"/>
      <c r="S14" s="309"/>
      <c r="T14" s="309"/>
      <c r="U14" s="309"/>
    </row>
    <row r="15" spans="2:21" ht="16.5" customHeight="1" thickTop="1">
      <c r="B15" s="2079"/>
      <c r="C15" s="2079"/>
      <c r="D15" s="2079"/>
      <c r="E15" s="2079"/>
      <c r="F15" s="2079"/>
      <c r="G15" s="2079"/>
      <c r="H15" s="2079"/>
      <c r="I15" s="2080"/>
      <c r="K15" s="1054"/>
      <c r="L15" s="1054"/>
      <c r="O15" s="309"/>
      <c r="P15" s="309"/>
      <c r="Q15" s="309"/>
      <c r="R15" s="309"/>
      <c r="S15" s="309"/>
      <c r="T15" s="309"/>
      <c r="U15" s="309"/>
    </row>
    <row r="16" spans="2:21" ht="26.25" customHeight="1" thickBot="1">
      <c r="B16" s="1977" t="str">
        <f>UPPER('KEY INPUTS'!D59) &amp;" UTILITY  CAPITAL  BONDS"</f>
        <v xml:space="preserve"> UTILITY  CAPITAL  BONDS</v>
      </c>
      <c r="C16" s="1977"/>
      <c r="D16" s="1977"/>
      <c r="E16" s="1977"/>
      <c r="F16" s="1977"/>
      <c r="G16" s="1977"/>
      <c r="H16" s="1977"/>
      <c r="I16" s="1978"/>
      <c r="K16" s="1054"/>
      <c r="L16" s="1054"/>
      <c r="O16" s="309"/>
      <c r="P16" s="309"/>
      <c r="Q16" s="309"/>
      <c r="R16" s="309"/>
      <c r="S16" s="309"/>
      <c r="T16" s="309"/>
      <c r="U16" s="309"/>
    </row>
    <row r="17" spans="2:21" ht="21" customHeight="1" thickTop="1">
      <c r="B17" s="1151" t="str">
        <f>'32-Bond Schedule'!B7</f>
        <v>Outstanding - January 1, 2021</v>
      </c>
      <c r="C17" s="1110"/>
      <c r="D17" s="1110"/>
      <c r="E17" s="1110"/>
      <c r="F17" s="1110"/>
      <c r="G17" s="1111" t="s">
        <v>628</v>
      </c>
      <c r="H17" s="1809"/>
      <c r="I17" s="1810"/>
      <c r="K17" s="1054"/>
      <c r="L17" s="1054"/>
      <c r="O17" s="309"/>
      <c r="P17" s="309"/>
      <c r="Q17" s="309"/>
      <c r="R17" s="309"/>
      <c r="S17" s="309"/>
      <c r="T17" s="309"/>
      <c r="U17" s="309"/>
    </row>
    <row r="18" spans="2:21" ht="21" customHeight="1">
      <c r="B18" s="659" t="s">
        <v>92</v>
      </c>
      <c r="C18" s="659"/>
      <c r="D18" s="659"/>
      <c r="E18" s="659"/>
      <c r="F18" s="659"/>
      <c r="G18" s="1114" t="s">
        <v>628</v>
      </c>
      <c r="H18" s="1807"/>
      <c r="I18" s="1808"/>
      <c r="K18" s="1054"/>
      <c r="L18" s="1054"/>
      <c r="O18" s="309"/>
      <c r="P18" s="309"/>
      <c r="Q18" s="309"/>
      <c r="R18" s="309"/>
      <c r="S18" s="309"/>
      <c r="T18" s="309"/>
      <c r="U18" s="309"/>
    </row>
    <row r="19" spans="2:21" ht="21" customHeight="1">
      <c r="B19" s="659" t="s">
        <v>254</v>
      </c>
      <c r="C19" s="659"/>
      <c r="D19" s="659"/>
      <c r="E19" s="659"/>
      <c r="F19" s="659"/>
      <c r="G19" s="571"/>
      <c r="H19" s="1957" t="s">
        <v>628</v>
      </c>
      <c r="I19" s="1958"/>
      <c r="K19" s="1054"/>
      <c r="L19" s="1054"/>
      <c r="O19" s="309"/>
      <c r="P19" s="309"/>
      <c r="Q19" s="309"/>
      <c r="R19" s="309"/>
      <c r="S19" s="309"/>
      <c r="T19" s="309"/>
      <c r="U19" s="309"/>
    </row>
    <row r="20" spans="2:21" ht="21" customHeight="1">
      <c r="B20" s="659"/>
      <c r="C20" s="659"/>
      <c r="D20" s="659"/>
      <c r="E20" s="659"/>
      <c r="F20" s="659"/>
      <c r="G20" s="658"/>
      <c r="H20" s="1943"/>
      <c r="I20" s="1944"/>
      <c r="K20" s="1054"/>
      <c r="L20" s="1054"/>
      <c r="O20" s="309"/>
      <c r="P20" s="309"/>
      <c r="Q20" s="309"/>
      <c r="R20" s="309"/>
      <c r="S20" s="309"/>
      <c r="T20" s="309"/>
      <c r="U20" s="309"/>
    </row>
    <row r="21" spans="2:21" ht="21" customHeight="1">
      <c r="B21" s="659"/>
      <c r="C21" s="659"/>
      <c r="D21" s="659"/>
      <c r="E21" s="659"/>
      <c r="F21" s="659"/>
      <c r="G21" s="658"/>
      <c r="H21" s="1943"/>
      <c r="I21" s="1944"/>
      <c r="K21" s="1054"/>
      <c r="L21" s="1054"/>
      <c r="O21" s="309"/>
      <c r="P21" s="309"/>
      <c r="Q21" s="309"/>
      <c r="R21" s="309"/>
      <c r="S21" s="309"/>
      <c r="T21" s="309"/>
      <c r="U21" s="309"/>
    </row>
    <row r="22" spans="2:21" ht="21" customHeight="1" thickBot="1">
      <c r="B22" s="659" t="str">
        <f>'32-Bond Schedule'!B11</f>
        <v>Outstanding - December 31, 2021</v>
      </c>
      <c r="C22" s="659"/>
      <c r="D22" s="659"/>
      <c r="E22" s="659"/>
      <c r="F22" s="659"/>
      <c r="G22" s="1069">
        <f>+H17+H18-G19-G20-G21+H20+H21</f>
        <v>0</v>
      </c>
      <c r="H22" s="1953" t="s">
        <v>628</v>
      </c>
      <c r="I22" s="1954"/>
      <c r="K22" s="1054"/>
      <c r="L22" s="1054"/>
      <c r="O22" s="309"/>
      <c r="P22" s="309"/>
      <c r="Q22" s="309"/>
      <c r="R22" s="309"/>
      <c r="S22" s="309"/>
      <c r="T22" s="309"/>
      <c r="U22" s="309"/>
    </row>
    <row r="23" spans="2:21" ht="21" customHeight="1" thickBot="1">
      <c r="B23" s="1054"/>
      <c r="C23" s="1054"/>
      <c r="D23" s="1054"/>
      <c r="E23" s="1054"/>
      <c r="F23" s="1054"/>
      <c r="G23" s="1071">
        <f>SUM(G17:G22)</f>
        <v>0</v>
      </c>
      <c r="H23" s="1941">
        <f>SUM(H17:I22)</f>
        <v>0</v>
      </c>
      <c r="I23" s="1942"/>
      <c r="K23" s="1054"/>
      <c r="L23" s="1054"/>
    </row>
    <row r="24" spans="2:21" ht="21" customHeight="1" thickTop="1">
      <c r="B24" s="1321" t="str">
        <f>'49-Utility1'!B24</f>
        <v>2022 Bond Maturities - Capital Bonds</v>
      </c>
      <c r="C24" s="1068"/>
      <c r="D24" s="1068"/>
      <c r="E24" s="1068"/>
      <c r="F24" s="1068"/>
      <c r="G24" s="1068"/>
      <c r="H24" s="1068"/>
      <c r="I24" s="1323"/>
      <c r="J24" s="423" t="s">
        <v>373</v>
      </c>
      <c r="K24" s="1834"/>
      <c r="L24" s="1834"/>
    </row>
    <row r="25" spans="2:21" ht="21" customHeight="1" thickBot="1">
      <c r="B25" s="1322" t="str">
        <f>'49-Utility1'!B25</f>
        <v>2022 Interest on Bonds</v>
      </c>
      <c r="C25" s="1172"/>
      <c r="D25" s="1172"/>
      <c r="E25" s="1172"/>
      <c r="F25" s="1172"/>
      <c r="G25" s="1197"/>
      <c r="H25" s="460" t="s">
        <v>373</v>
      </c>
      <c r="I25" s="577"/>
      <c r="J25" s="461"/>
      <c r="K25" s="1172"/>
      <c r="L25" s="1322" t="s">
        <v>3133</v>
      </c>
    </row>
    <row r="26" spans="2:21" ht="21" customHeight="1" thickTop="1">
      <c r="B26" s="1054"/>
      <c r="C26" s="1054"/>
      <c r="D26" s="1054"/>
      <c r="E26" s="1054"/>
      <c r="F26" s="1054"/>
      <c r="G26" s="1054"/>
      <c r="H26" s="1054"/>
      <c r="I26" s="1054"/>
      <c r="J26" s="1054"/>
      <c r="K26" s="1054"/>
      <c r="L26" s="1054"/>
    </row>
    <row r="27" spans="2:21" ht="19.5" customHeight="1" thickBot="1">
      <c r="B27" s="1977" t="str">
        <f>"INTEREST  ON  BONDS  -  "&amp;UPPER('KEY INPUTS'!D59)&amp;"  UTILITY  BUDGET"</f>
        <v>INTEREST  ON  BONDS  -    UTILITY  BUDGET</v>
      </c>
      <c r="C27" s="1977"/>
      <c r="D27" s="1977"/>
      <c r="E27" s="1977"/>
      <c r="F27" s="1977"/>
      <c r="G27" s="1977"/>
      <c r="H27" s="1977"/>
      <c r="I27" s="1977"/>
      <c r="J27" s="1977"/>
      <c r="K27" s="1977"/>
      <c r="L27" s="1977"/>
    </row>
    <row r="28" spans="2:21" ht="21" customHeight="1" thickTop="1">
      <c r="B28" s="1333" t="str">
        <f>'49-Utility1'!B28</f>
        <v>2022 Interest on Bonds (*Items)</v>
      </c>
      <c r="C28" s="1110"/>
      <c r="D28" s="1110"/>
      <c r="E28" s="1110"/>
      <c r="F28" s="1110"/>
      <c r="G28" s="1110"/>
      <c r="H28" s="429" t="s">
        <v>373</v>
      </c>
      <c r="I28" s="1170">
        <f>+I14+I25</f>
        <v>0</v>
      </c>
      <c r="K28" s="1054"/>
      <c r="L28" s="1054"/>
      <c r="O28" s="436"/>
      <c r="P28" s="436"/>
      <c r="Q28" s="436"/>
      <c r="R28" s="436"/>
    </row>
    <row r="29" spans="2:21" ht="21" customHeight="1">
      <c r="B29" s="871" t="str">
        <f>'49-Utility1'!B29</f>
        <v>Less: Interest Accrued to 12/31/2021 (Trial Balance)</v>
      </c>
      <c r="C29" s="659"/>
      <c r="D29" s="659"/>
      <c r="E29" s="659"/>
      <c r="F29" s="659"/>
      <c r="G29" s="659"/>
      <c r="H29" s="374" t="s">
        <v>373</v>
      </c>
      <c r="I29" s="641"/>
      <c r="K29" s="1054"/>
      <c r="L29" s="1054"/>
      <c r="O29" s="436"/>
      <c r="P29" s="436"/>
      <c r="Q29" s="436"/>
      <c r="R29" s="436"/>
    </row>
    <row r="30" spans="2:21" ht="21" customHeight="1">
      <c r="B30" s="659"/>
      <c r="C30" s="659" t="s">
        <v>317</v>
      </c>
      <c r="D30" s="659"/>
      <c r="E30" s="659"/>
      <c r="F30" s="659"/>
      <c r="G30" s="659"/>
      <c r="H30" s="374" t="s">
        <v>373</v>
      </c>
      <c r="I30" s="468">
        <f>+I28-I29</f>
        <v>0</v>
      </c>
      <c r="K30" s="1054"/>
      <c r="L30" s="1054"/>
      <c r="O30" s="436"/>
      <c r="P30" s="436"/>
      <c r="Q30" s="436"/>
      <c r="R30" s="436"/>
    </row>
    <row r="31" spans="2:21" ht="21" customHeight="1">
      <c r="B31" s="871" t="str">
        <f>'49-Utility1'!B31</f>
        <v>Add: Interest to be Accrued as of 12/31/2022</v>
      </c>
      <c r="C31" s="659"/>
      <c r="D31" s="659"/>
      <c r="E31" s="659"/>
      <c r="F31" s="659"/>
      <c r="G31" s="659"/>
      <c r="H31" s="374" t="s">
        <v>373</v>
      </c>
      <c r="I31" s="641"/>
      <c r="K31" s="1054"/>
      <c r="L31" s="1054"/>
      <c r="O31" s="436"/>
      <c r="P31" s="436"/>
      <c r="Q31" s="436"/>
      <c r="R31" s="436"/>
    </row>
    <row r="32" spans="2:21" ht="21" customHeight="1">
      <c r="B32" s="871" t="str">
        <f>'49-Utility1'!B32</f>
        <v>Required Appropriation 2022</v>
      </c>
      <c r="C32" s="659"/>
      <c r="D32" s="659"/>
      <c r="E32" s="659"/>
      <c r="F32" s="659"/>
      <c r="G32" s="659"/>
      <c r="H32" s="659"/>
      <c r="I32" s="1353"/>
      <c r="J32" s="463" t="s">
        <v>373</v>
      </c>
      <c r="K32" s="1963">
        <f>+I30+I31</f>
        <v>0</v>
      </c>
      <c r="L32" s="1964"/>
      <c r="O32" s="436"/>
      <c r="P32" s="436"/>
      <c r="Q32" s="436"/>
      <c r="R32" s="436"/>
    </row>
    <row r="33" spans="2:12" ht="13.5" customHeight="1">
      <c r="B33" s="1132"/>
      <c r="C33" s="1132"/>
      <c r="D33" s="1132"/>
      <c r="E33" s="1132"/>
      <c r="F33" s="1132"/>
      <c r="G33" s="1132"/>
      <c r="H33" s="1132"/>
      <c r="I33" s="1132"/>
      <c r="J33" s="1132"/>
      <c r="K33" s="1363"/>
      <c r="L33" s="1238"/>
    </row>
    <row r="34" spans="2:12" ht="13.5" customHeight="1">
      <c r="B34" s="1132"/>
      <c r="C34" s="1132"/>
      <c r="D34" s="1132"/>
      <c r="E34" s="1132"/>
      <c r="F34" s="1132"/>
      <c r="G34" s="1132"/>
      <c r="H34" s="1132"/>
      <c r="I34" s="1132"/>
      <c r="J34" s="1132"/>
      <c r="K34" s="1363"/>
      <c r="L34" s="1238"/>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879" t="s">
        <v>413</v>
      </c>
      <c r="C36" s="1879"/>
      <c r="D36" s="1879"/>
      <c r="E36" s="1879"/>
      <c r="F36" s="1879"/>
      <c r="G36" s="1336" t="str">
        <f>'49-Utility1'!G36</f>
        <v>2022 Maturity</v>
      </c>
      <c r="H36" s="2061" t="s">
        <v>91</v>
      </c>
      <c r="I36" s="1880"/>
      <c r="J36" s="2077" t="s">
        <v>89</v>
      </c>
      <c r="K36" s="2078"/>
      <c r="L36" s="1352" t="s">
        <v>90</v>
      </c>
    </row>
    <row r="37" spans="2:12" ht="21" customHeight="1" thickTop="1">
      <c r="B37" s="642"/>
      <c r="C37" s="642"/>
      <c r="D37" s="642"/>
      <c r="E37" s="642"/>
      <c r="F37" s="642"/>
      <c r="G37" s="575"/>
      <c r="H37" s="1809"/>
      <c r="I37" s="1810"/>
      <c r="J37" s="1965"/>
      <c r="K37" s="1966"/>
      <c r="L37" s="874"/>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72"/>
      <c r="C41" s="1172"/>
      <c r="D41" s="1172"/>
      <c r="E41" s="1172"/>
      <c r="F41" s="1324"/>
      <c r="G41" s="1071">
        <f>SUM(G37:G40)</f>
        <v>0</v>
      </c>
      <c r="H41" s="1959">
        <f>SUM(H37:I40)</f>
        <v>0</v>
      </c>
      <c r="I41" s="1960"/>
      <c r="J41" s="1325"/>
      <c r="K41" s="1172"/>
      <c r="L41" s="1173"/>
    </row>
    <row r="42" spans="2:12" ht="13.8" thickTop="1">
      <c r="G42" s="744"/>
      <c r="H42" s="744"/>
      <c r="I42" s="744"/>
    </row>
    <row r="50" spans="2:12" ht="13.8">
      <c r="B50" s="1882" t="s">
        <v>3167</v>
      </c>
      <c r="C50" s="1882"/>
      <c r="D50" s="1882"/>
      <c r="E50" s="1882"/>
      <c r="F50" s="1882"/>
      <c r="G50" s="1882"/>
      <c r="H50" s="1882"/>
      <c r="I50" s="1882"/>
      <c r="J50" s="1882"/>
      <c r="K50" s="1882"/>
      <c r="L50" s="1882"/>
    </row>
  </sheetData>
  <sheetProtection algorithmName="SHA-512" hashValue="2dWfxZ5TF8LVZL3UW/6bm0wWVVJdboQLOFYhGax2borsF1Dmjis+zCFke4QWI/CC1U1LrWk4H0RaA5R5ywIaaA==" saltValue="jaVt7FFnQa4efZoK0YanPQ=="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0:L50"/>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1">
    <tabColor theme="3" tint="0.79998168889431442"/>
  </sheetPr>
  <dimension ref="B2:U51"/>
  <sheetViews>
    <sheetView zoomScaleNormal="100" zoomScaleSheetLayoutView="80" workbookViewId="0">
      <selection activeCell="G37" sqref="G37"/>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INPUTS'!D$59)&amp;"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K7" s="1086"/>
      <c r="L7" s="1086"/>
      <c r="O7" s="309"/>
      <c r="P7" s="309"/>
      <c r="Q7" s="309"/>
      <c r="R7" s="309"/>
      <c r="S7" s="309"/>
      <c r="T7" s="309"/>
      <c r="U7" s="309"/>
    </row>
    <row r="8" spans="2:21" ht="21" customHeight="1">
      <c r="B8" s="659" t="s">
        <v>92</v>
      </c>
      <c r="C8" s="1079"/>
      <c r="D8" s="1079"/>
      <c r="E8" s="1079"/>
      <c r="F8" s="1079"/>
      <c r="G8" s="926" t="s">
        <v>628</v>
      </c>
      <c r="H8" s="1807"/>
      <c r="I8" s="1808"/>
      <c r="K8" s="1086"/>
      <c r="L8" s="1086"/>
      <c r="O8" s="356"/>
      <c r="P8" s="309"/>
      <c r="Q8" s="309"/>
      <c r="R8" s="309"/>
      <c r="S8" s="309"/>
      <c r="T8" s="309"/>
      <c r="U8" s="309"/>
    </row>
    <row r="9" spans="2:21" ht="21" customHeight="1">
      <c r="B9" s="659"/>
      <c r="C9" s="1079"/>
      <c r="D9" s="1079"/>
      <c r="E9" s="1079"/>
      <c r="F9" s="1079"/>
      <c r="G9" s="926"/>
      <c r="H9" s="1328"/>
      <c r="I9" s="1329"/>
      <c r="K9" s="1086"/>
      <c r="L9" s="1086"/>
      <c r="O9" s="309"/>
      <c r="P9" s="309"/>
      <c r="Q9" s="309"/>
      <c r="R9" s="309"/>
      <c r="S9" s="309"/>
      <c r="T9" s="309"/>
      <c r="U9" s="309"/>
    </row>
    <row r="10" spans="2:21" ht="21" customHeight="1">
      <c r="B10" s="659" t="s">
        <v>254</v>
      </c>
      <c r="C10" s="1079"/>
      <c r="D10" s="1079"/>
      <c r="E10" s="1079"/>
      <c r="F10" s="1079"/>
      <c r="G10" s="571"/>
      <c r="H10" s="1829" t="s">
        <v>628</v>
      </c>
      <c r="I10" s="1830"/>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K15" s="1086"/>
      <c r="L15" s="1086"/>
      <c r="O15" s="309"/>
      <c r="P15" s="309"/>
      <c r="Q15" s="309"/>
      <c r="R15" s="309"/>
      <c r="S15" s="309"/>
      <c r="T15" s="309"/>
      <c r="U15" s="309"/>
    </row>
    <row r="16" spans="2:21" ht="16.2" thickBot="1">
      <c r="B16" s="1977" t="str">
        <f>UPPER('KEY INPUTS'!D$59)&amp;" UTILITY "&amp;IF(R16&lt;&gt;"",(UPPER(R16)),"")&amp;" LOAN"</f>
        <v xml:space="preserve"> UTILITY  LOAN</v>
      </c>
      <c r="C16" s="1977"/>
      <c r="D16" s="1977"/>
      <c r="E16" s="1977"/>
      <c r="F16" s="1977"/>
      <c r="G16" s="1977"/>
      <c r="H16" s="1977"/>
      <c r="I16" s="1978"/>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K17" s="1086"/>
      <c r="L17" s="1086"/>
      <c r="O17" s="309"/>
      <c r="P17" s="309"/>
      <c r="Q17" s="309"/>
      <c r="R17" s="309"/>
      <c r="S17" s="309"/>
      <c r="T17" s="309"/>
      <c r="U17" s="309"/>
    </row>
    <row r="18" spans="2:21" ht="21" customHeight="1">
      <c r="B18" s="659" t="s">
        <v>92</v>
      </c>
      <c r="C18" s="1079"/>
      <c r="D18" s="1079"/>
      <c r="E18" s="1079"/>
      <c r="F18" s="1079"/>
      <c r="G18" s="926" t="s">
        <v>628</v>
      </c>
      <c r="H18" s="1807"/>
      <c r="I18" s="1808"/>
      <c r="K18" s="1086"/>
      <c r="L18" s="1086"/>
      <c r="O18" s="309"/>
      <c r="P18" s="309"/>
      <c r="Q18" s="309"/>
      <c r="R18" s="309"/>
      <c r="S18" s="309"/>
      <c r="T18" s="309"/>
      <c r="U18" s="309"/>
    </row>
    <row r="19" spans="2:21" ht="21" customHeight="1">
      <c r="B19" s="659" t="s">
        <v>254</v>
      </c>
      <c r="C19" s="1079"/>
      <c r="D19" s="1079"/>
      <c r="E19" s="1079"/>
      <c r="F19" s="1079"/>
      <c r="G19" s="571"/>
      <c r="H19" s="1829" t="s">
        <v>628</v>
      </c>
      <c r="I19" s="1830"/>
      <c r="K19" s="1086"/>
      <c r="L19" s="1086"/>
      <c r="O19" s="309"/>
      <c r="P19" s="309"/>
      <c r="Q19" s="309"/>
      <c r="R19" s="309"/>
      <c r="S19" s="309"/>
      <c r="T19" s="309"/>
      <c r="U19" s="309"/>
    </row>
    <row r="20" spans="2:21" ht="21" customHeight="1">
      <c r="B20" s="659"/>
      <c r="C20" s="1079"/>
      <c r="D20" s="1079"/>
      <c r="E20" s="1079"/>
      <c r="F20" s="1079"/>
      <c r="G20" s="1046"/>
      <c r="H20" s="1831"/>
      <c r="I20" s="1832"/>
      <c r="K20" s="1086"/>
      <c r="L20" s="1086"/>
      <c r="O20" s="309"/>
      <c r="P20" s="309"/>
      <c r="Q20" s="309"/>
      <c r="R20" s="309"/>
      <c r="S20" s="309"/>
      <c r="T20" s="309"/>
      <c r="U20" s="309"/>
    </row>
    <row r="21" spans="2:21" ht="21" customHeight="1">
      <c r="B21" s="659"/>
      <c r="C21" s="1079"/>
      <c r="D21" s="1079"/>
      <c r="E21" s="1079"/>
      <c r="F21" s="1079"/>
      <c r="G21" s="1046"/>
      <c r="H21" s="1831"/>
      <c r="I21" s="1832"/>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K22" s="1086"/>
      <c r="L22" s="1086"/>
      <c r="O22" s="309"/>
      <c r="P22" s="309"/>
      <c r="Q22" s="309"/>
      <c r="R22" s="309"/>
      <c r="S22" s="309"/>
      <c r="T22" s="309"/>
      <c r="U22" s="309"/>
    </row>
    <row r="23" spans="2:21" ht="21" customHeight="1" thickBot="1">
      <c r="B23" s="1054"/>
      <c r="C23" s="1086"/>
      <c r="D23" s="1086"/>
      <c r="E23" s="1086"/>
      <c r="F23" s="1086"/>
      <c r="G23" s="1027">
        <f>SUM(G17:G22)</f>
        <v>0</v>
      </c>
      <c r="H23" s="1827">
        <f>SUM(H17:I22)</f>
        <v>0</v>
      </c>
      <c r="I23" s="1828"/>
      <c r="K23" s="1086"/>
      <c r="L23" s="1086"/>
    </row>
    <row r="24" spans="2:21" ht="21" customHeight="1" thickTop="1">
      <c r="B24" s="1321" t="str">
        <f>B13</f>
        <v>2022 Loan Maturities</v>
      </c>
      <c r="C24" s="1330"/>
      <c r="D24" s="1330"/>
      <c r="E24" s="1330"/>
      <c r="F24" s="1330"/>
      <c r="G24" s="1330"/>
      <c r="H24" s="1330"/>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INPUTS'!D59)&amp;"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1098" t="s">
        <v>373</v>
      </c>
      <c r="I28" s="1332">
        <f>+I25+I14</f>
        <v>0</v>
      </c>
      <c r="K28" s="1086"/>
      <c r="L28" s="1086"/>
    </row>
    <row r="29" spans="2:21" ht="21" customHeight="1">
      <c r="B29" s="871" t="str">
        <f>'49a-Utility1'!B29</f>
        <v>Less: Interest Accrued to 12/31/2021 (Trial Balance)</v>
      </c>
      <c r="C29" s="659"/>
      <c r="D29" s="1079"/>
      <c r="E29" s="1079"/>
      <c r="F29" s="1079"/>
      <c r="G29" s="1079"/>
      <c r="H29" s="321" t="s">
        <v>373</v>
      </c>
      <c r="I29" s="570"/>
      <c r="K29" s="1086"/>
      <c r="L29" s="1086"/>
    </row>
    <row r="30" spans="2:21" ht="21" customHeight="1">
      <c r="B30" s="659"/>
      <c r="C30" s="659" t="s">
        <v>317</v>
      </c>
      <c r="D30" s="1079"/>
      <c r="E30" s="1079"/>
      <c r="F30" s="1079"/>
      <c r="G30" s="1079"/>
      <c r="H30" s="321" t="s">
        <v>373</v>
      </c>
      <c r="I30" s="484">
        <f>+I28-I29</f>
        <v>0</v>
      </c>
      <c r="K30" s="1086"/>
      <c r="L30" s="1086"/>
    </row>
    <row r="31" spans="2:21" ht="21" customHeight="1">
      <c r="B31" s="871" t="str">
        <f>'49a-Utility1'!B31</f>
        <v>Add: Interest to be Accrued as of 12/31/2022</v>
      </c>
      <c r="C31" s="659"/>
      <c r="D31" s="1079"/>
      <c r="E31" s="1079"/>
      <c r="F31" s="1079"/>
      <c r="G31" s="1079"/>
      <c r="H31" s="321" t="s">
        <v>373</v>
      </c>
      <c r="I31" s="570"/>
      <c r="K31" s="1086"/>
      <c r="L31" s="1086"/>
    </row>
    <row r="32" spans="2:21" ht="21" customHeight="1">
      <c r="B32" s="871" t="str">
        <f>'49a-Utility1'!B32</f>
        <v>Required Appropriation 2022</v>
      </c>
      <c r="C32" s="659"/>
      <c r="D32" s="1079"/>
      <c r="E32" s="1079"/>
      <c r="F32" s="1079"/>
      <c r="G32" s="1079"/>
      <c r="H32" s="321"/>
      <c r="I32" s="1105"/>
      <c r="J32" s="1366"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3168</v>
      </c>
      <c r="C51" s="1933"/>
      <c r="D51" s="1933"/>
      <c r="E51" s="1933"/>
      <c r="F51" s="1933"/>
      <c r="G51" s="1933"/>
      <c r="H51" s="1933"/>
      <c r="I51" s="1933"/>
      <c r="J51" s="1933"/>
      <c r="K51" s="1933"/>
      <c r="L51" s="1933"/>
    </row>
  </sheetData>
  <sheetProtection algorithmName="SHA-512" hashValue="MXPYC8ND8GXlVzzwJXTQo3AII4PmwuY2C0Q/mkXyGruXuaVuseUl5UtZxbjVmCZk3GG5QiXfiymVnAGRwdYdDQ==" saltValue="5xRtpf5yJrT4nqmU5SNvP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2">
    <tabColor theme="3" tint="0.79998168889431442"/>
  </sheetPr>
  <dimension ref="B2:U51"/>
  <sheetViews>
    <sheetView zoomScaleNormal="100" zoomScaleSheetLayoutView="80" workbookViewId="0">
      <selection activeCell="Q21" sqref="Q21"/>
    </sheetView>
  </sheetViews>
  <sheetFormatPr defaultColWidth="9.109375" defaultRowHeight="13.2"/>
  <cols>
    <col min="1" max="3" width="4.6640625" style="318" customWidth="1"/>
    <col min="4" max="4" width="4.5546875" style="318" customWidth="1"/>
    <col min="5" max="5" width="17.88671875" style="318" customWidth="1"/>
    <col min="6" max="6" width="9.109375" style="318"/>
    <col min="7" max="7" width="16.6640625" style="318" customWidth="1"/>
    <col min="8" max="8" width="1.6640625" style="318" customWidth="1"/>
    <col min="9" max="9" width="15.6640625" style="318" customWidth="1"/>
    <col min="10" max="10" width="1.6640625" style="318" customWidth="1"/>
    <col min="11" max="11" width="8.6640625" style="318" customWidth="1"/>
    <col min="12" max="12" width="7.6640625" style="318" customWidth="1"/>
    <col min="13" max="16" width="9.109375" style="318"/>
    <col min="17" max="17" width="11.109375" style="318" bestFit="1" customWidth="1"/>
    <col min="18" max="18" width="14.44140625" style="318" customWidth="1"/>
    <col min="19" max="16384" width="9.109375" style="318"/>
  </cols>
  <sheetData>
    <row r="2" spans="2:21" ht="20.399999999999999">
      <c r="B2" s="2000" t="s">
        <v>481</v>
      </c>
      <c r="C2" s="2000"/>
      <c r="D2" s="2000"/>
      <c r="E2" s="2000"/>
      <c r="F2" s="2000"/>
      <c r="G2" s="2000"/>
      <c r="H2" s="2000"/>
      <c r="I2" s="2000"/>
      <c r="J2" s="2000"/>
      <c r="K2" s="2000"/>
      <c r="L2" s="2000"/>
    </row>
    <row r="3" spans="2:21" ht="21" thickBot="1">
      <c r="B3" s="1909" t="str">
        <f>" AND  "&amp;IF('KEY INPUTS'!C42="State Fiscal Year","FISCAL  YEAR  "&amp;'KEY INPUTS'!D33+1&amp;"",'KEY INPUTS'!D34+1)&amp;"  DEBT  SERVICE  FOR  LOANS"</f>
        <v xml:space="preserve"> AND  2022  DEBT  SERVICE  FOR  LOANS</v>
      </c>
      <c r="C3" s="1909"/>
      <c r="D3" s="1909"/>
      <c r="E3" s="1909"/>
      <c r="F3" s="1909"/>
      <c r="G3" s="1909"/>
      <c r="H3" s="1909"/>
      <c r="I3" s="1909"/>
      <c r="J3" s="1909"/>
      <c r="K3" s="1909"/>
      <c r="L3" s="1909"/>
    </row>
    <row r="4" spans="2:21" ht="16.2" thickBot="1">
      <c r="B4" s="1889" t="str">
        <f>UPPER('KEY INPUTS'!D$59)&amp;" UTILITY "&amp;IF(R4&lt;&gt;"",(UPPER(R4)),"")&amp;" LOAN"</f>
        <v xml:space="preserve"> UTILITY  LOAN</v>
      </c>
      <c r="C4" s="1889"/>
      <c r="D4" s="1889"/>
      <c r="E4" s="1889"/>
      <c r="F4" s="1889"/>
      <c r="G4" s="1889"/>
      <c r="H4" s="1889"/>
      <c r="I4" s="1889"/>
      <c r="J4" s="1889"/>
      <c r="K4" s="1889"/>
      <c r="L4" s="1889"/>
      <c r="Q4" s="1554" t="s">
        <v>3579</v>
      </c>
      <c r="R4" s="1555"/>
    </row>
    <row r="5" spans="2:21" ht="9.75" customHeight="1" thickBot="1">
      <c r="B5" s="1326"/>
      <c r="C5" s="1326"/>
      <c r="D5" s="1326"/>
      <c r="E5" s="1326"/>
      <c r="F5" s="1326"/>
      <c r="G5" s="1326"/>
      <c r="H5" s="1326"/>
      <c r="I5" s="1326"/>
      <c r="J5" s="1326"/>
      <c r="K5" s="1326"/>
      <c r="L5" s="1326"/>
    </row>
    <row r="6" spans="2:21" ht="27.75" customHeight="1" thickTop="1" thickBot="1">
      <c r="B6" s="1327"/>
      <c r="C6" s="1327"/>
      <c r="D6" s="1327"/>
      <c r="E6" s="1327"/>
      <c r="F6" s="1327"/>
      <c r="G6" s="1074" t="s">
        <v>96</v>
      </c>
      <c r="H6" s="2064" t="s">
        <v>97</v>
      </c>
      <c r="I6" s="1907"/>
      <c r="J6" s="2062" t="str">
        <f>IF('KEY INPUTS'!C42="State Fiscal Year","Fiscal Year "&amp;'KEY INPUTS'!D33+1&amp;"",'KEY INPUTS'!D34+1)&amp;"  Debt Service"</f>
        <v>2022  Debt Service</v>
      </c>
      <c r="K6" s="2063"/>
      <c r="L6" s="2063"/>
      <c r="O6" s="309"/>
      <c r="P6" s="309"/>
      <c r="Q6" s="309"/>
      <c r="R6" s="309"/>
      <c r="S6" s="309"/>
      <c r="T6" s="309"/>
      <c r="U6" s="309"/>
    </row>
    <row r="7" spans="2:21" ht="21" customHeight="1" thickTop="1">
      <c r="B7" s="1151" t="str">
        <f>'49a-Utility2'!B7</f>
        <v>Outstanding - January 1, 2021</v>
      </c>
      <c r="C7" s="1098"/>
      <c r="D7" s="1098"/>
      <c r="E7" s="1098"/>
      <c r="F7" s="1098"/>
      <c r="G7" s="1029" t="s">
        <v>628</v>
      </c>
      <c r="H7" s="1809"/>
      <c r="I7" s="1810"/>
      <c r="J7" s="1086"/>
      <c r="K7" s="1086"/>
      <c r="L7" s="1086"/>
      <c r="O7" s="309"/>
      <c r="P7" s="309"/>
      <c r="Q7" s="309"/>
      <c r="R7" s="309"/>
      <c r="S7" s="309"/>
      <c r="T7" s="309"/>
      <c r="U7" s="309"/>
    </row>
    <row r="8" spans="2:21" ht="21" customHeight="1">
      <c r="B8" s="659" t="s">
        <v>92</v>
      </c>
      <c r="C8" s="1079"/>
      <c r="D8" s="1079"/>
      <c r="E8" s="1079"/>
      <c r="F8" s="1079"/>
      <c r="G8" s="926" t="s">
        <v>628</v>
      </c>
      <c r="H8" s="1807"/>
      <c r="I8" s="1808"/>
      <c r="J8" s="1086"/>
      <c r="K8" s="1086"/>
      <c r="L8" s="1086"/>
      <c r="O8" s="356"/>
      <c r="P8" s="309"/>
      <c r="Q8" s="309"/>
      <c r="R8" s="309"/>
      <c r="S8" s="309"/>
      <c r="T8" s="309"/>
      <c r="U8" s="309"/>
    </row>
    <row r="9" spans="2:21" ht="21" customHeight="1">
      <c r="B9" s="659"/>
      <c r="C9" s="1079"/>
      <c r="D9" s="1079"/>
      <c r="E9" s="1079"/>
      <c r="F9" s="1079"/>
      <c r="G9" s="926"/>
      <c r="H9" s="1328"/>
      <c r="I9" s="1329"/>
      <c r="J9" s="1086"/>
      <c r="K9" s="1086"/>
      <c r="L9" s="1086"/>
      <c r="O9" s="309"/>
      <c r="P9" s="309"/>
      <c r="Q9" s="309"/>
      <c r="R9" s="309"/>
      <c r="S9" s="309"/>
      <c r="T9" s="309"/>
      <c r="U9" s="309"/>
    </row>
    <row r="10" spans="2:21" ht="21" customHeight="1">
      <c r="B10" s="659" t="s">
        <v>254</v>
      </c>
      <c r="C10" s="1079"/>
      <c r="D10" s="1079"/>
      <c r="E10" s="1079"/>
      <c r="F10" s="1079"/>
      <c r="G10" s="571"/>
      <c r="H10" s="1829" t="s">
        <v>628</v>
      </c>
      <c r="I10" s="1830"/>
      <c r="J10" s="1086"/>
      <c r="K10" s="1086"/>
      <c r="L10" s="1086"/>
      <c r="O10" s="309"/>
      <c r="P10" s="309"/>
      <c r="Q10" s="309"/>
      <c r="R10" s="309"/>
      <c r="S10" s="309"/>
      <c r="T10" s="309"/>
      <c r="U10" s="309"/>
    </row>
    <row r="11" spans="2:21" ht="21" customHeight="1" thickBot="1">
      <c r="B11" s="659" t="str">
        <f>'49a-Utility2'!B11</f>
        <v>Outstanding - December 31, 2021</v>
      </c>
      <c r="C11" s="1079"/>
      <c r="D11" s="1079"/>
      <c r="E11" s="1079"/>
      <c r="F11" s="1079"/>
      <c r="G11" s="1030">
        <f>+H7+H8-G10</f>
        <v>0</v>
      </c>
      <c r="H11" s="1823" t="s">
        <v>628</v>
      </c>
      <c r="I11" s="1824"/>
      <c r="J11" s="1086"/>
      <c r="K11" s="1086"/>
      <c r="L11" s="1086"/>
      <c r="O11" s="309"/>
      <c r="P11" s="309"/>
      <c r="Q11" s="309"/>
      <c r="R11" s="309"/>
      <c r="S11" s="309"/>
      <c r="T11" s="309"/>
      <c r="U11" s="309"/>
    </row>
    <row r="12" spans="2:21" ht="21" customHeight="1" thickBot="1">
      <c r="B12" s="1054"/>
      <c r="C12" s="1086"/>
      <c r="D12" s="1086"/>
      <c r="E12" s="1086"/>
      <c r="F12" s="1086"/>
      <c r="G12" s="1027">
        <f>SUM(G7:G11)</f>
        <v>0</v>
      </c>
      <c r="H12" s="1827">
        <f>SUM(H7:I11)</f>
        <v>0</v>
      </c>
      <c r="I12" s="1828"/>
      <c r="J12" s="1086"/>
      <c r="K12" s="1086"/>
      <c r="L12" s="1086"/>
      <c r="O12" s="309"/>
      <c r="P12" s="309"/>
      <c r="Q12" s="309"/>
      <c r="R12" s="309"/>
      <c r="S12" s="309"/>
      <c r="T12" s="309"/>
      <c r="U12" s="309"/>
    </row>
    <row r="13" spans="2:21" ht="21" customHeight="1" thickTop="1">
      <c r="B13" s="1321" t="str">
        <f>'49a-Utility3'!B13</f>
        <v>2022 Loan Maturities</v>
      </c>
      <c r="C13" s="1330"/>
      <c r="D13" s="1330"/>
      <c r="E13" s="1330"/>
      <c r="F13" s="1330"/>
      <c r="G13" s="1330"/>
      <c r="H13" s="1330"/>
      <c r="I13" s="1331"/>
      <c r="J13" s="451" t="s">
        <v>373</v>
      </c>
      <c r="K13" s="1834"/>
      <c r="L13" s="1834"/>
      <c r="O13" s="309"/>
      <c r="P13" s="309"/>
      <c r="Q13" s="309"/>
      <c r="R13" s="309"/>
      <c r="S13" s="309"/>
      <c r="T13" s="309"/>
      <c r="U13" s="309"/>
    </row>
    <row r="14" spans="2:21" ht="21" customHeight="1" thickBot="1">
      <c r="B14" s="1321" t="str">
        <f>'49a-Utility3'!B14</f>
        <v>2022 Interest on Loans</v>
      </c>
      <c r="C14" s="1102"/>
      <c r="D14" s="1102"/>
      <c r="E14" s="1102"/>
      <c r="F14" s="1102"/>
      <c r="G14" s="1314"/>
      <c r="H14" s="385" t="s">
        <v>373</v>
      </c>
      <c r="I14" s="643"/>
      <c r="K14" s="1086"/>
      <c r="L14" s="1086"/>
      <c r="O14" s="309"/>
      <c r="P14" s="309"/>
      <c r="Q14" s="309"/>
      <c r="R14" s="309"/>
      <c r="S14" s="309"/>
      <c r="T14" s="309"/>
      <c r="U14" s="309"/>
    </row>
    <row r="15" spans="2:21" ht="16.5" customHeight="1" thickTop="1" thickBot="1">
      <c r="B15" s="2082"/>
      <c r="C15" s="2082"/>
      <c r="D15" s="2082"/>
      <c r="E15" s="2082"/>
      <c r="F15" s="2082"/>
      <c r="G15" s="2082"/>
      <c r="H15" s="2082"/>
      <c r="I15" s="2083"/>
      <c r="K15" s="1086"/>
      <c r="L15" s="1086"/>
      <c r="O15" s="309"/>
      <c r="P15" s="309"/>
      <c r="Q15" s="309"/>
      <c r="R15" s="309"/>
      <c r="S15" s="309"/>
      <c r="T15" s="309"/>
      <c r="U15" s="309"/>
    </row>
    <row r="16" spans="2:21" ht="16.2" thickBot="1">
      <c r="B16" s="1977" t="str">
        <f>UPPER('KEY INPUTS'!D$59)&amp;" UTILITY "&amp;IF(R16&lt;&gt;"",(UPPER(R16)),"")&amp;" LOAN"</f>
        <v xml:space="preserve"> UTILITY  LOAN</v>
      </c>
      <c r="C16" s="1977"/>
      <c r="D16" s="1977"/>
      <c r="E16" s="1977"/>
      <c r="F16" s="1977"/>
      <c r="G16" s="1977"/>
      <c r="H16" s="1977"/>
      <c r="I16" s="1978"/>
      <c r="K16" s="1086"/>
      <c r="L16" s="1086"/>
      <c r="O16" s="309"/>
      <c r="P16" s="309"/>
      <c r="Q16" s="1554" t="s">
        <v>3579</v>
      </c>
      <c r="R16" s="1555"/>
      <c r="S16" s="309"/>
      <c r="T16" s="309"/>
      <c r="U16" s="309"/>
    </row>
    <row r="17" spans="2:21" ht="21" customHeight="1" thickTop="1">
      <c r="B17" s="1151" t="str">
        <f>'49a-Utility2'!B7</f>
        <v>Outstanding - January 1, 2021</v>
      </c>
      <c r="C17" s="1098"/>
      <c r="D17" s="1098"/>
      <c r="E17" s="1098"/>
      <c r="F17" s="1098"/>
      <c r="G17" s="1029" t="s">
        <v>628</v>
      </c>
      <c r="H17" s="1809"/>
      <c r="I17" s="1810"/>
      <c r="K17" s="1086"/>
      <c r="L17" s="1086"/>
      <c r="O17" s="309"/>
      <c r="P17" s="309"/>
      <c r="Q17" s="309"/>
      <c r="R17" s="309"/>
      <c r="S17" s="309"/>
      <c r="T17" s="309"/>
      <c r="U17" s="309"/>
    </row>
    <row r="18" spans="2:21" ht="21" customHeight="1">
      <c r="B18" s="659" t="s">
        <v>92</v>
      </c>
      <c r="C18" s="1079"/>
      <c r="D18" s="1079"/>
      <c r="E18" s="1079"/>
      <c r="F18" s="1079"/>
      <c r="G18" s="926" t="s">
        <v>628</v>
      </c>
      <c r="H18" s="1807"/>
      <c r="I18" s="1808"/>
      <c r="K18" s="1086"/>
      <c r="L18" s="1086"/>
      <c r="O18" s="309"/>
      <c r="P18" s="309"/>
      <c r="Q18" s="309"/>
      <c r="R18" s="309"/>
      <c r="S18" s="309"/>
      <c r="T18" s="309"/>
      <c r="U18" s="309"/>
    </row>
    <row r="19" spans="2:21" ht="21" customHeight="1">
      <c r="B19" s="659" t="s">
        <v>254</v>
      </c>
      <c r="C19" s="1079"/>
      <c r="D19" s="1079"/>
      <c r="E19" s="1079"/>
      <c r="F19" s="1079"/>
      <c r="G19" s="571"/>
      <c r="H19" s="1829" t="s">
        <v>628</v>
      </c>
      <c r="I19" s="1830"/>
      <c r="K19" s="1086"/>
      <c r="L19" s="1086"/>
      <c r="O19" s="309"/>
      <c r="P19" s="309"/>
      <c r="Q19" s="309"/>
      <c r="R19" s="309"/>
      <c r="S19" s="309"/>
      <c r="T19" s="309"/>
      <c r="U19" s="309"/>
    </row>
    <row r="20" spans="2:21" ht="21" customHeight="1">
      <c r="B20" s="659"/>
      <c r="C20" s="1079"/>
      <c r="D20" s="1079"/>
      <c r="E20" s="1079"/>
      <c r="F20" s="1079"/>
      <c r="G20" s="1046"/>
      <c r="H20" s="1831"/>
      <c r="I20" s="1832"/>
      <c r="K20" s="1086"/>
      <c r="L20" s="1086"/>
      <c r="O20" s="309"/>
      <c r="P20" s="309"/>
      <c r="Q20" s="309"/>
      <c r="R20" s="309"/>
      <c r="S20" s="309"/>
      <c r="T20" s="309"/>
      <c r="U20" s="309"/>
    </row>
    <row r="21" spans="2:21" ht="21" customHeight="1">
      <c r="B21" s="659"/>
      <c r="C21" s="1079"/>
      <c r="D21" s="1079"/>
      <c r="E21" s="1079"/>
      <c r="F21" s="1079"/>
      <c r="G21" s="1046"/>
      <c r="H21" s="1831"/>
      <c r="I21" s="1832"/>
      <c r="K21" s="1086"/>
      <c r="L21" s="1086"/>
      <c r="O21" s="309"/>
      <c r="P21" s="309"/>
      <c r="Q21" s="309"/>
      <c r="R21" s="309"/>
      <c r="S21" s="309"/>
      <c r="T21" s="309"/>
      <c r="U21" s="309"/>
    </row>
    <row r="22" spans="2:21" ht="21" customHeight="1" thickBot="1">
      <c r="B22" s="659" t="str">
        <f>'49a-Utility2'!B11</f>
        <v>Outstanding - December 31, 2021</v>
      </c>
      <c r="C22" s="1079"/>
      <c r="D22" s="1079"/>
      <c r="E22" s="1079"/>
      <c r="F22" s="1079"/>
      <c r="G22" s="1030">
        <f>+H17+H18-G19-G20-G21+H20+H21</f>
        <v>0</v>
      </c>
      <c r="H22" s="1823" t="s">
        <v>628</v>
      </c>
      <c r="I22" s="1824"/>
      <c r="K22" s="1086"/>
      <c r="L22" s="1086"/>
      <c r="O22" s="309"/>
      <c r="P22" s="309"/>
      <c r="Q22" s="309"/>
      <c r="R22" s="309"/>
      <c r="S22" s="309"/>
      <c r="T22" s="309"/>
      <c r="U22" s="309"/>
    </row>
    <row r="23" spans="2:21" ht="21" customHeight="1" thickBot="1">
      <c r="B23" s="1054"/>
      <c r="C23" s="1086"/>
      <c r="D23" s="1086"/>
      <c r="E23" s="1086"/>
      <c r="F23" s="1086"/>
      <c r="G23" s="1027">
        <f>SUM(G17:G22)</f>
        <v>0</v>
      </c>
      <c r="H23" s="1827">
        <f>SUM(H17:I22)</f>
        <v>0</v>
      </c>
      <c r="I23" s="1828"/>
      <c r="K23" s="1086"/>
      <c r="L23" s="1086"/>
    </row>
    <row r="24" spans="2:21" ht="21" customHeight="1" thickTop="1">
      <c r="B24" s="1321" t="str">
        <f>B13</f>
        <v>2022 Loan Maturities</v>
      </c>
      <c r="C24" s="1330"/>
      <c r="D24" s="1330"/>
      <c r="E24" s="1330"/>
      <c r="F24" s="1330"/>
      <c r="G24" s="1330"/>
      <c r="H24" s="1330"/>
      <c r="I24" s="1331"/>
      <c r="J24" s="451" t="s">
        <v>373</v>
      </c>
      <c r="K24" s="1834"/>
      <c r="L24" s="1834"/>
    </row>
    <row r="25" spans="2:21" ht="21" customHeight="1" thickBot="1">
      <c r="B25" s="1322" t="str">
        <f>B14</f>
        <v>2022 Interest on Loans</v>
      </c>
      <c r="C25" s="1102"/>
      <c r="D25" s="1102"/>
      <c r="E25" s="1102"/>
      <c r="F25" s="1102"/>
      <c r="G25" s="1314"/>
      <c r="H25" s="385" t="s">
        <v>373</v>
      </c>
      <c r="I25" s="577"/>
      <c r="J25" s="477"/>
      <c r="K25" s="1102"/>
      <c r="L25" s="1102"/>
    </row>
    <row r="26" spans="2:21" ht="21" customHeight="1" thickTop="1">
      <c r="B26" s="1086"/>
      <c r="C26" s="1086"/>
      <c r="D26" s="1086"/>
      <c r="E26" s="1086"/>
      <c r="F26" s="1086"/>
      <c r="G26" s="1086"/>
      <c r="H26" s="1086"/>
      <c r="I26" s="1086"/>
      <c r="J26" s="1086"/>
      <c r="K26" s="1086"/>
      <c r="L26" s="1086"/>
    </row>
    <row r="27" spans="2:21" ht="19.5" customHeight="1" thickBot="1">
      <c r="B27" s="1977" t="str">
        <f>"INTEREST  ON  LOANS  - "&amp;UPPER('KEY INPUTS'!D59)&amp;"  UTILITY  BUDGET"</f>
        <v>INTEREST  ON  LOANS  -   UTILITY  BUDGET</v>
      </c>
      <c r="C27" s="1977"/>
      <c r="D27" s="1977"/>
      <c r="E27" s="1977"/>
      <c r="F27" s="1977"/>
      <c r="G27" s="1977"/>
      <c r="H27" s="1977"/>
      <c r="I27" s="1977"/>
      <c r="J27" s="1977"/>
      <c r="K27" s="1977"/>
      <c r="L27" s="1977"/>
    </row>
    <row r="28" spans="2:21" ht="21" customHeight="1" thickTop="1">
      <c r="B28" s="1333" t="str">
        <f>'49a-Utility1'!B28</f>
        <v>2022 Interest on Loans (*Items)</v>
      </c>
      <c r="C28" s="1110"/>
      <c r="D28" s="1098"/>
      <c r="E28" s="1098"/>
      <c r="F28" s="1098"/>
      <c r="G28" s="1098"/>
      <c r="H28" s="387" t="s">
        <v>373</v>
      </c>
      <c r="I28" s="1332">
        <f>+I25+I14</f>
        <v>0</v>
      </c>
      <c r="K28" s="1086"/>
      <c r="L28" s="1086"/>
    </row>
    <row r="29" spans="2:21" ht="21" customHeight="1">
      <c r="B29" s="871" t="str">
        <f>'49a-Utility1'!B29</f>
        <v>Less: Interest Accrued to 12/31/2021 (Trial Balance)</v>
      </c>
      <c r="C29" s="659"/>
      <c r="D29" s="1079"/>
      <c r="E29" s="1079"/>
      <c r="F29" s="1079"/>
      <c r="G29" s="1079"/>
      <c r="H29" s="321" t="s">
        <v>373</v>
      </c>
      <c r="I29" s="570"/>
      <c r="K29" s="1086"/>
      <c r="L29" s="1086"/>
    </row>
    <row r="30" spans="2:21" ht="21" customHeight="1">
      <c r="B30" s="659"/>
      <c r="C30" s="659" t="s">
        <v>317</v>
      </c>
      <c r="D30" s="1079"/>
      <c r="E30" s="1079"/>
      <c r="F30" s="1079"/>
      <c r="G30" s="1079"/>
      <c r="H30" s="321" t="s">
        <v>373</v>
      </c>
      <c r="I30" s="1334">
        <f>+I28-I29</f>
        <v>0</v>
      </c>
      <c r="K30" s="1086"/>
      <c r="L30" s="1086"/>
    </row>
    <row r="31" spans="2:21" ht="21" customHeight="1">
      <c r="B31" s="871" t="str">
        <f>'49a-Utility1'!B31</f>
        <v>Add: Interest to be Accrued as of 12/31/2022</v>
      </c>
      <c r="C31" s="659"/>
      <c r="D31" s="1079"/>
      <c r="E31" s="1079"/>
      <c r="F31" s="1079"/>
      <c r="G31" s="1079"/>
      <c r="H31" s="321" t="s">
        <v>373</v>
      </c>
      <c r="I31" s="570"/>
      <c r="K31" s="1086"/>
      <c r="L31" s="1086"/>
    </row>
    <row r="32" spans="2:21" ht="21" customHeight="1">
      <c r="B32" s="871" t="str">
        <f>'49a-Utility1'!B32</f>
        <v>Required Appropriation 2022</v>
      </c>
      <c r="C32" s="659"/>
      <c r="D32" s="1079"/>
      <c r="E32" s="1079"/>
      <c r="F32" s="1079"/>
      <c r="G32" s="1079"/>
      <c r="H32" s="1079"/>
      <c r="I32" s="1105"/>
      <c r="J32" s="478" t="s">
        <v>373</v>
      </c>
      <c r="K32" s="2068">
        <f>+I30+I31</f>
        <v>0</v>
      </c>
      <c r="L32" s="2069"/>
    </row>
    <row r="33" spans="2:12" ht="13.5" customHeight="1">
      <c r="B33" s="1202"/>
      <c r="C33" s="1202"/>
      <c r="D33" s="1202"/>
      <c r="E33" s="1202"/>
      <c r="F33" s="1202"/>
      <c r="G33" s="1202"/>
      <c r="H33" s="1202"/>
      <c r="I33" s="1202"/>
      <c r="J33" s="1202"/>
      <c r="K33" s="1365"/>
      <c r="L33" s="1210"/>
    </row>
    <row r="34" spans="2:12" ht="13.5" customHeight="1">
      <c r="B34" s="1202"/>
      <c r="C34" s="1202"/>
      <c r="D34" s="1202"/>
      <c r="E34" s="1202"/>
      <c r="F34" s="1202"/>
      <c r="G34" s="1202"/>
      <c r="H34" s="1202"/>
      <c r="I34" s="1202"/>
      <c r="J34" s="1202"/>
      <c r="K34" s="1365"/>
      <c r="L34" s="1210"/>
    </row>
    <row r="35" spans="2:12" ht="21" customHeight="1" thickBot="1">
      <c r="B35" s="2067" t="str">
        <f>'49-Utility1'!B35</f>
        <v>LIST  OF  BONDS  ISSUED  DURING  2021</v>
      </c>
      <c r="C35" s="2067"/>
      <c r="D35" s="2067"/>
      <c r="E35" s="2067"/>
      <c r="F35" s="2067"/>
      <c r="G35" s="2067"/>
      <c r="H35" s="2067"/>
      <c r="I35" s="2067"/>
      <c r="J35" s="2067"/>
      <c r="K35" s="2067"/>
      <c r="L35" s="2067"/>
    </row>
    <row r="36" spans="2:12" ht="27" customHeight="1" thickTop="1" thickBot="1">
      <c r="B36" s="1906" t="s">
        <v>413</v>
      </c>
      <c r="C36" s="1906"/>
      <c r="D36" s="1906"/>
      <c r="E36" s="1906"/>
      <c r="F36" s="1906"/>
      <c r="G36" s="1336" t="str">
        <f>'49a-Utility2'!G36</f>
        <v>2022 Maturity</v>
      </c>
      <c r="H36" s="2064" t="s">
        <v>91</v>
      </c>
      <c r="I36" s="1907"/>
      <c r="J36" s="2065" t="s">
        <v>89</v>
      </c>
      <c r="K36" s="2066"/>
      <c r="L36" s="1337" t="s">
        <v>90</v>
      </c>
    </row>
    <row r="37" spans="2:12" ht="21" customHeight="1" thickTop="1">
      <c r="B37" s="642"/>
      <c r="C37" s="642"/>
      <c r="D37" s="642"/>
      <c r="E37" s="642"/>
      <c r="F37" s="642"/>
      <c r="G37" s="575"/>
      <c r="H37" s="1809"/>
      <c r="I37" s="1810"/>
      <c r="J37" s="1981"/>
      <c r="K37" s="1966"/>
      <c r="L37" s="872"/>
    </row>
    <row r="38" spans="2:12" ht="21" customHeight="1">
      <c r="B38" s="617"/>
      <c r="C38" s="617"/>
      <c r="D38" s="617"/>
      <c r="E38" s="617"/>
      <c r="F38" s="617"/>
      <c r="G38" s="571"/>
      <c r="H38" s="1807"/>
      <c r="I38" s="1808"/>
      <c r="J38" s="1945"/>
      <c r="K38" s="1946"/>
      <c r="L38" s="873"/>
    </row>
    <row r="39" spans="2:12" ht="21" customHeight="1">
      <c r="B39" s="617"/>
      <c r="C39" s="617"/>
      <c r="D39" s="617"/>
      <c r="E39" s="617"/>
      <c r="F39" s="617"/>
      <c r="G39" s="571"/>
      <c r="H39" s="1807"/>
      <c r="I39" s="1808"/>
      <c r="J39" s="1945"/>
      <c r="K39" s="1946"/>
      <c r="L39" s="873"/>
    </row>
    <row r="40" spans="2:12" ht="21" customHeight="1">
      <c r="B40" s="617"/>
      <c r="C40" s="617"/>
      <c r="D40" s="617"/>
      <c r="E40" s="617"/>
      <c r="F40" s="617"/>
      <c r="G40" s="571"/>
      <c r="H40" s="1807"/>
      <c r="I40" s="1808"/>
      <c r="J40" s="1945"/>
      <c r="K40" s="1946"/>
      <c r="L40" s="873"/>
    </row>
    <row r="41" spans="2:12" ht="21" customHeight="1" thickBot="1">
      <c r="B41" s="1102"/>
      <c r="C41" s="1102"/>
      <c r="D41" s="1102"/>
      <c r="E41" s="1102"/>
      <c r="F41" s="1103"/>
      <c r="G41" s="1027">
        <f>SUM(G37:G40)</f>
        <v>0</v>
      </c>
      <c r="H41" s="1805">
        <f>SUM(H37:I40)</f>
        <v>0</v>
      </c>
      <c r="I41" s="1806"/>
      <c r="J41" s="1335"/>
      <c r="K41" s="1102"/>
      <c r="L41" s="1096"/>
    </row>
    <row r="42" spans="2:12" ht="13.8" thickTop="1">
      <c r="G42" s="476"/>
      <c r="H42" s="476"/>
      <c r="I42" s="476"/>
    </row>
    <row r="51" spans="2:12" ht="13.8">
      <c r="B51" s="1933" t="s">
        <v>3358</v>
      </c>
      <c r="C51" s="1933"/>
      <c r="D51" s="1933"/>
      <c r="E51" s="1933"/>
      <c r="F51" s="1933"/>
      <c r="G51" s="1933"/>
      <c r="H51" s="1933"/>
      <c r="I51" s="1933"/>
      <c r="J51" s="1933"/>
      <c r="K51" s="1933"/>
      <c r="L51" s="1933"/>
    </row>
  </sheetData>
  <sheetProtection algorithmName="SHA-512" hashValue="25ana30QAqE4rngbszUa8sthKbla/9BljW5JkeH7Dr/cUBmkA1KPdXPYGAW2A7i00wTXut/5St6hu5GSfX8rNA==" saltValue="Ii4knMiFu6FCPU+xVh5ECA==" spinCount="100000" sheet="1" objects="1" scenarios="1"/>
  <mergeCells count="37">
    <mergeCell ref="B15:I15"/>
    <mergeCell ref="B2:L2"/>
    <mergeCell ref="B3:L3"/>
    <mergeCell ref="B4:L4"/>
    <mergeCell ref="H6:I6"/>
    <mergeCell ref="J6:L6"/>
    <mergeCell ref="H7:I7"/>
    <mergeCell ref="H8:I8"/>
    <mergeCell ref="H10:I10"/>
    <mergeCell ref="H11:I11"/>
    <mergeCell ref="H12:I12"/>
    <mergeCell ref="K13:L13"/>
    <mergeCell ref="B35:L35"/>
    <mergeCell ref="B16:I16"/>
    <mergeCell ref="H17:I17"/>
    <mergeCell ref="H18:I18"/>
    <mergeCell ref="H19:I19"/>
    <mergeCell ref="H20:I20"/>
    <mergeCell ref="H21:I21"/>
    <mergeCell ref="H22:I22"/>
    <mergeCell ref="H23:I23"/>
    <mergeCell ref="K24:L24"/>
    <mergeCell ref="B27:L27"/>
    <mergeCell ref="K32:L32"/>
    <mergeCell ref="B51:L51"/>
    <mergeCell ref="B36:F36"/>
    <mergeCell ref="H36:I36"/>
    <mergeCell ref="J36:K36"/>
    <mergeCell ref="H37:I37"/>
    <mergeCell ref="J37:K37"/>
    <mergeCell ref="H38:I38"/>
    <mergeCell ref="J38:K38"/>
    <mergeCell ref="H39:I39"/>
    <mergeCell ref="J39:K39"/>
    <mergeCell ref="H40:I40"/>
    <mergeCell ref="J40:K40"/>
    <mergeCell ref="H41:I41"/>
  </mergeCells>
  <pageMargins left="0.25" right="0.25" top="0.5" bottom="0.5" header="0.25" footer="0.25"/>
  <pageSetup paperSize="5" orientation="portrait" r:id="rId1"/>
  <headerFooter alignWithMargins="0"/>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9">
    <tabColor theme="3" tint="0.79998168889431442"/>
  </sheetPr>
  <dimension ref="A2:V30"/>
  <sheetViews>
    <sheetView zoomScaleNormal="100" zoomScaleSheetLayoutView="80" workbookViewId="0">
      <selection activeCell="J28" sqref="J28"/>
    </sheetView>
  </sheetViews>
  <sheetFormatPr defaultColWidth="8.88671875" defaultRowHeight="13.2"/>
  <cols>
    <col min="1" max="1" width="5.6640625" style="318" customWidth="1"/>
    <col min="2" max="3" width="4.88671875" style="318" customWidth="1"/>
    <col min="4" max="4" width="30.44140625" style="318" customWidth="1"/>
    <col min="5" max="11" width="15.6640625" style="318" customWidth="1"/>
    <col min="12" max="12" width="1.6640625" style="318" customWidth="1"/>
    <col min="13" max="13" width="12.6640625" style="318" customWidth="1"/>
    <col min="14" max="16384" width="8.88671875" style="318"/>
  </cols>
  <sheetData>
    <row r="2" spans="1:22" ht="20.399999999999999">
      <c r="B2" s="1937" t="str">
        <f>"DEBT  SERVICE  FOR  "&amp;UPPER('KEY INPUTS'!D59)&amp;"  UTILITY  NOTES  (OTHER  THAN  UTILITY  ASSESSMENT  NOTES)"</f>
        <v>DEBT  SERVICE  FOR    UTILITY  NOTES  (OTHER  THAN  UTILITY  ASSESSMENT  NOTES)</v>
      </c>
      <c r="C2" s="1937"/>
      <c r="D2" s="1937"/>
      <c r="E2" s="1937"/>
      <c r="F2" s="1937"/>
      <c r="G2" s="1937"/>
      <c r="H2" s="1937"/>
      <c r="I2" s="1937"/>
      <c r="J2" s="1937"/>
      <c r="K2" s="1937"/>
      <c r="L2" s="1937"/>
      <c r="M2" s="1937"/>
    </row>
    <row r="3" spans="1:22" ht="21" thickBot="1">
      <c r="B3" s="1937"/>
      <c r="C3" s="1937"/>
      <c r="D3" s="1937"/>
      <c r="E3" s="1937"/>
      <c r="F3" s="1937"/>
      <c r="G3" s="1937"/>
      <c r="H3" s="1937"/>
      <c r="I3" s="1937"/>
      <c r="J3" s="1937"/>
      <c r="K3" s="1937"/>
      <c r="L3" s="1937"/>
      <c r="M3" s="1937"/>
    </row>
    <row r="4" spans="1:22" ht="13.5" customHeight="1" thickTop="1">
      <c r="B4" s="397"/>
      <c r="C4" s="397"/>
      <c r="D4" s="397"/>
      <c r="E4" s="398"/>
      <c r="F4" s="398"/>
      <c r="G4" s="398"/>
      <c r="H4" s="398"/>
      <c r="I4" s="398"/>
      <c r="J4" s="397"/>
      <c r="K4" s="1424"/>
      <c r="L4" s="397"/>
      <c r="M4" s="1425"/>
    </row>
    <row r="5" spans="1:22" ht="13.5" customHeight="1">
      <c r="E5" s="394" t="s">
        <v>139</v>
      </c>
      <c r="F5" s="393" t="s">
        <v>139</v>
      </c>
      <c r="G5" s="393" t="s">
        <v>414</v>
      </c>
      <c r="H5" s="393" t="s">
        <v>17</v>
      </c>
      <c r="I5" s="393" t="s">
        <v>543</v>
      </c>
      <c r="J5" s="1982" t="str">
        <f>IF('KEY INPUTS'!C42="State Fiscal Year","Fiscal Year "&amp;'KEY INPUTS'!D33+1&amp;"",'KEY INPUTS'!D34+1)&amp;""</f>
        <v>2022</v>
      </c>
      <c r="K5" s="1983"/>
      <c r="L5" s="1426"/>
      <c r="M5" s="1427" t="s">
        <v>544</v>
      </c>
    </row>
    <row r="6" spans="1:22" ht="13.5" customHeight="1">
      <c r="C6" s="1986" t="s">
        <v>138</v>
      </c>
      <c r="D6" s="1987"/>
      <c r="E6" s="394" t="s">
        <v>414</v>
      </c>
      <c r="F6" s="393" t="s">
        <v>140</v>
      </c>
      <c r="G6" s="393" t="s">
        <v>540</v>
      </c>
      <c r="H6" s="393" t="s">
        <v>541</v>
      </c>
      <c r="I6" s="393" t="s">
        <v>541</v>
      </c>
      <c r="J6" s="1984"/>
      <c r="K6" s="1985"/>
      <c r="L6" s="1428"/>
      <c r="M6" s="1427" t="s">
        <v>547</v>
      </c>
    </row>
    <row r="7" spans="1:22" ht="13.5" customHeight="1">
      <c r="E7" s="394" t="s">
        <v>92</v>
      </c>
      <c r="F7" s="394" t="s">
        <v>141</v>
      </c>
      <c r="G7" s="394" t="s">
        <v>198</v>
      </c>
      <c r="H7" s="394" t="s">
        <v>542</v>
      </c>
      <c r="I7" s="394" t="s">
        <v>544</v>
      </c>
      <c r="J7" s="394" t="s">
        <v>113</v>
      </c>
      <c r="K7" s="394" t="s">
        <v>545</v>
      </c>
      <c r="L7" s="393"/>
      <c r="M7" s="1427" t="s">
        <v>548</v>
      </c>
    </row>
    <row r="8" spans="1:22" ht="13.5" customHeight="1" thickBot="1">
      <c r="B8" s="392"/>
      <c r="C8" s="392"/>
      <c r="D8" s="392"/>
      <c r="E8" s="390"/>
      <c r="F8" s="390"/>
      <c r="G8" s="758" t="str">
        <f>IF('KEY INPUTS'!C42 = "State Fiscal Year", 'KEY INPUTS'!F47,'KEY INPUTS'!D47)</f>
        <v>Dec. 31, 2021</v>
      </c>
      <c r="H8" s="390"/>
      <c r="I8" s="390"/>
      <c r="J8" s="391"/>
      <c r="K8" s="518"/>
      <c r="L8" s="1429"/>
      <c r="M8" s="1430"/>
      <c r="P8" s="309"/>
      <c r="Q8" s="309"/>
      <c r="R8" s="309"/>
      <c r="S8" s="309"/>
      <c r="T8" s="309"/>
      <c r="U8" s="309"/>
      <c r="V8" s="309"/>
    </row>
    <row r="9" spans="1:22" ht="21" customHeight="1" thickTop="1">
      <c r="B9" s="1431" t="s">
        <v>292</v>
      </c>
      <c r="C9" s="642"/>
      <c r="D9" s="645"/>
      <c r="E9" s="575"/>
      <c r="F9" s="1432"/>
      <c r="G9" s="575"/>
      <c r="H9" s="1433"/>
      <c r="I9" s="760"/>
      <c r="J9" s="575"/>
      <c r="K9" s="575">
        <f>+I9*G9</f>
        <v>0</v>
      </c>
      <c r="L9" s="1434"/>
      <c r="M9" s="1435"/>
      <c r="P9" s="309"/>
      <c r="Q9" s="309"/>
      <c r="R9" s="309"/>
      <c r="S9" s="309"/>
      <c r="T9" s="309"/>
      <c r="U9" s="309"/>
      <c r="V9" s="309"/>
    </row>
    <row r="10" spans="1:22" ht="21" customHeight="1">
      <c r="B10" s="1436" t="s">
        <v>293</v>
      </c>
      <c r="C10" s="1437"/>
      <c r="D10" s="621"/>
      <c r="E10" s="571"/>
      <c r="F10" s="1438"/>
      <c r="G10" s="571"/>
      <c r="H10" s="1439"/>
      <c r="I10" s="592"/>
      <c r="J10" s="1440"/>
      <c r="K10" s="571">
        <f>+I10*G10</f>
        <v>0</v>
      </c>
      <c r="L10" s="600"/>
      <c r="M10" s="1441"/>
      <c r="N10" s="318" t="s">
        <v>3133</v>
      </c>
      <c r="O10" s="318" t="s">
        <v>3133</v>
      </c>
      <c r="P10" s="356"/>
      <c r="Q10" s="309"/>
      <c r="R10" s="309"/>
      <c r="S10" s="309"/>
      <c r="T10" s="309"/>
      <c r="U10" s="309"/>
      <c r="V10" s="309"/>
    </row>
    <row r="11" spans="1:22" ht="21" customHeight="1">
      <c r="B11" s="1436" t="s">
        <v>294</v>
      </c>
      <c r="C11" s="617"/>
      <c r="D11" s="621"/>
      <c r="E11" s="571"/>
      <c r="F11" s="654"/>
      <c r="G11" s="571"/>
      <c r="H11" s="571"/>
      <c r="I11" s="592"/>
      <c r="J11" s="571"/>
      <c r="K11" s="571"/>
      <c r="L11" s="600"/>
      <c r="M11" s="653"/>
      <c r="P11" s="309"/>
      <c r="Q11" s="309"/>
      <c r="R11" s="309"/>
      <c r="S11" s="309"/>
      <c r="T11" s="309"/>
      <c r="U11" s="309"/>
      <c r="V11" s="309"/>
    </row>
    <row r="12" spans="1:22" ht="21" customHeight="1">
      <c r="B12" s="1436" t="s">
        <v>295</v>
      </c>
      <c r="C12" s="617"/>
      <c r="D12" s="621"/>
      <c r="E12" s="571"/>
      <c r="F12" s="654"/>
      <c r="G12" s="571"/>
      <c r="H12" s="571"/>
      <c r="I12" s="592"/>
      <c r="J12" s="571"/>
      <c r="K12" s="571"/>
      <c r="L12" s="600"/>
      <c r="M12" s="653"/>
      <c r="P12" s="309"/>
      <c r="Q12" s="309"/>
      <c r="R12" s="309"/>
      <c r="S12" s="309"/>
      <c r="T12" s="309"/>
      <c r="U12" s="309"/>
      <c r="V12" s="309"/>
    </row>
    <row r="13" spans="1:22" ht="21" customHeight="1">
      <c r="B13" s="1436" t="s">
        <v>296</v>
      </c>
      <c r="C13" s="617"/>
      <c r="D13" s="621"/>
      <c r="E13" s="571"/>
      <c r="F13" s="654"/>
      <c r="G13" s="571"/>
      <c r="H13" s="571"/>
      <c r="I13" s="592"/>
      <c r="J13" s="571"/>
      <c r="K13" s="571"/>
      <c r="L13" s="600"/>
      <c r="M13" s="653"/>
      <c r="P13" s="309"/>
      <c r="Q13" s="309"/>
      <c r="R13" s="309"/>
      <c r="S13" s="309"/>
      <c r="T13" s="309"/>
      <c r="U13" s="309"/>
      <c r="V13" s="309"/>
    </row>
    <row r="14" spans="1:22" ht="21" customHeight="1">
      <c r="B14" s="1436" t="s">
        <v>297</v>
      </c>
      <c r="C14" s="617"/>
      <c r="D14" s="621"/>
      <c r="E14" s="574"/>
      <c r="F14" s="655"/>
      <c r="G14" s="574"/>
      <c r="H14" s="574"/>
      <c r="I14" s="595"/>
      <c r="J14" s="571"/>
      <c r="K14" s="571"/>
      <c r="L14" s="600"/>
      <c r="M14" s="653"/>
      <c r="P14" s="309"/>
      <c r="Q14" s="309"/>
      <c r="R14" s="309"/>
      <c r="S14" s="309"/>
      <c r="T14" s="309"/>
      <c r="U14" s="309"/>
      <c r="V14" s="309"/>
    </row>
    <row r="15" spans="1:22" ht="21" customHeight="1">
      <c r="A15" s="1913" t="s">
        <v>3169</v>
      </c>
      <c r="B15" s="1436" t="s">
        <v>298</v>
      </c>
      <c r="C15" s="656"/>
      <c r="D15" s="657"/>
      <c r="E15" s="571"/>
      <c r="F15" s="654"/>
      <c r="G15" s="571"/>
      <c r="H15" s="571"/>
      <c r="I15" s="592"/>
      <c r="J15" s="571"/>
      <c r="K15" s="571"/>
      <c r="L15" s="600"/>
      <c r="M15" s="653"/>
      <c r="P15" s="309"/>
      <c r="Q15" s="309"/>
      <c r="R15" s="309"/>
      <c r="S15" s="309"/>
      <c r="T15" s="309"/>
      <c r="U15" s="309"/>
      <c r="V15" s="309"/>
    </row>
    <row r="16" spans="1:22" ht="21" customHeight="1">
      <c r="A16" s="1913"/>
      <c r="B16" s="1436" t="s">
        <v>384</v>
      </c>
      <c r="C16" s="617"/>
      <c r="D16" s="621"/>
      <c r="E16" s="571"/>
      <c r="F16" s="654"/>
      <c r="G16" s="571"/>
      <c r="H16" s="571"/>
      <c r="I16" s="592"/>
      <c r="J16" s="571"/>
      <c r="K16" s="571"/>
      <c r="L16" s="600"/>
      <c r="M16" s="653"/>
      <c r="P16" s="309"/>
      <c r="Q16" s="309"/>
      <c r="R16" s="309"/>
      <c r="S16" s="309"/>
      <c r="T16" s="309"/>
      <c r="U16" s="309"/>
      <c r="V16" s="309"/>
    </row>
    <row r="17" spans="1:22" ht="21" customHeight="1">
      <c r="A17" s="1913"/>
      <c r="B17" s="1436" t="s">
        <v>385</v>
      </c>
      <c r="C17" s="617"/>
      <c r="D17" s="621"/>
      <c r="E17" s="571"/>
      <c r="F17" s="654"/>
      <c r="G17" s="571"/>
      <c r="H17" s="571"/>
      <c r="I17" s="592"/>
      <c r="J17" s="571"/>
      <c r="K17" s="571"/>
      <c r="L17" s="600"/>
      <c r="M17" s="653"/>
      <c r="P17" s="309"/>
      <c r="Q17" s="309"/>
      <c r="R17" s="309"/>
      <c r="S17" s="309"/>
      <c r="T17" s="309"/>
      <c r="U17" s="309"/>
      <c r="V17" s="309"/>
    </row>
    <row r="18" spans="1:22" ht="21" customHeight="1">
      <c r="A18" s="517"/>
      <c r="B18" s="1442" t="s">
        <v>787</v>
      </c>
      <c r="C18" s="321"/>
      <c r="D18" s="386"/>
      <c r="E18" s="116">
        <f>SUM(E9:E17)</f>
        <v>0</v>
      </c>
      <c r="F18" s="1443"/>
      <c r="G18" s="116">
        <f>SUM(G9:G17)</f>
        <v>0</v>
      </c>
      <c r="H18" s="116"/>
      <c r="I18" s="1444"/>
      <c r="J18" s="116">
        <f>SUM(J9:J17)</f>
        <v>0</v>
      </c>
      <c r="K18" s="116">
        <f>SUM(K9:K17)</f>
        <v>0</v>
      </c>
      <c r="L18" s="1445"/>
      <c r="M18" s="1446"/>
      <c r="P18" s="309"/>
      <c r="Q18" s="309"/>
      <c r="R18" s="309"/>
      <c r="S18" s="309"/>
      <c r="T18" s="309"/>
      <c r="U18" s="309"/>
      <c r="V18" s="309"/>
    </row>
    <row r="19" spans="1:22" ht="21" customHeight="1">
      <c r="A19" s="517"/>
      <c r="B19" s="453"/>
      <c r="E19" s="186"/>
      <c r="G19" s="186"/>
      <c r="H19" s="186"/>
      <c r="I19" s="1447"/>
      <c r="J19" s="186"/>
      <c r="K19" s="186"/>
      <c r="L19" s="186"/>
      <c r="P19" s="309"/>
      <c r="Q19" s="309"/>
      <c r="R19" s="309"/>
      <c r="S19" s="309"/>
      <c r="T19" s="309"/>
      <c r="U19" s="309"/>
      <c r="V19" s="309"/>
    </row>
    <row r="20" spans="1:22" ht="21" customHeight="1">
      <c r="A20" s="517"/>
      <c r="B20" s="453"/>
      <c r="E20" s="186"/>
      <c r="G20" s="186"/>
      <c r="H20" s="186"/>
      <c r="I20" s="1447"/>
      <c r="J20" s="186"/>
      <c r="K20" s="186"/>
      <c r="L20" s="186"/>
      <c r="P20" s="309"/>
      <c r="Q20" s="309"/>
      <c r="R20" s="309"/>
      <c r="S20" s="309"/>
      <c r="T20" s="309"/>
      <c r="U20" s="309"/>
      <c r="V20" s="309"/>
    </row>
    <row r="21" spans="1:22" ht="13.5" customHeight="1">
      <c r="B21" s="1448"/>
      <c r="C21" s="383"/>
      <c r="D21" s="766"/>
      <c r="J21" s="762"/>
      <c r="P21" s="309"/>
      <c r="Q21" s="309"/>
      <c r="R21" s="309"/>
      <c r="S21" s="309"/>
      <c r="T21" s="309"/>
      <c r="U21" s="309"/>
      <c r="V21" s="309"/>
    </row>
    <row r="22" spans="1:22">
      <c r="B22" s="1449" t="s">
        <v>40</v>
      </c>
      <c r="C22" s="762"/>
      <c r="D22" s="1450"/>
      <c r="E22" s="762"/>
      <c r="I22" s="1940"/>
      <c r="J22" s="1940"/>
      <c r="K22" s="1940"/>
      <c r="L22" s="1940"/>
      <c r="M22" s="1940"/>
      <c r="P22" s="309"/>
      <c r="Q22" s="309"/>
      <c r="R22" s="309"/>
      <c r="S22" s="309"/>
      <c r="T22" s="309"/>
      <c r="U22" s="309"/>
      <c r="V22" s="309"/>
    </row>
    <row r="23" spans="1:22" ht="15.6" customHeight="1">
      <c r="B23" s="1451" t="s">
        <v>41</v>
      </c>
      <c r="C23" s="1451"/>
      <c r="D23" s="1449" t="s">
        <v>3580</v>
      </c>
      <c r="E23" s="762"/>
      <c r="M23" s="275"/>
      <c r="P23" s="309"/>
      <c r="Q23" s="309"/>
      <c r="R23" s="309"/>
      <c r="S23" s="309"/>
      <c r="T23" s="309"/>
      <c r="U23" s="309"/>
      <c r="V23" s="309"/>
    </row>
    <row r="24" spans="1:22" ht="15.6" customHeight="1">
      <c r="B24" s="1449"/>
      <c r="C24" s="1449"/>
      <c r="D24" s="1451" t="s">
        <v>42</v>
      </c>
      <c r="E24" s="762"/>
      <c r="M24" s="1452"/>
      <c r="P24" s="309"/>
      <c r="Q24" s="309"/>
      <c r="R24" s="309"/>
      <c r="S24" s="309"/>
      <c r="T24" s="309"/>
      <c r="U24" s="309"/>
      <c r="V24" s="309"/>
    </row>
    <row r="25" spans="1:22" ht="15.6" customHeight="1">
      <c r="B25" s="1449"/>
      <c r="C25" s="1449"/>
      <c r="D25" s="1449" t="s">
        <v>43</v>
      </c>
      <c r="E25" s="762"/>
      <c r="M25" s="275"/>
    </row>
    <row r="26" spans="1:22" ht="15.6" customHeight="1">
      <c r="B26" s="1449"/>
      <c r="C26" s="1449"/>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762"/>
      <c r="M26" s="1452"/>
    </row>
    <row r="27" spans="1:22" ht="15.6" customHeight="1">
      <c r="B27" s="1449"/>
      <c r="C27" s="1449"/>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762"/>
      <c r="M27" s="275"/>
    </row>
    <row r="28" spans="1:22">
      <c r="B28" s="1449"/>
      <c r="C28" s="1449"/>
      <c r="D28" s="1449" t="s">
        <v>44</v>
      </c>
      <c r="E28" s="762"/>
    </row>
    <row r="29" spans="1:22">
      <c r="B29" s="762"/>
      <c r="C29" s="762"/>
      <c r="D29" s="1451" t="s">
        <v>45</v>
      </c>
      <c r="E29" s="762"/>
    </row>
    <row r="30" spans="1:22">
      <c r="J30" s="762" t="s">
        <v>98</v>
      </c>
    </row>
  </sheetData>
  <sheetProtection algorithmName="SHA-512" hashValue="AJbSqYB0qQZMDayfsypVL5uBQNPFDlSI7jV0uYEg/lezRgQFukQKLVbX3M0otB8o8H1qBM3vwrFbXE/A0x2hwA==" saltValue="AljLieyGj3mYP+GqTyCfGw=="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3">
    <tabColor theme="3" tint="0.79998168889431442"/>
  </sheetPr>
  <dimension ref="A1:V30"/>
  <sheetViews>
    <sheetView zoomScaleNormal="100" zoomScaleSheetLayoutView="80" workbookViewId="0">
      <selection activeCell="I30" sqref="I30"/>
    </sheetView>
  </sheetViews>
  <sheetFormatPr defaultColWidth="8.88671875" defaultRowHeight="13.2"/>
  <cols>
    <col min="1" max="1" width="5.6640625" style="370" customWidth="1"/>
    <col min="2" max="3" width="4.88671875" style="370" customWidth="1"/>
    <col min="4" max="4" width="30.44140625" style="370" customWidth="1"/>
    <col min="5" max="11" width="15.6640625" style="370" customWidth="1"/>
    <col min="12" max="12" width="1.6640625" style="370" customWidth="1"/>
    <col min="13" max="13" width="12.6640625" style="370" customWidth="1"/>
    <col min="14" max="16384" width="8.88671875" style="370"/>
  </cols>
  <sheetData>
    <row r="1" spans="1:22">
      <c r="B1" s="1054"/>
      <c r="C1" s="1054"/>
      <c r="D1" s="1054"/>
      <c r="E1" s="1054"/>
      <c r="F1" s="1054"/>
      <c r="G1" s="1054"/>
      <c r="H1" s="1054"/>
      <c r="I1" s="1054"/>
      <c r="J1" s="1054"/>
      <c r="K1" s="1054"/>
      <c r="L1" s="1054"/>
      <c r="M1" s="1054"/>
    </row>
    <row r="2" spans="1:22" ht="20.399999999999999">
      <c r="B2" s="1909" t="str">
        <f>"DEBT  SERVICE  FOR  "&amp;UPPER('KEY INPUTS'!D59)&amp;"  UTILITY  NOTES  (OTHER  THAN  UTILITY  ASSESSMENT  NOTES)"</f>
        <v>DEBT  SERVICE  FOR    UTILITY  NOTES  (OTHER  THAN  UTILITY  ASSESSMENT  NOTES)</v>
      </c>
      <c r="C2" s="1909"/>
      <c r="D2" s="1909"/>
      <c r="E2" s="1909"/>
      <c r="F2" s="1909"/>
      <c r="G2" s="1909"/>
      <c r="H2" s="1909"/>
      <c r="I2" s="1909"/>
      <c r="J2" s="1909"/>
      <c r="K2" s="1909"/>
      <c r="L2" s="1909"/>
      <c r="M2" s="1909"/>
    </row>
    <row r="3" spans="1:22" ht="21" thickBot="1">
      <c r="B3" s="1909"/>
      <c r="C3" s="1909"/>
      <c r="D3" s="1909"/>
      <c r="E3" s="1909"/>
      <c r="F3" s="1909"/>
      <c r="G3" s="1909"/>
      <c r="H3" s="1909"/>
      <c r="I3" s="1909"/>
      <c r="J3" s="1909"/>
      <c r="K3" s="1909"/>
      <c r="L3" s="1909"/>
      <c r="M3" s="1909"/>
    </row>
    <row r="4" spans="1:22" ht="13.5" customHeight="1" thickTop="1">
      <c r="B4" s="1177"/>
      <c r="C4" s="1177"/>
      <c r="D4" s="1177"/>
      <c r="E4" s="1178"/>
      <c r="F4" s="1178"/>
      <c r="G4" s="1178"/>
      <c r="H4" s="1178"/>
      <c r="I4" s="1178"/>
      <c r="J4" s="1177"/>
      <c r="K4" s="1179"/>
      <c r="L4" s="1177"/>
      <c r="M4" s="1180"/>
    </row>
    <row r="5" spans="1:22" ht="13.5" customHeight="1">
      <c r="B5" s="1054"/>
      <c r="C5" s="1054"/>
      <c r="D5" s="1054"/>
      <c r="E5" s="1181" t="s">
        <v>139</v>
      </c>
      <c r="F5" s="1182" t="s">
        <v>139</v>
      </c>
      <c r="G5" s="1182" t="s">
        <v>414</v>
      </c>
      <c r="H5" s="1182" t="s">
        <v>17</v>
      </c>
      <c r="I5" s="1182" t="s">
        <v>543</v>
      </c>
      <c r="J5" s="1994" t="str">
        <f>IF('KEY INPUTS'!C42="State Fiscal Year","Fiscal Year "&amp;'KEY INPUTS'!D33+1&amp;"",'KEY INPUTS'!D34+1)&amp;""</f>
        <v>2022</v>
      </c>
      <c r="K5" s="1995"/>
      <c r="L5" s="1209"/>
      <c r="M5" s="1184" t="s">
        <v>544</v>
      </c>
    </row>
    <row r="6" spans="1:22" ht="13.5" customHeight="1">
      <c r="B6" s="1054"/>
      <c r="C6" s="1992" t="s">
        <v>138</v>
      </c>
      <c r="D6" s="1993"/>
      <c r="E6" s="1181" t="s">
        <v>414</v>
      </c>
      <c r="F6" s="1182" t="s">
        <v>140</v>
      </c>
      <c r="G6" s="1182" t="s">
        <v>540</v>
      </c>
      <c r="H6" s="1182" t="s">
        <v>541</v>
      </c>
      <c r="I6" s="1182" t="s">
        <v>541</v>
      </c>
      <c r="J6" s="1996"/>
      <c r="K6" s="1997"/>
      <c r="L6" s="1185"/>
      <c r="M6" s="1184" t="s">
        <v>547</v>
      </c>
    </row>
    <row r="7" spans="1:22" ht="13.5" customHeight="1">
      <c r="B7" s="1054"/>
      <c r="C7" s="1054"/>
      <c r="D7" s="1054"/>
      <c r="E7" s="1181" t="s">
        <v>92</v>
      </c>
      <c r="F7" s="1181" t="s">
        <v>141</v>
      </c>
      <c r="G7" s="1181" t="s">
        <v>198</v>
      </c>
      <c r="H7" s="1181" t="s">
        <v>542</v>
      </c>
      <c r="I7" s="1181" t="s">
        <v>544</v>
      </c>
      <c r="J7" s="1181" t="s">
        <v>113</v>
      </c>
      <c r="K7" s="1181" t="s">
        <v>545</v>
      </c>
      <c r="L7" s="1182"/>
      <c r="M7" s="1184" t="s">
        <v>548</v>
      </c>
    </row>
    <row r="8" spans="1:22" ht="13.5" customHeight="1" thickBot="1">
      <c r="B8" s="1109"/>
      <c r="C8" s="1109"/>
      <c r="D8" s="1109"/>
      <c r="E8" s="1186"/>
      <c r="F8" s="1186"/>
      <c r="G8" s="1187" t="str">
        <f>IF('KEY INPUTS'!C42 = "State Fiscal Year", 'KEY INPUTS'!F47,'KEY INPUTS'!D47)</f>
        <v>Dec. 31, 2021</v>
      </c>
      <c r="H8" s="1186"/>
      <c r="I8" s="1186"/>
      <c r="J8" s="1188"/>
      <c r="K8" s="1189"/>
      <c r="L8" s="1190"/>
      <c r="M8" s="1191"/>
      <c r="P8" s="309"/>
      <c r="Q8" s="309"/>
      <c r="R8" s="309"/>
      <c r="S8" s="309"/>
      <c r="T8" s="309"/>
      <c r="U8" s="309"/>
      <c r="V8" s="309"/>
    </row>
    <row r="9" spans="1:22" ht="21" customHeight="1" thickTop="1">
      <c r="B9" s="509" t="s">
        <v>292</v>
      </c>
      <c r="C9" s="644"/>
      <c r="D9" s="645"/>
      <c r="E9" s="587"/>
      <c r="F9" s="1402"/>
      <c r="G9" s="587"/>
      <c r="H9" s="647"/>
      <c r="I9" s="589"/>
      <c r="J9" s="587"/>
      <c r="K9" s="587"/>
      <c r="L9" s="598"/>
      <c r="M9" s="648"/>
      <c r="P9" s="309"/>
      <c r="Q9" s="309"/>
      <c r="R9" s="309"/>
      <c r="S9" s="309"/>
      <c r="T9" s="309"/>
      <c r="U9" s="309"/>
      <c r="V9" s="309"/>
    </row>
    <row r="10" spans="1:22" ht="21" customHeight="1">
      <c r="B10" s="508" t="s">
        <v>293</v>
      </c>
      <c r="C10" s="649"/>
      <c r="D10" s="621"/>
      <c r="E10" s="571"/>
      <c r="F10" s="1403"/>
      <c r="G10" s="571"/>
      <c r="H10" s="571"/>
      <c r="I10" s="651"/>
      <c r="J10" s="652"/>
      <c r="K10" s="571"/>
      <c r="L10" s="600"/>
      <c r="M10" s="653"/>
      <c r="N10" s="370" t="s">
        <v>3133</v>
      </c>
      <c r="O10" s="370" t="s">
        <v>3133</v>
      </c>
      <c r="P10" s="356"/>
      <c r="Q10" s="309"/>
      <c r="R10" s="309"/>
      <c r="S10" s="309"/>
      <c r="T10" s="309"/>
      <c r="U10" s="309"/>
      <c r="V10" s="309"/>
    </row>
    <row r="11" spans="1:22" ht="21" customHeight="1">
      <c r="B11" s="508" t="s">
        <v>294</v>
      </c>
      <c r="C11" s="617"/>
      <c r="D11" s="621"/>
      <c r="E11" s="571"/>
      <c r="F11" s="1404"/>
      <c r="G11" s="571"/>
      <c r="H11" s="571"/>
      <c r="I11" s="592"/>
      <c r="J11" s="571"/>
      <c r="K11" s="571"/>
      <c r="L11" s="600"/>
      <c r="M11" s="653"/>
      <c r="P11" s="309"/>
      <c r="Q11" s="309"/>
      <c r="R11" s="309"/>
      <c r="S11" s="309"/>
      <c r="T11" s="309"/>
      <c r="U11" s="309"/>
      <c r="V11" s="309"/>
    </row>
    <row r="12" spans="1:22" ht="21" customHeight="1">
      <c r="B12" s="508" t="s">
        <v>295</v>
      </c>
      <c r="C12" s="617"/>
      <c r="D12" s="621"/>
      <c r="E12" s="571"/>
      <c r="F12" s="1404"/>
      <c r="G12" s="571"/>
      <c r="H12" s="571"/>
      <c r="I12" s="592"/>
      <c r="J12" s="571"/>
      <c r="K12" s="571"/>
      <c r="L12" s="600"/>
      <c r="M12" s="653"/>
      <c r="P12" s="309"/>
      <c r="Q12" s="309"/>
      <c r="R12" s="309"/>
      <c r="S12" s="309"/>
      <c r="T12" s="309"/>
      <c r="U12" s="309"/>
      <c r="V12" s="309"/>
    </row>
    <row r="13" spans="1:22" ht="21" customHeight="1">
      <c r="B13" s="508" t="s">
        <v>296</v>
      </c>
      <c r="C13" s="617"/>
      <c r="D13" s="621"/>
      <c r="E13" s="571"/>
      <c r="F13" s="1404"/>
      <c r="G13" s="571"/>
      <c r="H13" s="571"/>
      <c r="I13" s="592"/>
      <c r="J13" s="571"/>
      <c r="K13" s="571"/>
      <c r="L13" s="600"/>
      <c r="M13" s="653"/>
      <c r="P13" s="309"/>
      <c r="Q13" s="309"/>
      <c r="R13" s="309"/>
      <c r="S13" s="309"/>
      <c r="T13" s="309"/>
      <c r="U13" s="309"/>
      <c r="V13" s="309"/>
    </row>
    <row r="14" spans="1:22" ht="21" customHeight="1">
      <c r="B14" s="508" t="s">
        <v>297</v>
      </c>
      <c r="C14" s="617"/>
      <c r="D14" s="621"/>
      <c r="E14" s="574"/>
      <c r="F14" s="1405"/>
      <c r="G14" s="574"/>
      <c r="H14" s="574"/>
      <c r="I14" s="595"/>
      <c r="J14" s="571"/>
      <c r="K14" s="571"/>
      <c r="L14" s="600"/>
      <c r="M14" s="653"/>
      <c r="P14" s="309"/>
      <c r="Q14" s="309"/>
      <c r="R14" s="309"/>
      <c r="S14" s="309"/>
      <c r="T14" s="309"/>
      <c r="U14" s="309"/>
      <c r="V14" s="309"/>
    </row>
    <row r="15" spans="1:22" ht="21" customHeight="1">
      <c r="A15" s="1991" t="s">
        <v>3169</v>
      </c>
      <c r="B15" s="508" t="s">
        <v>298</v>
      </c>
      <c r="C15" s="656"/>
      <c r="D15" s="657"/>
      <c r="E15" s="571"/>
      <c r="F15" s="1404"/>
      <c r="G15" s="571"/>
      <c r="H15" s="571"/>
      <c r="I15" s="592"/>
      <c r="J15" s="571"/>
      <c r="K15" s="571"/>
      <c r="L15" s="600"/>
      <c r="M15" s="653"/>
      <c r="P15" s="309"/>
      <c r="Q15" s="309"/>
      <c r="R15" s="309"/>
      <c r="S15" s="309"/>
      <c r="T15" s="309"/>
      <c r="U15" s="309"/>
      <c r="V15" s="309"/>
    </row>
    <row r="16" spans="1:22" ht="21" customHeight="1">
      <c r="A16" s="1991"/>
      <c r="B16" s="508" t="s">
        <v>384</v>
      </c>
      <c r="C16" s="617"/>
      <c r="D16" s="621"/>
      <c r="E16" s="571"/>
      <c r="F16" s="1404"/>
      <c r="G16" s="571"/>
      <c r="H16" s="571"/>
      <c r="I16" s="592"/>
      <c r="J16" s="571"/>
      <c r="K16" s="571"/>
      <c r="L16" s="600"/>
      <c r="M16" s="653"/>
      <c r="P16" s="309"/>
      <c r="Q16" s="309"/>
      <c r="R16" s="309"/>
      <c r="S16" s="309"/>
      <c r="T16" s="309"/>
      <c r="U16" s="309"/>
      <c r="V16" s="309"/>
    </row>
    <row r="17" spans="1:22" ht="21" customHeight="1">
      <c r="A17" s="1991"/>
      <c r="B17" s="508" t="s">
        <v>385</v>
      </c>
      <c r="C17" s="617"/>
      <c r="D17" s="621"/>
      <c r="E17" s="571"/>
      <c r="F17" s="1404"/>
      <c r="G17" s="571"/>
      <c r="H17" s="571"/>
      <c r="I17" s="592"/>
      <c r="J17" s="571"/>
      <c r="K17" s="571"/>
      <c r="L17" s="600"/>
      <c r="M17" s="653"/>
      <c r="P17" s="309"/>
      <c r="Q17" s="309"/>
      <c r="R17" s="309"/>
      <c r="S17" s="309"/>
      <c r="T17" s="309"/>
      <c r="U17" s="309"/>
      <c r="V17" s="309"/>
    </row>
    <row r="18" spans="1:22" ht="21" customHeight="1">
      <c r="A18" s="507"/>
      <c r="B18" s="665" t="s">
        <v>787</v>
      </c>
      <c r="C18" s="659"/>
      <c r="D18" s="660"/>
      <c r="E18" s="658">
        <f>SUM(E9:E17)+'50-Utility6'!E18</f>
        <v>0</v>
      </c>
      <c r="F18" s="661"/>
      <c r="G18" s="658">
        <f>SUM(G9:G17)+'50-Utility6'!G18</f>
        <v>0</v>
      </c>
      <c r="H18" s="658"/>
      <c r="I18" s="662"/>
      <c r="J18" s="658">
        <f>SUM(J9:J17)+'50-Utility6'!J18</f>
        <v>0</v>
      </c>
      <c r="K18" s="658">
        <f>SUM(K9:K17)+'50-Utility6'!K18</f>
        <v>0</v>
      </c>
      <c r="L18" s="663"/>
      <c r="M18" s="664"/>
      <c r="P18" s="309"/>
      <c r="Q18" s="309"/>
      <c r="R18" s="309"/>
      <c r="S18" s="309"/>
      <c r="T18" s="309"/>
      <c r="U18" s="309"/>
      <c r="V18" s="309"/>
    </row>
    <row r="19" spans="1:22" ht="21" customHeight="1">
      <c r="A19" s="507"/>
      <c r="B19" s="1292"/>
      <c r="C19" s="1132"/>
      <c r="D19" s="1132"/>
      <c r="E19" s="1293"/>
      <c r="F19" s="1132"/>
      <c r="G19" s="1293"/>
      <c r="H19" s="1293"/>
      <c r="I19" s="1294"/>
      <c r="J19" s="1293"/>
      <c r="K19" s="1293"/>
      <c r="L19" s="1293"/>
      <c r="M19" s="1132"/>
      <c r="P19" s="309"/>
      <c r="Q19" s="309"/>
      <c r="R19" s="309"/>
      <c r="S19" s="309"/>
      <c r="T19" s="309"/>
      <c r="U19" s="309"/>
      <c r="V19" s="309"/>
    </row>
    <row r="20" spans="1:22" ht="21" customHeight="1">
      <c r="A20" s="507"/>
      <c r="B20" s="1292"/>
      <c r="C20" s="1132"/>
      <c r="D20" s="1132"/>
      <c r="E20" s="1293"/>
      <c r="F20" s="1132"/>
      <c r="G20" s="1293"/>
      <c r="H20" s="1293"/>
      <c r="I20" s="1294"/>
      <c r="J20" s="1293"/>
      <c r="K20" s="1293"/>
      <c r="L20" s="1293"/>
      <c r="M20" s="1132"/>
      <c r="P20" s="309"/>
      <c r="Q20" s="309"/>
      <c r="R20" s="309"/>
      <c r="S20" s="309"/>
      <c r="T20" s="309"/>
      <c r="U20" s="309"/>
      <c r="V20" s="309"/>
    </row>
    <row r="21" spans="1:22" ht="13.5" customHeight="1" thickBot="1">
      <c r="B21" s="1295"/>
      <c r="C21" s="1296"/>
      <c r="D21" s="1297"/>
      <c r="E21" s="1132"/>
      <c r="F21" s="1132"/>
      <c r="G21" s="1132"/>
      <c r="H21" s="1132"/>
      <c r="I21" s="1132"/>
      <c r="J21" s="1298"/>
      <c r="K21" s="1132"/>
      <c r="L21" s="1132"/>
      <c r="M21" s="1132"/>
      <c r="P21" s="309"/>
      <c r="Q21" s="309"/>
      <c r="R21" s="309"/>
      <c r="S21" s="309"/>
      <c r="T21" s="309"/>
      <c r="U21" s="309"/>
      <c r="V21" s="309"/>
    </row>
    <row r="22" spans="1:22" ht="14.4" thickTop="1" thickBot="1">
      <c r="B22" s="1160" t="s">
        <v>40</v>
      </c>
      <c r="C22" s="1059"/>
      <c r="D22" s="1299"/>
      <c r="E22" s="1059"/>
      <c r="F22" s="1054"/>
      <c r="G22" s="1054"/>
      <c r="H22" s="1054"/>
      <c r="I22" s="1988" t="str">
        <f>"INTEREST  ON  NOTES  -  "&amp;UPPER('KEY INPUTS'!D59)&amp;" UTILITY  BUDGET"</f>
        <v>INTEREST  ON  NOTES  -   UTILITY  BUDGET</v>
      </c>
      <c r="J22" s="1989"/>
      <c r="K22" s="1989"/>
      <c r="L22" s="1989"/>
      <c r="M22" s="1990"/>
      <c r="P22" s="309"/>
      <c r="Q22" s="309"/>
      <c r="R22" s="309"/>
      <c r="S22" s="309"/>
      <c r="T22" s="309"/>
      <c r="U22" s="309"/>
      <c r="V22" s="309"/>
    </row>
    <row r="23" spans="1:22" ht="15.6" customHeight="1">
      <c r="B23" s="1300" t="s">
        <v>41</v>
      </c>
      <c r="C23" s="1300"/>
      <c r="D23" s="1449" t="s">
        <v>3580</v>
      </c>
      <c r="E23" s="1059"/>
      <c r="F23" s="1054"/>
      <c r="G23" s="1054"/>
      <c r="H23" s="1054"/>
      <c r="I23" s="499" t="str">
        <f>IF('KEY INPUTS'!C42="State Fiscal Year","Fiscal Year "&amp;'KEY INPUTS'!D33+1&amp;"",'KEY INPUTS'!D34+1)&amp;" Interest on Notes"</f>
        <v>2022 Interest on Notes</v>
      </c>
      <c r="J23" s="1131"/>
      <c r="K23" s="1131"/>
      <c r="L23" s="498" t="s">
        <v>373</v>
      </c>
      <c r="M23" s="1174">
        <f>K18</f>
        <v>0</v>
      </c>
      <c r="P23" s="309"/>
      <c r="Q23" s="309"/>
      <c r="R23" s="309"/>
      <c r="S23" s="309"/>
      <c r="T23" s="309"/>
      <c r="U23" s="309"/>
      <c r="V23" s="309"/>
    </row>
    <row r="24" spans="1:22" ht="15.6" customHeight="1">
      <c r="B24" s="1160"/>
      <c r="C24" s="1160"/>
      <c r="D24" s="1451" t="s">
        <v>42</v>
      </c>
      <c r="E24" s="1059"/>
      <c r="F24" s="1054"/>
      <c r="G24" s="1054"/>
      <c r="H24" s="1054"/>
      <c r="I24" s="497" t="str">
        <f>"Less: Interest Accrued to "&amp;IF('KEY INPUTS'!C42="State Fiscal Year",(TEXT('KEY INPUTS'!F29,"mm/dd/yyy")),(TEXT('KEY INPUTS'!D29,"mm/dd/yyy")))&amp;" (Trial Balance)"</f>
        <v>Less: Interest Accrued to 12/31/2021 (Trial Balance)</v>
      </c>
      <c r="J24" s="659"/>
      <c r="K24" s="659"/>
      <c r="L24" s="496" t="s">
        <v>373</v>
      </c>
      <c r="M24" s="641"/>
      <c r="P24" s="309"/>
      <c r="Q24" s="309"/>
      <c r="R24" s="309"/>
      <c r="S24" s="309"/>
      <c r="T24" s="309"/>
      <c r="U24" s="309"/>
      <c r="V24" s="309"/>
    </row>
    <row r="25" spans="1:22" ht="15.6" customHeight="1">
      <c r="B25" s="1160"/>
      <c r="C25" s="1160"/>
      <c r="D25" s="1449" t="s">
        <v>43</v>
      </c>
      <c r="E25" s="1059"/>
      <c r="F25" s="1054"/>
      <c r="G25" s="1054"/>
      <c r="H25" s="1054"/>
      <c r="I25" s="463"/>
      <c r="J25" s="659" t="s">
        <v>317</v>
      </c>
      <c r="K25" s="659"/>
      <c r="L25" s="496" t="s">
        <v>373</v>
      </c>
      <c r="M25" s="1175">
        <f>+M23-M24</f>
        <v>0</v>
      </c>
    </row>
    <row r="26" spans="1:22" ht="15.6" customHeight="1">
      <c r="B26" s="1160"/>
      <c r="C26" s="1160"/>
      <c r="D26" s="1449" t="str">
        <f>"All notes with an original date of issue of "&amp;IF('KEY INPUTS'!C42="State Fiscal Year","FY "&amp;'KEY INPUTS'!D33-2&amp;"",'KEY INPUTS'!D34-2)&amp;" or prior require one legally payable installment to be budgeted if"</f>
        <v>All notes with an original date of issue of 2019 or prior require one legally payable installment to be budgeted if</v>
      </c>
      <c r="E26" s="1059"/>
      <c r="F26" s="1054"/>
      <c r="G26" s="1054"/>
      <c r="H26" s="1054"/>
      <c r="I26" s="497" t="str">
        <f>"Add: Interest to be Accrued as of "&amp;IF('KEY INPUTS'!C42="State Fiscal Year",(TEXT('KEY INPUTS'!F30,"mm/dd/yyy")),(TEXT('KEY INPUTS'!D30,"mm/dd/yyy")))&amp;""</f>
        <v>Add: Interest to be Accrued as of 12/31/2022</v>
      </c>
      <c r="J26" s="659"/>
      <c r="K26" s="659"/>
      <c r="L26" s="496" t="s">
        <v>373</v>
      </c>
      <c r="M26" s="641"/>
    </row>
    <row r="27" spans="1:22" ht="15.6" customHeight="1" thickBot="1">
      <c r="B27" s="1160"/>
      <c r="C27" s="1160"/>
      <c r="D27" s="1449" t="str">
        <f>"it is contemplated that such notes will be renewed in "&amp;IF('KEY INPUTS'!C42="State Fiscal Year","FY "&amp;'KEY INPUTS'!D33+1&amp;"",'KEY INPUTS'!D34+1)&amp;" or written intent of permanent financing submitted."</f>
        <v>it is contemplated that such notes will be renewed in 2022 or written intent of permanent financing submitted.</v>
      </c>
      <c r="E27" s="1059"/>
      <c r="F27" s="1054"/>
      <c r="G27" s="1054"/>
      <c r="H27" s="1054"/>
      <c r="I27" s="495" t="str">
        <f>"Required Appropriation "&amp;IF('KEY INPUTS'!C42="State Fiscal Year","Fiscal Year "&amp;'KEY INPUTS'!D33+1&amp;"",'KEY INPUTS'!D34+1)&amp;""</f>
        <v>Required Appropriation 2022</v>
      </c>
      <c r="J27" s="1109"/>
      <c r="K27" s="1109"/>
      <c r="L27" s="494" t="s">
        <v>373</v>
      </c>
      <c r="M27" s="1176">
        <f>+M25+M26</f>
        <v>0</v>
      </c>
    </row>
    <row r="28" spans="1:22" ht="13.8" thickTop="1">
      <c r="B28" s="1160"/>
      <c r="C28" s="1160"/>
      <c r="D28" s="1160" t="s">
        <v>44</v>
      </c>
      <c r="E28" s="1059"/>
      <c r="F28" s="1054"/>
      <c r="G28" s="1054"/>
      <c r="H28" s="1054"/>
      <c r="I28" s="1054"/>
      <c r="J28" s="1054"/>
      <c r="K28" s="1054"/>
      <c r="L28" s="1054"/>
      <c r="M28" s="1054"/>
    </row>
    <row r="29" spans="1:22">
      <c r="B29" s="1059"/>
      <c r="C29" s="1059"/>
      <c r="D29" s="1300" t="s">
        <v>45</v>
      </c>
      <c r="E29" s="1059"/>
      <c r="F29" s="1054"/>
      <c r="G29" s="1054"/>
      <c r="H29" s="1054"/>
      <c r="I29" s="1054"/>
      <c r="J29" s="1054"/>
      <c r="K29" s="1054"/>
      <c r="L29" s="1054"/>
      <c r="M29" s="1054"/>
    </row>
    <row r="30" spans="1:22">
      <c r="B30" s="1054"/>
      <c r="C30" s="1054"/>
      <c r="D30" s="1054"/>
      <c r="E30" s="1054"/>
      <c r="F30" s="1054"/>
      <c r="G30" s="1054"/>
      <c r="H30" s="1054"/>
      <c r="I30" s="1054"/>
      <c r="J30" s="1298" t="s">
        <v>98</v>
      </c>
      <c r="K30" s="1054"/>
      <c r="L30" s="1054"/>
      <c r="M30" s="1054"/>
    </row>
  </sheetData>
  <sheetProtection algorithmName="SHA-512" hashValue="Rz6CdOdMqPvXJL/6raYJ0Vcf+GIqrMm3TupIdYn/dvSQe8e0DzVU/zTb3FbjrfTb+aGaR9roB3lMpwPJk5DYZw==" saltValue="b/ZMbbfhlZUtjA2kkscNgQ==" spinCount="100000" sheet="1" objects="1" scenarios="1"/>
  <mergeCells count="6">
    <mergeCell ref="A15:A17"/>
    <mergeCell ref="I22:M22"/>
    <mergeCell ref="B2:M2"/>
    <mergeCell ref="B3:M3"/>
    <mergeCell ref="J5:K6"/>
    <mergeCell ref="C6:D6"/>
  </mergeCells>
  <pageMargins left="0.25" right="0.25" top="0.5" bottom="0.5" header="0.25" footer="0.25"/>
  <pageSetup paperSize="5" orientation="landscape" r:id="rId1"/>
  <headerFooter alignWithMargins="0"/>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4">
    <tabColor theme="3" tint="0.79998168889431442"/>
  </sheetPr>
  <dimension ref="A2:T29"/>
  <sheetViews>
    <sheetView zoomScaleNormal="100" zoomScaleSheetLayoutView="80" workbookViewId="0">
      <selection activeCell="I24" sqref="I24"/>
    </sheetView>
  </sheetViews>
  <sheetFormatPr defaultColWidth="9.109375" defaultRowHeight="13.2"/>
  <cols>
    <col min="1" max="1" width="5.6640625" style="318" customWidth="1"/>
    <col min="2" max="3" width="4.88671875" style="318" customWidth="1"/>
    <col min="4" max="4" width="31.5546875" style="318" customWidth="1"/>
    <col min="5" max="12" width="15.6640625" style="318" customWidth="1"/>
    <col min="13" max="16384" width="9.109375" style="318"/>
  </cols>
  <sheetData>
    <row r="2" spans="1:20" ht="20.399999999999999">
      <c r="B2" s="1976" t="str">
        <f>"DEBT  SERVICE  SCHEDULE  FOR  "&amp;UPPER('KEY INPUTS'!D59) &amp;"  UTILITY  ASSESSMENT  NOTES"</f>
        <v>DEBT  SERVICE  SCHEDULE  FOR    UTILITY  ASSESSMENT  NOTES</v>
      </c>
      <c r="C2" s="1976"/>
      <c r="D2" s="1976"/>
      <c r="E2" s="1976"/>
      <c r="F2" s="1976"/>
      <c r="G2" s="1976"/>
      <c r="H2" s="1976"/>
      <c r="I2" s="1976"/>
      <c r="J2" s="1976"/>
      <c r="K2" s="1976"/>
      <c r="L2" s="1976"/>
    </row>
    <row r="3" spans="1:20" ht="21" thickBot="1">
      <c r="B3" s="1937"/>
      <c r="C3" s="1937"/>
      <c r="D3" s="1937"/>
      <c r="E3" s="1937"/>
      <c r="F3" s="1937"/>
      <c r="G3" s="1937"/>
      <c r="H3" s="1937"/>
      <c r="I3" s="1937"/>
      <c r="J3" s="1937"/>
      <c r="K3" s="1937"/>
      <c r="L3" s="1937"/>
    </row>
    <row r="4" spans="1:20" ht="13.5" customHeight="1" thickTop="1">
      <c r="B4" s="2084"/>
      <c r="C4" s="2084"/>
      <c r="D4" s="2085"/>
      <c r="E4" s="786"/>
      <c r="F4" s="398"/>
      <c r="G4" s="398"/>
      <c r="H4" s="398"/>
      <c r="I4" s="398"/>
      <c r="J4" s="397"/>
      <c r="K4" s="397"/>
      <c r="L4" s="396"/>
    </row>
    <row r="5" spans="1:20" ht="13.5" customHeight="1">
      <c r="E5" s="394" t="s">
        <v>139</v>
      </c>
      <c r="F5" s="393" t="s">
        <v>139</v>
      </c>
      <c r="G5" s="393" t="s">
        <v>414</v>
      </c>
      <c r="H5" s="393" t="s">
        <v>17</v>
      </c>
      <c r="I5" s="393" t="s">
        <v>543</v>
      </c>
      <c r="J5" s="2086" t="str">
        <f>IF('KEY INPUTS'!C42="State Fiscal Year","Fiscal Year "&amp;'KEY INPUTS'!D33+1&amp;"",'KEY INPUTS'!D34+1)&amp;""</f>
        <v>2022</v>
      </c>
      <c r="K5" s="2087"/>
      <c r="L5" s="395" t="s">
        <v>544</v>
      </c>
    </row>
    <row r="6" spans="1:20" ht="13.5" customHeight="1">
      <c r="C6" s="1986" t="s">
        <v>138</v>
      </c>
      <c r="D6" s="1987"/>
      <c r="E6" s="394" t="s">
        <v>414</v>
      </c>
      <c r="F6" s="393" t="s">
        <v>140</v>
      </c>
      <c r="G6" s="393" t="s">
        <v>540</v>
      </c>
      <c r="H6" s="393" t="s">
        <v>541</v>
      </c>
      <c r="I6" s="393" t="s">
        <v>541</v>
      </c>
      <c r="J6" s="2088"/>
      <c r="K6" s="2089"/>
      <c r="L6" s="395" t="s">
        <v>547</v>
      </c>
    </row>
    <row r="7" spans="1:20" ht="13.5" customHeight="1">
      <c r="E7" s="394" t="s">
        <v>92</v>
      </c>
      <c r="F7" s="394" t="s">
        <v>141</v>
      </c>
      <c r="G7" s="394" t="s">
        <v>198</v>
      </c>
      <c r="H7" s="394" t="s">
        <v>542</v>
      </c>
      <c r="I7" s="394" t="s">
        <v>544</v>
      </c>
      <c r="J7" s="394" t="s">
        <v>113</v>
      </c>
      <c r="K7" s="394" t="s">
        <v>545</v>
      </c>
      <c r="L7" s="395" t="s">
        <v>548</v>
      </c>
      <c r="N7" s="309"/>
      <c r="O7" s="309"/>
      <c r="P7" s="309"/>
      <c r="Q7" s="309"/>
      <c r="R7" s="309"/>
      <c r="S7" s="309"/>
      <c r="T7" s="309"/>
    </row>
    <row r="8" spans="1:20" ht="13.5" customHeight="1" thickBot="1">
      <c r="B8" s="392"/>
      <c r="C8" s="392"/>
      <c r="D8" s="392"/>
      <c r="E8" s="390"/>
      <c r="F8" s="390"/>
      <c r="G8" s="758" t="str">
        <f>IF('KEY INPUTS'!C42 = "State Fiscal Year", 'KEY INPUTS'!F47,'KEY INPUTS'!D47)</f>
        <v>Dec. 31, 2021</v>
      </c>
      <c r="H8" s="390"/>
      <c r="I8" s="390"/>
      <c r="J8" s="391"/>
      <c r="K8" s="518" t="s">
        <v>546</v>
      </c>
      <c r="L8" s="388"/>
      <c r="N8" s="309"/>
      <c r="O8" s="309"/>
      <c r="P8" s="309"/>
      <c r="Q8" s="309"/>
      <c r="R8" s="309"/>
      <c r="S8" s="309"/>
      <c r="T8" s="309"/>
    </row>
    <row r="9" spans="1:20" ht="21" customHeight="1" thickTop="1">
      <c r="B9" s="2004"/>
      <c r="C9" s="2004"/>
      <c r="D9" s="2005"/>
      <c r="E9" s="575"/>
      <c r="F9" s="759"/>
      <c r="G9" s="575"/>
      <c r="H9" s="575"/>
      <c r="I9" s="760"/>
      <c r="J9" s="575"/>
      <c r="K9" s="575"/>
      <c r="L9" s="761"/>
      <c r="N9" s="356"/>
      <c r="O9" s="309"/>
      <c r="P9" s="309"/>
      <c r="Q9" s="309"/>
      <c r="R9" s="309"/>
      <c r="S9" s="309"/>
      <c r="T9" s="309"/>
    </row>
    <row r="10" spans="1:20" ht="21" customHeight="1">
      <c r="B10" s="1998"/>
      <c r="C10" s="1998"/>
      <c r="D10" s="1999"/>
      <c r="E10" s="571"/>
      <c r="F10" s="654"/>
      <c r="G10" s="571"/>
      <c r="H10" s="571"/>
      <c r="I10" s="592"/>
      <c r="J10" s="571"/>
      <c r="K10" s="571"/>
      <c r="L10" s="668"/>
      <c r="N10" s="309"/>
      <c r="O10" s="309"/>
      <c r="P10" s="309"/>
      <c r="Q10" s="309"/>
      <c r="R10" s="309"/>
      <c r="S10" s="309"/>
      <c r="T10" s="309"/>
    </row>
    <row r="11" spans="1:20" ht="21" customHeight="1">
      <c r="B11" s="1998"/>
      <c r="C11" s="1998"/>
      <c r="D11" s="1999"/>
      <c r="E11" s="571"/>
      <c r="F11" s="654"/>
      <c r="G11" s="571"/>
      <c r="H11" s="571"/>
      <c r="I11" s="592"/>
      <c r="J11" s="571"/>
      <c r="K11" s="571"/>
      <c r="L11" s="668"/>
      <c r="N11" s="309"/>
      <c r="O11" s="309"/>
      <c r="P11" s="309"/>
      <c r="Q11" s="309"/>
      <c r="R11" s="309"/>
      <c r="S11" s="309"/>
      <c r="T11" s="309"/>
    </row>
    <row r="12" spans="1:20" ht="21" customHeight="1">
      <c r="B12" s="1998"/>
      <c r="C12" s="1998"/>
      <c r="D12" s="1999"/>
      <c r="E12" s="571"/>
      <c r="F12" s="654"/>
      <c r="G12" s="571"/>
      <c r="H12" s="571"/>
      <c r="I12" s="592"/>
      <c r="J12" s="571"/>
      <c r="K12" s="571"/>
      <c r="L12" s="668"/>
      <c r="N12" s="309"/>
      <c r="O12" s="309"/>
      <c r="P12" s="309"/>
      <c r="Q12" s="309"/>
      <c r="R12" s="309"/>
      <c r="S12" s="309"/>
      <c r="T12" s="309"/>
    </row>
    <row r="13" spans="1:20" ht="21" customHeight="1">
      <c r="B13" s="1998"/>
      <c r="C13" s="1998"/>
      <c r="D13" s="1999"/>
      <c r="E13" s="571"/>
      <c r="F13" s="654"/>
      <c r="G13" s="571"/>
      <c r="H13" s="571"/>
      <c r="I13" s="592"/>
      <c r="J13" s="571"/>
      <c r="K13" s="571"/>
      <c r="L13" s="668"/>
      <c r="N13" s="309"/>
      <c r="O13" s="309"/>
      <c r="P13" s="309"/>
      <c r="Q13" s="309"/>
      <c r="R13" s="309"/>
      <c r="S13" s="309"/>
      <c r="T13" s="309"/>
    </row>
    <row r="14" spans="1:20" ht="21" customHeight="1">
      <c r="B14" s="1998"/>
      <c r="C14" s="1998"/>
      <c r="D14" s="1999"/>
      <c r="E14" s="574"/>
      <c r="F14" s="655"/>
      <c r="G14" s="574"/>
      <c r="H14" s="574"/>
      <c r="I14" s="595"/>
      <c r="J14" s="571"/>
      <c r="K14" s="571"/>
      <c r="L14" s="668"/>
      <c r="N14" s="309"/>
      <c r="O14" s="309"/>
      <c r="P14" s="309"/>
      <c r="Q14" s="309"/>
      <c r="R14" s="309"/>
      <c r="S14" s="309"/>
      <c r="T14" s="309"/>
    </row>
    <row r="15" spans="1:20" ht="21" customHeight="1">
      <c r="A15" s="1913" t="s">
        <v>3170</v>
      </c>
      <c r="B15" s="1998"/>
      <c r="C15" s="1998"/>
      <c r="D15" s="1999"/>
      <c r="E15" s="571"/>
      <c r="F15" s="654"/>
      <c r="G15" s="571"/>
      <c r="H15" s="571"/>
      <c r="I15" s="592"/>
      <c r="J15" s="571"/>
      <c r="K15" s="571"/>
      <c r="L15" s="668"/>
      <c r="N15" s="309"/>
      <c r="O15" s="309"/>
      <c r="P15" s="309"/>
      <c r="Q15" s="309"/>
      <c r="R15" s="309"/>
      <c r="S15" s="309"/>
      <c r="T15" s="309"/>
    </row>
    <row r="16" spans="1:20" ht="21" customHeight="1">
      <c r="A16" s="1913"/>
      <c r="B16" s="1998"/>
      <c r="C16" s="1998"/>
      <c r="D16" s="1999"/>
      <c r="E16" s="571"/>
      <c r="F16" s="654"/>
      <c r="G16" s="571"/>
      <c r="H16" s="571"/>
      <c r="I16" s="592"/>
      <c r="J16" s="571"/>
      <c r="K16" s="571"/>
      <c r="L16" s="668"/>
      <c r="N16" s="309"/>
      <c r="O16" s="309"/>
      <c r="P16" s="309"/>
      <c r="Q16" s="309"/>
      <c r="R16" s="309"/>
      <c r="S16" s="309"/>
      <c r="T16" s="309"/>
    </row>
    <row r="17" spans="1:20" ht="21" customHeight="1">
      <c r="A17" s="1913"/>
      <c r="B17" s="1998"/>
      <c r="C17" s="1998"/>
      <c r="D17" s="1999"/>
      <c r="E17" s="571"/>
      <c r="F17" s="654"/>
      <c r="G17" s="571"/>
      <c r="H17" s="571"/>
      <c r="I17" s="592"/>
      <c r="J17" s="571"/>
      <c r="K17" s="571"/>
      <c r="L17" s="668"/>
      <c r="N17" s="309"/>
      <c r="O17" s="309"/>
      <c r="P17" s="309"/>
      <c r="Q17" s="309"/>
      <c r="R17" s="309"/>
      <c r="S17" s="309"/>
      <c r="T17" s="309"/>
    </row>
    <row r="18" spans="1:20" ht="21" customHeight="1">
      <c r="A18" s="517"/>
      <c r="B18" s="1998"/>
      <c r="C18" s="1998"/>
      <c r="D18" s="1999"/>
      <c r="E18" s="571"/>
      <c r="F18" s="654"/>
      <c r="G18" s="571"/>
      <c r="H18" s="571"/>
      <c r="I18" s="592"/>
      <c r="J18" s="571"/>
      <c r="K18" s="571"/>
      <c r="L18" s="668"/>
      <c r="N18" s="309"/>
      <c r="O18" s="309"/>
      <c r="P18" s="309"/>
      <c r="Q18" s="309"/>
      <c r="R18" s="309"/>
      <c r="S18" s="309"/>
      <c r="T18" s="309"/>
    </row>
    <row r="19" spans="1:20" ht="21" customHeight="1">
      <c r="B19" s="1998"/>
      <c r="C19" s="1998"/>
      <c r="D19" s="1999"/>
      <c r="E19" s="571"/>
      <c r="F19" s="654"/>
      <c r="G19" s="571"/>
      <c r="H19" s="571"/>
      <c r="I19" s="592"/>
      <c r="J19" s="571"/>
      <c r="K19" s="571"/>
      <c r="L19" s="668"/>
      <c r="N19" s="309"/>
      <c r="O19" s="309"/>
      <c r="P19" s="309"/>
      <c r="Q19" s="309"/>
      <c r="R19" s="309"/>
      <c r="S19" s="309"/>
      <c r="T19" s="309"/>
    </row>
    <row r="20" spans="1:20" ht="21" customHeight="1">
      <c r="B20" s="1998"/>
      <c r="C20" s="1998"/>
      <c r="D20" s="1999"/>
      <c r="E20" s="571"/>
      <c r="F20" s="654"/>
      <c r="G20" s="571"/>
      <c r="H20" s="571"/>
      <c r="I20" s="592"/>
      <c r="J20" s="571"/>
      <c r="K20" s="571"/>
      <c r="L20" s="668"/>
      <c r="N20" s="309"/>
      <c r="O20" s="309"/>
      <c r="P20" s="309"/>
      <c r="Q20" s="309"/>
      <c r="R20" s="309"/>
      <c r="S20" s="309"/>
      <c r="T20" s="309"/>
    </row>
    <row r="21" spans="1:20" ht="21" customHeight="1">
      <c r="B21" s="1998"/>
      <c r="C21" s="1998"/>
      <c r="D21" s="1999"/>
      <c r="E21" s="571"/>
      <c r="F21" s="654"/>
      <c r="G21" s="571"/>
      <c r="H21" s="571"/>
      <c r="I21" s="592"/>
      <c r="J21" s="571"/>
      <c r="K21" s="571"/>
      <c r="L21" s="668"/>
      <c r="N21" s="309"/>
      <c r="O21" s="309"/>
      <c r="P21" s="309"/>
      <c r="Q21" s="309"/>
      <c r="R21" s="309"/>
      <c r="S21" s="309"/>
      <c r="T21" s="309"/>
    </row>
    <row r="22" spans="1:20" ht="21" customHeight="1">
      <c r="B22" s="1998"/>
      <c r="C22" s="1998"/>
      <c r="D22" s="1999"/>
      <c r="E22" s="571"/>
      <c r="F22" s="654"/>
      <c r="G22" s="571"/>
      <c r="H22" s="571"/>
      <c r="I22" s="592"/>
      <c r="J22" s="571"/>
      <c r="K22" s="571"/>
      <c r="L22" s="668"/>
      <c r="N22" s="309"/>
      <c r="O22" s="309"/>
      <c r="P22" s="309"/>
      <c r="Q22" s="309"/>
      <c r="R22" s="309"/>
      <c r="S22" s="309"/>
      <c r="T22" s="309"/>
    </row>
    <row r="23" spans="1:20" ht="21" customHeight="1" thickBot="1">
      <c r="B23" s="1311"/>
      <c r="C23" s="1172"/>
      <c r="D23" s="1197"/>
      <c r="E23" s="1071">
        <f>SUM(E9:E22)</f>
        <v>0</v>
      </c>
      <c r="F23" s="1186"/>
      <c r="G23" s="1071">
        <f>SUM(G9:G22)</f>
        <v>0</v>
      </c>
      <c r="H23" s="1071"/>
      <c r="I23" s="1071"/>
      <c r="J23" s="1071">
        <f>SUM(J9:J22)</f>
        <v>0</v>
      </c>
      <c r="K23" s="1071">
        <f>SUM(K9:K22)</f>
        <v>0</v>
      </c>
      <c r="L23" s="1198"/>
      <c r="N23" s="309"/>
      <c r="O23" s="309"/>
      <c r="P23" s="309"/>
      <c r="Q23" s="309"/>
      <c r="R23" s="309"/>
      <c r="S23" s="309"/>
      <c r="T23" s="309"/>
    </row>
    <row r="24" spans="1:20" ht="13.5" customHeight="1" thickTop="1">
      <c r="B24" s="1371" t="s">
        <v>40</v>
      </c>
      <c r="C24" s="1299"/>
      <c r="D24" s="1372"/>
      <c r="E24" s="1054"/>
      <c r="F24" s="1054"/>
      <c r="G24" s="1054"/>
      <c r="H24" s="1054"/>
      <c r="I24" s="1054"/>
      <c r="J24" s="1246"/>
      <c r="K24" s="1246"/>
      <c r="L24" s="1054"/>
    </row>
    <row r="25" spans="1:20" ht="13.5" customHeight="1">
      <c r="B25" s="1371" t="s">
        <v>550</v>
      </c>
      <c r="C25" s="1299"/>
      <c r="D25" s="1372"/>
      <c r="E25" s="1054"/>
      <c r="F25" s="1054"/>
      <c r="G25" s="1054"/>
      <c r="H25" s="1054"/>
      <c r="I25" s="1054"/>
      <c r="J25" s="1054"/>
      <c r="K25" s="1054"/>
      <c r="L25" s="1054"/>
    </row>
    <row r="26" spans="1:20" ht="13.5" customHeight="1">
      <c r="B26" s="1371"/>
      <c r="C26" s="1299" t="str">
        <f>"Utility Assessment Notes with an original date of issue of "&amp;IF('KEY INPUTS'!C42="State Fiscal Year","June 30, "&amp;'KEY INPUTS'!D33-2&amp;"","December 31, "&amp;'KEY INPUTS'!D34-2&amp;"")&amp;" or prior must be appropriated in full in the "&amp;IF('KEY INPUTS'!C42="State Fiscal Year","FY "&amp;'KEY INPUTS'!D33+1&amp;"",'KEY INPUTS'!D33+1)&amp;" Dedicated Utility Assessment Budget or written intent of"</f>
        <v>Utility Assessment Notes with an original date of issue of December 31, 2019 or prior must be appropriated in full in the 2023 Dedicated Utility Assessment Budget or written intent of</v>
      </c>
      <c r="D26" s="1372"/>
      <c r="E26" s="1054"/>
      <c r="F26" s="1054"/>
      <c r="G26" s="1054"/>
      <c r="H26" s="1054"/>
      <c r="I26" s="1054"/>
      <c r="J26" s="1054"/>
      <c r="K26" s="1054"/>
      <c r="L26" s="1054"/>
    </row>
    <row r="27" spans="1:20" ht="13.5" customHeight="1">
      <c r="B27" s="1371"/>
      <c r="C27" s="1299"/>
      <c r="D27" s="1373" t="s">
        <v>503</v>
      </c>
      <c r="E27" s="1054"/>
      <c r="F27" s="1054"/>
      <c r="G27" s="1054"/>
      <c r="H27" s="1054"/>
      <c r="I27" s="1054"/>
      <c r="J27" s="1054"/>
      <c r="K27" s="1054"/>
      <c r="L27" s="1054"/>
    </row>
    <row r="28" spans="1:20" ht="13.5" customHeight="1">
      <c r="B28" s="1371"/>
      <c r="C28" s="1299" t="s">
        <v>302</v>
      </c>
      <c r="D28" s="1372"/>
      <c r="E28" s="1054"/>
      <c r="F28" s="1054"/>
      <c r="G28" s="1054"/>
      <c r="H28" s="1054"/>
      <c r="I28" s="1054"/>
      <c r="J28" s="1059"/>
      <c r="K28" s="1054"/>
      <c r="L28" s="1054"/>
    </row>
    <row r="29" spans="1:20">
      <c r="B29" s="513"/>
      <c r="C29" s="383"/>
      <c r="D29" s="383"/>
    </row>
  </sheetData>
  <sheetProtection algorithmName="SHA-512" hashValue="lfGTuWEODAYVeCOapiiUj6k4Qoxisvs/vPRvnxMjlMRBGR8wyASn10qk65m9faF6Vn3L1UV365wbbKeKkP6YqA==" saltValue="PeI5rx2WyhikHTOjI4gluA==" spinCount="100000" sheet="1" objects="1" scenarios="1"/>
  <mergeCells count="20">
    <mergeCell ref="A15:A17"/>
    <mergeCell ref="B2:L2"/>
    <mergeCell ref="B3:L3"/>
    <mergeCell ref="B4:D4"/>
    <mergeCell ref="J5:K6"/>
    <mergeCell ref="C6:D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s>
  <pageMargins left="0.25" right="0.25" top="0.5" bottom="0.5" header="0.25" footer="0.25"/>
  <pageSetup paperSize="5" orientation="landscape" r:id="rId1"/>
  <headerFooter alignWithMargins="0"/>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5">
    <tabColor theme="3" tint="0.79998168889431442"/>
  </sheetPr>
  <dimension ref="A2:R27"/>
  <sheetViews>
    <sheetView zoomScaleNormal="100" zoomScaleSheetLayoutView="80" workbookViewId="0">
      <selection activeCell="O11" sqref="O11"/>
    </sheetView>
  </sheetViews>
  <sheetFormatPr defaultColWidth="9.109375" defaultRowHeight="13.2"/>
  <cols>
    <col min="1" max="1" width="5.6640625" style="318" customWidth="1"/>
    <col min="2" max="3" width="4.88671875" style="318" customWidth="1"/>
    <col min="4" max="4" width="35.88671875" style="318" customWidth="1"/>
    <col min="5" max="6" width="15.6640625" style="318" customWidth="1"/>
    <col min="7" max="9" width="30.6640625" style="318" customWidth="1"/>
    <col min="10" max="16384" width="9.109375" style="318"/>
  </cols>
  <sheetData>
    <row r="2" spans="1:18" ht="20.399999999999999">
      <c r="B2" s="1909" t="str">
        <f>"SCHEDULE  OF  CAPITAL  LEASE  PROGRAM  OBLIGATIONS "&amp;UPPER('KEY INPUTS'!D59)&amp;"  UTILITY"</f>
        <v>SCHEDULE  OF  CAPITAL  LEASE  PROGRAM  OBLIGATIONS   UTILITY</v>
      </c>
      <c r="C2" s="1909"/>
      <c r="D2" s="1909"/>
      <c r="E2" s="1909"/>
      <c r="F2" s="1909"/>
      <c r="G2" s="1909"/>
      <c r="H2" s="1909"/>
      <c r="I2" s="1909"/>
    </row>
    <row r="3" spans="1:18" ht="21" thickBot="1">
      <c r="B3" s="2000"/>
      <c r="C3" s="2000"/>
      <c r="D3" s="2000"/>
      <c r="E3" s="2000"/>
      <c r="F3" s="2000"/>
      <c r="G3" s="2000"/>
      <c r="H3" s="2000"/>
      <c r="I3" s="2000"/>
    </row>
    <row r="4" spans="1:18" ht="13.5" customHeight="1" thickTop="1">
      <c r="B4" s="2070"/>
      <c r="C4" s="2070"/>
      <c r="D4" s="2070"/>
      <c r="E4" s="2070"/>
      <c r="F4" s="2071"/>
      <c r="G4" s="1302"/>
      <c r="H4" s="1082"/>
      <c r="I4" s="1207"/>
    </row>
    <row r="5" spans="1:18" ht="13.5" customHeight="1">
      <c r="B5" s="1086"/>
      <c r="C5" s="1086"/>
      <c r="D5" s="1086"/>
      <c r="E5" s="1081"/>
      <c r="F5" s="1081"/>
      <c r="G5" s="1091" t="s">
        <v>414</v>
      </c>
      <c r="H5" s="2072" t="str">
        <f>IF('KEY INPUTS'!C42="State Fiscal Year","Fiscal Year "&amp;'KEY INPUTS'!D33+1&amp;"",'KEY INPUTS'!D34+1)&amp;" Budget Requirements"</f>
        <v>2022 Budget Requirements</v>
      </c>
      <c r="I5" s="2073"/>
      <c r="J5" s="736"/>
    </row>
    <row r="6" spans="1:18" ht="13.5" customHeight="1">
      <c r="B6" s="1086"/>
      <c r="C6" s="1908" t="s">
        <v>413</v>
      </c>
      <c r="D6" s="1908"/>
      <c r="E6" s="1081"/>
      <c r="F6" s="1081"/>
      <c r="G6" s="1091" t="s">
        <v>430</v>
      </c>
      <c r="H6" s="2074"/>
      <c r="I6" s="2075"/>
      <c r="J6" s="736"/>
    </row>
    <row r="7" spans="1:18" ht="13.5" customHeight="1">
      <c r="B7" s="1086"/>
      <c r="C7" s="1086"/>
      <c r="D7" s="1086"/>
      <c r="E7" s="1081"/>
      <c r="F7" s="1211"/>
      <c r="G7" s="1212" t="str">
        <f>IF('KEY INPUTS'!C42 = "State Fiscal Year", 'KEY INPUTS'!F47,'KEY INPUTS'!D47)</f>
        <v>Dec. 31, 2021</v>
      </c>
      <c r="H7" s="1087" t="s">
        <v>3172</v>
      </c>
      <c r="I7" s="1089" t="s">
        <v>431</v>
      </c>
      <c r="L7" s="309"/>
      <c r="M7" s="309"/>
      <c r="N7" s="309"/>
      <c r="O7" s="309"/>
      <c r="P7" s="309"/>
      <c r="Q7" s="309"/>
      <c r="R7" s="309"/>
    </row>
    <row r="8" spans="1:18" ht="13.5" customHeight="1" thickBot="1">
      <c r="B8" s="1093"/>
      <c r="C8" s="1093"/>
      <c r="D8" s="1093"/>
      <c r="E8" s="1093"/>
      <c r="F8" s="1213"/>
      <c r="G8" s="1214"/>
      <c r="H8" s="1095"/>
      <c r="I8" s="1215"/>
      <c r="L8" s="309"/>
      <c r="M8" s="309"/>
      <c r="N8" s="309"/>
      <c r="O8" s="309"/>
      <c r="P8" s="309"/>
      <c r="Q8" s="309"/>
      <c r="R8" s="309"/>
    </row>
    <row r="9" spans="1:18" ht="21" customHeight="1" thickTop="1">
      <c r="B9" s="2092"/>
      <c r="C9" s="2092"/>
      <c r="D9" s="2092"/>
      <c r="E9" s="2092"/>
      <c r="F9" s="2093"/>
      <c r="G9" s="763"/>
      <c r="H9" s="575"/>
      <c r="I9" s="764"/>
      <c r="L9" s="356"/>
      <c r="M9" s="309"/>
      <c r="N9" s="309"/>
      <c r="O9" s="309"/>
      <c r="P9" s="309"/>
      <c r="Q9" s="309"/>
      <c r="R9" s="309"/>
    </row>
    <row r="10" spans="1:18" ht="21" customHeight="1">
      <c r="B10" s="2090"/>
      <c r="C10" s="2090"/>
      <c r="D10" s="2090"/>
      <c r="E10" s="2090"/>
      <c r="F10" s="2091"/>
      <c r="G10" s="600"/>
      <c r="H10" s="571"/>
      <c r="I10" s="572"/>
      <c r="L10" s="309"/>
      <c r="M10" s="309"/>
      <c r="N10" s="309"/>
      <c r="O10" s="309"/>
      <c r="P10" s="309"/>
      <c r="Q10" s="309"/>
      <c r="R10" s="309"/>
    </row>
    <row r="11" spans="1:18" ht="21" customHeight="1">
      <c r="B11" s="2090"/>
      <c r="C11" s="2090"/>
      <c r="D11" s="2090"/>
      <c r="E11" s="2090"/>
      <c r="F11" s="2091"/>
      <c r="G11" s="600"/>
      <c r="H11" s="571"/>
      <c r="I11" s="572"/>
      <c r="L11" s="309"/>
      <c r="M11" s="309"/>
      <c r="N11" s="309"/>
      <c r="O11" s="309"/>
      <c r="P11" s="309"/>
      <c r="Q11" s="309"/>
      <c r="R11" s="309"/>
    </row>
    <row r="12" spans="1:18" ht="21" customHeight="1">
      <c r="B12" s="2090"/>
      <c r="C12" s="2090"/>
      <c r="D12" s="2090"/>
      <c r="E12" s="2090"/>
      <c r="F12" s="2091"/>
      <c r="G12" s="600"/>
      <c r="H12" s="571"/>
      <c r="I12" s="572"/>
      <c r="L12" s="309"/>
      <c r="M12" s="309"/>
      <c r="N12" s="309"/>
      <c r="O12" s="309"/>
      <c r="P12" s="309"/>
      <c r="Q12" s="309"/>
      <c r="R12" s="309"/>
    </row>
    <row r="13" spans="1:18" ht="21" customHeight="1">
      <c r="B13" s="2090"/>
      <c r="C13" s="2090"/>
      <c r="D13" s="2090"/>
      <c r="E13" s="2090"/>
      <c r="F13" s="2091"/>
      <c r="G13" s="600"/>
      <c r="H13" s="571"/>
      <c r="I13" s="572"/>
      <c r="L13" s="309"/>
      <c r="M13" s="309"/>
      <c r="N13" s="309"/>
      <c r="O13" s="309"/>
      <c r="P13" s="309"/>
      <c r="Q13" s="309"/>
      <c r="R13" s="309"/>
    </row>
    <row r="14" spans="1:18" ht="21" customHeight="1">
      <c r="B14" s="2090"/>
      <c r="C14" s="2090"/>
      <c r="D14" s="2090"/>
      <c r="E14" s="2090"/>
      <c r="F14" s="2091"/>
      <c r="G14" s="601"/>
      <c r="H14" s="571"/>
      <c r="I14" s="572"/>
      <c r="L14" s="309"/>
      <c r="M14" s="309"/>
      <c r="N14" s="309"/>
      <c r="O14" s="309"/>
      <c r="P14" s="309"/>
      <c r="Q14" s="309"/>
      <c r="R14" s="309"/>
    </row>
    <row r="15" spans="1:18" ht="21" customHeight="1">
      <c r="A15" s="1913" t="s">
        <v>3171</v>
      </c>
      <c r="B15" s="2090"/>
      <c r="C15" s="2090"/>
      <c r="D15" s="2090"/>
      <c r="E15" s="2090"/>
      <c r="F15" s="2091"/>
      <c r="G15" s="600"/>
      <c r="H15" s="571"/>
      <c r="I15" s="572"/>
      <c r="L15" s="309"/>
      <c r="M15" s="309"/>
      <c r="N15" s="309"/>
      <c r="O15" s="309"/>
      <c r="P15" s="309"/>
      <c r="Q15" s="309"/>
      <c r="R15" s="309"/>
    </row>
    <row r="16" spans="1:18" ht="21" customHeight="1">
      <c r="A16" s="1913"/>
      <c r="B16" s="2090"/>
      <c r="C16" s="2090"/>
      <c r="D16" s="2090"/>
      <c r="E16" s="2090"/>
      <c r="F16" s="2091"/>
      <c r="G16" s="600"/>
      <c r="H16" s="571"/>
      <c r="I16" s="572"/>
      <c r="L16" s="309"/>
      <c r="M16" s="309"/>
      <c r="N16" s="309"/>
      <c r="O16" s="309"/>
      <c r="P16" s="309"/>
      <c r="Q16" s="309"/>
      <c r="R16" s="309"/>
    </row>
    <row r="17" spans="1:18" ht="21" customHeight="1">
      <c r="A17" s="1913"/>
      <c r="B17" s="2090"/>
      <c r="C17" s="2090"/>
      <c r="D17" s="2090"/>
      <c r="E17" s="2090"/>
      <c r="F17" s="2091"/>
      <c r="G17" s="600"/>
      <c r="H17" s="571"/>
      <c r="I17" s="572"/>
      <c r="L17" s="309"/>
      <c r="M17" s="309"/>
      <c r="N17" s="309"/>
      <c r="O17" s="309"/>
      <c r="P17" s="309"/>
      <c r="Q17" s="309"/>
      <c r="R17" s="309"/>
    </row>
    <row r="18" spans="1:18" ht="21" customHeight="1">
      <c r="A18" s="517"/>
      <c r="B18" s="2090"/>
      <c r="C18" s="2090"/>
      <c r="D18" s="2090"/>
      <c r="E18" s="2090"/>
      <c r="F18" s="2091"/>
      <c r="G18" s="600"/>
      <c r="H18" s="571"/>
      <c r="I18" s="572"/>
      <c r="L18" s="309"/>
      <c r="M18" s="309"/>
      <c r="N18" s="309"/>
      <c r="O18" s="309"/>
      <c r="P18" s="309"/>
      <c r="Q18" s="309"/>
      <c r="R18" s="309"/>
    </row>
    <row r="19" spans="1:18" ht="21" customHeight="1">
      <c r="B19" s="2090"/>
      <c r="C19" s="2090"/>
      <c r="D19" s="2090"/>
      <c r="E19" s="2090"/>
      <c r="F19" s="2091"/>
      <c r="G19" s="600"/>
      <c r="H19" s="571"/>
      <c r="I19" s="572"/>
      <c r="L19" s="309"/>
      <c r="M19" s="309"/>
      <c r="N19" s="309"/>
      <c r="O19" s="309"/>
      <c r="P19" s="309"/>
      <c r="Q19" s="309"/>
      <c r="R19" s="309"/>
    </row>
    <row r="20" spans="1:18" ht="21" customHeight="1">
      <c r="B20" s="2090"/>
      <c r="C20" s="2090"/>
      <c r="D20" s="2090"/>
      <c r="E20" s="2090"/>
      <c r="F20" s="2091"/>
      <c r="G20" s="600"/>
      <c r="H20" s="571"/>
      <c r="I20" s="572"/>
      <c r="L20" s="309"/>
      <c r="M20" s="309"/>
      <c r="N20" s="309"/>
      <c r="O20" s="309"/>
      <c r="P20" s="309"/>
      <c r="Q20" s="309"/>
      <c r="R20" s="309"/>
    </row>
    <row r="21" spans="1:18" ht="21" customHeight="1">
      <c r="B21" s="2090"/>
      <c r="C21" s="2090"/>
      <c r="D21" s="2090"/>
      <c r="E21" s="2090"/>
      <c r="F21" s="2091"/>
      <c r="G21" s="600"/>
      <c r="H21" s="571"/>
      <c r="I21" s="572"/>
      <c r="L21" s="309"/>
      <c r="M21" s="309"/>
      <c r="N21" s="309"/>
      <c r="O21" s="309"/>
      <c r="P21" s="309"/>
      <c r="Q21" s="309"/>
      <c r="R21" s="309"/>
    </row>
    <row r="22" spans="1:18" ht="21" customHeight="1" thickBot="1">
      <c r="B22" s="2090"/>
      <c r="C22" s="2090"/>
      <c r="D22" s="2090"/>
      <c r="E22" s="2090"/>
      <c r="F22" s="2091"/>
      <c r="G22" s="602"/>
      <c r="H22" s="596"/>
      <c r="I22" s="603"/>
      <c r="L22" s="309"/>
      <c r="M22" s="309"/>
      <c r="N22" s="309"/>
      <c r="O22" s="309"/>
      <c r="P22" s="309"/>
      <c r="Q22" s="309"/>
      <c r="R22" s="309"/>
    </row>
    <row r="23" spans="1:18" ht="21" customHeight="1" thickTop="1" thickBot="1">
      <c r="B23" s="516"/>
      <c r="C23" s="1102"/>
      <c r="D23" s="1312" t="s">
        <v>137</v>
      </c>
      <c r="E23" s="1006"/>
      <c r="F23" s="1213"/>
      <c r="G23" s="1313">
        <f>SUM(G9:G22)</f>
        <v>0</v>
      </c>
      <c r="H23" s="1027">
        <f>SUM(H9:H22)</f>
        <v>0</v>
      </c>
      <c r="I23" s="1101">
        <f>SUM(I9:I22)</f>
        <v>0</v>
      </c>
      <c r="L23" s="309"/>
      <c r="M23" s="309"/>
      <c r="N23" s="309"/>
      <c r="O23" s="309"/>
      <c r="P23" s="309"/>
      <c r="Q23" s="309"/>
      <c r="R23" s="309"/>
    </row>
    <row r="24" spans="1:18" ht="13.5" customHeight="1" thickTop="1">
      <c r="B24" s="765"/>
      <c r="C24" s="383"/>
      <c r="D24" s="766"/>
      <c r="H24" s="476"/>
      <c r="I24" s="476"/>
    </row>
    <row r="25" spans="1:18" ht="13.5" customHeight="1">
      <c r="B25" s="765"/>
      <c r="C25" s="383"/>
      <c r="D25" s="766"/>
    </row>
    <row r="26" spans="1:18" ht="13.5" customHeight="1">
      <c r="B26" s="765"/>
      <c r="C26" s="383"/>
      <c r="D26" s="766"/>
      <c r="H26" s="762"/>
    </row>
    <row r="27" spans="1:18">
      <c r="B27" s="513"/>
      <c r="C27" s="383"/>
      <c r="D27" s="383"/>
    </row>
  </sheetData>
  <sheetProtection algorithmName="SHA-512" hashValue="Os6FEZcIGQlp3IQqw7n9IM/baV0h9cZVnYTg1nNqgYKhPMlPnX+ZadHWsLsJags2QIyztw4B2Rlr8Dp+7kELsQ==" saltValue="d2bgiopSyTqlKT0YLKl76g==" spinCount="100000" sheet="1" objects="1" scenarios="1"/>
  <mergeCells count="20">
    <mergeCell ref="A15:A17"/>
    <mergeCell ref="B2:I2"/>
    <mergeCell ref="B3:I3"/>
    <mergeCell ref="B4:F4"/>
    <mergeCell ref="H5:I6"/>
    <mergeCell ref="C6:D6"/>
    <mergeCell ref="B9:F9"/>
    <mergeCell ref="B10:F10"/>
    <mergeCell ref="B11:F11"/>
    <mergeCell ref="B12:F12"/>
    <mergeCell ref="B13:F13"/>
    <mergeCell ref="B14:F14"/>
    <mergeCell ref="B15:F15"/>
    <mergeCell ref="B16:F16"/>
    <mergeCell ref="B17:F17"/>
    <mergeCell ref="B18:F18"/>
    <mergeCell ref="B19:F19"/>
    <mergeCell ref="B20:F20"/>
    <mergeCell ref="B21:F21"/>
    <mergeCell ref="B22:F22"/>
  </mergeCells>
  <pageMargins left="0.25" right="0.25" top="0.5" bottom="0.5" header="0.25" footer="0.25"/>
  <pageSetup paperSize="5" orientation="landscape" r:id="rId1"/>
  <headerFooter alignWithMargins="0"/>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6">
    <tabColor theme="3" tint="0.79998168889431442"/>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INPUTS'!D59)&amp;"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70"/>
      <c r="C4" s="2070"/>
      <c r="D4" s="2071"/>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091"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670"/>
      <c r="C9" s="642"/>
      <c r="D9" s="645"/>
      <c r="E9" s="575"/>
      <c r="F9" s="575"/>
      <c r="G9" s="575"/>
      <c r="H9" s="575"/>
      <c r="I9" s="575"/>
      <c r="J9" s="575"/>
      <c r="K9" s="575"/>
      <c r="L9" s="764"/>
      <c r="O9" s="309"/>
      <c r="P9" s="309"/>
      <c r="Q9" s="309"/>
      <c r="R9" s="309"/>
      <c r="S9" s="309"/>
      <c r="T9" s="309"/>
      <c r="U9" s="309"/>
    </row>
    <row r="10" spans="2:21" ht="21" customHeight="1">
      <c r="B10" s="674"/>
      <c r="C10" s="617"/>
      <c r="D10" s="621"/>
      <c r="E10" s="571"/>
      <c r="F10" s="571"/>
      <c r="G10" s="571"/>
      <c r="H10" s="571"/>
      <c r="I10" s="571"/>
      <c r="J10" s="571"/>
      <c r="K10" s="572"/>
      <c r="L10" s="572"/>
      <c r="O10" s="356"/>
      <c r="P10" s="309"/>
      <c r="Q10" s="309"/>
      <c r="R10" s="309"/>
      <c r="S10" s="309"/>
      <c r="T10" s="309"/>
      <c r="U10" s="309"/>
    </row>
    <row r="11" spans="2:21" ht="21" customHeight="1">
      <c r="B11" s="767"/>
      <c r="C11" s="617"/>
      <c r="D11" s="621"/>
      <c r="E11" s="571"/>
      <c r="F11" s="571"/>
      <c r="G11" s="571"/>
      <c r="H11" s="571"/>
      <c r="I11" s="571"/>
      <c r="J11" s="571"/>
      <c r="K11" s="572"/>
      <c r="L11" s="572"/>
      <c r="O11" s="309"/>
      <c r="P11" s="309"/>
      <c r="Q11" s="309"/>
      <c r="R11" s="309"/>
      <c r="S11" s="309"/>
      <c r="T11" s="309"/>
      <c r="U11" s="309"/>
    </row>
    <row r="12" spans="2:21" ht="21" customHeight="1">
      <c r="B12" s="767"/>
      <c r="C12" s="617"/>
      <c r="D12" s="621"/>
      <c r="E12" s="571"/>
      <c r="F12" s="571"/>
      <c r="G12" s="571"/>
      <c r="H12" s="571"/>
      <c r="I12" s="353"/>
      <c r="J12" s="571"/>
      <c r="K12" s="572"/>
      <c r="L12" s="572"/>
      <c r="O12" s="309"/>
      <c r="P12" s="309"/>
      <c r="Q12" s="309"/>
      <c r="R12" s="309"/>
      <c r="S12" s="309"/>
      <c r="T12" s="309"/>
      <c r="U12" s="309"/>
    </row>
    <row r="13" spans="2:21" ht="21" customHeight="1">
      <c r="B13" s="767"/>
      <c r="C13" s="617"/>
      <c r="D13" s="621"/>
      <c r="E13" s="571"/>
      <c r="F13" s="571"/>
      <c r="G13" s="571"/>
      <c r="H13" s="571"/>
      <c r="I13" s="571"/>
      <c r="J13" s="571"/>
      <c r="K13" s="572"/>
      <c r="L13" s="572"/>
      <c r="O13" s="309"/>
      <c r="P13" s="309"/>
      <c r="Q13" s="309"/>
      <c r="R13" s="309"/>
      <c r="S13" s="309"/>
      <c r="T13" s="309"/>
      <c r="U13" s="309"/>
    </row>
    <row r="14" spans="2:21" ht="21" customHeight="1">
      <c r="B14" s="674"/>
      <c r="C14" s="617"/>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3173</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3366</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74"/>
      <c r="C28" s="1104" t="s">
        <v>522</v>
      </c>
      <c r="D28" s="1375"/>
      <c r="E28" s="1086"/>
      <c r="F28" s="1086"/>
      <c r="G28" s="1086"/>
      <c r="H28" s="1086"/>
      <c r="I28" s="1086"/>
      <c r="J28" s="1086"/>
      <c r="K28" s="1308"/>
      <c r="L28" s="1308"/>
    </row>
    <row r="42" spans="11:12">
      <c r="K42" s="318" t="s">
        <v>3214</v>
      </c>
      <c r="L42" s="525">
        <f>K27+L27</f>
        <v>0</v>
      </c>
    </row>
  </sheetData>
  <sheetProtection algorithmName="SHA-512" hashValue="xzoyuRl5S2dq2PvEOH2G806x0pUZARyJyRwWe0kKcpSjySgp1nq+5hd5n79SfdEYhMJlRaPeerbqPW1/cw2lBA==" saltValue="aTWUbINlsPaETnty6Nnf3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7">
    <tabColor theme="3" tint="0.79998168889431442"/>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INPUTS'!D59)&amp;"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70"/>
      <c r="C4" s="2070"/>
      <c r="D4" s="2071"/>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091"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249">
        <f>+'52-Utility6'!E27</f>
        <v>0</v>
      </c>
      <c r="F9" s="1249">
        <f>+'52-Utility6'!F27</f>
        <v>0</v>
      </c>
      <c r="G9" s="1249">
        <f>+'52-Utility6'!G27</f>
        <v>0</v>
      </c>
      <c r="H9" s="1249">
        <f>+'52-Utility6'!H27</f>
        <v>0</v>
      </c>
      <c r="I9" s="1249">
        <f>+'52-Utility6'!I27</f>
        <v>0</v>
      </c>
      <c r="J9" s="1249">
        <f>+'52-Utility6'!J27</f>
        <v>0</v>
      </c>
      <c r="K9" s="1249">
        <f>+'52-Utility6'!K27</f>
        <v>0</v>
      </c>
      <c r="L9" s="1376">
        <f>+'52-Utility6'!L27</f>
        <v>0</v>
      </c>
      <c r="O9" s="309"/>
      <c r="P9" s="309"/>
      <c r="Q9" s="309"/>
      <c r="R9" s="309"/>
      <c r="S9" s="309"/>
      <c r="T9" s="309"/>
      <c r="U9" s="309"/>
    </row>
    <row r="10" spans="2:21" ht="21" customHeight="1">
      <c r="B10" s="674"/>
      <c r="C10" s="617"/>
      <c r="D10" s="621"/>
      <c r="E10" s="571"/>
      <c r="F10" s="571"/>
      <c r="G10" s="571"/>
      <c r="H10" s="571"/>
      <c r="I10" s="571"/>
      <c r="J10" s="571"/>
      <c r="K10" s="572"/>
      <c r="L10" s="572"/>
      <c r="O10" s="356"/>
      <c r="P10" s="309"/>
      <c r="Q10" s="309"/>
      <c r="R10" s="309"/>
      <c r="S10" s="309"/>
      <c r="T10" s="309"/>
      <c r="U10" s="309"/>
    </row>
    <row r="11" spans="2:21" ht="21" customHeight="1">
      <c r="B11" s="767"/>
      <c r="C11" s="617"/>
      <c r="D11" s="621"/>
      <c r="E11" s="571"/>
      <c r="F11" s="571"/>
      <c r="G11" s="571"/>
      <c r="H11" s="571"/>
      <c r="I11" s="571"/>
      <c r="J11" s="571"/>
      <c r="K11" s="572"/>
      <c r="L11" s="572"/>
      <c r="O11" s="309"/>
      <c r="P11" s="309"/>
      <c r="Q11" s="309"/>
      <c r="R11" s="309"/>
      <c r="S11" s="309"/>
      <c r="T11" s="309"/>
      <c r="U11" s="309"/>
    </row>
    <row r="12" spans="2:21" ht="21" customHeight="1">
      <c r="B12" s="767"/>
      <c r="C12" s="617"/>
      <c r="D12" s="621"/>
      <c r="E12" s="571"/>
      <c r="F12" s="571"/>
      <c r="G12" s="571"/>
      <c r="H12" s="571"/>
      <c r="I12" s="353"/>
      <c r="J12" s="571"/>
      <c r="K12" s="572"/>
      <c r="L12" s="572"/>
      <c r="O12" s="309"/>
      <c r="P12" s="309"/>
      <c r="Q12" s="309"/>
      <c r="R12" s="309"/>
      <c r="S12" s="309"/>
      <c r="T12" s="309"/>
      <c r="U12" s="309"/>
    </row>
    <row r="13" spans="2:21" ht="21" customHeight="1">
      <c r="B13" s="767"/>
      <c r="C13" s="617"/>
      <c r="D13" s="621"/>
      <c r="E13" s="571"/>
      <c r="F13" s="571"/>
      <c r="G13" s="571"/>
      <c r="H13" s="571"/>
      <c r="I13" s="571"/>
      <c r="J13" s="571"/>
      <c r="K13" s="572"/>
      <c r="L13" s="572"/>
      <c r="O13" s="309"/>
      <c r="P13" s="309"/>
      <c r="Q13" s="309"/>
      <c r="R13" s="309"/>
      <c r="S13" s="309"/>
      <c r="T13" s="309"/>
      <c r="U13" s="309"/>
    </row>
    <row r="14" spans="2:21" ht="21" customHeight="1">
      <c r="B14" s="674"/>
      <c r="C14" s="617"/>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3359</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3366</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74"/>
      <c r="C28" s="1104" t="s">
        <v>522</v>
      </c>
      <c r="D28" s="1375"/>
      <c r="E28" s="1086"/>
      <c r="F28" s="1086"/>
      <c r="G28" s="1086"/>
      <c r="H28" s="1086"/>
      <c r="I28" s="1086"/>
      <c r="J28" s="1086"/>
      <c r="K28" s="1308"/>
      <c r="L28" s="1308"/>
    </row>
    <row r="42" spans="11:12">
      <c r="K42" s="318" t="s">
        <v>3214</v>
      </c>
      <c r="L42" s="525">
        <f>K27+L27</f>
        <v>0</v>
      </c>
    </row>
  </sheetData>
  <sheetProtection algorithmName="SHA-512" hashValue="A+WPctbF932psgtnbaiQdh4cQecg9iDS8DFGcS204JxEuzQc5A4Cyfi5H4ehEctuqI4EbfZqSYrRFJuDZ0Dt8g==" saltValue="oUrweX8CUOHVRBZstq0WHw=="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8">
    <tabColor theme="3" tint="0.79998168889431442"/>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INPUTS'!D59)&amp;"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70"/>
      <c r="C4" s="2070"/>
      <c r="D4" s="2071"/>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091"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249">
        <f>+'52.1-Utility6'!E27</f>
        <v>0</v>
      </c>
      <c r="F9" s="1249">
        <f>+'52.1-Utility6'!F27</f>
        <v>0</v>
      </c>
      <c r="G9" s="1249">
        <f>+'52.1-Utility6'!G27</f>
        <v>0</v>
      </c>
      <c r="H9" s="1249">
        <f>+'52.1-Utility6'!H27</f>
        <v>0</v>
      </c>
      <c r="I9" s="1249">
        <f>+'52.1-Utility6'!I27</f>
        <v>0</v>
      </c>
      <c r="J9" s="1249">
        <f>+'52.1-Utility6'!J27</f>
        <v>0</v>
      </c>
      <c r="K9" s="1249">
        <f>+'52.1-Utility6'!K27</f>
        <v>0</v>
      </c>
      <c r="L9" s="1376">
        <f>+'52.1-Utility6'!L27</f>
        <v>0</v>
      </c>
      <c r="O9" s="309"/>
      <c r="P9" s="309"/>
      <c r="Q9" s="309"/>
      <c r="R9" s="309"/>
      <c r="S9" s="309"/>
      <c r="T9" s="309"/>
      <c r="U9" s="309"/>
    </row>
    <row r="10" spans="2:21" ht="21" customHeight="1">
      <c r="B10" s="674"/>
      <c r="C10" s="617"/>
      <c r="D10" s="621"/>
      <c r="E10" s="571"/>
      <c r="F10" s="571"/>
      <c r="G10" s="571"/>
      <c r="H10" s="571"/>
      <c r="I10" s="571"/>
      <c r="J10" s="571"/>
      <c r="K10" s="572"/>
      <c r="L10" s="572"/>
      <c r="O10" s="356"/>
      <c r="P10" s="309"/>
      <c r="Q10" s="309"/>
      <c r="R10" s="309"/>
      <c r="S10" s="309"/>
      <c r="T10" s="309"/>
      <c r="U10" s="309"/>
    </row>
    <row r="11" spans="2:21" ht="21" customHeight="1">
      <c r="B11" s="767"/>
      <c r="C11" s="617"/>
      <c r="D11" s="621"/>
      <c r="E11" s="571"/>
      <c r="F11" s="571"/>
      <c r="G11" s="571"/>
      <c r="H11" s="571"/>
      <c r="I11" s="571"/>
      <c r="J11" s="571"/>
      <c r="K11" s="572"/>
      <c r="L11" s="572"/>
      <c r="O11" s="309"/>
      <c r="P11" s="309"/>
      <c r="Q11" s="309"/>
      <c r="R11" s="309"/>
      <c r="S11" s="309"/>
      <c r="T11" s="309"/>
      <c r="U11" s="309"/>
    </row>
    <row r="12" spans="2:21" ht="21" customHeight="1">
      <c r="B12" s="767"/>
      <c r="C12" s="617"/>
      <c r="D12" s="621"/>
      <c r="E12" s="571"/>
      <c r="F12" s="571"/>
      <c r="G12" s="571"/>
      <c r="H12" s="571"/>
      <c r="I12" s="353"/>
      <c r="J12" s="571"/>
      <c r="K12" s="572"/>
      <c r="L12" s="572"/>
      <c r="O12" s="309"/>
      <c r="P12" s="309"/>
      <c r="Q12" s="309"/>
      <c r="R12" s="309"/>
      <c r="S12" s="309"/>
      <c r="T12" s="309"/>
      <c r="U12" s="309"/>
    </row>
    <row r="13" spans="2:21" ht="21" customHeight="1">
      <c r="B13" s="767"/>
      <c r="C13" s="617"/>
      <c r="D13" s="621"/>
      <c r="E13" s="571"/>
      <c r="F13" s="571"/>
      <c r="G13" s="571"/>
      <c r="H13" s="571"/>
      <c r="I13" s="571"/>
      <c r="J13" s="571"/>
      <c r="K13" s="572"/>
      <c r="L13" s="572"/>
      <c r="O13" s="309"/>
      <c r="P13" s="309"/>
      <c r="Q13" s="309"/>
      <c r="R13" s="309"/>
      <c r="S13" s="309"/>
      <c r="T13" s="309"/>
      <c r="U13" s="309"/>
    </row>
    <row r="14" spans="2:21" ht="21" customHeight="1">
      <c r="B14" s="674"/>
      <c r="C14" s="617"/>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3360</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3366</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74"/>
      <c r="C28" s="1104" t="s">
        <v>522</v>
      </c>
      <c r="D28" s="1375"/>
      <c r="E28" s="1086"/>
      <c r="F28" s="1086"/>
      <c r="G28" s="1086"/>
      <c r="H28" s="1086"/>
      <c r="I28" s="1086"/>
      <c r="J28" s="1086"/>
      <c r="K28" s="1308"/>
      <c r="L28" s="1308"/>
    </row>
    <row r="42" spans="11:12">
      <c r="K42" s="318" t="s">
        <v>3214</v>
      </c>
      <c r="L42" s="525">
        <f>K27+L27</f>
        <v>0</v>
      </c>
    </row>
  </sheetData>
  <sheetProtection algorithmName="SHA-512" hashValue="5+P8ofSfVHKCzRyOiHnlrwUm7odk5W/jZc7mNE/93EBjGoMbktgcfxjYkFs3Tci5KcjTqztRGfZdu7tH4kQIHg==" saltValue="frbd4w46M6tXSzl/HQvpI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9">
    <tabColor theme="3" tint="0.79998168889431442"/>
  </sheetPr>
  <dimension ref="A1:U42"/>
  <sheetViews>
    <sheetView zoomScaleNormal="100" zoomScaleSheetLayoutView="80" workbookViewId="0">
      <selection activeCell="G7" sqref="G7"/>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INPUTS'!D59)&amp;"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70"/>
      <c r="C4" s="2070"/>
      <c r="D4" s="2071"/>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091"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249">
        <f>+'52.2-Utility6'!E27</f>
        <v>0</v>
      </c>
      <c r="F9" s="1249">
        <f>+'52.2-Utility6'!F27</f>
        <v>0</v>
      </c>
      <c r="G9" s="1249">
        <f>+'52.2-Utility6'!G27</f>
        <v>0</v>
      </c>
      <c r="H9" s="1249">
        <f>+'52.2-Utility6'!H27</f>
        <v>0</v>
      </c>
      <c r="I9" s="1249">
        <f>+'52.2-Utility6'!I27</f>
        <v>0</v>
      </c>
      <c r="J9" s="1249">
        <f>+'52.2-Utility6'!J27</f>
        <v>0</v>
      </c>
      <c r="K9" s="1249">
        <f>+'52.2-Utility6'!K27</f>
        <v>0</v>
      </c>
      <c r="L9" s="1376">
        <f>+'52.2-Utility6'!L27</f>
        <v>0</v>
      </c>
      <c r="O9" s="309"/>
      <c r="P9" s="309"/>
      <c r="Q9" s="309"/>
      <c r="R9" s="309"/>
      <c r="S9" s="309"/>
      <c r="T9" s="309"/>
      <c r="U9" s="309"/>
    </row>
    <row r="10" spans="2:21" ht="21" customHeight="1">
      <c r="B10" s="674"/>
      <c r="C10" s="617"/>
      <c r="D10" s="621"/>
      <c r="E10" s="571"/>
      <c r="F10" s="571"/>
      <c r="G10" s="571"/>
      <c r="H10" s="571"/>
      <c r="I10" s="571"/>
      <c r="J10" s="571"/>
      <c r="K10" s="572"/>
      <c r="L10" s="572"/>
      <c r="O10" s="356"/>
      <c r="P10" s="309"/>
      <c r="Q10" s="309"/>
      <c r="R10" s="309"/>
      <c r="S10" s="309"/>
      <c r="T10" s="309"/>
      <c r="U10" s="309"/>
    </row>
    <row r="11" spans="2:21" ht="21" customHeight="1">
      <c r="B11" s="767"/>
      <c r="C11" s="617"/>
      <c r="D11" s="621"/>
      <c r="E11" s="571"/>
      <c r="F11" s="571"/>
      <c r="G11" s="571"/>
      <c r="H11" s="571"/>
      <c r="I11" s="571"/>
      <c r="J11" s="571"/>
      <c r="K11" s="572"/>
      <c r="L11" s="572"/>
      <c r="O11" s="309"/>
      <c r="P11" s="309"/>
      <c r="Q11" s="309"/>
      <c r="R11" s="309"/>
      <c r="S11" s="309"/>
      <c r="T11" s="309"/>
      <c r="U11" s="309"/>
    </row>
    <row r="12" spans="2:21" ht="21" customHeight="1">
      <c r="B12" s="767"/>
      <c r="C12" s="617"/>
      <c r="D12" s="621"/>
      <c r="E12" s="571"/>
      <c r="F12" s="571"/>
      <c r="G12" s="571"/>
      <c r="H12" s="571"/>
      <c r="I12" s="353"/>
      <c r="J12" s="571"/>
      <c r="K12" s="572"/>
      <c r="L12" s="572"/>
      <c r="O12" s="309"/>
      <c r="P12" s="309"/>
      <c r="Q12" s="309"/>
      <c r="R12" s="309"/>
      <c r="S12" s="309"/>
      <c r="T12" s="309"/>
      <c r="U12" s="309"/>
    </row>
    <row r="13" spans="2:21" ht="21" customHeight="1">
      <c r="B13" s="767"/>
      <c r="C13" s="617"/>
      <c r="D13" s="621"/>
      <c r="E13" s="571"/>
      <c r="F13" s="571"/>
      <c r="G13" s="571"/>
      <c r="H13" s="571"/>
      <c r="I13" s="571"/>
      <c r="J13" s="571"/>
      <c r="K13" s="572"/>
      <c r="L13" s="572"/>
      <c r="O13" s="309"/>
      <c r="P13" s="309"/>
      <c r="Q13" s="309"/>
      <c r="R13" s="309"/>
      <c r="S13" s="309"/>
      <c r="T13" s="309"/>
      <c r="U13" s="309"/>
    </row>
    <row r="14" spans="2:21" ht="21" customHeight="1">
      <c r="B14" s="674"/>
      <c r="C14" s="617"/>
      <c r="D14" s="621"/>
      <c r="E14" s="571"/>
      <c r="F14" s="571"/>
      <c r="G14" s="571"/>
      <c r="H14" s="571"/>
      <c r="I14" s="571"/>
      <c r="J14" s="571"/>
      <c r="K14" s="572"/>
      <c r="L14" s="572"/>
      <c r="O14" s="309"/>
      <c r="P14" s="309"/>
      <c r="Q14" s="309"/>
      <c r="R14" s="309"/>
      <c r="S14" s="309"/>
      <c r="T14" s="309"/>
      <c r="U14" s="309"/>
    </row>
    <row r="15" spans="2:21" ht="21" customHeight="1">
      <c r="B15" s="674"/>
      <c r="C15" s="617"/>
      <c r="D15" s="621"/>
      <c r="E15" s="571"/>
      <c r="F15" s="571"/>
      <c r="G15" s="571"/>
      <c r="H15" s="571"/>
      <c r="I15" s="571"/>
      <c r="J15" s="571"/>
      <c r="K15" s="572"/>
      <c r="L15" s="572"/>
      <c r="O15" s="309"/>
      <c r="P15" s="309"/>
      <c r="Q15" s="309"/>
      <c r="R15" s="309"/>
      <c r="S15" s="309"/>
      <c r="T15" s="309"/>
      <c r="U15" s="309"/>
    </row>
    <row r="16" spans="2:21" ht="21" customHeight="1">
      <c r="B16" s="674"/>
      <c r="C16" s="617"/>
      <c r="D16" s="621"/>
      <c r="E16" s="574"/>
      <c r="F16" s="574"/>
      <c r="G16" s="574"/>
      <c r="H16" s="574"/>
      <c r="I16" s="574"/>
      <c r="J16" s="574"/>
      <c r="K16" s="572"/>
      <c r="L16" s="572"/>
      <c r="O16" s="309"/>
      <c r="P16" s="309"/>
      <c r="Q16" s="309"/>
      <c r="R16" s="309"/>
      <c r="S16" s="309"/>
      <c r="T16" s="309"/>
      <c r="U16" s="309"/>
    </row>
    <row r="17" spans="1:21" ht="21" customHeight="1">
      <c r="A17" s="1913" t="s">
        <v>3361</v>
      </c>
      <c r="B17" s="674"/>
      <c r="C17" s="617"/>
      <c r="D17" s="621"/>
      <c r="E17" s="571"/>
      <c r="F17" s="571"/>
      <c r="G17" s="571"/>
      <c r="H17" s="571"/>
      <c r="I17" s="571"/>
      <c r="J17" s="571"/>
      <c r="K17" s="572"/>
      <c r="L17" s="572"/>
      <c r="O17" s="309"/>
      <c r="P17" s="309"/>
      <c r="Q17" s="309"/>
      <c r="R17" s="309"/>
      <c r="S17" s="309"/>
      <c r="T17" s="309"/>
      <c r="U17" s="309"/>
    </row>
    <row r="18" spans="1:21" ht="21" customHeight="1">
      <c r="A18" s="1913"/>
      <c r="B18" s="674"/>
      <c r="C18" s="617"/>
      <c r="D18" s="621"/>
      <c r="E18" s="571"/>
      <c r="F18" s="571"/>
      <c r="G18" s="571"/>
      <c r="H18" s="571"/>
      <c r="I18" s="571"/>
      <c r="J18" s="571"/>
      <c r="K18" s="572"/>
      <c r="L18" s="572"/>
      <c r="O18" s="309"/>
      <c r="P18" s="309"/>
      <c r="Q18" s="309"/>
      <c r="R18" s="309"/>
      <c r="S18" s="309"/>
      <c r="T18" s="309"/>
      <c r="U18" s="309"/>
    </row>
    <row r="19" spans="1:21" ht="21" customHeight="1">
      <c r="A19" s="1913"/>
      <c r="B19" s="674"/>
      <c r="C19" s="617"/>
      <c r="D19" s="621"/>
      <c r="E19" s="571"/>
      <c r="F19" s="571"/>
      <c r="G19" s="571"/>
      <c r="H19" s="571"/>
      <c r="I19" s="571"/>
      <c r="J19" s="571"/>
      <c r="K19" s="572"/>
      <c r="L19" s="572"/>
      <c r="O19" s="309"/>
      <c r="P19" s="309"/>
      <c r="Q19" s="309"/>
      <c r="R19" s="309"/>
      <c r="S19" s="309"/>
      <c r="T19" s="309"/>
      <c r="U19" s="309"/>
    </row>
    <row r="20" spans="1:21" ht="21" customHeight="1">
      <c r="A20" s="517"/>
      <c r="B20" s="674"/>
      <c r="C20" s="617"/>
      <c r="D20" s="621"/>
      <c r="E20" s="571"/>
      <c r="F20" s="571"/>
      <c r="G20" s="571"/>
      <c r="H20" s="571"/>
      <c r="I20" s="571"/>
      <c r="J20" s="571"/>
      <c r="K20" s="572"/>
      <c r="L20" s="572"/>
      <c r="O20" s="309"/>
      <c r="P20" s="309"/>
      <c r="Q20" s="309"/>
      <c r="R20" s="309"/>
      <c r="S20" s="309"/>
      <c r="T20" s="309"/>
      <c r="U20" s="309"/>
    </row>
    <row r="21" spans="1:21" ht="21" customHeight="1">
      <c r="A21" s="517"/>
      <c r="B21" s="674"/>
      <c r="C21" s="617"/>
      <c r="D21" s="621"/>
      <c r="E21" s="571"/>
      <c r="F21" s="571"/>
      <c r="G21" s="571"/>
      <c r="H21" s="571"/>
      <c r="I21" s="571"/>
      <c r="J21" s="571"/>
      <c r="K21" s="572"/>
      <c r="L21" s="572"/>
      <c r="O21" s="309"/>
      <c r="P21" s="309"/>
      <c r="Q21" s="309"/>
      <c r="R21" s="309"/>
      <c r="S21" s="309"/>
      <c r="T21" s="309"/>
      <c r="U21" s="309"/>
    </row>
    <row r="22" spans="1:21" ht="21" customHeight="1">
      <c r="A22" s="517"/>
      <c r="B22" s="674"/>
      <c r="C22" s="617"/>
      <c r="D22" s="621"/>
      <c r="E22" s="571"/>
      <c r="F22" s="571"/>
      <c r="G22" s="571"/>
      <c r="H22" s="571"/>
      <c r="I22" s="571"/>
      <c r="J22" s="571"/>
      <c r="K22" s="572"/>
      <c r="L22" s="572"/>
      <c r="O22" s="309"/>
      <c r="P22" s="309"/>
      <c r="Q22" s="309"/>
      <c r="R22" s="309"/>
      <c r="S22" s="309"/>
      <c r="T22" s="309"/>
      <c r="U22" s="309"/>
    </row>
    <row r="23" spans="1:21" ht="21" customHeight="1">
      <c r="B23" s="674"/>
      <c r="C23" s="617"/>
      <c r="D23" s="621"/>
      <c r="E23" s="571"/>
      <c r="F23" s="571"/>
      <c r="G23" s="571"/>
      <c r="H23" s="571"/>
      <c r="I23" s="571"/>
      <c r="J23" s="571"/>
      <c r="K23" s="572"/>
      <c r="L23" s="572"/>
      <c r="O23" s="309"/>
      <c r="P23" s="309"/>
      <c r="Q23" s="309"/>
      <c r="R23" s="309"/>
      <c r="S23" s="309"/>
      <c r="T23" s="309"/>
      <c r="U23" s="309"/>
    </row>
    <row r="24" spans="1:21" ht="21" customHeight="1">
      <c r="B24" s="674"/>
      <c r="C24" s="617"/>
      <c r="D24" s="621"/>
      <c r="E24" s="571"/>
      <c r="F24" s="571"/>
      <c r="G24" s="571"/>
      <c r="H24" s="571"/>
      <c r="I24" s="571"/>
      <c r="J24" s="571"/>
      <c r="K24" s="572"/>
      <c r="L24" s="572"/>
      <c r="O24" s="309"/>
      <c r="P24" s="309"/>
      <c r="Q24" s="309"/>
      <c r="R24" s="309"/>
      <c r="S24" s="309"/>
      <c r="T24" s="309"/>
      <c r="U24" s="309"/>
    </row>
    <row r="25" spans="1:21" ht="21" customHeight="1">
      <c r="B25" s="674"/>
      <c r="C25" s="617"/>
      <c r="D25" s="621"/>
      <c r="E25" s="571"/>
      <c r="F25" s="571"/>
      <c r="G25" s="571"/>
      <c r="H25" s="571"/>
      <c r="I25" s="571"/>
      <c r="J25" s="571"/>
      <c r="K25" s="572"/>
      <c r="L25" s="572"/>
    </row>
    <row r="26" spans="1:21" ht="21" customHeight="1" thickBot="1">
      <c r="B26" s="674"/>
      <c r="C26" s="617"/>
      <c r="D26" s="675"/>
      <c r="E26" s="596"/>
      <c r="F26" s="596"/>
      <c r="G26" s="596"/>
      <c r="H26" s="596"/>
      <c r="I26" s="596"/>
      <c r="J26" s="596"/>
      <c r="K26" s="596"/>
      <c r="L26" s="603"/>
    </row>
    <row r="27" spans="1:21" ht="21" customHeight="1" thickTop="1" thickBot="1">
      <c r="B27" s="1196"/>
      <c r="C27" s="1102"/>
      <c r="D27" s="1314" t="s">
        <v>3366</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74"/>
      <c r="C28" s="1104" t="s">
        <v>522</v>
      </c>
      <c r="D28" s="1375"/>
      <c r="E28" s="1086"/>
      <c r="F28" s="1086"/>
      <c r="G28" s="1086"/>
      <c r="H28" s="1086"/>
      <c r="I28" s="1086"/>
      <c r="J28" s="1086"/>
      <c r="K28" s="1308"/>
      <c r="L28" s="1308"/>
    </row>
    <row r="42" spans="11:12">
      <c r="K42" s="318" t="s">
        <v>3214</v>
      </c>
      <c r="L42" s="525">
        <f>K27+L27</f>
        <v>0</v>
      </c>
    </row>
  </sheetData>
  <sheetProtection algorithmName="SHA-512" hashValue="hCF9D2rqvytTprnOiZVp5PrOQSwGdXWbVmKPxHqk6+1mN37rU5LnU7CrIRn1rDNNRmqSLbtWMjFNQPJ2sY2qMQ==" saltValue="96Ixhn/eyRg7rUOSJwSQ4Q=="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0">
    <tabColor theme="3" tint="0.79998168889431442"/>
  </sheetPr>
  <dimension ref="A1:U42"/>
  <sheetViews>
    <sheetView zoomScaleNormal="100" zoomScaleSheetLayoutView="80" workbookViewId="0">
      <selection activeCell="O16" sqref="O16"/>
    </sheetView>
  </sheetViews>
  <sheetFormatPr defaultColWidth="9.109375" defaultRowHeight="13.2"/>
  <cols>
    <col min="1" max="2" width="5.6640625" style="318" customWidth="1"/>
    <col min="3" max="3" width="4.88671875" style="318" customWidth="1"/>
    <col min="4" max="4" width="30.6640625" style="318" customWidth="1"/>
    <col min="5" max="12" width="15.6640625" style="318" customWidth="1"/>
    <col min="13" max="16384" width="9.109375" style="318"/>
  </cols>
  <sheetData>
    <row r="1" spans="2:21" ht="8.25" customHeight="1"/>
    <row r="2" spans="2:21" ht="20.399999999999999">
      <c r="B2" s="1909" t="str">
        <f>"SCHEDULE  OF  IMPROVEMENT  AUTHORIZATIONS  "&amp;UPPER('KEY INPUTS'!D59)&amp;"  (UTILITY  CAPITAL  FUND)"</f>
        <v>SCHEDULE  OF  IMPROVEMENT  AUTHORIZATIONS    (UTILITY  CAPITAL  FUND)</v>
      </c>
      <c r="C2" s="1909"/>
      <c r="D2" s="1909"/>
      <c r="E2" s="1909"/>
      <c r="F2" s="1909"/>
      <c r="G2" s="1909"/>
      <c r="H2" s="1909"/>
      <c r="I2" s="1909"/>
      <c r="J2" s="1909"/>
      <c r="K2" s="1909"/>
      <c r="L2" s="1909"/>
    </row>
    <row r="3" spans="2:21" ht="9.75" customHeight="1" thickBot="1">
      <c r="B3" s="2000"/>
      <c r="C3" s="2000"/>
      <c r="D3" s="2000"/>
      <c r="E3" s="2000"/>
      <c r="F3" s="2000"/>
      <c r="G3" s="2000"/>
      <c r="H3" s="2000"/>
      <c r="I3" s="2000"/>
      <c r="J3" s="2000"/>
      <c r="K3" s="2000"/>
      <c r="L3" s="2000"/>
    </row>
    <row r="4" spans="2:21" ht="13.5" customHeight="1" thickTop="1">
      <c r="B4" s="2070"/>
      <c r="C4" s="2070"/>
      <c r="D4" s="2071"/>
      <c r="E4" s="2024" t="str">
        <f>IF('KEY INPUTS'!C42 = "State Fiscal Year", 'KEY INPUTS'!F25,'KEY INPUTS'!D25)</f>
        <v>Balance - January 1, 2021</v>
      </c>
      <c r="F4" s="2025"/>
      <c r="G4" s="1083"/>
      <c r="H4" s="1083"/>
      <c r="I4" s="1083"/>
      <c r="J4" s="1083"/>
      <c r="K4" s="2018" t="str">
        <f>IF('KEY INPUTS'!C42 = "State Fiscal Year", 'KEY INPUTS'!F26,'KEY INPUTS'!D26)</f>
        <v>Balance - December 31, 2021</v>
      </c>
      <c r="L4" s="2019"/>
    </row>
    <row r="5" spans="2:21" ht="13.5" customHeight="1">
      <c r="B5" s="1908" t="s">
        <v>515</v>
      </c>
      <c r="C5" s="1908"/>
      <c r="D5" s="2001"/>
      <c r="E5" s="2026"/>
      <c r="F5" s="2027"/>
      <c r="G5" s="1091"/>
      <c r="H5" s="1091"/>
      <c r="I5" s="1091"/>
      <c r="J5" s="1091"/>
      <c r="K5" s="2020"/>
      <c r="L5" s="2021"/>
    </row>
    <row r="6" spans="2:21" ht="13.5" customHeight="1">
      <c r="B6" s="1908" t="s">
        <v>516</v>
      </c>
      <c r="C6" s="1908"/>
      <c r="D6" s="2001"/>
      <c r="E6" s="2028"/>
      <c r="F6" s="2029"/>
      <c r="G6" s="1091" t="str">
        <f>IF('KEY INPUTS'!C42="State Fiscal Year","Fiscal Year "&amp;'KEY INPUTS'!D33&amp;"",'KEY INPUTS'!D34+1)&amp;""</f>
        <v>2022</v>
      </c>
      <c r="H6" s="1091"/>
      <c r="I6" s="1091" t="s">
        <v>235</v>
      </c>
      <c r="J6" s="1091" t="s">
        <v>218</v>
      </c>
      <c r="K6" s="2022"/>
      <c r="L6" s="2023"/>
    </row>
    <row r="7" spans="2:21" ht="13.5" customHeight="1">
      <c r="B7" s="1908" t="s">
        <v>517</v>
      </c>
      <c r="C7" s="1908"/>
      <c r="D7" s="2001"/>
      <c r="E7" s="1087" t="s">
        <v>518</v>
      </c>
      <c r="F7" s="1087" t="s">
        <v>519</v>
      </c>
      <c r="G7" s="1087" t="s">
        <v>520</v>
      </c>
      <c r="H7" s="1087"/>
      <c r="I7" s="1087"/>
      <c r="J7" s="1087"/>
      <c r="K7" s="1087" t="s">
        <v>518</v>
      </c>
      <c r="L7" s="1089" t="s">
        <v>519</v>
      </c>
    </row>
    <row r="8" spans="2:21" ht="13.5" customHeight="1" thickBot="1">
      <c r="B8" s="1093"/>
      <c r="C8" s="1093"/>
      <c r="D8" s="1093"/>
      <c r="E8" s="1094"/>
      <c r="F8" s="1094"/>
      <c r="G8" s="1095"/>
      <c r="H8" s="1095"/>
      <c r="I8" s="1094"/>
      <c r="J8" s="1094"/>
      <c r="K8" s="1095"/>
      <c r="L8" s="1215"/>
      <c r="O8" s="309"/>
      <c r="P8" s="309"/>
      <c r="Q8" s="309"/>
      <c r="R8" s="309"/>
      <c r="S8" s="309"/>
      <c r="T8" s="309"/>
      <c r="U8" s="309"/>
    </row>
    <row r="9" spans="2:21" ht="21" customHeight="1" thickTop="1">
      <c r="B9" s="1150" t="s">
        <v>3266</v>
      </c>
      <c r="C9" s="1110"/>
      <c r="D9" s="1368"/>
      <c r="E9" s="1249">
        <f>+'52.3-Utility6'!E27</f>
        <v>0</v>
      </c>
      <c r="F9" s="1249">
        <f>+'52.3-Utility6'!F27</f>
        <v>0</v>
      </c>
      <c r="G9" s="1249">
        <f>+'52.3-Utility6'!G27</f>
        <v>0</v>
      </c>
      <c r="H9" s="1249">
        <f>+'52.3-Utility6'!H27</f>
        <v>0</v>
      </c>
      <c r="I9" s="1249">
        <f>+'52.3-Utility6'!I27</f>
        <v>0</v>
      </c>
      <c r="J9" s="1249">
        <f>+'52.3-Utility6'!J27</f>
        <v>0</v>
      </c>
      <c r="K9" s="1249">
        <f>+'52.3-Utility6'!K27</f>
        <v>0</v>
      </c>
      <c r="L9" s="1376">
        <f>+'52.3-Utility6'!L27</f>
        <v>0</v>
      </c>
      <c r="O9" s="309"/>
      <c r="P9" s="309"/>
      <c r="Q9" s="309"/>
      <c r="R9" s="309"/>
      <c r="S9" s="309"/>
      <c r="T9" s="309"/>
      <c r="U9" s="309"/>
    </row>
    <row r="10" spans="2:21" ht="21" customHeight="1">
      <c r="B10" s="1377"/>
      <c r="C10" s="1378"/>
      <c r="D10" s="1379"/>
      <c r="E10" s="1380"/>
      <c r="F10" s="1380"/>
      <c r="G10" s="1380"/>
      <c r="H10" s="1380"/>
      <c r="I10" s="1380"/>
      <c r="J10" s="1380"/>
      <c r="K10" s="1381"/>
      <c r="L10" s="1381"/>
      <c r="O10" s="356"/>
      <c r="P10" s="309"/>
      <c r="Q10" s="309"/>
      <c r="R10" s="309"/>
      <c r="S10" s="309"/>
      <c r="T10" s="309"/>
      <c r="U10" s="309"/>
    </row>
    <row r="11" spans="2:21" ht="21" customHeight="1">
      <c r="B11" s="1382"/>
      <c r="C11" s="1378"/>
      <c r="D11" s="1379"/>
      <c r="E11" s="1380"/>
      <c r="F11" s="1380"/>
      <c r="G11" s="1380"/>
      <c r="H11" s="1380"/>
      <c r="I11" s="1380"/>
      <c r="J11" s="1380"/>
      <c r="K11" s="1381"/>
      <c r="L11" s="1381"/>
      <c r="O11" s="309"/>
      <c r="P11" s="309"/>
      <c r="Q11" s="309"/>
      <c r="R11" s="309"/>
      <c r="S11" s="309"/>
      <c r="T11" s="309"/>
      <c r="U11" s="309"/>
    </row>
    <row r="12" spans="2:21" ht="21" customHeight="1">
      <c r="B12" s="1382"/>
      <c r="C12" s="1378"/>
      <c r="D12" s="1379"/>
      <c r="E12" s="1380"/>
      <c r="F12" s="1380"/>
      <c r="G12" s="1380"/>
      <c r="H12" s="1380"/>
      <c r="I12" s="1383"/>
      <c r="J12" s="1380"/>
      <c r="K12" s="1381"/>
      <c r="L12" s="1381"/>
      <c r="O12" s="309"/>
      <c r="P12" s="309"/>
      <c r="Q12" s="309"/>
      <c r="R12" s="309"/>
      <c r="S12" s="309"/>
      <c r="T12" s="309"/>
      <c r="U12" s="309"/>
    </row>
    <row r="13" spans="2:21" ht="21" customHeight="1">
      <c r="B13" s="1382"/>
      <c r="C13" s="1378"/>
      <c r="D13" s="1379"/>
      <c r="E13" s="1380"/>
      <c r="F13" s="1380"/>
      <c r="G13" s="1380"/>
      <c r="H13" s="1380"/>
      <c r="I13" s="1380"/>
      <c r="J13" s="1380"/>
      <c r="K13" s="1381"/>
      <c r="L13" s="1381"/>
      <c r="O13" s="309"/>
      <c r="P13" s="309"/>
      <c r="Q13" s="309"/>
      <c r="R13" s="309"/>
      <c r="S13" s="309"/>
      <c r="T13" s="309"/>
      <c r="U13" s="309"/>
    </row>
    <row r="14" spans="2:21" ht="21" customHeight="1">
      <c r="B14" s="1377"/>
      <c r="C14" s="1378"/>
      <c r="D14" s="1379"/>
      <c r="E14" s="1380"/>
      <c r="F14" s="1380"/>
      <c r="G14" s="1380"/>
      <c r="H14" s="1380"/>
      <c r="I14" s="1380"/>
      <c r="J14" s="1380"/>
      <c r="K14" s="1381"/>
      <c r="L14" s="1381"/>
      <c r="O14" s="309"/>
      <c r="P14" s="309"/>
      <c r="Q14" s="309"/>
      <c r="R14" s="309"/>
      <c r="S14" s="309"/>
      <c r="T14" s="309"/>
      <c r="U14" s="309"/>
    </row>
    <row r="15" spans="2:21" ht="21" customHeight="1">
      <c r="B15" s="1377"/>
      <c r="C15" s="1378"/>
      <c r="D15" s="1379"/>
      <c r="E15" s="1380"/>
      <c r="F15" s="1380"/>
      <c r="G15" s="1380"/>
      <c r="H15" s="1380"/>
      <c r="I15" s="1380"/>
      <c r="J15" s="1380"/>
      <c r="K15" s="1381"/>
      <c r="L15" s="1381"/>
      <c r="O15" s="309"/>
      <c r="P15" s="309"/>
      <c r="Q15" s="309"/>
      <c r="R15" s="309"/>
      <c r="S15" s="309"/>
      <c r="T15" s="309"/>
      <c r="U15" s="309"/>
    </row>
    <row r="16" spans="2:21" ht="21" customHeight="1">
      <c r="B16" s="1377"/>
      <c r="C16" s="1378"/>
      <c r="D16" s="1379"/>
      <c r="E16" s="1384"/>
      <c r="F16" s="1384"/>
      <c r="G16" s="1384"/>
      <c r="H16" s="1384"/>
      <c r="I16" s="1384"/>
      <c r="J16" s="1384"/>
      <c r="K16" s="1381"/>
      <c r="L16" s="1381"/>
      <c r="O16" s="309"/>
      <c r="P16" s="309"/>
      <c r="Q16" s="309"/>
      <c r="R16" s="309"/>
      <c r="S16" s="309"/>
      <c r="T16" s="309"/>
      <c r="U16" s="309"/>
    </row>
    <row r="17" spans="1:21" ht="21" customHeight="1">
      <c r="A17" s="1913" t="s">
        <v>3364</v>
      </c>
      <c r="B17" s="1377"/>
      <c r="C17" s="1378"/>
      <c r="D17" s="1379"/>
      <c r="E17" s="1380"/>
      <c r="F17" s="1380"/>
      <c r="G17" s="1380"/>
      <c r="H17" s="1380"/>
      <c r="I17" s="1380"/>
      <c r="J17" s="1380"/>
      <c r="K17" s="1381"/>
      <c r="L17" s="1381"/>
      <c r="O17" s="309"/>
      <c r="P17" s="309"/>
      <c r="Q17" s="309"/>
      <c r="R17" s="309"/>
      <c r="S17" s="309"/>
      <c r="T17" s="309"/>
      <c r="U17" s="309"/>
    </row>
    <row r="18" spans="1:21" ht="21" customHeight="1">
      <c r="A18" s="1913"/>
      <c r="B18" s="1377"/>
      <c r="C18" s="1378"/>
      <c r="D18" s="1379"/>
      <c r="E18" s="1380"/>
      <c r="F18" s="1380"/>
      <c r="G18" s="1380"/>
      <c r="H18" s="1380"/>
      <c r="I18" s="1380"/>
      <c r="J18" s="1380"/>
      <c r="K18" s="1381"/>
      <c r="L18" s="1381"/>
      <c r="O18" s="309"/>
      <c r="P18" s="309"/>
      <c r="Q18" s="309"/>
      <c r="R18" s="309"/>
      <c r="S18" s="309"/>
      <c r="T18" s="309"/>
      <c r="U18" s="309"/>
    </row>
    <row r="19" spans="1:21" ht="21" customHeight="1">
      <c r="A19" s="1913"/>
      <c r="B19" s="1377"/>
      <c r="C19" s="1378"/>
      <c r="D19" s="1379"/>
      <c r="E19" s="1380"/>
      <c r="F19" s="1380"/>
      <c r="G19" s="1380"/>
      <c r="H19" s="1380"/>
      <c r="I19" s="1380"/>
      <c r="J19" s="1380"/>
      <c r="K19" s="1381"/>
      <c r="L19" s="1381"/>
      <c r="O19" s="309"/>
      <c r="P19" s="309"/>
      <c r="Q19" s="309"/>
      <c r="R19" s="309"/>
      <c r="S19" s="309"/>
      <c r="T19" s="309"/>
      <c r="U19" s="309"/>
    </row>
    <row r="20" spans="1:21" ht="21" customHeight="1">
      <c r="A20" s="517"/>
      <c r="B20" s="1377"/>
      <c r="C20" s="1378"/>
      <c r="D20" s="1379"/>
      <c r="E20" s="1380"/>
      <c r="F20" s="1380"/>
      <c r="G20" s="1380"/>
      <c r="H20" s="1380"/>
      <c r="I20" s="1380"/>
      <c r="J20" s="1380"/>
      <c r="K20" s="1381"/>
      <c r="L20" s="1381"/>
      <c r="O20" s="309"/>
      <c r="P20" s="309"/>
      <c r="Q20" s="309"/>
      <c r="R20" s="309"/>
      <c r="S20" s="309"/>
      <c r="T20" s="309"/>
      <c r="U20" s="309"/>
    </row>
    <row r="21" spans="1:21" ht="21" customHeight="1">
      <c r="A21" s="517"/>
      <c r="B21" s="1377"/>
      <c r="C21" s="1378"/>
      <c r="D21" s="1379"/>
      <c r="E21" s="1380"/>
      <c r="F21" s="1380"/>
      <c r="G21" s="1380"/>
      <c r="H21" s="1380"/>
      <c r="I21" s="1380"/>
      <c r="J21" s="1380"/>
      <c r="K21" s="1381"/>
      <c r="L21" s="1381"/>
      <c r="O21" s="309"/>
      <c r="P21" s="309"/>
      <c r="Q21" s="309"/>
      <c r="R21" s="309"/>
      <c r="S21" s="309"/>
      <c r="T21" s="309"/>
      <c r="U21" s="309"/>
    </row>
    <row r="22" spans="1:21" ht="21" customHeight="1">
      <c r="A22" s="517"/>
      <c r="B22" s="1377"/>
      <c r="C22" s="1378"/>
      <c r="D22" s="1379"/>
      <c r="E22" s="1380"/>
      <c r="F22" s="1380"/>
      <c r="G22" s="1380"/>
      <c r="H22" s="1380"/>
      <c r="I22" s="1380"/>
      <c r="J22" s="1380"/>
      <c r="K22" s="1381"/>
      <c r="L22" s="1381"/>
      <c r="O22" s="309"/>
      <c r="P22" s="309"/>
      <c r="Q22" s="309"/>
      <c r="R22" s="309"/>
      <c r="S22" s="309"/>
      <c r="T22" s="309"/>
      <c r="U22" s="309"/>
    </row>
    <row r="23" spans="1:21" ht="21" customHeight="1">
      <c r="B23" s="1377"/>
      <c r="C23" s="1378"/>
      <c r="D23" s="1379"/>
      <c r="E23" s="1380"/>
      <c r="F23" s="1380"/>
      <c r="G23" s="1380"/>
      <c r="H23" s="1380"/>
      <c r="I23" s="1380"/>
      <c r="J23" s="1380"/>
      <c r="K23" s="1381"/>
      <c r="L23" s="1381"/>
      <c r="O23" s="309"/>
      <c r="P23" s="309"/>
      <c r="Q23" s="309"/>
      <c r="R23" s="309"/>
      <c r="S23" s="309"/>
      <c r="T23" s="309"/>
      <c r="U23" s="309"/>
    </row>
    <row r="24" spans="1:21" ht="21" customHeight="1">
      <c r="B24" s="1377"/>
      <c r="C24" s="1378"/>
      <c r="D24" s="1379"/>
      <c r="E24" s="1380"/>
      <c r="F24" s="1380"/>
      <c r="G24" s="1380"/>
      <c r="H24" s="1380"/>
      <c r="I24" s="1380"/>
      <c r="J24" s="1380"/>
      <c r="K24" s="1381"/>
      <c r="L24" s="1381"/>
      <c r="O24" s="309"/>
      <c r="P24" s="309"/>
      <c r="Q24" s="309"/>
      <c r="R24" s="309"/>
      <c r="S24" s="309"/>
      <c r="T24" s="309"/>
      <c r="U24" s="309"/>
    </row>
    <row r="25" spans="1:21" ht="21" customHeight="1">
      <c r="B25" s="1377"/>
      <c r="C25" s="1378"/>
      <c r="D25" s="1379"/>
      <c r="E25" s="1380"/>
      <c r="F25" s="1380"/>
      <c r="G25" s="1380"/>
      <c r="H25" s="1380"/>
      <c r="I25" s="1380"/>
      <c r="J25" s="1380"/>
      <c r="K25" s="1381"/>
      <c r="L25" s="1381"/>
    </row>
    <row r="26" spans="1:21" ht="21" customHeight="1" thickBot="1">
      <c r="B26" s="1377"/>
      <c r="C26" s="1378"/>
      <c r="D26" s="1385"/>
      <c r="E26" s="1386"/>
      <c r="F26" s="1386"/>
      <c r="G26" s="1386"/>
      <c r="H26" s="1386"/>
      <c r="I26" s="1386"/>
      <c r="J26" s="1386"/>
      <c r="K26" s="1386"/>
      <c r="L26" s="1387"/>
    </row>
    <row r="27" spans="1:21" ht="21" customHeight="1" thickTop="1" thickBot="1">
      <c r="B27" s="1196"/>
      <c r="C27" s="1102"/>
      <c r="D27" s="1314" t="s">
        <v>3367</v>
      </c>
      <c r="E27" s="1027">
        <f t="shared" ref="E27:L27" si="0">SUM(E9:E26)</f>
        <v>0</v>
      </c>
      <c r="F27" s="1027">
        <f t="shared" si="0"/>
        <v>0</v>
      </c>
      <c r="G27" s="1027">
        <f t="shared" si="0"/>
        <v>0</v>
      </c>
      <c r="H27" s="1027">
        <f t="shared" si="0"/>
        <v>0</v>
      </c>
      <c r="I27" s="1027">
        <f t="shared" si="0"/>
        <v>0</v>
      </c>
      <c r="J27" s="1027">
        <f t="shared" si="0"/>
        <v>0</v>
      </c>
      <c r="K27" s="1027">
        <f t="shared" si="0"/>
        <v>0</v>
      </c>
      <c r="L27" s="1101">
        <f t="shared" si="0"/>
        <v>0</v>
      </c>
    </row>
    <row r="28" spans="1:21" ht="13.5" customHeight="1" thickTop="1">
      <c r="B28" s="1374"/>
      <c r="C28" s="1104" t="s">
        <v>522</v>
      </c>
      <c r="D28" s="1375"/>
      <c r="E28" s="1086"/>
      <c r="F28" s="1086"/>
      <c r="G28" s="1086"/>
      <c r="H28" s="1086"/>
      <c r="I28" s="1086"/>
      <c r="J28" s="1086"/>
      <c r="K28" s="1308"/>
      <c r="L28" s="1308"/>
    </row>
    <row r="42" spans="11:12">
      <c r="K42" s="318" t="s">
        <v>3214</v>
      </c>
      <c r="L42" s="525">
        <f>K27+L27</f>
        <v>0</v>
      </c>
    </row>
  </sheetData>
  <sheetProtection algorithmName="SHA-512" hashValue="nV5ckoLepOIenPNV8CEsamPjWaj4vbHfX+L2++B1SM8WyqSBn9MTAE+Rv9ri0mgwD7QNdZzTpgmiRgNveeZFgQ==" saltValue="S1yK7HvjiXO85aFccWlzjA==" spinCount="100000" sheet="1" objects="1" scenarios="1"/>
  <mergeCells count="9">
    <mergeCell ref="B7:D7"/>
    <mergeCell ref="A17:A19"/>
    <mergeCell ref="B2:L2"/>
    <mergeCell ref="B3:L3"/>
    <mergeCell ref="B4:D4"/>
    <mergeCell ref="E4:F6"/>
    <mergeCell ref="K4:L6"/>
    <mergeCell ref="B5:D5"/>
    <mergeCell ref="B6:D6"/>
  </mergeCells>
  <pageMargins left="0.25" right="0.25" top="0.5" bottom="0.5" header="0.25" footer="0.25"/>
  <pageSetup paperSize="5" orientation="landscape" r:id="rId1"/>
  <headerFooter alignWithMargins="0"/>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1">
    <tabColor theme="3" tint="0.79998168889431442"/>
  </sheetPr>
  <dimension ref="B3:S54"/>
  <sheetViews>
    <sheetView topLeftCell="A16" zoomScaleNormal="100" zoomScaleSheetLayoutView="80" workbookViewId="0">
      <selection activeCell="F36" sqref="F36"/>
    </sheetView>
  </sheetViews>
  <sheetFormatPr defaultColWidth="9.109375" defaultRowHeight="13.2"/>
  <cols>
    <col min="1" max="3" width="4.6640625" style="318" customWidth="1"/>
    <col min="4" max="4" width="4.5546875" style="318" customWidth="1"/>
    <col min="5" max="6" width="9.109375" style="318"/>
    <col min="7" max="7" width="14.44140625" style="318" customWidth="1"/>
    <col min="8" max="8" width="15" style="318" customWidth="1"/>
    <col min="9" max="10" width="16.6640625" style="318" customWidth="1"/>
    <col min="11" max="16384" width="9.109375" style="318"/>
  </cols>
  <sheetData>
    <row r="3" spans="2:19" ht="22.8">
      <c r="B3" s="1887" t="str">
        <f>UPPER('KEY INPUTS'!D$59)&amp;" UTILITY  CAPITAL  FUND"</f>
        <v xml:space="preserve"> UTILITY  CAPITAL  FUND</v>
      </c>
      <c r="C3" s="1887"/>
      <c r="D3" s="1887"/>
      <c r="E3" s="1887"/>
      <c r="F3" s="1887"/>
      <c r="G3" s="1887"/>
      <c r="H3" s="1887"/>
      <c r="I3" s="1887"/>
      <c r="J3" s="1887"/>
    </row>
    <row r="4" spans="2:19">
      <c r="B4" s="1086"/>
      <c r="C4" s="1086"/>
      <c r="D4" s="1086"/>
      <c r="E4" s="1086"/>
      <c r="F4" s="1086"/>
      <c r="G4" s="1086"/>
      <c r="H4" s="1086"/>
      <c r="I4" s="1086"/>
      <c r="J4" s="1086"/>
    </row>
    <row r="5" spans="2:19" ht="15.6">
      <c r="B5" s="1904" t="s">
        <v>526</v>
      </c>
      <c r="C5" s="1904"/>
      <c r="D5" s="1904"/>
      <c r="E5" s="1904"/>
      <c r="F5" s="1904"/>
      <c r="G5" s="1904"/>
      <c r="H5" s="1904"/>
      <c r="I5" s="1904"/>
      <c r="J5" s="1904"/>
    </row>
    <row r="6" spans="2:19" ht="13.8" thickBot="1">
      <c r="B6" s="1086"/>
      <c r="C6" s="1086"/>
      <c r="D6" s="1086"/>
      <c r="E6" s="1086"/>
      <c r="F6" s="1086"/>
      <c r="G6" s="1086"/>
      <c r="H6" s="1086"/>
      <c r="I6" s="1086"/>
      <c r="J6" s="1086"/>
    </row>
    <row r="7" spans="2:19" ht="28.5" customHeight="1" thickTop="1" thickBot="1">
      <c r="B7" s="1327"/>
      <c r="C7" s="1327"/>
      <c r="D7" s="1327"/>
      <c r="E7" s="1327"/>
      <c r="F7" s="1327"/>
      <c r="G7" s="1327"/>
      <c r="H7" s="1327"/>
      <c r="I7" s="1074" t="s">
        <v>96</v>
      </c>
      <c r="J7" s="1075" t="s">
        <v>97</v>
      </c>
    </row>
    <row r="8" spans="2:19" ht="21" customHeight="1" thickTop="1">
      <c r="B8" s="1098" t="str">
        <f>IF('KEY INPUTS'!C42 = "State Fiscal Year", 'KEY INPUTS'!F25,'KEY INPUTS'!D25)</f>
        <v>Balance - January 1, 2021</v>
      </c>
      <c r="C8" s="1098"/>
      <c r="D8" s="1098"/>
      <c r="E8" s="1098"/>
      <c r="F8" s="1098"/>
      <c r="G8" s="1098"/>
      <c r="H8" s="1339"/>
      <c r="I8" s="1029" t="s">
        <v>628</v>
      </c>
      <c r="J8" s="607"/>
    </row>
    <row r="9" spans="2:19" ht="21" customHeight="1">
      <c r="B9" s="1079" t="str">
        <f>"Received from "&amp;IF('KEY INPUTS'!C42="State Fiscal Year","Fiscal Year "&amp;'KEY INPUTS'!D33)&amp;" Budget Appropriation"</f>
        <v>Received from FALSE Budget Appropriation</v>
      </c>
      <c r="C9" s="1079"/>
      <c r="D9" s="1079"/>
      <c r="E9" s="1079"/>
      <c r="F9" s="1079"/>
      <c r="G9" s="1079"/>
      <c r="H9" s="1340"/>
      <c r="I9" s="926" t="s">
        <v>628</v>
      </c>
      <c r="J9" s="578"/>
      <c r="M9" s="309"/>
      <c r="N9" s="309"/>
      <c r="O9" s="309"/>
      <c r="P9" s="309"/>
      <c r="Q9" s="309"/>
      <c r="R9" s="309"/>
      <c r="S9" s="309"/>
    </row>
    <row r="10" spans="2:19" ht="21" customHeight="1">
      <c r="B10" s="617"/>
      <c r="C10" s="617"/>
      <c r="D10" s="617"/>
      <c r="E10" s="617"/>
      <c r="F10" s="617"/>
      <c r="G10" s="617"/>
      <c r="H10" s="617"/>
      <c r="I10" s="926" t="s">
        <v>628</v>
      </c>
      <c r="J10" s="578"/>
      <c r="M10" s="309"/>
      <c r="N10" s="309"/>
      <c r="O10" s="309"/>
      <c r="P10" s="309"/>
      <c r="Q10" s="309"/>
      <c r="R10" s="309"/>
      <c r="S10" s="309"/>
    </row>
    <row r="11" spans="2:19" ht="11.25" customHeight="1">
      <c r="B11" s="1341" t="s">
        <v>176</v>
      </c>
      <c r="C11" s="1342"/>
      <c r="D11" s="1342"/>
      <c r="E11" s="1342"/>
      <c r="F11" s="1342"/>
      <c r="G11" s="1342"/>
      <c r="H11" s="1343"/>
      <c r="I11" s="2033" t="s">
        <v>628</v>
      </c>
      <c r="J11" s="2031"/>
      <c r="M11" s="356"/>
      <c r="N11" s="309"/>
      <c r="O11" s="309"/>
      <c r="P11" s="309"/>
      <c r="Q11" s="309"/>
      <c r="R11" s="309"/>
      <c r="S11" s="309"/>
    </row>
    <row r="12" spans="2:19" ht="12.75" customHeight="1">
      <c r="B12" s="1330"/>
      <c r="C12" s="1344" t="s">
        <v>177</v>
      </c>
      <c r="D12" s="1330"/>
      <c r="E12" s="1330"/>
      <c r="F12" s="1330"/>
      <c r="G12" s="1330"/>
      <c r="H12" s="1345"/>
      <c r="I12" s="2034"/>
      <c r="J12" s="2032"/>
      <c r="M12" s="309"/>
      <c r="N12" s="309"/>
      <c r="O12" s="309"/>
      <c r="P12" s="309"/>
      <c r="Q12" s="309"/>
      <c r="R12" s="309"/>
      <c r="S12" s="309"/>
    </row>
    <row r="13" spans="2:19" ht="21" customHeight="1">
      <c r="B13" s="637"/>
      <c r="C13" s="1222"/>
      <c r="D13" s="637"/>
      <c r="E13" s="637"/>
      <c r="F13" s="637"/>
      <c r="G13" s="637"/>
      <c r="H13" s="637"/>
      <c r="I13" s="652"/>
      <c r="J13" s="355"/>
      <c r="M13" s="309"/>
      <c r="N13" s="309"/>
      <c r="O13" s="309"/>
      <c r="P13" s="309"/>
      <c r="Q13" s="309"/>
      <c r="R13" s="309"/>
      <c r="S13" s="309"/>
    </row>
    <row r="14" spans="2:19" ht="21" customHeight="1">
      <c r="B14" s="1079" t="s">
        <v>178</v>
      </c>
      <c r="C14" s="1079"/>
      <c r="D14" s="1079"/>
      <c r="E14" s="1079"/>
      <c r="F14" s="1079"/>
      <c r="G14" s="1079"/>
      <c r="H14" s="1079"/>
      <c r="I14" s="926" t="s">
        <v>628</v>
      </c>
      <c r="J14" s="930" t="s">
        <v>628</v>
      </c>
      <c r="M14" s="309"/>
      <c r="N14" s="309"/>
      <c r="O14" s="309"/>
      <c r="P14" s="309"/>
      <c r="Q14" s="309"/>
      <c r="R14" s="309"/>
      <c r="S14" s="309"/>
    </row>
    <row r="15" spans="2:19" ht="21" customHeight="1">
      <c r="B15" s="617"/>
      <c r="C15" s="617"/>
      <c r="D15" s="617"/>
      <c r="E15" s="617"/>
      <c r="F15" s="617"/>
      <c r="G15" s="617"/>
      <c r="H15" s="617"/>
      <c r="I15" s="571"/>
      <c r="J15" s="930" t="s">
        <v>628</v>
      </c>
      <c r="M15" s="309"/>
      <c r="N15" s="309"/>
      <c r="O15" s="309"/>
      <c r="P15" s="309"/>
      <c r="Q15" s="309"/>
      <c r="R15" s="309"/>
      <c r="S15" s="309"/>
    </row>
    <row r="16" spans="2:19" ht="21" customHeight="1">
      <c r="B16" s="617"/>
      <c r="C16" s="617"/>
      <c r="D16" s="617"/>
      <c r="E16" s="617"/>
      <c r="F16" s="617"/>
      <c r="G16" s="617"/>
      <c r="H16" s="617"/>
      <c r="I16" s="571"/>
      <c r="J16" s="930" t="s">
        <v>628</v>
      </c>
      <c r="M16" s="309"/>
      <c r="N16" s="309"/>
      <c r="O16" s="309"/>
      <c r="P16" s="309"/>
      <c r="Q16" s="309"/>
      <c r="R16" s="309"/>
      <c r="S16" s="309"/>
    </row>
    <row r="17" spans="2:19" ht="21" customHeight="1">
      <c r="B17" s="617"/>
      <c r="C17" s="617"/>
      <c r="D17" s="617"/>
      <c r="E17" s="617"/>
      <c r="F17" s="617"/>
      <c r="G17" s="617"/>
      <c r="H17" s="617"/>
      <c r="I17" s="571"/>
      <c r="J17" s="930" t="s">
        <v>628</v>
      </c>
      <c r="M17" s="309"/>
      <c r="N17" s="309"/>
      <c r="O17" s="309"/>
      <c r="P17" s="309"/>
      <c r="Q17" s="309"/>
      <c r="R17" s="309"/>
      <c r="S17" s="309"/>
    </row>
    <row r="18" spans="2:19" ht="21" customHeight="1">
      <c r="B18" s="617"/>
      <c r="C18" s="617"/>
      <c r="D18" s="617"/>
      <c r="E18" s="617"/>
      <c r="F18" s="617"/>
      <c r="G18" s="617"/>
      <c r="H18" s="617"/>
      <c r="I18" s="571"/>
      <c r="J18" s="930" t="s">
        <v>628</v>
      </c>
      <c r="M18" s="309"/>
      <c r="N18" s="309"/>
      <c r="O18" s="309"/>
      <c r="P18" s="309"/>
      <c r="Q18" s="309"/>
      <c r="R18" s="309"/>
      <c r="S18" s="309"/>
    </row>
    <row r="19" spans="2:19" ht="21" customHeight="1">
      <c r="B19" s="617"/>
      <c r="C19" s="617"/>
      <c r="D19" s="617"/>
      <c r="E19" s="617"/>
      <c r="F19" s="617"/>
      <c r="G19" s="617"/>
      <c r="H19" s="617"/>
      <c r="I19" s="571"/>
      <c r="J19" s="930" t="s">
        <v>628</v>
      </c>
      <c r="M19" s="309"/>
      <c r="N19" s="309"/>
      <c r="O19" s="309"/>
      <c r="P19" s="309"/>
      <c r="Q19" s="309"/>
      <c r="R19" s="309"/>
      <c r="S19" s="309"/>
    </row>
    <row r="20" spans="2:19" ht="21" customHeight="1">
      <c r="B20" s="617"/>
      <c r="C20" s="617"/>
      <c r="D20" s="617"/>
      <c r="E20" s="617"/>
      <c r="F20" s="617"/>
      <c r="G20" s="617"/>
      <c r="H20" s="617"/>
      <c r="I20" s="571"/>
      <c r="J20" s="930" t="s">
        <v>628</v>
      </c>
      <c r="M20" s="309"/>
      <c r="N20" s="309"/>
      <c r="O20" s="309"/>
      <c r="P20" s="309"/>
      <c r="Q20" s="309"/>
      <c r="R20" s="309"/>
      <c r="S20" s="309"/>
    </row>
    <row r="21" spans="2:19" ht="21" customHeight="1">
      <c r="B21" s="617"/>
      <c r="C21" s="617"/>
      <c r="D21" s="617"/>
      <c r="E21" s="617"/>
      <c r="F21" s="617"/>
      <c r="G21" s="617"/>
      <c r="H21" s="617"/>
      <c r="I21" s="571"/>
      <c r="J21" s="930" t="s">
        <v>628</v>
      </c>
      <c r="M21" s="309"/>
      <c r="N21" s="309"/>
      <c r="O21" s="309"/>
      <c r="P21" s="309"/>
      <c r="Q21" s="309"/>
      <c r="R21" s="309"/>
      <c r="S21" s="309"/>
    </row>
    <row r="22" spans="2:19" ht="21" customHeight="1">
      <c r="B22" s="1079" t="s">
        <v>179</v>
      </c>
      <c r="C22" s="1079"/>
      <c r="D22" s="1079"/>
      <c r="E22" s="1079"/>
      <c r="F22" s="1079"/>
      <c r="G22" s="1079"/>
      <c r="H22" s="1340"/>
      <c r="I22" s="571"/>
      <c r="J22" s="930" t="s">
        <v>628</v>
      </c>
      <c r="M22" s="309"/>
      <c r="N22" s="309"/>
      <c r="O22" s="309"/>
      <c r="P22" s="309"/>
      <c r="Q22" s="309"/>
      <c r="R22" s="309"/>
      <c r="S22" s="309"/>
    </row>
    <row r="23" spans="2:19" ht="21" customHeight="1">
      <c r="B23" s="617"/>
      <c r="C23" s="617"/>
      <c r="D23" s="617"/>
      <c r="E23" s="617"/>
      <c r="F23" s="617"/>
      <c r="G23" s="617"/>
      <c r="H23" s="617"/>
      <c r="I23" s="571"/>
      <c r="J23" s="930" t="s">
        <v>628</v>
      </c>
      <c r="M23" s="309"/>
      <c r="N23" s="309"/>
      <c r="O23" s="309"/>
      <c r="P23" s="309"/>
      <c r="Q23" s="309"/>
      <c r="R23" s="309"/>
      <c r="S23" s="309"/>
    </row>
    <row r="24" spans="2:19" ht="21" customHeight="1" thickBot="1">
      <c r="B24" s="1079" t="str">
        <f>IF('KEY INPUTS'!C42 = "State Fiscal Year", 'KEY INPUTS'!F26,'KEY INPUTS'!D26)</f>
        <v>Balance - December 31, 2021</v>
      </c>
      <c r="C24" s="1079"/>
      <c r="D24" s="1079"/>
      <c r="E24" s="1079"/>
      <c r="F24" s="1079"/>
      <c r="G24" s="1079"/>
      <c r="H24" s="1340"/>
      <c r="I24" s="1047">
        <f>+SUM(J8:J13)-SUM(I13:I23)</f>
        <v>0</v>
      </c>
      <c r="J24" s="1045" t="s">
        <v>628</v>
      </c>
      <c r="M24" s="309"/>
      <c r="N24" s="309"/>
      <c r="O24" s="309"/>
      <c r="P24" s="309"/>
      <c r="Q24" s="309"/>
      <c r="R24" s="309"/>
      <c r="S24" s="309"/>
    </row>
    <row r="25" spans="2:19" ht="21" customHeight="1" thickTop="1" thickBot="1">
      <c r="B25" s="1086"/>
      <c r="C25" s="1086"/>
      <c r="D25" s="1086"/>
      <c r="E25" s="1086"/>
      <c r="F25" s="1086"/>
      <c r="G25" s="1086"/>
      <c r="H25" s="1086"/>
      <c r="I25" s="1008">
        <f>SUM(I8:I24)</f>
        <v>0</v>
      </c>
      <c r="J25" s="1048">
        <f>SUM(J8:J24)</f>
        <v>0</v>
      </c>
      <c r="M25" s="309"/>
      <c r="N25" s="309"/>
      <c r="O25" s="309"/>
      <c r="P25" s="309"/>
      <c r="Q25" s="309"/>
      <c r="R25" s="309"/>
      <c r="S25" s="309"/>
    </row>
    <row r="26" spans="2:19" ht="13.8" thickTop="1"/>
    <row r="27" spans="2:19">
      <c r="B27" s="1086"/>
      <c r="C27" s="1086"/>
      <c r="D27" s="1086"/>
      <c r="E27" s="1086"/>
      <c r="F27" s="1086"/>
      <c r="G27" s="1086"/>
      <c r="H27" s="1086"/>
      <c r="I27" s="1086"/>
      <c r="J27" s="1086"/>
    </row>
    <row r="28" spans="2:19">
      <c r="B28" s="1086"/>
      <c r="C28" s="1086"/>
      <c r="D28" s="1086"/>
      <c r="E28" s="1086"/>
      <c r="F28" s="1086"/>
      <c r="G28" s="1086"/>
      <c r="H28" s="1086"/>
      <c r="I28" s="1086"/>
      <c r="J28" s="1086"/>
    </row>
    <row r="29" spans="2:19">
      <c r="B29" s="1086"/>
      <c r="C29" s="1086"/>
      <c r="D29" s="1086"/>
      <c r="E29" s="1086"/>
      <c r="F29" s="1086"/>
      <c r="G29" s="1086"/>
      <c r="H29" s="1086"/>
      <c r="I29" s="1086"/>
      <c r="J29" s="1086"/>
    </row>
    <row r="30" spans="2:19" ht="22.8">
      <c r="B30" s="1887" t="str">
        <f>UPPER('KEY INPUTS'!D$59)&amp;" UTILITY  CAPITAL  FUND"</f>
        <v xml:space="preserve"> UTILITY  CAPITAL  FUND</v>
      </c>
      <c r="C30" s="1887"/>
      <c r="D30" s="1887"/>
      <c r="E30" s="1887"/>
      <c r="F30" s="1887"/>
      <c r="G30" s="1887"/>
      <c r="H30" s="1887"/>
      <c r="I30" s="1887"/>
      <c r="J30" s="1887"/>
    </row>
    <row r="31" spans="2:19" ht="7.5" customHeight="1">
      <c r="B31" s="1086"/>
      <c r="C31" s="1086"/>
      <c r="D31" s="1086"/>
      <c r="E31" s="1086"/>
      <c r="F31" s="1086"/>
      <c r="G31" s="1086"/>
      <c r="H31" s="1086"/>
      <c r="I31" s="1086"/>
      <c r="J31" s="1086"/>
    </row>
    <row r="32" spans="2:19" ht="15.6">
      <c r="B32" s="1904" t="s">
        <v>180</v>
      </c>
      <c r="C32" s="1904"/>
      <c r="D32" s="1904"/>
      <c r="E32" s="1904"/>
      <c r="F32" s="1904"/>
      <c r="G32" s="1904"/>
      <c r="H32" s="1904"/>
      <c r="I32" s="1904"/>
      <c r="J32" s="1904"/>
    </row>
    <row r="33" spans="2:10" ht="13.8" thickBot="1">
      <c r="B33" s="1086"/>
      <c r="C33" s="1086"/>
      <c r="D33" s="1086"/>
      <c r="E33" s="1086"/>
      <c r="F33" s="1086"/>
      <c r="G33" s="1086"/>
      <c r="H33" s="1086"/>
      <c r="I33" s="1086"/>
      <c r="J33" s="1086"/>
    </row>
    <row r="34" spans="2:10" ht="26.25" customHeight="1" thickTop="1" thickBot="1">
      <c r="B34" s="1327"/>
      <c r="C34" s="1327"/>
      <c r="D34" s="1327"/>
      <c r="E34" s="1327"/>
      <c r="F34" s="1327"/>
      <c r="G34" s="1327"/>
      <c r="H34" s="1327"/>
      <c r="I34" s="1074" t="s">
        <v>96</v>
      </c>
      <c r="J34" s="1075" t="s">
        <v>97</v>
      </c>
    </row>
    <row r="35" spans="2:10" ht="21" customHeight="1" thickTop="1">
      <c r="B35" s="1098" t="str">
        <f>IF('KEY INPUTS'!C42 = "State Fiscal Year", 'KEY INPUTS'!F25,'KEY INPUTS'!D25)</f>
        <v>Balance - January 1, 2021</v>
      </c>
      <c r="C35" s="1098"/>
      <c r="D35" s="1098"/>
      <c r="E35" s="1098"/>
      <c r="F35" s="1098"/>
      <c r="G35" s="1098"/>
      <c r="H35" s="1339"/>
      <c r="I35" s="1029" t="s">
        <v>628</v>
      </c>
      <c r="J35" s="607"/>
    </row>
    <row r="36" spans="2:10" ht="21" customHeight="1">
      <c r="B36" s="1079" t="str">
        <f>"Received from "&amp;IF('KEY INPUTS'!C42="State Fiscal Year","Fiscal Year "&amp;'KEY INPUTS'!D33)&amp;" Budget Appropriation *"</f>
        <v>Received from FALSE Budget Appropriation *</v>
      </c>
      <c r="C36" s="1079"/>
      <c r="D36" s="1079"/>
      <c r="E36" s="1079"/>
      <c r="F36" s="1079"/>
      <c r="G36" s="1079"/>
      <c r="H36" s="1340"/>
      <c r="I36" s="926" t="s">
        <v>628</v>
      </c>
      <c r="J36" s="578"/>
    </row>
    <row r="37" spans="2:10" ht="21" customHeight="1">
      <c r="B37" s="1079" t="str">
        <f>"Received from "&amp;IF('KEY INPUTS'!C42="State Fiscal Year","Fiscal Year "&amp;'KEY INPUTS'!D33)&amp;" Emergency Appropriation *"</f>
        <v>Received from FALSE Emergency Appropriation *</v>
      </c>
      <c r="C37" s="1079"/>
      <c r="D37" s="1079"/>
      <c r="E37" s="1079"/>
      <c r="F37" s="1079"/>
      <c r="G37" s="1079"/>
      <c r="H37" s="1340"/>
      <c r="I37" s="926" t="s">
        <v>628</v>
      </c>
      <c r="J37" s="578"/>
    </row>
    <row r="38" spans="2:10" ht="21" customHeight="1">
      <c r="B38" s="637"/>
      <c r="C38" s="1222"/>
      <c r="D38" s="637"/>
      <c r="E38" s="637"/>
      <c r="F38" s="637"/>
      <c r="G38" s="637"/>
      <c r="H38" s="637"/>
      <c r="I38" s="652"/>
      <c r="J38" s="355"/>
    </row>
    <row r="39" spans="2:10" ht="21" customHeight="1">
      <c r="B39" s="1079" t="s">
        <v>179</v>
      </c>
      <c r="C39" s="1079"/>
      <c r="D39" s="1079"/>
      <c r="E39" s="1079"/>
      <c r="F39" s="1079"/>
      <c r="G39" s="1079"/>
      <c r="H39" s="1340"/>
      <c r="I39" s="571"/>
      <c r="J39" s="930" t="s">
        <v>628</v>
      </c>
    </row>
    <row r="40" spans="2:10" ht="21" customHeight="1">
      <c r="B40" s="617"/>
      <c r="C40" s="617"/>
      <c r="D40" s="617"/>
      <c r="E40" s="617"/>
      <c r="F40" s="617"/>
      <c r="G40" s="617"/>
      <c r="H40" s="617"/>
      <c r="I40" s="571"/>
      <c r="J40" s="930" t="s">
        <v>628</v>
      </c>
    </row>
    <row r="41" spans="2:10" ht="21" customHeight="1" thickBot="1">
      <c r="B41" s="1079" t="str">
        <f>IF('KEY INPUTS'!C42 = "State Fiscal Year", 'KEY INPUTS'!F26,'KEY INPUTS'!D26)</f>
        <v>Balance - December 31, 2021</v>
      </c>
      <c r="C41" s="1079"/>
      <c r="D41" s="1079"/>
      <c r="E41" s="1079"/>
      <c r="F41" s="1079"/>
      <c r="G41" s="1079"/>
      <c r="H41" s="1340"/>
      <c r="I41" s="1223">
        <f>SUM(J35:J38)-SUM(I38:I40)</f>
        <v>0</v>
      </c>
      <c r="J41" s="1045" t="s">
        <v>628</v>
      </c>
    </row>
    <row r="42" spans="2:10" ht="21" customHeight="1" thickTop="1" thickBot="1">
      <c r="B42" s="1086"/>
      <c r="C42" s="1086"/>
      <c r="D42" s="1086"/>
      <c r="E42" s="1086"/>
      <c r="F42" s="1086"/>
      <c r="G42" s="1086"/>
      <c r="H42" s="1086"/>
      <c r="I42" s="1008">
        <f>SUM(I35:I41)</f>
        <v>0</v>
      </c>
      <c r="J42" s="1048">
        <f>SUM(J35:J41)</f>
        <v>0</v>
      </c>
    </row>
    <row r="43" spans="2:10" ht="21" customHeight="1" thickTop="1">
      <c r="B43" s="1086"/>
      <c r="C43" s="1086"/>
      <c r="D43" s="1086"/>
      <c r="E43" s="1086"/>
      <c r="F43" s="1086"/>
      <c r="G43" s="1086"/>
      <c r="H43" s="1086"/>
      <c r="I43" s="1388"/>
      <c r="J43" s="1388"/>
    </row>
    <row r="44" spans="2:10" ht="21" customHeight="1">
      <c r="B44" s="1086"/>
      <c r="C44" s="1086"/>
      <c r="D44" s="1086"/>
      <c r="E44" s="1086"/>
      <c r="F44" s="1086"/>
      <c r="G44" s="1086"/>
      <c r="H44" s="1086"/>
      <c r="I44" s="1086"/>
      <c r="J44" s="1086"/>
    </row>
    <row r="45" spans="2:10" ht="13.5" customHeight="1">
      <c r="B45" s="1359" t="str">
        <f>"*The full amount of the "&amp;IF('KEY INPUTS'!C42="State Fiscal Year","Fiscal Year "&amp;'KEY INPUTS'!D33)&amp;" budget appropriation should be transferred to this account unless the balance of"</f>
        <v>*The full amount of the FALSE budget appropriation should be transferred to this account unless the balance of</v>
      </c>
      <c r="C45" s="1359"/>
      <c r="D45" s="1086"/>
      <c r="E45" s="1086"/>
      <c r="F45" s="1086"/>
      <c r="G45" s="1086"/>
      <c r="H45" s="1086"/>
      <c r="I45" s="1086"/>
      <c r="J45" s="1086"/>
    </row>
    <row r="46" spans="2:10" ht="13.5" customHeight="1">
      <c r="B46" s="526"/>
      <c r="C46" s="526" t="s">
        <v>3584</v>
      </c>
    </row>
    <row r="47" spans="2:10" ht="13.5" customHeight="1">
      <c r="B47" s="526"/>
      <c r="C47" s="526"/>
    </row>
    <row r="48" spans="2:10" ht="13.5" customHeight="1">
      <c r="B48" s="526"/>
      <c r="C48" s="526"/>
    </row>
    <row r="49" spans="2:10" ht="13.5" customHeight="1">
      <c r="B49" s="526"/>
      <c r="C49" s="526"/>
    </row>
    <row r="50" spans="2:10" ht="13.5" customHeight="1">
      <c r="B50" s="526"/>
      <c r="C50" s="526"/>
    </row>
    <row r="51" spans="2:10" ht="13.5" customHeight="1">
      <c r="B51" s="526"/>
      <c r="C51" s="526"/>
    </row>
    <row r="52" spans="2:10" ht="13.5" customHeight="1">
      <c r="B52" s="526"/>
      <c r="C52" s="526"/>
    </row>
    <row r="53" spans="2:10" ht="13.5" customHeight="1">
      <c r="B53" s="526"/>
      <c r="C53" s="526"/>
    </row>
    <row r="54" spans="2:10" ht="13.8">
      <c r="B54" s="1933" t="s">
        <v>3174</v>
      </c>
      <c r="C54" s="1933"/>
      <c r="D54" s="1933"/>
      <c r="E54" s="1933"/>
      <c r="F54" s="1933"/>
      <c r="G54" s="1933"/>
      <c r="H54" s="1933"/>
      <c r="I54" s="1933"/>
      <c r="J54" s="1933"/>
    </row>
  </sheetData>
  <sheetProtection algorithmName="SHA-512" hashValue="Qyb/I+imgNyI//IBI1tSGKQqKE92kPZxmZ3mBxs8oT0SMHNb3J2bMElcJgXM3xHDuF7ww26vx1PSzUi+SGMPvQ==" saltValue="scixRlcTRypIfu64LnkBSQ==" spinCount="100000" sheet="1" objects="1" scenarios="1"/>
  <mergeCells count="7">
    <mergeCell ref="B3:J3"/>
    <mergeCell ref="B5:J5"/>
    <mergeCell ref="B30:J30"/>
    <mergeCell ref="B32:J32"/>
    <mergeCell ref="B54:J54"/>
    <mergeCell ref="I11:I12"/>
    <mergeCell ref="J11:J12"/>
  </mergeCells>
  <pageMargins left="0.25" right="0.25" top="0.5" bottom="0.5" header="0.25" footer="0.25"/>
  <pageSetup paperSize="5" orientation="portrait" r:id="rId1"/>
  <headerFooter alignWithMargins="0"/>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2">
    <tabColor theme="3" tint="0.79998168889431442"/>
  </sheetPr>
  <dimension ref="B1:AC52"/>
  <sheetViews>
    <sheetView zoomScaleNormal="100" zoomScaleSheetLayoutView="80" workbookViewId="0">
      <selection activeCell="O16" sqref="O16"/>
    </sheetView>
  </sheetViews>
  <sheetFormatPr defaultColWidth="8.88671875" defaultRowHeight="13.2"/>
  <cols>
    <col min="1" max="3" width="4.6640625" style="318" customWidth="1"/>
    <col min="4" max="4" width="4.5546875" style="318" customWidth="1"/>
    <col min="5" max="5" width="8.88671875" style="318"/>
    <col min="6" max="6" width="6.6640625" style="318" customWidth="1"/>
    <col min="7" max="10" width="16.6640625" style="318" customWidth="1"/>
    <col min="11" max="20" width="8.88671875" style="318"/>
    <col min="21" max="23" width="4.6640625" style="309" customWidth="1"/>
    <col min="24" max="24" width="8.88671875" style="309"/>
    <col min="25" max="25" width="6.6640625" style="309" customWidth="1"/>
    <col min="26" max="29" width="16.6640625" style="309" customWidth="1"/>
    <col min="30" max="16384" width="8.88671875" style="318"/>
  </cols>
  <sheetData>
    <row r="1" spans="2:19">
      <c r="B1" s="1086"/>
      <c r="C1" s="1086"/>
      <c r="D1" s="1359"/>
      <c r="E1" s="1359"/>
      <c r="F1" s="1086"/>
      <c r="G1" s="1086"/>
      <c r="H1" s="1086"/>
      <c r="I1" s="1086"/>
      <c r="J1" s="1086"/>
    </row>
    <row r="2" spans="2:19">
      <c r="B2" s="1086"/>
      <c r="C2" s="1086"/>
      <c r="D2" s="1359"/>
      <c r="E2" s="1359"/>
      <c r="F2" s="1086"/>
      <c r="G2" s="1086"/>
      <c r="H2" s="1086"/>
      <c r="I2" s="1086"/>
      <c r="J2" s="1086"/>
    </row>
    <row r="3" spans="2:19" ht="24.6">
      <c r="B3" s="2035" t="str">
        <f>UPPER('KEY INPUTS'!D$59)&amp;" UTILITY FUND"</f>
        <v xml:space="preserve"> UTILITY FUND</v>
      </c>
      <c r="C3" s="2035"/>
      <c r="D3" s="2035"/>
      <c r="E3" s="2035"/>
      <c r="F3" s="2035"/>
      <c r="G3" s="2035"/>
      <c r="H3" s="2035"/>
      <c r="I3" s="2035"/>
      <c r="J3" s="2035"/>
    </row>
    <row r="4" spans="2:19">
      <c r="B4" s="1086"/>
      <c r="C4" s="1086"/>
      <c r="D4" s="1086"/>
      <c r="E4" s="1086"/>
      <c r="F4" s="1086"/>
      <c r="G4" s="1086"/>
      <c r="H4" s="1086"/>
      <c r="I4" s="1086"/>
      <c r="J4" s="1086"/>
    </row>
    <row r="5" spans="2:19" ht="17.399999999999999">
      <c r="B5" s="1926" t="str">
        <f>"CAPITAL  IMPROVEMENTS  AUTHORIZED  IN  "&amp;IF('KEY INPUTS'!C42="State Fiscal Year","FISCAL  YEAR  "&amp;'KEY INPUTS'!D33&amp;"",'KEY INPUTS'!D34+1)&amp;""</f>
        <v>CAPITAL  IMPROVEMENTS  AUTHORIZED  IN  2022</v>
      </c>
      <c r="C5" s="1926"/>
      <c r="D5" s="1926"/>
      <c r="E5" s="1926"/>
      <c r="F5" s="1926"/>
      <c r="G5" s="1926"/>
      <c r="H5" s="1926"/>
      <c r="I5" s="1926"/>
      <c r="J5" s="1926"/>
    </row>
    <row r="6" spans="2:19" ht="17.399999999999999">
      <c r="B6" s="1926" t="s">
        <v>3572</v>
      </c>
      <c r="C6" s="1926"/>
      <c r="D6" s="1926"/>
      <c r="E6" s="1926"/>
      <c r="F6" s="1926"/>
      <c r="G6" s="1926"/>
      <c r="H6" s="1926"/>
      <c r="I6" s="1926"/>
      <c r="J6" s="1926"/>
    </row>
    <row r="7" spans="2:19" ht="13.8" thickBot="1">
      <c r="B7" s="1086"/>
      <c r="C7" s="1086"/>
      <c r="D7" s="1086"/>
      <c r="E7" s="1086"/>
      <c r="F7" s="1086"/>
      <c r="G7" s="1086"/>
      <c r="H7" s="1086"/>
      <c r="I7" s="1086"/>
      <c r="J7" s="1086"/>
    </row>
    <row r="8" spans="2:19" ht="13.8" thickTop="1">
      <c r="B8" s="1082"/>
      <c r="C8" s="1082"/>
      <c r="D8" s="1082"/>
      <c r="E8" s="1082"/>
      <c r="F8" s="1082"/>
      <c r="G8" s="1083"/>
      <c r="H8" s="1083"/>
      <c r="I8" s="1083"/>
      <c r="J8" s="1360" t="s">
        <v>240</v>
      </c>
    </row>
    <row r="9" spans="2:19">
      <c r="B9" s="1086"/>
      <c r="C9" s="1908" t="s">
        <v>413</v>
      </c>
      <c r="D9" s="1908"/>
      <c r="E9" s="1908"/>
      <c r="F9" s="1086"/>
      <c r="G9" s="1087" t="s">
        <v>414</v>
      </c>
      <c r="H9" s="1087" t="s">
        <v>201</v>
      </c>
      <c r="I9" s="1087" t="s">
        <v>204</v>
      </c>
      <c r="J9" s="1081" t="s">
        <v>241</v>
      </c>
    </row>
    <row r="10" spans="2:19">
      <c r="B10" s="1086"/>
      <c r="C10" s="1086"/>
      <c r="D10" s="1086"/>
      <c r="E10" s="1086"/>
      <c r="F10" s="1086"/>
      <c r="G10" s="1087" t="s">
        <v>202</v>
      </c>
      <c r="H10" s="1087" t="s">
        <v>203</v>
      </c>
      <c r="I10" s="1087" t="s">
        <v>205</v>
      </c>
      <c r="J10" s="1346" t="str">
        <f>"of " &amp;IF('KEY INPUTS'!C42="State Fiscal Year","FY "&amp;'KEY INPUTS'!D33&amp;"",'KEY INPUTS'!D34+1)&amp;" or"</f>
        <v>of 2022 or</v>
      </c>
    </row>
    <row r="11" spans="2:19" ht="13.8" thickBot="1">
      <c r="B11" s="1093"/>
      <c r="C11" s="1093"/>
      <c r="D11" s="1093"/>
      <c r="E11" s="1093"/>
      <c r="F11" s="1093"/>
      <c r="G11" s="1095"/>
      <c r="H11" s="1095" t="s">
        <v>441</v>
      </c>
      <c r="I11" s="1095" t="s">
        <v>239</v>
      </c>
      <c r="J11" s="1347" t="s">
        <v>3582</v>
      </c>
      <c r="M11" s="309"/>
      <c r="N11" s="309"/>
      <c r="O11" s="309"/>
      <c r="P11" s="309"/>
      <c r="Q11" s="309"/>
      <c r="R11" s="309"/>
      <c r="S11" s="309"/>
    </row>
    <row r="12" spans="2:19" ht="21" customHeight="1" thickTop="1">
      <c r="B12" s="642"/>
      <c r="C12" s="642"/>
      <c r="D12" s="642"/>
      <c r="E12" s="642"/>
      <c r="F12" s="642"/>
      <c r="G12" s="575"/>
      <c r="H12" s="575"/>
      <c r="I12" s="575"/>
      <c r="J12" s="607"/>
      <c r="M12" s="309"/>
      <c r="N12" s="309"/>
      <c r="O12" s="309"/>
      <c r="P12" s="309"/>
      <c r="Q12" s="309"/>
      <c r="R12" s="309"/>
      <c r="S12" s="309"/>
    </row>
    <row r="13" spans="2:19" ht="21" customHeight="1">
      <c r="B13" s="617"/>
      <c r="C13" s="617"/>
      <c r="D13" s="617"/>
      <c r="E13" s="617"/>
      <c r="F13" s="617"/>
      <c r="G13" s="571"/>
      <c r="H13" s="571"/>
      <c r="I13" s="571"/>
      <c r="J13" s="578"/>
      <c r="M13" s="356"/>
      <c r="N13" s="309"/>
      <c r="O13" s="309"/>
      <c r="P13" s="309"/>
      <c r="Q13" s="309"/>
      <c r="R13" s="309"/>
      <c r="S13" s="309"/>
    </row>
    <row r="14" spans="2:19" ht="21" customHeight="1">
      <c r="B14" s="617"/>
      <c r="C14" s="617"/>
      <c r="D14" s="617"/>
      <c r="E14" s="617"/>
      <c r="F14" s="617"/>
      <c r="G14" s="571"/>
      <c r="H14" s="571"/>
      <c r="I14" s="571"/>
      <c r="J14" s="578"/>
      <c r="M14" s="309"/>
      <c r="N14" s="309"/>
      <c r="O14" s="309"/>
      <c r="P14" s="309"/>
      <c r="Q14" s="309"/>
      <c r="R14" s="309"/>
      <c r="S14" s="309"/>
    </row>
    <row r="15" spans="2:19" ht="21" customHeight="1">
      <c r="B15" s="617"/>
      <c r="C15" s="617"/>
      <c r="D15" s="617"/>
      <c r="E15" s="617"/>
      <c r="F15" s="617"/>
      <c r="G15" s="571"/>
      <c r="H15" s="571"/>
      <c r="I15" s="571"/>
      <c r="J15" s="578"/>
      <c r="M15" s="309"/>
      <c r="N15" s="309"/>
      <c r="O15" s="309"/>
      <c r="P15" s="309"/>
      <c r="Q15" s="309"/>
      <c r="R15" s="309"/>
      <c r="S15" s="309"/>
    </row>
    <row r="16" spans="2:19" ht="21" customHeight="1">
      <c r="B16" s="617"/>
      <c r="C16" s="617"/>
      <c r="D16" s="617"/>
      <c r="E16" s="617"/>
      <c r="F16" s="617"/>
      <c r="G16" s="571"/>
      <c r="H16" s="571"/>
      <c r="I16" s="571"/>
      <c r="J16" s="578"/>
      <c r="M16" s="309"/>
      <c r="N16" s="309"/>
      <c r="O16" s="309"/>
      <c r="P16" s="309"/>
      <c r="Q16" s="309"/>
      <c r="R16" s="309"/>
      <c r="S16" s="309"/>
    </row>
    <row r="17" spans="2:19" ht="21" customHeight="1">
      <c r="B17" s="617"/>
      <c r="C17" s="617"/>
      <c r="D17" s="617"/>
      <c r="E17" s="617"/>
      <c r="F17" s="617"/>
      <c r="G17" s="571"/>
      <c r="H17" s="571"/>
      <c r="I17" s="571"/>
      <c r="J17" s="578"/>
      <c r="M17" s="309"/>
      <c r="N17" s="309"/>
      <c r="O17" s="309"/>
      <c r="P17" s="309"/>
      <c r="Q17" s="309"/>
      <c r="R17" s="309"/>
      <c r="S17" s="309"/>
    </row>
    <row r="18" spans="2:19" ht="21" customHeight="1">
      <c r="B18" s="617"/>
      <c r="C18" s="617"/>
      <c r="D18" s="617"/>
      <c r="E18" s="617"/>
      <c r="F18" s="617"/>
      <c r="G18" s="571"/>
      <c r="H18" s="571"/>
      <c r="I18" s="571"/>
      <c r="J18" s="578"/>
      <c r="M18" s="309"/>
      <c r="N18" s="309"/>
      <c r="O18" s="309"/>
      <c r="P18" s="309"/>
      <c r="Q18" s="309"/>
      <c r="R18" s="309"/>
      <c r="S18" s="309"/>
    </row>
    <row r="19" spans="2:19" ht="21" customHeight="1">
      <c r="B19" s="617"/>
      <c r="C19" s="617"/>
      <c r="D19" s="617"/>
      <c r="E19" s="617"/>
      <c r="F19" s="617"/>
      <c r="G19" s="571"/>
      <c r="H19" s="571"/>
      <c r="I19" s="571"/>
      <c r="J19" s="578"/>
      <c r="M19" s="309"/>
      <c r="N19" s="309"/>
      <c r="O19" s="309"/>
      <c r="P19" s="309"/>
      <c r="Q19" s="309"/>
      <c r="R19" s="309"/>
      <c r="S19" s="309"/>
    </row>
    <row r="20" spans="2:19" ht="21" customHeight="1">
      <c r="B20" s="617"/>
      <c r="C20" s="617"/>
      <c r="D20" s="617"/>
      <c r="E20" s="617"/>
      <c r="F20" s="617"/>
      <c r="G20" s="571"/>
      <c r="H20" s="571"/>
      <c r="I20" s="571"/>
      <c r="J20" s="578"/>
      <c r="M20" s="309"/>
      <c r="N20" s="309"/>
      <c r="O20" s="309"/>
      <c r="P20" s="309"/>
      <c r="Q20" s="309"/>
      <c r="R20" s="309"/>
      <c r="S20" s="309"/>
    </row>
    <row r="21" spans="2:19" ht="21" customHeight="1" thickBot="1">
      <c r="B21" s="617"/>
      <c r="C21" s="617"/>
      <c r="D21" s="617"/>
      <c r="E21" s="617"/>
      <c r="F21" s="617"/>
      <c r="G21" s="596"/>
      <c r="H21" s="596"/>
      <c r="I21" s="596"/>
      <c r="J21" s="640"/>
      <c r="M21" s="309"/>
      <c r="N21" s="309"/>
      <c r="O21" s="309"/>
      <c r="P21" s="309"/>
      <c r="Q21" s="309"/>
      <c r="R21" s="309"/>
      <c r="S21" s="309"/>
    </row>
    <row r="22" spans="2:19" ht="21" customHeight="1" thickTop="1" thickBot="1">
      <c r="B22" s="1093"/>
      <c r="C22" s="1093"/>
      <c r="D22" s="1093"/>
      <c r="E22" s="1093"/>
      <c r="F22" s="1093"/>
      <c r="G22" s="1027">
        <f>SUM(G12:G21)</f>
        <v>0</v>
      </c>
      <c r="H22" s="1027">
        <f>SUM(H12:H21)</f>
        <v>0</v>
      </c>
      <c r="I22" s="1027">
        <f>SUM(I12:I21)</f>
        <v>0</v>
      </c>
      <c r="J22" s="1006">
        <f>SUM(J12:J21)</f>
        <v>0</v>
      </c>
      <c r="M22" s="309"/>
      <c r="N22" s="309"/>
      <c r="O22" s="309"/>
      <c r="P22" s="309"/>
      <c r="Q22" s="309"/>
      <c r="R22" s="309"/>
      <c r="S22" s="309"/>
    </row>
    <row r="23" spans="2:19" ht="13.8" thickTop="1">
      <c r="B23" s="1086"/>
      <c r="C23" s="1086"/>
      <c r="D23" s="1086"/>
      <c r="E23" s="1086"/>
      <c r="F23" s="1086"/>
      <c r="G23" s="1086"/>
      <c r="H23" s="1086"/>
      <c r="I23" s="1086"/>
      <c r="J23" s="1086"/>
      <c r="M23" s="309"/>
      <c r="N23" s="309"/>
      <c r="O23" s="309"/>
      <c r="P23" s="309"/>
      <c r="Q23" s="309"/>
      <c r="R23" s="309"/>
      <c r="S23" s="309"/>
    </row>
    <row r="24" spans="2:19">
      <c r="B24" s="1086"/>
      <c r="C24" s="1086"/>
      <c r="D24" s="1086"/>
      <c r="E24" s="1086"/>
      <c r="F24" s="1086"/>
      <c r="G24" s="1086"/>
      <c r="H24" s="1086"/>
      <c r="I24" s="1086"/>
      <c r="J24" s="1086"/>
      <c r="M24" s="309"/>
      <c r="N24" s="309"/>
      <c r="O24" s="309"/>
      <c r="P24" s="309"/>
      <c r="Q24" s="309"/>
      <c r="R24" s="309"/>
      <c r="S24" s="309"/>
    </row>
    <row r="25" spans="2:19">
      <c r="B25" s="1086"/>
      <c r="C25" s="1086"/>
      <c r="D25" s="1086"/>
      <c r="E25" s="1086"/>
      <c r="F25" s="1086"/>
      <c r="G25" s="1086"/>
      <c r="H25" s="1086"/>
      <c r="I25" s="1086"/>
      <c r="J25" s="1086"/>
      <c r="M25" s="309"/>
      <c r="N25" s="309"/>
      <c r="O25" s="309"/>
      <c r="P25" s="309"/>
      <c r="Q25" s="309"/>
      <c r="R25" s="309"/>
      <c r="S25" s="309"/>
    </row>
    <row r="26" spans="2:19">
      <c r="B26" s="1086"/>
      <c r="C26" s="1086"/>
      <c r="D26" s="1086"/>
      <c r="E26" s="1086"/>
      <c r="F26" s="1086"/>
      <c r="G26" s="1086"/>
      <c r="H26" s="1086"/>
      <c r="I26" s="1086"/>
      <c r="J26" s="1086"/>
      <c r="M26" s="309"/>
      <c r="N26" s="309"/>
      <c r="O26" s="309"/>
      <c r="P26" s="309"/>
      <c r="Q26" s="309"/>
      <c r="R26" s="309"/>
      <c r="S26" s="309"/>
    </row>
    <row r="27" spans="2:19">
      <c r="B27" s="1086"/>
      <c r="C27" s="1086"/>
      <c r="D27" s="1086"/>
      <c r="E27" s="1086"/>
      <c r="F27" s="1086"/>
      <c r="G27" s="1086"/>
      <c r="H27" s="1086"/>
      <c r="I27" s="1086"/>
      <c r="J27" s="1086"/>
      <c r="M27" s="309"/>
      <c r="N27" s="309"/>
      <c r="O27" s="309"/>
      <c r="P27" s="309"/>
      <c r="Q27" s="309"/>
      <c r="R27" s="309"/>
      <c r="S27" s="309"/>
    </row>
    <row r="28" spans="2:19" ht="22.8">
      <c r="B28" s="1887" t="str">
        <f>UPPER('KEY INPUTS'!D$59)&amp;" UTILITY  CAPITAL  FUND"</f>
        <v xml:space="preserve"> UTILITY  CAPITAL  FUND</v>
      </c>
      <c r="C28" s="1887"/>
      <c r="D28" s="1887"/>
      <c r="E28" s="1887"/>
      <c r="F28" s="1887"/>
      <c r="G28" s="1887"/>
      <c r="H28" s="1887"/>
      <c r="I28" s="1887"/>
      <c r="J28" s="1887"/>
    </row>
    <row r="29" spans="2:19" ht="22.8">
      <c r="B29" s="1903" t="s">
        <v>154</v>
      </c>
      <c r="C29" s="1903"/>
      <c r="D29" s="1903"/>
      <c r="E29" s="1903"/>
      <c r="F29" s="1903"/>
      <c r="G29" s="1903"/>
      <c r="H29" s="1903"/>
      <c r="I29" s="1903"/>
      <c r="J29" s="1903"/>
    </row>
    <row r="30" spans="2:19">
      <c r="B30" s="1086"/>
      <c r="C30" s="1086"/>
      <c r="D30" s="1086"/>
      <c r="E30" s="1086"/>
      <c r="F30" s="1086"/>
      <c r="G30" s="1086"/>
      <c r="H30" s="1086"/>
      <c r="I30" s="1086"/>
      <c r="J30" s="1086"/>
    </row>
    <row r="31" spans="2:19" ht="15.6">
      <c r="B31" s="2094" t="str">
        <f>IF('KEY INPUTS'!C42="State Fiscal Year",(UPPER("Fiscal Year "&amp;'KEY INPUTS'!D33))&amp;"",'KEY INPUTS'!D34+1)&amp;""</f>
        <v>2022</v>
      </c>
      <c r="C31" s="2094"/>
      <c r="D31" s="2094"/>
      <c r="E31" s="2094"/>
      <c r="F31" s="2094"/>
      <c r="G31" s="2094"/>
      <c r="H31" s="2094"/>
      <c r="I31" s="2094"/>
      <c r="J31" s="2094"/>
    </row>
    <row r="32" spans="2:19" ht="13.8" thickBot="1">
      <c r="B32" s="1086"/>
      <c r="C32" s="1086"/>
      <c r="D32" s="1086"/>
      <c r="E32" s="1086"/>
      <c r="F32" s="1086"/>
      <c r="G32" s="1086"/>
      <c r="H32" s="1086"/>
      <c r="I32" s="1086"/>
      <c r="J32" s="1086"/>
    </row>
    <row r="33" spans="2:10" ht="28.5" customHeight="1" thickTop="1" thickBot="1">
      <c r="B33" s="1327"/>
      <c r="C33" s="1327"/>
      <c r="D33" s="1327"/>
      <c r="E33" s="1327"/>
      <c r="F33" s="1327"/>
      <c r="G33" s="1327"/>
      <c r="H33" s="1327"/>
      <c r="I33" s="1074" t="s">
        <v>96</v>
      </c>
      <c r="J33" s="1075" t="s">
        <v>97</v>
      </c>
    </row>
    <row r="34" spans="2:10" ht="21" customHeight="1" thickTop="1">
      <c r="B34" s="1361" t="str">
        <f>IF('KEY INPUTS'!C42 = "State Fiscal Year", 'KEY INPUTS'!F25,'KEY INPUTS'!D25)</f>
        <v>Balance - January 1, 2021</v>
      </c>
      <c r="C34" s="1098"/>
      <c r="D34" s="1098"/>
      <c r="E34" s="1098"/>
      <c r="F34" s="1098"/>
      <c r="G34" s="1098"/>
      <c r="H34" s="1098"/>
      <c r="I34" s="1029" t="s">
        <v>628</v>
      </c>
      <c r="J34" s="606"/>
    </row>
    <row r="35" spans="2:10" ht="21" customHeight="1">
      <c r="B35" s="1079" t="s">
        <v>155</v>
      </c>
      <c r="C35" s="1079"/>
      <c r="D35" s="1079"/>
      <c r="E35" s="1079"/>
      <c r="F35" s="1079"/>
      <c r="G35" s="1079"/>
      <c r="H35" s="1079"/>
      <c r="I35" s="926" t="s">
        <v>628</v>
      </c>
      <c r="J35" s="550"/>
    </row>
    <row r="36" spans="2:10" ht="21" customHeight="1">
      <c r="B36" s="1079" t="s">
        <v>156</v>
      </c>
      <c r="C36" s="1079"/>
      <c r="D36" s="1079"/>
      <c r="E36" s="1079"/>
      <c r="F36" s="1079"/>
      <c r="G36" s="1079"/>
      <c r="H36" s="1079"/>
      <c r="I36" s="926" t="s">
        <v>628</v>
      </c>
      <c r="J36" s="550"/>
    </row>
    <row r="37" spans="2:10" ht="21" customHeight="1">
      <c r="B37" s="617" t="s">
        <v>3215</v>
      </c>
      <c r="C37" s="617"/>
      <c r="D37" s="617"/>
      <c r="E37" s="617"/>
      <c r="F37" s="617"/>
      <c r="G37" s="617"/>
      <c r="H37" s="617"/>
      <c r="I37" s="966"/>
      <c r="J37" s="550"/>
    </row>
    <row r="38" spans="2:10" ht="21" customHeight="1">
      <c r="B38" s="617"/>
      <c r="C38" s="617"/>
      <c r="D38" s="617"/>
      <c r="E38" s="617"/>
      <c r="F38" s="617"/>
      <c r="G38" s="617"/>
      <c r="H38" s="617"/>
      <c r="I38" s="353"/>
      <c r="J38" s="550"/>
    </row>
    <row r="39" spans="2:10" ht="21" customHeight="1">
      <c r="B39" s="617"/>
      <c r="C39" s="617"/>
      <c r="D39" s="617"/>
      <c r="E39" s="617"/>
      <c r="F39" s="617"/>
      <c r="G39" s="617"/>
      <c r="H39" s="617"/>
      <c r="I39" s="353"/>
      <c r="J39" s="550"/>
    </row>
    <row r="40" spans="2:10" ht="21" customHeight="1">
      <c r="B40" s="1079" t="s">
        <v>3176</v>
      </c>
      <c r="C40" s="1079"/>
      <c r="D40" s="1079"/>
      <c r="E40" s="1079"/>
      <c r="F40" s="1079"/>
      <c r="G40" s="1079"/>
      <c r="H40" s="1079"/>
      <c r="I40" s="353"/>
      <c r="J40" s="930" t="s">
        <v>628</v>
      </c>
    </row>
    <row r="41" spans="2:10" ht="21" customHeight="1">
      <c r="B41" s="1079" t="str">
        <f>"Appropriation to "&amp;IF('KEY INPUTS'!C42="State Fiscal Year","Fiscal Year "&amp;'KEY INPUTS'!D33&amp;"",'KEY INPUTS'!D34+1)&amp;" Budget Reserve"</f>
        <v>Appropriation to 2022 Budget Reserve</v>
      </c>
      <c r="C41" s="1079"/>
      <c r="D41" s="1079"/>
      <c r="E41" s="1079"/>
      <c r="F41" s="1079"/>
      <c r="G41" s="1362"/>
      <c r="H41" s="1079"/>
      <c r="I41" s="571"/>
      <c r="J41" s="930" t="s">
        <v>628</v>
      </c>
    </row>
    <row r="42" spans="2:10" ht="21" customHeight="1">
      <c r="B42" s="1079" t="str">
        <f>IF('KEY INPUTS'!C42 = "State Fiscal Year", 'KEY INPUTS'!F26,'KEY INPUTS'!D26)</f>
        <v>Balance - December 31, 2021</v>
      </c>
      <c r="C42" s="1079"/>
      <c r="D42" s="1079"/>
      <c r="E42" s="1079"/>
      <c r="F42" s="1079"/>
      <c r="G42" s="1079"/>
      <c r="H42" s="1079"/>
      <c r="I42" s="800">
        <f>SUM(J34:J39)-SUM(I37:I41)</f>
        <v>0</v>
      </c>
      <c r="J42" s="930" t="s">
        <v>628</v>
      </c>
    </row>
    <row r="43" spans="2:10" ht="21" customHeight="1" thickBot="1">
      <c r="B43" s="1086"/>
      <c r="C43" s="1086"/>
      <c r="D43" s="1086"/>
      <c r="E43" s="1086"/>
      <c r="F43" s="1086"/>
      <c r="G43" s="1086"/>
      <c r="H43" s="1086"/>
      <c r="I43" s="968">
        <f>SUM(I34:I42)</f>
        <v>0</v>
      </c>
      <c r="J43" s="938">
        <f>SUM(J34:J42)</f>
        <v>0</v>
      </c>
    </row>
    <row r="44" spans="2:10" ht="21" customHeight="1" thickTop="1"/>
    <row r="45" spans="2:10" ht="21" customHeight="1"/>
    <row r="46" spans="2:10" ht="21" customHeight="1"/>
    <row r="47" spans="2:10" ht="21" customHeight="1"/>
    <row r="48" spans="2:10" ht="21" customHeight="1"/>
    <row r="49" spans="2:10" ht="21" customHeight="1"/>
    <row r="52" spans="2:10" ht="13.8">
      <c r="B52" s="1933" t="s">
        <v>3175</v>
      </c>
      <c r="C52" s="1933"/>
      <c r="D52" s="1933"/>
      <c r="E52" s="1933"/>
      <c r="F52" s="1933"/>
      <c r="G52" s="1933"/>
      <c r="H52" s="1933"/>
      <c r="I52" s="1933"/>
      <c r="J52" s="1933"/>
    </row>
  </sheetData>
  <sheetProtection algorithmName="SHA-512" hashValue="V1wmMAxeysnJQqEryowrS+IH6b/rQTt6s+/Zjiu14Dcfg3prK4Km2jmY5hWJ0cBTz+aFXMD5cFeJGl7BqhPjmQ==" saltValue="l+fAISluKDJaO/Hx0C0bzQ==" spinCount="100000" sheet="1" objects="1" scenarios="1"/>
  <mergeCells count="8">
    <mergeCell ref="B31:J31"/>
    <mergeCell ref="B52:J52"/>
    <mergeCell ref="B3:J3"/>
    <mergeCell ref="B5:J5"/>
    <mergeCell ref="B6:J6"/>
    <mergeCell ref="C9:E9"/>
    <mergeCell ref="B28:J28"/>
    <mergeCell ref="B29:J29"/>
  </mergeCells>
  <pageMargins left="0.25" right="0.25" top="0.5" bottom="0.5" header="0.25" footer="0.25"/>
  <pageSetup paperSize="5" orientation="portrait" r:id="rId1"/>
  <headerFooter alignWithMargins="0"/>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6">
    <tabColor theme="6" tint="0.39997558519241921"/>
  </sheetPr>
  <dimension ref="A1:B544"/>
  <sheetViews>
    <sheetView topLeftCell="A271" workbookViewId="0">
      <selection activeCell="H159" sqref="H159"/>
    </sheetView>
  </sheetViews>
  <sheetFormatPr defaultRowHeight="13.2"/>
  <cols>
    <col min="2" max="2" width="28.88671875" bestFit="1" customWidth="1"/>
  </cols>
  <sheetData>
    <row r="1" spans="1:2">
      <c r="A1">
        <v>1</v>
      </c>
      <c r="B1" t="str">
        <f>INDEX(SheetNames,A1)</f>
        <v>Instructions</v>
      </c>
    </row>
    <row r="2" spans="1:2">
      <c r="A2">
        <f>A1+1</f>
        <v>2</v>
      </c>
      <c r="B2" s="309" t="str">
        <f t="shared" ref="B2:B65" si="0">INDEX(SheetNames,A2)</f>
        <v>69 - Instructions</v>
      </c>
    </row>
    <row r="3" spans="1:2">
      <c r="A3" s="309">
        <f t="shared" ref="A3:A66" si="1">A2+1</f>
        <v>3</v>
      </c>
      <c r="B3" s="309" t="str">
        <f t="shared" si="0"/>
        <v>KEY INPUTS</v>
      </c>
    </row>
    <row r="4" spans="1:2">
      <c r="A4" s="309">
        <f t="shared" si="1"/>
        <v>4</v>
      </c>
      <c r="B4" s="309" t="str">
        <f t="shared" si="0"/>
        <v>KEY METRICS</v>
      </c>
    </row>
    <row r="5" spans="1:2">
      <c r="A5" s="309">
        <f t="shared" si="1"/>
        <v>5</v>
      </c>
      <c r="B5" s="309" t="str">
        <f t="shared" si="0"/>
        <v>1- Cover</v>
      </c>
    </row>
    <row r="6" spans="1:2">
      <c r="A6" s="309">
        <f t="shared" si="1"/>
        <v>6</v>
      </c>
      <c r="B6" s="309" t="str">
        <f t="shared" si="0"/>
        <v>1a - RMA Certification</v>
      </c>
    </row>
    <row r="7" spans="1:2">
      <c r="A7" s="309">
        <f t="shared" si="1"/>
        <v>7</v>
      </c>
      <c r="B7" s="309" t="str">
        <f t="shared" si="0"/>
        <v>1b - Local Exam Qual Cert</v>
      </c>
    </row>
    <row r="8" spans="1:2">
      <c r="A8" s="309">
        <f t="shared" si="1"/>
        <v>8</v>
      </c>
      <c r="B8" s="309" t="str">
        <f t="shared" si="0"/>
        <v>1c - Fed &amp; State Finan Asst.</v>
      </c>
    </row>
    <row r="9" spans="1:2">
      <c r="A9" s="309">
        <f t="shared" si="1"/>
        <v>9</v>
      </c>
      <c r="B9" s="309" t="str">
        <f t="shared" si="0"/>
        <v>2 - No Utility Fund Cert</v>
      </c>
    </row>
    <row r="10" spans="1:2">
      <c r="A10" s="309">
        <f t="shared" si="1"/>
        <v>10</v>
      </c>
      <c r="B10" s="309" t="str">
        <f t="shared" si="0"/>
        <v>3-Trial Bal-Current Fund</v>
      </c>
    </row>
    <row r="11" spans="1:2">
      <c r="A11" s="309">
        <f t="shared" si="1"/>
        <v>11</v>
      </c>
      <c r="B11" s="309" t="str">
        <f t="shared" si="0"/>
        <v>3a-Trial Bal-Current Fund</v>
      </c>
    </row>
    <row r="12" spans="1:2">
      <c r="A12" s="309">
        <f t="shared" si="1"/>
        <v>12</v>
      </c>
      <c r="B12" s="309" t="str">
        <f t="shared" si="0"/>
        <v>3a.1-Trial Bal-Current Fund</v>
      </c>
    </row>
    <row r="13" spans="1:2">
      <c r="A13" s="309">
        <f t="shared" si="1"/>
        <v>13</v>
      </c>
      <c r="B13" s="309" t="str">
        <f t="shared" si="0"/>
        <v>4-Trial Bal-Pub Assist Fnd</v>
      </c>
    </row>
    <row r="14" spans="1:2">
      <c r="A14" s="309">
        <f t="shared" si="1"/>
        <v>14</v>
      </c>
      <c r="B14" s="309" t="str">
        <f t="shared" si="0"/>
        <v>5-Trial Bal-Grants</v>
      </c>
    </row>
    <row r="15" spans="1:2">
      <c r="A15" s="309">
        <f t="shared" si="1"/>
        <v>15</v>
      </c>
      <c r="B15" s="309" t="str">
        <f t="shared" si="0"/>
        <v>6-Trial Bal-Trust Fnds</v>
      </c>
    </row>
    <row r="16" spans="1:2">
      <c r="A16" s="309">
        <f t="shared" si="1"/>
        <v>16</v>
      </c>
      <c r="B16" s="309" t="str">
        <f t="shared" si="0"/>
        <v>6.1-Trial Bal-Trust Fnds</v>
      </c>
    </row>
    <row r="17" spans="1:2">
      <c r="A17" s="309">
        <f t="shared" si="1"/>
        <v>17</v>
      </c>
      <c r="B17" s="309" t="str">
        <f t="shared" si="0"/>
        <v>6.2-Trial Bal-Trust Fnds</v>
      </c>
    </row>
    <row r="18" spans="1:2">
      <c r="A18" s="309">
        <f t="shared" si="1"/>
        <v>18</v>
      </c>
      <c r="B18" s="309" t="str">
        <f t="shared" si="0"/>
        <v>6.3-Trial Bal-Trust Fnds</v>
      </c>
    </row>
    <row r="19" spans="1:2">
      <c r="A19" s="309">
        <f t="shared" si="1"/>
        <v>19</v>
      </c>
      <c r="B19" s="309" t="str">
        <f t="shared" si="0"/>
        <v>6.4-Trial Bal-Trust Fnds</v>
      </c>
    </row>
    <row r="20" spans="1:2">
      <c r="A20" s="309">
        <f t="shared" si="1"/>
        <v>20</v>
      </c>
      <c r="B20" s="309" t="str">
        <f t="shared" si="0"/>
        <v>6.TOTAL-Trial Bal-Trust Fnds</v>
      </c>
    </row>
    <row r="21" spans="1:2">
      <c r="A21" s="309">
        <f t="shared" si="1"/>
        <v>21</v>
      </c>
      <c r="B21" s="309" t="str">
        <f t="shared" si="0"/>
        <v>6b-Trust Fund Reserves</v>
      </c>
    </row>
    <row r="22" spans="1:2">
      <c r="A22" s="309">
        <f t="shared" si="1"/>
        <v>22</v>
      </c>
      <c r="B22" s="309" t="str">
        <f t="shared" si="0"/>
        <v>6b.1-Trust Fund Reserves</v>
      </c>
    </row>
    <row r="23" spans="1:2">
      <c r="A23" s="309">
        <f t="shared" si="1"/>
        <v>23</v>
      </c>
      <c r="B23" s="309" t="str">
        <f t="shared" si="0"/>
        <v>6b.2-Trust Fund Reserves</v>
      </c>
    </row>
    <row r="24" spans="1:2">
      <c r="A24" s="309">
        <f t="shared" si="1"/>
        <v>24</v>
      </c>
      <c r="B24" s="309" t="str">
        <f t="shared" si="0"/>
        <v>6b.3-Trust Fund Reserves</v>
      </c>
    </row>
    <row r="25" spans="1:2">
      <c r="A25" s="309">
        <f t="shared" si="1"/>
        <v>25</v>
      </c>
      <c r="B25" s="309" t="str">
        <f t="shared" si="0"/>
        <v>6b-Total Trust Fund Reserves</v>
      </c>
    </row>
    <row r="26" spans="1:2">
      <c r="A26" s="309">
        <f t="shared" si="1"/>
        <v>26</v>
      </c>
      <c r="B26" s="309" t="str">
        <f t="shared" si="0"/>
        <v>7-Trust Asm Cash &amp; Investments</v>
      </c>
    </row>
    <row r="27" spans="1:2">
      <c r="A27" s="309">
        <f t="shared" si="1"/>
        <v>27</v>
      </c>
      <c r="B27" s="309" t="str">
        <f t="shared" si="0"/>
        <v>8-Trial Bal-Gen Cap Fund</v>
      </c>
    </row>
    <row r="28" spans="1:2">
      <c r="A28" s="309">
        <f t="shared" si="1"/>
        <v>28</v>
      </c>
      <c r="B28" s="309" t="str">
        <f t="shared" si="0"/>
        <v>8.1-Trial Bal-Gen Cap Fund</v>
      </c>
    </row>
    <row r="29" spans="1:2">
      <c r="A29" s="309">
        <f t="shared" si="1"/>
        <v>29</v>
      </c>
      <c r="B29" s="309" t="str">
        <f t="shared" si="0"/>
        <v>9-Cash Reconciliation</v>
      </c>
    </row>
    <row r="30" spans="1:2">
      <c r="A30" s="309">
        <f t="shared" si="1"/>
        <v>30</v>
      </c>
      <c r="B30" s="309" t="str">
        <f t="shared" si="0"/>
        <v>9a-Cash Reconciliation</v>
      </c>
    </row>
    <row r="31" spans="1:2">
      <c r="A31" s="309">
        <f t="shared" si="1"/>
        <v>31</v>
      </c>
      <c r="B31" s="309" t="str">
        <f t="shared" si="0"/>
        <v>9a.1-Cash Reconciliation</v>
      </c>
    </row>
    <row r="32" spans="1:2">
      <c r="A32" s="309">
        <f t="shared" si="1"/>
        <v>32</v>
      </c>
      <c r="B32" s="309" t="str">
        <f t="shared" si="0"/>
        <v>9a.2-Cash Reconciliation</v>
      </c>
    </row>
    <row r="33" spans="1:2">
      <c r="A33" s="309">
        <f t="shared" si="1"/>
        <v>33</v>
      </c>
      <c r="B33" s="309" t="str">
        <f t="shared" si="0"/>
        <v>9a.3-Cash Reconciliation</v>
      </c>
    </row>
    <row r="34" spans="1:2">
      <c r="A34" s="309">
        <f t="shared" si="1"/>
        <v>34</v>
      </c>
      <c r="B34" s="309" t="str">
        <f t="shared" si="0"/>
        <v>9a TOTAL-Cash Reconciliation</v>
      </c>
    </row>
    <row r="35" spans="1:2">
      <c r="A35" s="309">
        <f t="shared" si="1"/>
        <v>35</v>
      </c>
      <c r="B35" s="309" t="str">
        <f t="shared" si="0"/>
        <v>10-Grants Receivable</v>
      </c>
    </row>
    <row r="36" spans="1:2">
      <c r="A36" s="309">
        <f t="shared" si="1"/>
        <v>36</v>
      </c>
      <c r="B36" s="309" t="str">
        <f t="shared" si="0"/>
        <v>10.1-Grants Receivable</v>
      </c>
    </row>
    <row r="37" spans="1:2">
      <c r="A37" s="309">
        <f t="shared" si="1"/>
        <v>37</v>
      </c>
      <c r="B37" s="309" t="str">
        <f t="shared" si="0"/>
        <v>10.2-Grants Receivable</v>
      </c>
    </row>
    <row r="38" spans="1:2">
      <c r="A38" s="309">
        <f t="shared" si="1"/>
        <v>38</v>
      </c>
      <c r="B38" s="309" t="str">
        <f t="shared" si="0"/>
        <v>10.3-Grants Receivable</v>
      </c>
    </row>
    <row r="39" spans="1:2">
      <c r="A39" s="309">
        <f t="shared" si="1"/>
        <v>39</v>
      </c>
      <c r="B39" s="309" t="str">
        <f t="shared" si="0"/>
        <v>10.4-Grants Receivable</v>
      </c>
    </row>
    <row r="40" spans="1:2">
      <c r="A40" s="309">
        <f t="shared" si="1"/>
        <v>40</v>
      </c>
      <c r="B40" s="309" t="str">
        <f t="shared" si="0"/>
        <v>10.5-Grants Receivable</v>
      </c>
    </row>
    <row r="41" spans="1:2">
      <c r="A41" s="309">
        <f t="shared" si="1"/>
        <v>41</v>
      </c>
      <c r="B41" s="309" t="str">
        <f t="shared" si="0"/>
        <v>10.6-Grants Receivable</v>
      </c>
    </row>
    <row r="42" spans="1:2">
      <c r="A42" s="309">
        <f t="shared" si="1"/>
        <v>42</v>
      </c>
      <c r="B42" s="309" t="str">
        <f t="shared" si="0"/>
        <v>10.7-Grants Receivable</v>
      </c>
    </row>
    <row r="43" spans="1:2">
      <c r="A43" s="309">
        <f t="shared" si="1"/>
        <v>43</v>
      </c>
      <c r="B43" s="309" t="str">
        <f t="shared" si="0"/>
        <v>10.8-Grants Receivable</v>
      </c>
    </row>
    <row r="44" spans="1:2">
      <c r="A44" s="309">
        <f t="shared" si="1"/>
        <v>44</v>
      </c>
      <c r="B44" s="309" t="str">
        <f t="shared" si="0"/>
        <v>10.9-Grants Receivable</v>
      </c>
    </row>
    <row r="45" spans="1:2">
      <c r="A45" s="309">
        <f t="shared" si="1"/>
        <v>45</v>
      </c>
      <c r="B45" s="309" t="str">
        <f t="shared" si="0"/>
        <v>10.10-Grants Receivable</v>
      </c>
    </row>
    <row r="46" spans="1:2">
      <c r="A46" s="309">
        <f t="shared" si="1"/>
        <v>46</v>
      </c>
      <c r="B46" s="309" t="str">
        <f t="shared" si="0"/>
        <v>10.11-Grants Receivable</v>
      </c>
    </row>
    <row r="47" spans="1:2">
      <c r="A47" s="309">
        <f t="shared" si="1"/>
        <v>47</v>
      </c>
      <c r="B47" s="309" t="str">
        <f t="shared" si="0"/>
        <v>10.12-Grants Receivable</v>
      </c>
    </row>
    <row r="48" spans="1:2">
      <c r="A48" s="309">
        <f t="shared" si="1"/>
        <v>48</v>
      </c>
      <c r="B48" s="309" t="str">
        <f t="shared" si="0"/>
        <v>10.13-Grants Receivable</v>
      </c>
    </row>
    <row r="49" spans="1:2">
      <c r="A49" s="309">
        <f t="shared" si="1"/>
        <v>49</v>
      </c>
      <c r="B49" s="309" t="str">
        <f t="shared" si="0"/>
        <v>10.14-Grants Receivable</v>
      </c>
    </row>
    <row r="50" spans="1:2">
      <c r="A50" s="309">
        <f t="shared" si="1"/>
        <v>50</v>
      </c>
      <c r="B50" s="309" t="str">
        <f t="shared" si="0"/>
        <v>10.15-Grants Receivable</v>
      </c>
    </row>
    <row r="51" spans="1:2">
      <c r="A51" s="309">
        <f t="shared" si="1"/>
        <v>51</v>
      </c>
      <c r="B51" s="309" t="str">
        <f t="shared" si="0"/>
        <v>10.16-Grants Receivable</v>
      </c>
    </row>
    <row r="52" spans="1:2">
      <c r="A52" s="309">
        <f t="shared" si="1"/>
        <v>52</v>
      </c>
      <c r="B52" s="309" t="str">
        <f t="shared" si="0"/>
        <v>10.17-Grants Receivable</v>
      </c>
    </row>
    <row r="53" spans="1:2">
      <c r="A53" s="309">
        <f t="shared" si="1"/>
        <v>53</v>
      </c>
      <c r="B53" s="309" t="str">
        <f t="shared" si="0"/>
        <v>10.18-Grants Receivable</v>
      </c>
    </row>
    <row r="54" spans="1:2">
      <c r="A54" s="309">
        <f t="shared" si="1"/>
        <v>54</v>
      </c>
      <c r="B54" s="309" t="str">
        <f t="shared" si="0"/>
        <v>10.19-Grants Receivable</v>
      </c>
    </row>
    <row r="55" spans="1:2">
      <c r="A55" s="309">
        <f t="shared" si="1"/>
        <v>55</v>
      </c>
      <c r="B55" s="309" t="str">
        <f t="shared" si="0"/>
        <v>10.20-Grants Receivable</v>
      </c>
    </row>
    <row r="56" spans="1:2">
      <c r="A56" s="309">
        <f t="shared" si="1"/>
        <v>56</v>
      </c>
      <c r="B56" s="309" t="str">
        <f t="shared" si="0"/>
        <v>10.21-Grants Receivable</v>
      </c>
    </row>
    <row r="57" spans="1:2">
      <c r="A57" s="309">
        <f t="shared" si="1"/>
        <v>57</v>
      </c>
      <c r="B57" s="309" t="str">
        <f t="shared" si="0"/>
        <v>10.22-Grants Receivable</v>
      </c>
    </row>
    <row r="58" spans="1:2">
      <c r="A58" s="309">
        <f t="shared" si="1"/>
        <v>58</v>
      </c>
      <c r="B58" s="309" t="str">
        <f t="shared" si="0"/>
        <v>10.23-Grants Receivable</v>
      </c>
    </row>
    <row r="59" spans="1:2">
      <c r="A59" s="309">
        <f t="shared" si="1"/>
        <v>59</v>
      </c>
      <c r="B59" s="309" t="str">
        <f t="shared" si="0"/>
        <v>10.24-Grants Receivable</v>
      </c>
    </row>
    <row r="60" spans="1:2">
      <c r="A60" s="309">
        <f t="shared" si="1"/>
        <v>60</v>
      </c>
      <c r="B60" s="309" t="str">
        <f t="shared" si="0"/>
        <v>10 Totals Grants Receivable</v>
      </c>
    </row>
    <row r="61" spans="1:2">
      <c r="A61" s="309">
        <f t="shared" si="1"/>
        <v>61</v>
      </c>
      <c r="B61" s="309" t="str">
        <f t="shared" si="0"/>
        <v>11 Grants Approp Rsrv</v>
      </c>
    </row>
    <row r="62" spans="1:2">
      <c r="A62" s="309">
        <f t="shared" si="1"/>
        <v>62</v>
      </c>
      <c r="B62" s="309" t="str">
        <f t="shared" si="0"/>
        <v>11.1 Grants Approp Rsrv</v>
      </c>
    </row>
    <row r="63" spans="1:2">
      <c r="A63" s="309">
        <f t="shared" si="1"/>
        <v>63</v>
      </c>
      <c r="B63" s="309" t="str">
        <f t="shared" si="0"/>
        <v>11.2 Grants Approp Rsrv</v>
      </c>
    </row>
    <row r="64" spans="1:2">
      <c r="A64" s="309">
        <f t="shared" si="1"/>
        <v>64</v>
      </c>
      <c r="B64" s="309" t="str">
        <f t="shared" si="0"/>
        <v>11.3 Grants Approp Rsrv</v>
      </c>
    </row>
    <row r="65" spans="1:2">
      <c r="A65" s="309">
        <f t="shared" si="1"/>
        <v>65</v>
      </c>
      <c r="B65" s="309" t="str">
        <f t="shared" si="0"/>
        <v>11.4 Grants Approp Rsrv</v>
      </c>
    </row>
    <row r="66" spans="1:2">
      <c r="A66" s="309">
        <f t="shared" si="1"/>
        <v>66</v>
      </c>
      <c r="B66" s="309" t="str">
        <f t="shared" ref="B66:B129" si="2">INDEX(SheetNames,A66)</f>
        <v>11.5 Grants Approp Rsrv</v>
      </c>
    </row>
    <row r="67" spans="1:2">
      <c r="A67" s="309">
        <f t="shared" ref="A67:A130" si="3">A66+1</f>
        <v>67</v>
      </c>
      <c r="B67" s="309" t="str">
        <f t="shared" si="2"/>
        <v>11.6 Grants Approp Rsrv</v>
      </c>
    </row>
    <row r="68" spans="1:2">
      <c r="A68" s="309">
        <f t="shared" si="3"/>
        <v>68</v>
      </c>
      <c r="B68" s="309" t="str">
        <f t="shared" si="2"/>
        <v>11.7 Grants Approp Rsrv</v>
      </c>
    </row>
    <row r="69" spans="1:2">
      <c r="A69" s="309">
        <f t="shared" si="3"/>
        <v>69</v>
      </c>
      <c r="B69" s="309" t="str">
        <f t="shared" si="2"/>
        <v>11.8 Grants Approp Rsrv</v>
      </c>
    </row>
    <row r="70" spans="1:2">
      <c r="A70" s="309">
        <f t="shared" si="3"/>
        <v>70</v>
      </c>
      <c r="B70" s="309" t="str">
        <f t="shared" si="2"/>
        <v>11.9 Grants Approp Rsrv</v>
      </c>
    </row>
    <row r="71" spans="1:2">
      <c r="A71" s="309">
        <f t="shared" si="3"/>
        <v>71</v>
      </c>
      <c r="B71" s="309" t="str">
        <f t="shared" si="2"/>
        <v>11.10 Grants Approp Rsrv</v>
      </c>
    </row>
    <row r="72" spans="1:2">
      <c r="A72" s="309">
        <f t="shared" si="3"/>
        <v>72</v>
      </c>
      <c r="B72" s="309" t="str">
        <f t="shared" si="2"/>
        <v>11.11 Grants Approp Rsrv</v>
      </c>
    </row>
    <row r="73" spans="1:2">
      <c r="A73" s="309">
        <f t="shared" si="3"/>
        <v>73</v>
      </c>
      <c r="B73" s="309" t="str">
        <f t="shared" si="2"/>
        <v>11.12 Grants Approp Rsrv</v>
      </c>
    </row>
    <row r="74" spans="1:2">
      <c r="A74" s="309">
        <f t="shared" si="3"/>
        <v>74</v>
      </c>
      <c r="B74" s="309" t="str">
        <f t="shared" si="2"/>
        <v>11.13 Grants Approp Rsrv</v>
      </c>
    </row>
    <row r="75" spans="1:2">
      <c r="A75" s="309">
        <f t="shared" si="3"/>
        <v>75</v>
      </c>
      <c r="B75" s="309" t="str">
        <f t="shared" si="2"/>
        <v>11.14 Grants Approp Rsrv</v>
      </c>
    </row>
    <row r="76" spans="1:2">
      <c r="A76" s="309">
        <f t="shared" si="3"/>
        <v>76</v>
      </c>
      <c r="B76" s="309" t="str">
        <f t="shared" si="2"/>
        <v>11.15 Grants Approp Rsrv</v>
      </c>
    </row>
    <row r="77" spans="1:2">
      <c r="A77" s="309">
        <f t="shared" si="3"/>
        <v>77</v>
      </c>
      <c r="B77" s="309" t="str">
        <f t="shared" si="2"/>
        <v>11.16 Grants Approp Rsrv</v>
      </c>
    </row>
    <row r="78" spans="1:2">
      <c r="A78" s="309">
        <f t="shared" si="3"/>
        <v>78</v>
      </c>
      <c r="B78" s="309" t="str">
        <f t="shared" si="2"/>
        <v>11.17 Grants Approp Rsrv</v>
      </c>
    </row>
    <row r="79" spans="1:2">
      <c r="A79" s="309">
        <f t="shared" si="3"/>
        <v>79</v>
      </c>
      <c r="B79" s="309" t="str">
        <f t="shared" si="2"/>
        <v>11.18 Grants Approp Rsrv</v>
      </c>
    </row>
    <row r="80" spans="1:2">
      <c r="A80" s="309">
        <f t="shared" si="3"/>
        <v>80</v>
      </c>
      <c r="B80" s="309" t="str">
        <f t="shared" si="2"/>
        <v>11.19 Grants Approp Rsrv</v>
      </c>
    </row>
    <row r="81" spans="1:2">
      <c r="A81" s="309">
        <f t="shared" si="3"/>
        <v>81</v>
      </c>
      <c r="B81" s="309" t="str">
        <f t="shared" si="2"/>
        <v>11.20 Grants Approp Rsrv</v>
      </c>
    </row>
    <row r="82" spans="1:2">
      <c r="A82" s="309">
        <f t="shared" si="3"/>
        <v>82</v>
      </c>
      <c r="B82" s="309" t="str">
        <f t="shared" si="2"/>
        <v>11.21 Grants Approp Rsrv</v>
      </c>
    </row>
    <row r="83" spans="1:2">
      <c r="A83" s="309">
        <f t="shared" si="3"/>
        <v>83</v>
      </c>
      <c r="B83" s="309" t="str">
        <f t="shared" si="2"/>
        <v>11.22 Grants Approp Rsrv</v>
      </c>
    </row>
    <row r="84" spans="1:2">
      <c r="A84" s="309">
        <f t="shared" si="3"/>
        <v>84</v>
      </c>
      <c r="B84" s="309" t="str">
        <f t="shared" si="2"/>
        <v>11.23 Grants Approp Rsrv</v>
      </c>
    </row>
    <row r="85" spans="1:2">
      <c r="A85" s="309">
        <f t="shared" si="3"/>
        <v>85</v>
      </c>
      <c r="B85" s="309" t="str">
        <f t="shared" si="2"/>
        <v>11.24 Grants Approp Rsrv</v>
      </c>
    </row>
    <row r="86" spans="1:2">
      <c r="A86" s="309">
        <f t="shared" si="3"/>
        <v>86</v>
      </c>
      <c r="B86" s="309" t="str">
        <f t="shared" si="2"/>
        <v>11.25 Grants Approp Rsrv</v>
      </c>
    </row>
    <row r="87" spans="1:2">
      <c r="A87" s="309">
        <f t="shared" si="3"/>
        <v>87</v>
      </c>
      <c r="B87" s="309" t="str">
        <f t="shared" si="2"/>
        <v>11.26 Grants Approp Rsrv</v>
      </c>
    </row>
    <row r="88" spans="1:2">
      <c r="A88" s="309">
        <f t="shared" si="3"/>
        <v>88</v>
      </c>
      <c r="B88" s="309" t="str">
        <f t="shared" si="2"/>
        <v>11.27 Grants Approp Rsrv</v>
      </c>
    </row>
    <row r="89" spans="1:2">
      <c r="A89" s="309">
        <f t="shared" si="3"/>
        <v>89</v>
      </c>
      <c r="B89" s="309" t="str">
        <f t="shared" si="2"/>
        <v>11.28 Grants Approp Rsrv</v>
      </c>
    </row>
    <row r="90" spans="1:2">
      <c r="A90" s="309">
        <f t="shared" si="3"/>
        <v>90</v>
      </c>
      <c r="B90" s="309" t="str">
        <f t="shared" si="2"/>
        <v>11.29 Grants Approp Rsrv</v>
      </c>
    </row>
    <row r="91" spans="1:2">
      <c r="A91" s="309">
        <f t="shared" si="3"/>
        <v>91</v>
      </c>
      <c r="B91" s="309" t="str">
        <f t="shared" si="2"/>
        <v>11.30 Grants Approp Rsrv</v>
      </c>
    </row>
    <row r="92" spans="1:2">
      <c r="A92" s="309">
        <f t="shared" si="3"/>
        <v>92</v>
      </c>
      <c r="B92" s="309" t="str">
        <f t="shared" si="2"/>
        <v>11.31 Grants Approp Rsrv</v>
      </c>
    </row>
    <row r="93" spans="1:2">
      <c r="A93" s="309">
        <f t="shared" si="3"/>
        <v>93</v>
      </c>
      <c r="B93" s="309" t="str">
        <f t="shared" si="2"/>
        <v>11.32 Grants Approp Rsrv</v>
      </c>
    </row>
    <row r="94" spans="1:2">
      <c r="A94" s="309">
        <f t="shared" si="3"/>
        <v>94</v>
      </c>
      <c r="B94" s="309" t="str">
        <f t="shared" si="2"/>
        <v>11.33 Grants Approp Rsrv</v>
      </c>
    </row>
    <row r="95" spans="1:2">
      <c r="A95" s="309">
        <f t="shared" si="3"/>
        <v>95</v>
      </c>
      <c r="B95" s="309" t="str">
        <f t="shared" si="2"/>
        <v>11.34 Grants Approp Rsrv</v>
      </c>
    </row>
    <row r="96" spans="1:2">
      <c r="A96" s="309">
        <f t="shared" si="3"/>
        <v>96</v>
      </c>
      <c r="B96" s="309" t="str">
        <f t="shared" si="2"/>
        <v>11.35 Grants Approp Rsrv</v>
      </c>
    </row>
    <row r="97" spans="1:2">
      <c r="A97" s="309">
        <f t="shared" si="3"/>
        <v>97</v>
      </c>
      <c r="B97" s="309" t="str">
        <f t="shared" si="2"/>
        <v>11.36 Grants Approp Rsrv</v>
      </c>
    </row>
    <row r="98" spans="1:2">
      <c r="A98" s="309">
        <f t="shared" si="3"/>
        <v>98</v>
      </c>
      <c r="B98" s="309" t="str">
        <f t="shared" si="2"/>
        <v>11.37 Grants Approp Rsrv</v>
      </c>
    </row>
    <row r="99" spans="1:2">
      <c r="A99" s="309">
        <f t="shared" si="3"/>
        <v>99</v>
      </c>
      <c r="B99" s="309" t="str">
        <f t="shared" si="2"/>
        <v>11.38 Grants Approp Rsrv</v>
      </c>
    </row>
    <row r="100" spans="1:2">
      <c r="A100" s="309">
        <f t="shared" si="3"/>
        <v>100</v>
      </c>
      <c r="B100" s="309" t="str">
        <f t="shared" si="2"/>
        <v>11.39 Grants Approp Rsrv</v>
      </c>
    </row>
    <row r="101" spans="1:2">
      <c r="A101" s="309">
        <f t="shared" si="3"/>
        <v>101</v>
      </c>
      <c r="B101" s="309" t="str">
        <f t="shared" si="2"/>
        <v>11- Totals Grants Approp Rsrv</v>
      </c>
    </row>
    <row r="102" spans="1:2">
      <c r="A102" s="309">
        <f t="shared" si="3"/>
        <v>102</v>
      </c>
      <c r="B102" s="309" t="str">
        <f t="shared" si="2"/>
        <v>12-Grants Unappropriated</v>
      </c>
    </row>
    <row r="103" spans="1:2">
      <c r="A103" s="309">
        <f t="shared" si="3"/>
        <v>103</v>
      </c>
      <c r="B103" s="309" t="str">
        <f t="shared" si="2"/>
        <v>12.1-Grants Unappropriated</v>
      </c>
    </row>
    <row r="104" spans="1:2">
      <c r="A104" s="309">
        <f t="shared" si="3"/>
        <v>104</v>
      </c>
      <c r="B104" s="309" t="str">
        <f t="shared" si="2"/>
        <v>12.2-Grants Unappropriated</v>
      </c>
    </row>
    <row r="105" spans="1:2">
      <c r="A105" s="309">
        <f t="shared" si="3"/>
        <v>105</v>
      </c>
      <c r="B105" s="309" t="str">
        <f t="shared" si="2"/>
        <v>12 Total-Grants Unappropriated</v>
      </c>
    </row>
    <row r="106" spans="1:2">
      <c r="A106" s="309">
        <f t="shared" si="3"/>
        <v>106</v>
      </c>
      <c r="B106" s="309" t="str">
        <f t="shared" si="2"/>
        <v>13-Other Taxes</v>
      </c>
    </row>
    <row r="107" spans="1:2">
      <c r="A107" s="309">
        <f t="shared" si="3"/>
        <v>107</v>
      </c>
      <c r="B107" s="309" t="str">
        <f t="shared" si="2"/>
        <v>14-Other Taxes</v>
      </c>
    </row>
    <row r="108" spans="1:2">
      <c r="A108" s="309">
        <f t="shared" si="3"/>
        <v>108</v>
      </c>
      <c r="B108" s="309" t="str">
        <f t="shared" si="2"/>
        <v>15-Other Taxes</v>
      </c>
    </row>
    <row r="109" spans="1:2">
      <c r="A109" s="309">
        <f t="shared" si="3"/>
        <v>109</v>
      </c>
      <c r="B109" s="309" t="str">
        <f t="shared" si="2"/>
        <v>17-Budget Revenues</v>
      </c>
    </row>
    <row r="110" spans="1:2">
      <c r="A110" s="309">
        <f t="shared" si="3"/>
        <v>110</v>
      </c>
      <c r="B110" s="309" t="str">
        <f t="shared" si="2"/>
        <v>17a-Budget Revenues</v>
      </c>
    </row>
    <row r="111" spans="1:2">
      <c r="A111" s="309">
        <f t="shared" si="3"/>
        <v>111</v>
      </c>
      <c r="B111" s="309" t="str">
        <f t="shared" si="2"/>
        <v xml:space="preserve">17a.1-Budget Revenues </v>
      </c>
    </row>
    <row r="112" spans="1:2">
      <c r="A112" s="309">
        <f t="shared" si="3"/>
        <v>112</v>
      </c>
      <c r="B112" s="309" t="str">
        <f t="shared" si="2"/>
        <v>17a.2-Budget Revenues</v>
      </c>
    </row>
    <row r="113" spans="1:2">
      <c r="A113" s="309">
        <f t="shared" si="3"/>
        <v>113</v>
      </c>
      <c r="B113" s="309" t="str">
        <f t="shared" si="2"/>
        <v>17a.3-Budget Revenues</v>
      </c>
    </row>
    <row r="114" spans="1:2">
      <c r="A114" s="309">
        <f t="shared" si="3"/>
        <v>114</v>
      </c>
      <c r="B114" s="309" t="str">
        <f t="shared" si="2"/>
        <v>17a Totals-Budget Revenues</v>
      </c>
    </row>
    <row r="115" spans="1:2">
      <c r="A115" s="309">
        <f t="shared" si="3"/>
        <v>115</v>
      </c>
      <c r="B115" s="309" t="str">
        <f t="shared" si="2"/>
        <v>18-Budget Appropriations</v>
      </c>
    </row>
    <row r="116" spans="1:2">
      <c r="A116" s="309">
        <f t="shared" si="3"/>
        <v>116</v>
      </c>
      <c r="B116" s="309" t="str">
        <f t="shared" si="2"/>
        <v>19-Results of Op-Cur Fnd</v>
      </c>
    </row>
    <row r="117" spans="1:2">
      <c r="A117" s="309">
        <f t="shared" si="3"/>
        <v>117</v>
      </c>
      <c r="B117" s="309" t="str">
        <f t="shared" si="2"/>
        <v>20-Misc Rev Not Ant</v>
      </c>
    </row>
    <row r="118" spans="1:2">
      <c r="A118" s="309">
        <f t="shared" si="3"/>
        <v>118</v>
      </c>
      <c r="B118" s="309" t="str">
        <f t="shared" si="2"/>
        <v>20.1-Misc Rev Not Ant</v>
      </c>
    </row>
    <row r="119" spans="1:2">
      <c r="A119" s="309">
        <f t="shared" si="3"/>
        <v>119</v>
      </c>
      <c r="B119" s="309" t="str">
        <f t="shared" si="2"/>
        <v>20 Total-Misc Rev Not Ant</v>
      </c>
    </row>
    <row r="120" spans="1:2">
      <c r="A120" s="309">
        <f t="shared" si="3"/>
        <v>120</v>
      </c>
      <c r="B120" s="309" t="str">
        <f t="shared" si="2"/>
        <v>21-Current Fund Surplus</v>
      </c>
    </row>
    <row r="121" spans="1:2">
      <c r="A121" s="309">
        <f t="shared" si="3"/>
        <v>121</v>
      </c>
      <c r="B121" s="309" t="str">
        <f t="shared" si="2"/>
        <v>22-CY Levy</v>
      </c>
    </row>
    <row r="122" spans="1:2">
      <c r="A122" s="309">
        <f t="shared" si="3"/>
        <v>122</v>
      </c>
      <c r="B122" s="309" t="str">
        <f t="shared" si="2"/>
        <v>22a-Tax Levy Sale</v>
      </c>
    </row>
    <row r="123" spans="1:2">
      <c r="A123" s="309">
        <f t="shared" si="3"/>
        <v>123</v>
      </c>
      <c r="B123" s="309" t="str">
        <f t="shared" si="2"/>
        <v>23-SCVet Deductions</v>
      </c>
    </row>
    <row r="124" spans="1:2">
      <c r="A124" s="309">
        <f t="shared" si="3"/>
        <v>124</v>
      </c>
      <c r="B124" s="309" t="str">
        <f t="shared" si="2"/>
        <v>24-Reserves for Tax Appeals</v>
      </c>
    </row>
    <row r="125" spans="1:2">
      <c r="A125" s="309">
        <f t="shared" si="3"/>
        <v>125</v>
      </c>
      <c r="B125" s="309" t="str">
        <f t="shared" si="2"/>
        <v>26-Delinquent Taxes and Liens</v>
      </c>
    </row>
    <row r="126" spans="1:2">
      <c r="A126" s="309">
        <f t="shared" si="3"/>
        <v>126</v>
      </c>
      <c r="B126" s="309" t="str">
        <f t="shared" si="2"/>
        <v>27-Foreclosed Property</v>
      </c>
    </row>
    <row r="127" spans="1:2">
      <c r="A127" s="309">
        <f t="shared" si="3"/>
        <v>127</v>
      </c>
      <c r="B127" s="309" t="str">
        <f t="shared" si="2"/>
        <v>28-Deferred Charges</v>
      </c>
    </row>
    <row r="128" spans="1:2">
      <c r="A128" s="309">
        <f t="shared" si="3"/>
        <v>128</v>
      </c>
      <c r="B128" s="309" t="str">
        <f t="shared" si="2"/>
        <v>29-Special Emergency</v>
      </c>
    </row>
    <row r="129" spans="1:2">
      <c r="A129" s="309">
        <f t="shared" si="3"/>
        <v>129</v>
      </c>
      <c r="B129" s="309" t="str">
        <f t="shared" si="2"/>
        <v>30-Special Emergency</v>
      </c>
    </row>
    <row r="130" spans="1:2">
      <c r="A130" s="309">
        <f t="shared" si="3"/>
        <v>130</v>
      </c>
      <c r="B130" s="309" t="str">
        <f t="shared" ref="B130:B193" si="4">INDEX(SheetNames,A130)</f>
        <v>31-Capital Bond Schedule</v>
      </c>
    </row>
    <row r="131" spans="1:2">
      <c r="A131" s="309">
        <f t="shared" ref="A131:A194" si="5">A130+1</f>
        <v>131</v>
      </c>
      <c r="B131" s="309" t="str">
        <f t="shared" si="4"/>
        <v>31A-Loan Schedule</v>
      </c>
    </row>
    <row r="132" spans="1:2">
      <c r="A132" s="309">
        <f t="shared" si="5"/>
        <v>132</v>
      </c>
      <c r="B132" s="309" t="str">
        <f t="shared" si="4"/>
        <v>31A.1-Loan Schedule</v>
      </c>
    </row>
    <row r="133" spans="1:2">
      <c r="A133" s="309">
        <f t="shared" si="5"/>
        <v>133</v>
      </c>
      <c r="B133" s="309" t="str">
        <f t="shared" si="4"/>
        <v>31A.2-Loan Schedule</v>
      </c>
    </row>
    <row r="134" spans="1:2">
      <c r="A134" s="309">
        <f t="shared" si="5"/>
        <v>134</v>
      </c>
      <c r="B134" s="309" t="str">
        <f t="shared" si="4"/>
        <v>32-Bond Schedule</v>
      </c>
    </row>
    <row r="135" spans="1:2">
      <c r="A135" s="309">
        <f t="shared" si="5"/>
        <v>135</v>
      </c>
      <c r="B135" s="309" t="str">
        <f t="shared" si="4"/>
        <v>33-Note Debt Service</v>
      </c>
    </row>
    <row r="136" spans="1:2">
      <c r="A136" s="309">
        <f t="shared" si="5"/>
        <v>136</v>
      </c>
      <c r="B136" s="309" t="str">
        <f t="shared" si="4"/>
        <v>33.1-Note Debt Service</v>
      </c>
    </row>
    <row r="137" spans="1:2">
      <c r="A137" s="309">
        <f t="shared" si="5"/>
        <v>137</v>
      </c>
      <c r="B137" s="309" t="str">
        <f t="shared" si="4"/>
        <v>33 Totals-Note Debt Service</v>
      </c>
    </row>
    <row r="138" spans="1:2">
      <c r="A138" s="309">
        <f t="shared" si="5"/>
        <v>138</v>
      </c>
      <c r="B138" s="309" t="str">
        <f t="shared" si="4"/>
        <v>34-Assmt Note Debt Service</v>
      </c>
    </row>
    <row r="139" spans="1:2">
      <c r="A139" s="309">
        <f t="shared" si="5"/>
        <v>139</v>
      </c>
      <c r="B139" s="309" t="str">
        <f t="shared" si="4"/>
        <v>34a-Cap Lease Program Oblg</v>
      </c>
    </row>
    <row r="140" spans="1:2">
      <c r="A140" s="309">
        <f t="shared" si="5"/>
        <v>140</v>
      </c>
      <c r="B140" s="309" t="str">
        <f t="shared" si="4"/>
        <v>35- Cap Fund Imprv Auth</v>
      </c>
    </row>
    <row r="141" spans="1:2">
      <c r="A141" s="309">
        <f t="shared" si="5"/>
        <v>141</v>
      </c>
      <c r="B141" s="309" t="str">
        <f t="shared" si="4"/>
        <v xml:space="preserve">35.1- Cap Fund Imprv Auth </v>
      </c>
    </row>
    <row r="142" spans="1:2">
      <c r="A142" s="309">
        <f t="shared" si="5"/>
        <v>142</v>
      </c>
      <c r="B142" s="309" t="str">
        <f t="shared" si="4"/>
        <v>35.2- Cap Fund Imprv Auth</v>
      </c>
    </row>
    <row r="143" spans="1:2">
      <c r="A143" s="309">
        <f t="shared" si="5"/>
        <v>143</v>
      </c>
      <c r="B143" s="309" t="str">
        <f t="shared" si="4"/>
        <v>35.3- Cap Fund Imprv Auth</v>
      </c>
    </row>
    <row r="144" spans="1:2">
      <c r="A144" s="309">
        <f t="shared" si="5"/>
        <v>144</v>
      </c>
      <c r="B144" s="309" t="str">
        <f t="shared" si="4"/>
        <v>35.4- Cap Fund Imprv Auth</v>
      </c>
    </row>
    <row r="145" spans="1:2">
      <c r="A145" s="309">
        <f t="shared" si="5"/>
        <v>145</v>
      </c>
      <c r="B145" s="309" t="str">
        <f t="shared" si="4"/>
        <v>35.5- Cap Fund Imprv Auth</v>
      </c>
    </row>
    <row r="146" spans="1:2">
      <c r="A146" s="309">
        <f t="shared" si="5"/>
        <v>146</v>
      </c>
      <c r="B146" s="309" t="str">
        <f t="shared" si="4"/>
        <v>35.6- Cap Fund Imprv Auth</v>
      </c>
    </row>
    <row r="147" spans="1:2">
      <c r="A147" s="309">
        <f t="shared" si="5"/>
        <v>147</v>
      </c>
      <c r="B147" s="309" t="str">
        <f t="shared" si="4"/>
        <v>35.7- Cap Fund Imprv Auth</v>
      </c>
    </row>
    <row r="148" spans="1:2">
      <c r="A148" s="309">
        <f t="shared" si="5"/>
        <v>148</v>
      </c>
      <c r="B148" s="309" t="str">
        <f t="shared" si="4"/>
        <v>35.8- Cap Fund Imprv Auth</v>
      </c>
    </row>
    <row r="149" spans="1:2">
      <c r="A149" s="309">
        <f t="shared" si="5"/>
        <v>149</v>
      </c>
      <c r="B149" s="309" t="str">
        <f t="shared" si="4"/>
        <v>35.9- Cap Fund Imprv Auth</v>
      </c>
    </row>
    <row r="150" spans="1:2">
      <c r="A150" s="309">
        <f t="shared" si="5"/>
        <v>150</v>
      </c>
      <c r="B150" s="309" t="str">
        <f t="shared" si="4"/>
        <v>35 Totals- Cap Fund Imprv Auth</v>
      </c>
    </row>
    <row r="151" spans="1:2">
      <c r="A151" s="309">
        <f t="shared" si="5"/>
        <v>151</v>
      </c>
      <c r="B151" s="309" t="str">
        <f t="shared" si="4"/>
        <v>36- Capital Improvement Fund</v>
      </c>
    </row>
    <row r="152" spans="1:2">
      <c r="A152" s="309">
        <f t="shared" si="5"/>
        <v>152</v>
      </c>
      <c r="B152" s="309" t="str">
        <f t="shared" si="4"/>
        <v>37- Cap Fund Down Pymts</v>
      </c>
    </row>
    <row r="153" spans="1:2">
      <c r="A153" s="309">
        <f t="shared" si="5"/>
        <v>153</v>
      </c>
      <c r="B153" s="309" t="str">
        <f t="shared" si="4"/>
        <v>37- Cap Fund Down Pymts (2)</v>
      </c>
    </row>
    <row r="154" spans="1:2">
      <c r="A154" s="309">
        <f t="shared" si="5"/>
        <v>154</v>
      </c>
      <c r="B154" s="309" t="str">
        <f t="shared" si="4"/>
        <v>38- Capital Surplus</v>
      </c>
    </row>
    <row r="155" spans="1:2">
      <c r="A155" s="309">
        <f t="shared" si="5"/>
        <v>155</v>
      </c>
      <c r="B155" s="309" t="str">
        <f t="shared" si="4"/>
        <v>39- Req. Information</v>
      </c>
    </row>
    <row r="156" spans="1:2">
      <c r="A156" s="309">
        <f t="shared" si="5"/>
        <v>156</v>
      </c>
      <c r="B156" s="309" t="str">
        <f t="shared" si="4"/>
        <v>40</v>
      </c>
    </row>
    <row r="157" spans="1:2">
      <c r="A157" s="309">
        <f t="shared" si="5"/>
        <v>157</v>
      </c>
      <c r="B157" s="309" t="str">
        <f t="shared" si="4"/>
        <v>41-Utility1</v>
      </c>
    </row>
    <row r="158" spans="1:2">
      <c r="A158" s="309">
        <f t="shared" si="5"/>
        <v>158</v>
      </c>
      <c r="B158" s="309" t="str">
        <f t="shared" si="4"/>
        <v>41a-Utility1</v>
      </c>
    </row>
    <row r="159" spans="1:2">
      <c r="A159" s="309">
        <f t="shared" si="5"/>
        <v>159</v>
      </c>
      <c r="B159" s="309" t="str">
        <f t="shared" si="4"/>
        <v>41a.1-Utility1</v>
      </c>
    </row>
    <row r="160" spans="1:2">
      <c r="A160" s="309">
        <f t="shared" si="5"/>
        <v>160</v>
      </c>
      <c r="B160" s="309" t="str">
        <f t="shared" si="4"/>
        <v>42-Utility1</v>
      </c>
    </row>
    <row r="161" spans="1:2">
      <c r="A161" s="309">
        <f t="shared" si="5"/>
        <v>161</v>
      </c>
      <c r="B161" s="309" t="str">
        <f t="shared" si="4"/>
        <v>43-Utility1</v>
      </c>
    </row>
    <row r="162" spans="1:2">
      <c r="A162" s="309">
        <f t="shared" si="5"/>
        <v>162</v>
      </c>
      <c r="B162" s="309" t="str">
        <f t="shared" si="4"/>
        <v>44-Utility1</v>
      </c>
    </row>
    <row r="163" spans="1:2">
      <c r="A163" s="309">
        <f t="shared" si="5"/>
        <v>163</v>
      </c>
      <c r="B163" s="309" t="str">
        <f t="shared" si="4"/>
        <v>45-Utility1</v>
      </c>
    </row>
    <row r="164" spans="1:2">
      <c r="A164" s="309">
        <f t="shared" si="5"/>
        <v>164</v>
      </c>
      <c r="B164" s="309" t="str">
        <f t="shared" si="4"/>
        <v>46-Utility1</v>
      </c>
    </row>
    <row r="165" spans="1:2">
      <c r="A165" s="309">
        <f t="shared" si="5"/>
        <v>165</v>
      </c>
      <c r="B165" s="309" t="str">
        <f t="shared" si="4"/>
        <v>47-Utility1</v>
      </c>
    </row>
    <row r="166" spans="1:2">
      <c r="A166" s="309">
        <f t="shared" si="5"/>
        <v>166</v>
      </c>
      <c r="B166" s="309" t="str">
        <f t="shared" si="4"/>
        <v>48-Utility1</v>
      </c>
    </row>
    <row r="167" spans="1:2">
      <c r="A167" s="309">
        <f t="shared" si="5"/>
        <v>167</v>
      </c>
      <c r="B167" s="309" t="str">
        <f t="shared" si="4"/>
        <v>48a-Utility1</v>
      </c>
    </row>
    <row r="168" spans="1:2">
      <c r="A168" s="309">
        <f t="shared" si="5"/>
        <v>168</v>
      </c>
      <c r="B168" s="309" t="str">
        <f t="shared" si="4"/>
        <v>49-Utility1</v>
      </c>
    </row>
    <row r="169" spans="1:2">
      <c r="A169" s="309">
        <f t="shared" si="5"/>
        <v>169</v>
      </c>
      <c r="B169" s="309" t="str">
        <f t="shared" si="4"/>
        <v>49a-Utility1</v>
      </c>
    </row>
    <row r="170" spans="1:2">
      <c r="A170" s="309">
        <f t="shared" si="5"/>
        <v>170</v>
      </c>
      <c r="B170" s="309" t="str">
        <f t="shared" si="4"/>
        <v>49a.1-Utility1</v>
      </c>
    </row>
    <row r="171" spans="1:2">
      <c r="A171" s="309">
        <f t="shared" si="5"/>
        <v>171</v>
      </c>
      <c r="B171" s="309" t="str">
        <f t="shared" si="4"/>
        <v>50-Utility1</v>
      </c>
    </row>
    <row r="172" spans="1:2">
      <c r="A172" s="309">
        <f t="shared" si="5"/>
        <v>172</v>
      </c>
      <c r="B172" s="309" t="str">
        <f t="shared" si="4"/>
        <v>50.1-Utility1</v>
      </c>
    </row>
    <row r="173" spans="1:2">
      <c r="A173" s="309">
        <f t="shared" si="5"/>
        <v>173</v>
      </c>
      <c r="B173" s="309" t="str">
        <f t="shared" si="4"/>
        <v>51-Utility1</v>
      </c>
    </row>
    <row r="174" spans="1:2">
      <c r="A174" s="309">
        <f t="shared" si="5"/>
        <v>174</v>
      </c>
      <c r="B174" s="309" t="str">
        <f t="shared" si="4"/>
        <v>51a-Utility1</v>
      </c>
    </row>
    <row r="175" spans="1:2">
      <c r="A175" s="309">
        <f t="shared" si="5"/>
        <v>175</v>
      </c>
      <c r="B175" s="309" t="str">
        <f t="shared" si="4"/>
        <v>52-Utility1</v>
      </c>
    </row>
    <row r="176" spans="1:2">
      <c r="A176" s="309">
        <f t="shared" si="5"/>
        <v>176</v>
      </c>
      <c r="B176" s="309" t="str">
        <f t="shared" si="4"/>
        <v>52.1-Utility1</v>
      </c>
    </row>
    <row r="177" spans="1:2">
      <c r="A177" s="309">
        <f t="shared" si="5"/>
        <v>177</v>
      </c>
      <c r="B177" s="309" t="str">
        <f t="shared" si="4"/>
        <v>52.2-Utility1</v>
      </c>
    </row>
    <row r="178" spans="1:2">
      <c r="A178" s="309">
        <f t="shared" si="5"/>
        <v>178</v>
      </c>
      <c r="B178" s="309" t="str">
        <f t="shared" si="4"/>
        <v>52.3-Utility1</v>
      </c>
    </row>
    <row r="179" spans="1:2">
      <c r="A179" s="309">
        <f t="shared" si="5"/>
        <v>179</v>
      </c>
      <c r="B179" s="309" t="str">
        <f t="shared" si="4"/>
        <v>52-Totals-Utility1</v>
      </c>
    </row>
    <row r="180" spans="1:2">
      <c r="A180" s="309">
        <f t="shared" si="5"/>
        <v>180</v>
      </c>
      <c r="B180" s="309" t="str">
        <f t="shared" si="4"/>
        <v>53-Utility1</v>
      </c>
    </row>
    <row r="181" spans="1:2">
      <c r="A181" s="309">
        <f t="shared" si="5"/>
        <v>181</v>
      </c>
      <c r="B181" s="309" t="str">
        <f>INDEX(SheetNames,A181)</f>
        <v>54-Utility1</v>
      </c>
    </row>
    <row r="182" spans="1:2">
      <c r="A182" s="309">
        <f t="shared" si="5"/>
        <v>182</v>
      </c>
      <c r="B182" s="309" t="str">
        <f>INDEX(SheetNames,A182)</f>
        <v>41-Utility2</v>
      </c>
    </row>
    <row r="183" spans="1:2">
      <c r="A183" s="309">
        <f t="shared" si="5"/>
        <v>183</v>
      </c>
      <c r="B183" s="309" t="str">
        <f>INDEX(SheetNames,A183)</f>
        <v>41a-Utility2</v>
      </c>
    </row>
    <row r="184" spans="1:2">
      <c r="A184" s="309">
        <f t="shared" si="5"/>
        <v>184</v>
      </c>
      <c r="B184" s="309" t="str">
        <f t="shared" si="4"/>
        <v>41a.1-Utility2</v>
      </c>
    </row>
    <row r="185" spans="1:2">
      <c r="A185" s="309">
        <f t="shared" si="5"/>
        <v>185</v>
      </c>
      <c r="B185" s="309" t="str">
        <f t="shared" si="4"/>
        <v>42-Utility2</v>
      </c>
    </row>
    <row r="186" spans="1:2">
      <c r="A186" s="309">
        <f t="shared" si="5"/>
        <v>186</v>
      </c>
      <c r="B186" s="309" t="str">
        <f t="shared" si="4"/>
        <v>43-Utility2</v>
      </c>
    </row>
    <row r="187" spans="1:2">
      <c r="A187" s="309">
        <f t="shared" si="5"/>
        <v>187</v>
      </c>
      <c r="B187" s="309" t="str">
        <f t="shared" si="4"/>
        <v>44-Utility2</v>
      </c>
    </row>
    <row r="188" spans="1:2">
      <c r="A188" s="309">
        <f t="shared" si="5"/>
        <v>188</v>
      </c>
      <c r="B188" s="309" t="str">
        <f t="shared" si="4"/>
        <v>45-Utility2</v>
      </c>
    </row>
    <row r="189" spans="1:2">
      <c r="A189" s="309">
        <f t="shared" si="5"/>
        <v>189</v>
      </c>
      <c r="B189" s="309" t="str">
        <f t="shared" si="4"/>
        <v>46-Utility2</v>
      </c>
    </row>
    <row r="190" spans="1:2">
      <c r="A190" s="309">
        <f t="shared" si="5"/>
        <v>190</v>
      </c>
      <c r="B190" s="309" t="str">
        <f t="shared" si="4"/>
        <v>47-Utility2</v>
      </c>
    </row>
    <row r="191" spans="1:2">
      <c r="A191" s="309">
        <f t="shared" si="5"/>
        <v>191</v>
      </c>
      <c r="B191" s="309" t="str">
        <f t="shared" si="4"/>
        <v>48-Utility2</v>
      </c>
    </row>
    <row r="192" spans="1:2">
      <c r="A192" s="309">
        <f t="shared" si="5"/>
        <v>192</v>
      </c>
      <c r="B192" s="309" t="str">
        <f t="shared" si="4"/>
        <v>48a-Utility2</v>
      </c>
    </row>
    <row r="193" spans="1:2">
      <c r="A193" s="309">
        <f t="shared" si="5"/>
        <v>193</v>
      </c>
      <c r="B193" s="309" t="str">
        <f t="shared" si="4"/>
        <v>49-Utility2</v>
      </c>
    </row>
    <row r="194" spans="1:2">
      <c r="A194" s="309">
        <f t="shared" si="5"/>
        <v>194</v>
      </c>
      <c r="B194" s="309" t="str">
        <f t="shared" ref="B194:B257" si="6">INDEX(SheetNames,A194)</f>
        <v>49a-Utility2</v>
      </c>
    </row>
    <row r="195" spans="1:2">
      <c r="A195" s="309">
        <f t="shared" ref="A195:A258" si="7">A194+1</f>
        <v>195</v>
      </c>
      <c r="B195" s="309" t="str">
        <f t="shared" si="6"/>
        <v>49a.1-Utility2</v>
      </c>
    </row>
    <row r="196" spans="1:2">
      <c r="A196" s="309">
        <f t="shared" si="7"/>
        <v>196</v>
      </c>
      <c r="B196" s="309" t="str">
        <f t="shared" si="6"/>
        <v>50-Utility2</v>
      </c>
    </row>
    <row r="197" spans="1:2">
      <c r="A197" s="309">
        <f t="shared" si="7"/>
        <v>197</v>
      </c>
      <c r="B197" s="309" t="str">
        <f t="shared" si="6"/>
        <v>50.1-Utility2</v>
      </c>
    </row>
    <row r="198" spans="1:2">
      <c r="A198" s="309">
        <f t="shared" si="7"/>
        <v>198</v>
      </c>
      <c r="B198" s="309" t="str">
        <f t="shared" si="6"/>
        <v>51-Utility2</v>
      </c>
    </row>
    <row r="199" spans="1:2">
      <c r="A199" s="309">
        <f t="shared" si="7"/>
        <v>199</v>
      </c>
      <c r="B199" s="309" t="str">
        <f t="shared" si="6"/>
        <v>51a-Utility2</v>
      </c>
    </row>
    <row r="200" spans="1:2">
      <c r="A200" s="309">
        <f t="shared" si="7"/>
        <v>200</v>
      </c>
      <c r="B200" s="309" t="str">
        <f t="shared" si="6"/>
        <v>52-Utility2</v>
      </c>
    </row>
    <row r="201" spans="1:2">
      <c r="A201" s="309">
        <f t="shared" si="7"/>
        <v>201</v>
      </c>
      <c r="B201" s="309" t="str">
        <f t="shared" si="6"/>
        <v>52.1-Utility2</v>
      </c>
    </row>
    <row r="202" spans="1:2">
      <c r="A202" s="309">
        <f t="shared" si="7"/>
        <v>202</v>
      </c>
      <c r="B202" s="309" t="str">
        <f t="shared" si="6"/>
        <v>52.2-Utility2</v>
      </c>
    </row>
    <row r="203" spans="1:2">
      <c r="A203" s="309">
        <f t="shared" si="7"/>
        <v>203</v>
      </c>
      <c r="B203" s="309" t="str">
        <f t="shared" si="6"/>
        <v>52.3-Utility2</v>
      </c>
    </row>
    <row r="204" spans="1:2">
      <c r="A204" s="309">
        <f t="shared" si="7"/>
        <v>204</v>
      </c>
      <c r="B204" s="309" t="str">
        <f t="shared" si="6"/>
        <v>52-Totals-Utility2</v>
      </c>
    </row>
    <row r="205" spans="1:2">
      <c r="A205" s="309">
        <f t="shared" si="7"/>
        <v>205</v>
      </c>
      <c r="B205" s="309" t="str">
        <f t="shared" si="6"/>
        <v>53-Utility2</v>
      </c>
    </row>
    <row r="206" spans="1:2">
      <c r="A206" s="309">
        <f t="shared" si="7"/>
        <v>206</v>
      </c>
      <c r="B206" s="309" t="str">
        <f t="shared" si="6"/>
        <v>54-Utility2</v>
      </c>
    </row>
    <row r="207" spans="1:2">
      <c r="A207" s="309">
        <f t="shared" si="7"/>
        <v>207</v>
      </c>
      <c r="B207" s="309" t="str">
        <f t="shared" si="6"/>
        <v>41-Utility3</v>
      </c>
    </row>
    <row r="208" spans="1:2">
      <c r="A208" s="309">
        <f t="shared" si="7"/>
        <v>208</v>
      </c>
      <c r="B208" s="309" t="str">
        <f t="shared" si="6"/>
        <v>41a-Utility3</v>
      </c>
    </row>
    <row r="209" spans="1:2">
      <c r="A209" s="309">
        <f t="shared" si="7"/>
        <v>209</v>
      </c>
      <c r="B209" s="309" t="str">
        <f t="shared" si="6"/>
        <v>41a.1-Utility3</v>
      </c>
    </row>
    <row r="210" spans="1:2">
      <c r="A210" s="309">
        <f t="shared" si="7"/>
        <v>210</v>
      </c>
      <c r="B210" s="309" t="str">
        <f t="shared" si="6"/>
        <v>42-Utility3</v>
      </c>
    </row>
    <row r="211" spans="1:2">
      <c r="A211" s="309">
        <f t="shared" si="7"/>
        <v>211</v>
      </c>
      <c r="B211" s="309" t="str">
        <f t="shared" si="6"/>
        <v>43-Utility3</v>
      </c>
    </row>
    <row r="212" spans="1:2">
      <c r="A212" s="309">
        <f t="shared" si="7"/>
        <v>212</v>
      </c>
      <c r="B212" s="309" t="str">
        <f t="shared" si="6"/>
        <v>44-Utility3</v>
      </c>
    </row>
    <row r="213" spans="1:2">
      <c r="A213" s="309">
        <f t="shared" si="7"/>
        <v>213</v>
      </c>
      <c r="B213" s="309" t="str">
        <f t="shared" si="6"/>
        <v>45-Utility3</v>
      </c>
    </row>
    <row r="214" spans="1:2">
      <c r="A214" s="309">
        <f t="shared" si="7"/>
        <v>214</v>
      </c>
      <c r="B214" s="309" t="str">
        <f t="shared" si="6"/>
        <v>46-Utility3</v>
      </c>
    </row>
    <row r="215" spans="1:2">
      <c r="A215" s="309">
        <f t="shared" si="7"/>
        <v>215</v>
      </c>
      <c r="B215" s="309" t="str">
        <f t="shared" si="6"/>
        <v>47-Utility3</v>
      </c>
    </row>
    <row r="216" spans="1:2">
      <c r="A216" s="309">
        <f t="shared" si="7"/>
        <v>216</v>
      </c>
      <c r="B216" s="309" t="str">
        <f t="shared" si="6"/>
        <v>48-Utility3</v>
      </c>
    </row>
    <row r="217" spans="1:2">
      <c r="A217" s="309">
        <f t="shared" si="7"/>
        <v>217</v>
      </c>
      <c r="B217" s="309" t="str">
        <f t="shared" si="6"/>
        <v>48a-Utility3</v>
      </c>
    </row>
    <row r="218" spans="1:2">
      <c r="A218" s="309">
        <f t="shared" si="7"/>
        <v>218</v>
      </c>
      <c r="B218" s="309" t="str">
        <f t="shared" si="6"/>
        <v>49-Utility3</v>
      </c>
    </row>
    <row r="219" spans="1:2">
      <c r="A219" s="309">
        <f t="shared" si="7"/>
        <v>219</v>
      </c>
      <c r="B219" s="309" t="str">
        <f t="shared" si="6"/>
        <v>49a-Utility3</v>
      </c>
    </row>
    <row r="220" spans="1:2">
      <c r="A220" s="309">
        <f t="shared" si="7"/>
        <v>220</v>
      </c>
      <c r="B220" s="309" t="str">
        <f t="shared" si="6"/>
        <v>49a.1-Utility3</v>
      </c>
    </row>
    <row r="221" spans="1:2">
      <c r="A221" s="309">
        <f t="shared" si="7"/>
        <v>221</v>
      </c>
      <c r="B221" s="309" t="str">
        <f t="shared" si="6"/>
        <v>50-Utility3</v>
      </c>
    </row>
    <row r="222" spans="1:2">
      <c r="A222" s="309">
        <f t="shared" si="7"/>
        <v>222</v>
      </c>
      <c r="B222" s="309" t="str">
        <f t="shared" si="6"/>
        <v>50.1-Utility3</v>
      </c>
    </row>
    <row r="223" spans="1:2">
      <c r="A223" s="309">
        <f t="shared" si="7"/>
        <v>223</v>
      </c>
      <c r="B223" s="309" t="str">
        <f t="shared" si="6"/>
        <v>51-Utility3</v>
      </c>
    </row>
    <row r="224" spans="1:2">
      <c r="A224" s="309">
        <f t="shared" si="7"/>
        <v>224</v>
      </c>
      <c r="B224" s="309" t="str">
        <f t="shared" si="6"/>
        <v>51a-Utility3</v>
      </c>
    </row>
    <row r="225" spans="1:2">
      <c r="A225" s="309">
        <f t="shared" si="7"/>
        <v>225</v>
      </c>
      <c r="B225" s="309" t="str">
        <f t="shared" si="6"/>
        <v>52-Utility3</v>
      </c>
    </row>
    <row r="226" spans="1:2">
      <c r="A226" s="309">
        <f t="shared" si="7"/>
        <v>226</v>
      </c>
      <c r="B226" s="309" t="str">
        <f t="shared" si="6"/>
        <v>52.1-Utility3</v>
      </c>
    </row>
    <row r="227" spans="1:2">
      <c r="A227" s="309">
        <f t="shared" si="7"/>
        <v>227</v>
      </c>
      <c r="B227" s="309" t="str">
        <f t="shared" si="6"/>
        <v>52.2-Utility3</v>
      </c>
    </row>
    <row r="228" spans="1:2">
      <c r="A228" s="309">
        <f t="shared" si="7"/>
        <v>228</v>
      </c>
      <c r="B228" s="309" t="str">
        <f t="shared" si="6"/>
        <v>52.3-Utility3</v>
      </c>
    </row>
    <row r="229" spans="1:2">
      <c r="A229" s="309">
        <f t="shared" si="7"/>
        <v>229</v>
      </c>
      <c r="B229" s="309" t="str">
        <f t="shared" si="6"/>
        <v>52-Totals-Utility3</v>
      </c>
    </row>
    <row r="230" spans="1:2">
      <c r="A230" s="309">
        <f t="shared" si="7"/>
        <v>230</v>
      </c>
      <c r="B230" s="309" t="str">
        <f t="shared" si="6"/>
        <v>53-Utility3</v>
      </c>
    </row>
    <row r="231" spans="1:2">
      <c r="A231" s="309">
        <f t="shared" si="7"/>
        <v>231</v>
      </c>
      <c r="B231" s="309" t="str">
        <f t="shared" si="6"/>
        <v>54-Utility3</v>
      </c>
    </row>
    <row r="232" spans="1:2">
      <c r="A232" s="309">
        <f t="shared" si="7"/>
        <v>232</v>
      </c>
      <c r="B232" s="309" t="str">
        <f t="shared" si="6"/>
        <v>41-Utility4</v>
      </c>
    </row>
    <row r="233" spans="1:2">
      <c r="A233" s="309">
        <f t="shared" si="7"/>
        <v>233</v>
      </c>
      <c r="B233" s="309" t="str">
        <f t="shared" si="6"/>
        <v>41a-Utility4</v>
      </c>
    </row>
    <row r="234" spans="1:2">
      <c r="A234" s="309">
        <f t="shared" si="7"/>
        <v>234</v>
      </c>
      <c r="B234" s="309" t="str">
        <f t="shared" si="6"/>
        <v>41a.1-Utility4</v>
      </c>
    </row>
    <row r="235" spans="1:2">
      <c r="A235" s="309">
        <f t="shared" si="7"/>
        <v>235</v>
      </c>
      <c r="B235" s="309" t="str">
        <f t="shared" si="6"/>
        <v>42-Utility4</v>
      </c>
    </row>
    <row r="236" spans="1:2">
      <c r="A236" s="309">
        <f t="shared" si="7"/>
        <v>236</v>
      </c>
      <c r="B236" s="309" t="str">
        <f t="shared" si="6"/>
        <v>43-Utility4</v>
      </c>
    </row>
    <row r="237" spans="1:2">
      <c r="A237" s="309">
        <f t="shared" si="7"/>
        <v>237</v>
      </c>
      <c r="B237" s="309" t="str">
        <f t="shared" si="6"/>
        <v>44-Utility4</v>
      </c>
    </row>
    <row r="238" spans="1:2">
      <c r="A238" s="309">
        <f t="shared" si="7"/>
        <v>238</v>
      </c>
      <c r="B238" s="309" t="str">
        <f t="shared" si="6"/>
        <v>45-Utility4</v>
      </c>
    </row>
    <row r="239" spans="1:2">
      <c r="A239" s="309">
        <f t="shared" si="7"/>
        <v>239</v>
      </c>
      <c r="B239" s="309" t="str">
        <f t="shared" si="6"/>
        <v>46-Utility4</v>
      </c>
    </row>
    <row r="240" spans="1:2">
      <c r="A240" s="309">
        <f t="shared" si="7"/>
        <v>240</v>
      </c>
      <c r="B240" s="309" t="str">
        <f t="shared" si="6"/>
        <v>47-Utility4</v>
      </c>
    </row>
    <row r="241" spans="1:2">
      <c r="A241" s="309">
        <f t="shared" si="7"/>
        <v>241</v>
      </c>
      <c r="B241" s="309" t="str">
        <f t="shared" si="6"/>
        <v>48-Utility4</v>
      </c>
    </row>
    <row r="242" spans="1:2">
      <c r="A242" s="309">
        <f t="shared" si="7"/>
        <v>242</v>
      </c>
      <c r="B242" s="309" t="str">
        <f t="shared" si="6"/>
        <v>48a-Utility4</v>
      </c>
    </row>
    <row r="243" spans="1:2">
      <c r="A243" s="309">
        <f t="shared" si="7"/>
        <v>243</v>
      </c>
      <c r="B243" s="309" t="str">
        <f t="shared" si="6"/>
        <v>49-Utility4</v>
      </c>
    </row>
    <row r="244" spans="1:2">
      <c r="A244" s="309">
        <f t="shared" si="7"/>
        <v>244</v>
      </c>
      <c r="B244" s="309" t="str">
        <f t="shared" si="6"/>
        <v>49a-Utility4</v>
      </c>
    </row>
    <row r="245" spans="1:2">
      <c r="A245" s="309">
        <f t="shared" si="7"/>
        <v>245</v>
      </c>
      <c r="B245" s="309" t="str">
        <f t="shared" si="6"/>
        <v>49a.1-Utility4</v>
      </c>
    </row>
    <row r="246" spans="1:2">
      <c r="A246" s="309">
        <f t="shared" si="7"/>
        <v>246</v>
      </c>
      <c r="B246" s="309" t="str">
        <f t="shared" si="6"/>
        <v>50-Utility4</v>
      </c>
    </row>
    <row r="247" spans="1:2">
      <c r="A247" s="309">
        <f t="shared" si="7"/>
        <v>247</v>
      </c>
      <c r="B247" s="309" t="str">
        <f t="shared" si="6"/>
        <v>50.1-Utility4</v>
      </c>
    </row>
    <row r="248" spans="1:2">
      <c r="A248" s="309">
        <f t="shared" si="7"/>
        <v>248</v>
      </c>
      <c r="B248" s="309" t="str">
        <f t="shared" si="6"/>
        <v>51-Utility4</v>
      </c>
    </row>
    <row r="249" spans="1:2">
      <c r="A249" s="309">
        <f t="shared" si="7"/>
        <v>249</v>
      </c>
      <c r="B249" s="309" t="str">
        <f t="shared" si="6"/>
        <v>51a-Utility4</v>
      </c>
    </row>
    <row r="250" spans="1:2">
      <c r="A250" s="309">
        <f t="shared" si="7"/>
        <v>250</v>
      </c>
      <c r="B250" s="309" t="str">
        <f t="shared" si="6"/>
        <v>52-Utility4</v>
      </c>
    </row>
    <row r="251" spans="1:2">
      <c r="A251" s="309">
        <f t="shared" si="7"/>
        <v>251</v>
      </c>
      <c r="B251" s="309" t="str">
        <f t="shared" si="6"/>
        <v>52.1-Utility4</v>
      </c>
    </row>
    <row r="252" spans="1:2">
      <c r="A252" s="309">
        <f t="shared" si="7"/>
        <v>252</v>
      </c>
      <c r="B252" s="309" t="str">
        <f t="shared" si="6"/>
        <v>52.2-Utility4</v>
      </c>
    </row>
    <row r="253" spans="1:2">
      <c r="A253" s="309">
        <f t="shared" si="7"/>
        <v>253</v>
      </c>
      <c r="B253" s="309" t="str">
        <f t="shared" si="6"/>
        <v>52.3-Utility4</v>
      </c>
    </row>
    <row r="254" spans="1:2">
      <c r="A254" s="309">
        <f t="shared" si="7"/>
        <v>254</v>
      </c>
      <c r="B254" s="309" t="str">
        <f t="shared" si="6"/>
        <v>52-Totals-Utility4</v>
      </c>
    </row>
    <row r="255" spans="1:2">
      <c r="A255" s="309">
        <f t="shared" si="7"/>
        <v>255</v>
      </c>
      <c r="B255" s="309" t="str">
        <f t="shared" si="6"/>
        <v>53-Utility4</v>
      </c>
    </row>
    <row r="256" spans="1:2">
      <c r="A256" s="309">
        <f t="shared" si="7"/>
        <v>256</v>
      </c>
      <c r="B256" s="309" t="str">
        <f t="shared" si="6"/>
        <v>54-Utility4</v>
      </c>
    </row>
    <row r="257" spans="1:2">
      <c r="A257" s="309">
        <f t="shared" si="7"/>
        <v>257</v>
      </c>
      <c r="B257" s="309" t="str">
        <f t="shared" si="6"/>
        <v>41-Utility5</v>
      </c>
    </row>
    <row r="258" spans="1:2">
      <c r="A258" s="309">
        <f t="shared" si="7"/>
        <v>258</v>
      </c>
      <c r="B258" s="309" t="str">
        <f t="shared" ref="B258:B306" si="8">INDEX(SheetNames,A258)</f>
        <v>41a-Utility5</v>
      </c>
    </row>
    <row r="259" spans="1:2">
      <c r="A259" s="309">
        <f t="shared" ref="A259:A306" si="9">A258+1</f>
        <v>259</v>
      </c>
      <c r="B259" s="309" t="str">
        <f t="shared" si="8"/>
        <v>41a.1-Utility5</v>
      </c>
    </row>
    <row r="260" spans="1:2">
      <c r="A260" s="309">
        <f t="shared" si="9"/>
        <v>260</v>
      </c>
      <c r="B260" s="309" t="str">
        <f t="shared" si="8"/>
        <v>42-Utility5</v>
      </c>
    </row>
    <row r="261" spans="1:2">
      <c r="A261" s="309">
        <f t="shared" si="9"/>
        <v>261</v>
      </c>
      <c r="B261" s="309" t="str">
        <f t="shared" si="8"/>
        <v>43-Utility5</v>
      </c>
    </row>
    <row r="262" spans="1:2">
      <c r="A262" s="309">
        <f t="shared" si="9"/>
        <v>262</v>
      </c>
      <c r="B262" s="309" t="str">
        <f t="shared" si="8"/>
        <v>44-Utility5</v>
      </c>
    </row>
    <row r="263" spans="1:2">
      <c r="A263" s="309">
        <f t="shared" si="9"/>
        <v>263</v>
      </c>
      <c r="B263" s="309" t="str">
        <f t="shared" si="8"/>
        <v>45-Utility5</v>
      </c>
    </row>
    <row r="264" spans="1:2">
      <c r="A264" s="309">
        <f t="shared" si="9"/>
        <v>264</v>
      </c>
      <c r="B264" s="309" t="str">
        <f t="shared" si="8"/>
        <v>46-Utility5</v>
      </c>
    </row>
    <row r="265" spans="1:2">
      <c r="A265" s="309">
        <f t="shared" si="9"/>
        <v>265</v>
      </c>
      <c r="B265" s="309" t="str">
        <f t="shared" si="8"/>
        <v>47-Utility5</v>
      </c>
    </row>
    <row r="266" spans="1:2">
      <c r="A266" s="309">
        <f t="shared" si="9"/>
        <v>266</v>
      </c>
      <c r="B266" s="309" t="str">
        <f t="shared" si="8"/>
        <v>48-Utility5</v>
      </c>
    </row>
    <row r="267" spans="1:2">
      <c r="A267" s="309">
        <f t="shared" si="9"/>
        <v>267</v>
      </c>
      <c r="B267" s="309" t="str">
        <f t="shared" si="8"/>
        <v>48a-Utility5</v>
      </c>
    </row>
    <row r="268" spans="1:2">
      <c r="A268" s="309">
        <f t="shared" si="9"/>
        <v>268</v>
      </c>
      <c r="B268" s="309" t="str">
        <f t="shared" si="8"/>
        <v>49-Utility5</v>
      </c>
    </row>
    <row r="269" spans="1:2">
      <c r="A269" s="309">
        <f t="shared" si="9"/>
        <v>269</v>
      </c>
      <c r="B269" s="309" t="str">
        <f t="shared" si="8"/>
        <v>49a-Utility5</v>
      </c>
    </row>
    <row r="270" spans="1:2">
      <c r="A270" s="309">
        <f t="shared" si="9"/>
        <v>270</v>
      </c>
      <c r="B270" s="309" t="str">
        <f t="shared" si="8"/>
        <v>49a.1-Utility5</v>
      </c>
    </row>
    <row r="271" spans="1:2">
      <c r="A271" s="309">
        <f t="shared" si="9"/>
        <v>271</v>
      </c>
      <c r="B271" s="309" t="str">
        <f t="shared" si="8"/>
        <v>50-Utility5</v>
      </c>
    </row>
    <row r="272" spans="1:2">
      <c r="A272" s="309">
        <f t="shared" si="9"/>
        <v>272</v>
      </c>
      <c r="B272" s="309" t="str">
        <f t="shared" si="8"/>
        <v>50.1-Utility5</v>
      </c>
    </row>
    <row r="273" spans="1:2">
      <c r="A273" s="309">
        <f t="shared" si="9"/>
        <v>273</v>
      </c>
      <c r="B273" s="309" t="str">
        <f t="shared" si="8"/>
        <v>51-Utility5</v>
      </c>
    </row>
    <row r="274" spans="1:2">
      <c r="A274" s="309">
        <f t="shared" si="9"/>
        <v>274</v>
      </c>
      <c r="B274" s="309" t="str">
        <f t="shared" si="8"/>
        <v>51a-Utility5</v>
      </c>
    </row>
    <row r="275" spans="1:2">
      <c r="A275" s="309">
        <f t="shared" si="9"/>
        <v>275</v>
      </c>
      <c r="B275" s="309" t="str">
        <f t="shared" si="8"/>
        <v>52-Utility5</v>
      </c>
    </row>
    <row r="276" spans="1:2">
      <c r="A276" s="309">
        <f t="shared" si="9"/>
        <v>276</v>
      </c>
      <c r="B276" s="309" t="str">
        <f t="shared" si="8"/>
        <v>52.1-Utility5</v>
      </c>
    </row>
    <row r="277" spans="1:2">
      <c r="A277" s="309">
        <f t="shared" si="9"/>
        <v>277</v>
      </c>
      <c r="B277" s="309" t="str">
        <f t="shared" si="8"/>
        <v>52.2-Utility5</v>
      </c>
    </row>
    <row r="278" spans="1:2">
      <c r="A278" s="309">
        <f t="shared" si="9"/>
        <v>278</v>
      </c>
      <c r="B278" s="309" t="str">
        <f t="shared" si="8"/>
        <v>52.3-Utility5</v>
      </c>
    </row>
    <row r="279" spans="1:2">
      <c r="A279" s="309">
        <f t="shared" si="9"/>
        <v>279</v>
      </c>
      <c r="B279" s="309" t="str">
        <f t="shared" si="8"/>
        <v>52-Totals-Utility5</v>
      </c>
    </row>
    <row r="280" spans="1:2">
      <c r="A280" s="309">
        <f t="shared" si="9"/>
        <v>280</v>
      </c>
      <c r="B280" s="309" t="str">
        <f t="shared" si="8"/>
        <v>53-Utility5</v>
      </c>
    </row>
    <row r="281" spans="1:2">
      <c r="A281" s="309">
        <f t="shared" si="9"/>
        <v>281</v>
      </c>
      <c r="B281" s="309" t="str">
        <f t="shared" si="8"/>
        <v>54-Utility5</v>
      </c>
    </row>
    <row r="282" spans="1:2">
      <c r="A282" s="309">
        <f t="shared" si="9"/>
        <v>282</v>
      </c>
      <c r="B282" s="309" t="str">
        <f t="shared" si="8"/>
        <v>41-Utility6</v>
      </c>
    </row>
    <row r="283" spans="1:2">
      <c r="A283" s="309">
        <f t="shared" si="9"/>
        <v>283</v>
      </c>
      <c r="B283" s="309" t="str">
        <f t="shared" si="8"/>
        <v>41a-Utility6</v>
      </c>
    </row>
    <row r="284" spans="1:2">
      <c r="A284" s="309">
        <f t="shared" si="9"/>
        <v>284</v>
      </c>
      <c r="B284" s="309" t="str">
        <f t="shared" si="8"/>
        <v>41a.1-Utility6</v>
      </c>
    </row>
    <row r="285" spans="1:2">
      <c r="A285" s="309">
        <f t="shared" si="9"/>
        <v>285</v>
      </c>
      <c r="B285" s="309" t="str">
        <f t="shared" si="8"/>
        <v>42-Utility6</v>
      </c>
    </row>
    <row r="286" spans="1:2">
      <c r="A286" s="309">
        <f t="shared" si="9"/>
        <v>286</v>
      </c>
      <c r="B286" s="309" t="str">
        <f t="shared" si="8"/>
        <v>43-Utility6</v>
      </c>
    </row>
    <row r="287" spans="1:2">
      <c r="A287" s="309">
        <f t="shared" si="9"/>
        <v>287</v>
      </c>
      <c r="B287" s="309" t="str">
        <f t="shared" si="8"/>
        <v>44-Utility6</v>
      </c>
    </row>
    <row r="288" spans="1:2">
      <c r="A288" s="309">
        <f t="shared" si="9"/>
        <v>288</v>
      </c>
      <c r="B288" s="309" t="str">
        <f t="shared" si="8"/>
        <v>45-Utility6</v>
      </c>
    </row>
    <row r="289" spans="1:2">
      <c r="A289" s="309">
        <f t="shared" si="9"/>
        <v>289</v>
      </c>
      <c r="B289" s="309" t="str">
        <f t="shared" si="8"/>
        <v>46-Utility6</v>
      </c>
    </row>
    <row r="290" spans="1:2">
      <c r="A290" s="309">
        <f t="shared" si="9"/>
        <v>290</v>
      </c>
      <c r="B290" s="309" t="str">
        <f t="shared" si="8"/>
        <v>47-Utility6</v>
      </c>
    </row>
    <row r="291" spans="1:2">
      <c r="A291" s="309">
        <f t="shared" si="9"/>
        <v>291</v>
      </c>
      <c r="B291" s="309" t="str">
        <f t="shared" si="8"/>
        <v>48-Utility6</v>
      </c>
    </row>
    <row r="292" spans="1:2">
      <c r="A292" s="309">
        <f t="shared" si="9"/>
        <v>292</v>
      </c>
      <c r="B292" s="309" t="str">
        <f t="shared" si="8"/>
        <v>48a-Utility6</v>
      </c>
    </row>
    <row r="293" spans="1:2">
      <c r="A293" s="309">
        <f t="shared" si="9"/>
        <v>293</v>
      </c>
      <c r="B293" s="309" t="str">
        <f t="shared" si="8"/>
        <v>49-Utility6</v>
      </c>
    </row>
    <row r="294" spans="1:2">
      <c r="A294" s="309">
        <f t="shared" si="9"/>
        <v>294</v>
      </c>
      <c r="B294" s="309" t="str">
        <f t="shared" si="8"/>
        <v>49a-Utility6</v>
      </c>
    </row>
    <row r="295" spans="1:2">
      <c r="A295" s="309">
        <f t="shared" si="9"/>
        <v>295</v>
      </c>
      <c r="B295" s="309" t="str">
        <f t="shared" si="8"/>
        <v>49a.1-Utility6</v>
      </c>
    </row>
    <row r="296" spans="1:2">
      <c r="A296" s="309">
        <f t="shared" si="9"/>
        <v>296</v>
      </c>
      <c r="B296" s="309" t="str">
        <f t="shared" si="8"/>
        <v>50-Utility6</v>
      </c>
    </row>
    <row r="297" spans="1:2">
      <c r="A297" s="309">
        <f t="shared" si="9"/>
        <v>297</v>
      </c>
      <c r="B297" s="309" t="str">
        <f t="shared" si="8"/>
        <v>50.1-Utility6</v>
      </c>
    </row>
    <row r="298" spans="1:2">
      <c r="A298" s="309">
        <f t="shared" si="9"/>
        <v>298</v>
      </c>
      <c r="B298" s="309" t="str">
        <f t="shared" si="8"/>
        <v>51-Utility6</v>
      </c>
    </row>
    <row r="299" spans="1:2">
      <c r="A299" s="309">
        <f t="shared" si="9"/>
        <v>299</v>
      </c>
      <c r="B299" s="309" t="str">
        <f t="shared" si="8"/>
        <v>51a-Utility6</v>
      </c>
    </row>
    <row r="300" spans="1:2">
      <c r="A300" s="309">
        <f t="shared" si="9"/>
        <v>300</v>
      </c>
      <c r="B300" s="309" t="str">
        <f t="shared" si="8"/>
        <v>52-Utility6</v>
      </c>
    </row>
    <row r="301" spans="1:2">
      <c r="A301" s="309">
        <f t="shared" si="9"/>
        <v>301</v>
      </c>
      <c r="B301" s="309" t="str">
        <f t="shared" si="8"/>
        <v>52.1-Utility6</v>
      </c>
    </row>
    <row r="302" spans="1:2">
      <c r="A302" s="309">
        <f t="shared" si="9"/>
        <v>302</v>
      </c>
      <c r="B302" s="309" t="str">
        <f t="shared" si="8"/>
        <v>52.2-Utility6</v>
      </c>
    </row>
    <row r="303" spans="1:2">
      <c r="A303" s="309">
        <f t="shared" si="9"/>
        <v>303</v>
      </c>
      <c r="B303" s="309" t="str">
        <f t="shared" si="8"/>
        <v>52.3-Utility6</v>
      </c>
    </row>
    <row r="304" spans="1:2">
      <c r="A304" s="309">
        <f t="shared" si="9"/>
        <v>304</v>
      </c>
      <c r="B304" s="309" t="str">
        <f t="shared" si="8"/>
        <v>52-Totals-Utility6</v>
      </c>
    </row>
    <row r="305" spans="1:2">
      <c r="A305" s="309">
        <f t="shared" si="9"/>
        <v>305</v>
      </c>
      <c r="B305" s="309" t="str">
        <f t="shared" si="8"/>
        <v>53-Utility6</v>
      </c>
    </row>
    <row r="306" spans="1:2">
      <c r="A306" s="309">
        <f t="shared" si="9"/>
        <v>306</v>
      </c>
      <c r="B306" s="309" t="str">
        <f t="shared" si="8"/>
        <v>54-Utility6</v>
      </c>
    </row>
    <row r="307" spans="1:2">
      <c r="A307" s="309"/>
      <c r="B307" s="309"/>
    </row>
    <row r="308" spans="1:2">
      <c r="A308" s="309"/>
      <c r="B308" s="309"/>
    </row>
    <row r="309" spans="1:2">
      <c r="A309" s="309"/>
      <c r="B309" s="309"/>
    </row>
    <row r="310" spans="1:2">
      <c r="A310" s="309"/>
      <c r="B310" s="309"/>
    </row>
    <row r="311" spans="1:2">
      <c r="A311" s="309"/>
      <c r="B311" s="309"/>
    </row>
    <row r="312" spans="1:2">
      <c r="A312" s="309"/>
      <c r="B312" s="309"/>
    </row>
    <row r="313" spans="1:2">
      <c r="A313" s="309"/>
      <c r="B313" s="309"/>
    </row>
    <row r="314" spans="1:2">
      <c r="A314" s="309"/>
      <c r="B314" s="309"/>
    </row>
    <row r="315" spans="1:2">
      <c r="A315" s="309"/>
      <c r="B315" s="309"/>
    </row>
    <row r="316" spans="1:2">
      <c r="A316" s="309"/>
      <c r="B316" s="309"/>
    </row>
    <row r="317" spans="1:2">
      <c r="A317" s="309"/>
      <c r="B317" s="309"/>
    </row>
    <row r="318" spans="1:2">
      <c r="A318" s="309"/>
      <c r="B318" s="309"/>
    </row>
    <row r="319" spans="1:2">
      <c r="A319" s="309"/>
      <c r="B319" s="309"/>
    </row>
    <row r="320" spans="1:2">
      <c r="A320" s="309"/>
      <c r="B320" s="309"/>
    </row>
    <row r="321" spans="1:2">
      <c r="A321" s="309"/>
      <c r="B321" s="309"/>
    </row>
    <row r="322" spans="1:2">
      <c r="A322" s="309"/>
      <c r="B322" s="309"/>
    </row>
    <row r="323" spans="1:2">
      <c r="A323" s="309"/>
      <c r="B323" s="309"/>
    </row>
    <row r="324" spans="1:2">
      <c r="A324" s="309"/>
      <c r="B324" s="309"/>
    </row>
    <row r="325" spans="1:2">
      <c r="A325" s="309"/>
      <c r="B325" s="309"/>
    </row>
    <row r="326" spans="1:2">
      <c r="A326" s="309"/>
      <c r="B326" s="309"/>
    </row>
    <row r="327" spans="1:2">
      <c r="A327" s="309"/>
      <c r="B327" s="309"/>
    </row>
    <row r="328" spans="1:2">
      <c r="A328" s="309"/>
      <c r="B328" s="309"/>
    </row>
    <row r="329" spans="1:2">
      <c r="A329" s="309"/>
      <c r="B329" s="309"/>
    </row>
    <row r="330" spans="1:2">
      <c r="A330" s="309"/>
      <c r="B330" s="309"/>
    </row>
    <row r="331" spans="1:2">
      <c r="A331" s="309"/>
      <c r="B331" s="309"/>
    </row>
    <row r="332" spans="1:2">
      <c r="A332" s="309"/>
      <c r="B332" s="309"/>
    </row>
    <row r="333" spans="1:2">
      <c r="A333" s="309"/>
      <c r="B333" s="309"/>
    </row>
    <row r="334" spans="1:2">
      <c r="A334" s="309"/>
      <c r="B334" s="309"/>
    </row>
    <row r="335" spans="1:2">
      <c r="A335" s="309"/>
      <c r="B335" s="309"/>
    </row>
    <row r="336" spans="1:2">
      <c r="A336" s="309"/>
      <c r="B336" s="309"/>
    </row>
    <row r="337" spans="1:2">
      <c r="A337" s="309"/>
      <c r="B337" s="309"/>
    </row>
    <row r="338" spans="1:2">
      <c r="A338" s="309"/>
      <c r="B338" s="309"/>
    </row>
    <row r="339" spans="1:2">
      <c r="A339" s="309"/>
      <c r="B339" s="309"/>
    </row>
    <row r="340" spans="1:2">
      <c r="A340" s="309"/>
      <c r="B340" s="309"/>
    </row>
    <row r="341" spans="1:2">
      <c r="A341" s="309"/>
      <c r="B341" s="309"/>
    </row>
    <row r="342" spans="1:2">
      <c r="A342" s="309"/>
      <c r="B342" s="309"/>
    </row>
    <row r="343" spans="1:2">
      <c r="A343" s="309"/>
      <c r="B343" s="309"/>
    </row>
    <row r="344" spans="1:2">
      <c r="A344" s="309"/>
      <c r="B344" s="309"/>
    </row>
    <row r="345" spans="1:2">
      <c r="A345" s="309"/>
      <c r="B345" s="309"/>
    </row>
    <row r="346" spans="1:2">
      <c r="A346" s="309"/>
      <c r="B346" s="309"/>
    </row>
    <row r="347" spans="1:2">
      <c r="A347" s="309"/>
      <c r="B347" s="309"/>
    </row>
    <row r="348" spans="1:2">
      <c r="A348" s="309"/>
      <c r="B348" s="309"/>
    </row>
    <row r="349" spans="1:2">
      <c r="A349" s="309"/>
      <c r="B349" s="309"/>
    </row>
    <row r="350" spans="1:2">
      <c r="A350" s="309"/>
      <c r="B350" s="309"/>
    </row>
    <row r="351" spans="1:2">
      <c r="A351" s="309"/>
      <c r="B351" s="309"/>
    </row>
    <row r="352" spans="1:2">
      <c r="A352" s="309"/>
      <c r="B352" s="309"/>
    </row>
    <row r="353" spans="1:2">
      <c r="A353" s="309"/>
      <c r="B353" s="309"/>
    </row>
    <row r="354" spans="1:2">
      <c r="A354" s="309"/>
      <c r="B354" s="309"/>
    </row>
    <row r="355" spans="1:2">
      <c r="A355" s="309"/>
      <c r="B355" s="309"/>
    </row>
    <row r="356" spans="1:2">
      <c r="A356" s="309"/>
      <c r="B356" s="309"/>
    </row>
    <row r="357" spans="1:2">
      <c r="A357" s="309"/>
      <c r="B357" s="309"/>
    </row>
    <row r="358" spans="1:2">
      <c r="A358" s="309"/>
      <c r="B358" s="309"/>
    </row>
    <row r="359" spans="1:2">
      <c r="A359" s="309"/>
      <c r="B359" s="309"/>
    </row>
    <row r="360" spans="1:2">
      <c r="A360" s="309"/>
      <c r="B360" s="309"/>
    </row>
    <row r="361" spans="1:2">
      <c r="A361" s="309"/>
      <c r="B361" s="309"/>
    </row>
    <row r="362" spans="1:2">
      <c r="A362" s="309"/>
      <c r="B362" s="309"/>
    </row>
    <row r="363" spans="1:2">
      <c r="A363" s="309"/>
      <c r="B363" s="309"/>
    </row>
    <row r="364" spans="1:2">
      <c r="A364" s="309"/>
      <c r="B364" s="309"/>
    </row>
    <row r="365" spans="1:2">
      <c r="A365" s="309"/>
      <c r="B365" s="309"/>
    </row>
    <row r="366" spans="1:2">
      <c r="A366" s="309"/>
      <c r="B366" s="309"/>
    </row>
    <row r="367" spans="1:2">
      <c r="A367" s="309"/>
      <c r="B367" s="309"/>
    </row>
    <row r="368" spans="1:2">
      <c r="A368" s="309"/>
      <c r="B368" s="309"/>
    </row>
    <row r="369" spans="1:2">
      <c r="A369" s="309"/>
      <c r="B369" s="309"/>
    </row>
    <row r="370" spans="1:2">
      <c r="A370" s="309"/>
      <c r="B370" s="309"/>
    </row>
    <row r="371" spans="1:2">
      <c r="A371" s="309"/>
      <c r="B371" s="309"/>
    </row>
    <row r="372" spans="1:2">
      <c r="A372" s="309"/>
      <c r="B372" s="309"/>
    </row>
    <row r="373" spans="1:2">
      <c r="A373" s="309"/>
      <c r="B373" s="309"/>
    </row>
    <row r="374" spans="1:2">
      <c r="A374" s="309"/>
      <c r="B374" s="309"/>
    </row>
    <row r="375" spans="1:2">
      <c r="A375" s="309"/>
      <c r="B375" s="309"/>
    </row>
    <row r="376" spans="1:2">
      <c r="A376" s="309"/>
      <c r="B376" s="309"/>
    </row>
    <row r="377" spans="1:2">
      <c r="A377" s="309"/>
      <c r="B377" s="309"/>
    </row>
    <row r="378" spans="1:2">
      <c r="A378" s="309"/>
      <c r="B378" s="309"/>
    </row>
    <row r="379" spans="1:2">
      <c r="A379" s="309"/>
      <c r="B379" s="309"/>
    </row>
    <row r="380" spans="1:2">
      <c r="A380" s="309"/>
      <c r="B380" s="309"/>
    </row>
    <row r="381" spans="1:2">
      <c r="A381" s="309"/>
      <c r="B381" s="309"/>
    </row>
    <row r="382" spans="1:2">
      <c r="A382" s="309"/>
      <c r="B382" s="309"/>
    </row>
    <row r="383" spans="1:2">
      <c r="A383" s="309"/>
      <c r="B383" s="309"/>
    </row>
    <row r="384" spans="1:2">
      <c r="A384" s="309"/>
      <c r="B384" s="309"/>
    </row>
    <row r="385" spans="1:2">
      <c r="A385" s="309"/>
      <c r="B385" s="309"/>
    </row>
    <row r="386" spans="1:2">
      <c r="A386" s="309"/>
      <c r="B386" s="309"/>
    </row>
    <row r="387" spans="1:2">
      <c r="A387" s="309"/>
      <c r="B387" s="309"/>
    </row>
    <row r="388" spans="1:2">
      <c r="A388" s="309"/>
      <c r="B388" s="309"/>
    </row>
    <row r="389" spans="1:2">
      <c r="A389" s="309"/>
      <c r="B389" s="309"/>
    </row>
    <row r="390" spans="1:2">
      <c r="A390" s="309"/>
      <c r="B390" s="309"/>
    </row>
    <row r="391" spans="1:2">
      <c r="A391" s="309"/>
      <c r="B391" s="309"/>
    </row>
    <row r="392" spans="1:2">
      <c r="A392" s="309"/>
      <c r="B392" s="309"/>
    </row>
    <row r="393" spans="1:2">
      <c r="A393" s="309"/>
      <c r="B393" s="309"/>
    </row>
    <row r="394" spans="1:2">
      <c r="A394" s="309"/>
      <c r="B394" s="309"/>
    </row>
    <row r="395" spans="1:2">
      <c r="A395" s="309"/>
      <c r="B395" s="309"/>
    </row>
    <row r="396" spans="1:2">
      <c r="A396" s="309"/>
      <c r="B396" s="309"/>
    </row>
    <row r="397" spans="1:2">
      <c r="A397" s="309"/>
      <c r="B397" s="309"/>
    </row>
    <row r="398" spans="1:2">
      <c r="A398" s="309"/>
      <c r="B398" s="309"/>
    </row>
    <row r="399" spans="1:2">
      <c r="A399" s="309"/>
      <c r="B399" s="309"/>
    </row>
    <row r="400" spans="1:2">
      <c r="A400" s="309"/>
      <c r="B400" s="309"/>
    </row>
    <row r="401" spans="1:2">
      <c r="A401" s="309"/>
      <c r="B401" s="309"/>
    </row>
    <row r="402" spans="1:2">
      <c r="A402" s="309"/>
      <c r="B402" s="309"/>
    </row>
    <row r="403" spans="1:2">
      <c r="A403" s="309"/>
      <c r="B403" s="309"/>
    </row>
    <row r="404" spans="1:2">
      <c r="A404" s="309"/>
      <c r="B404" s="309"/>
    </row>
    <row r="405" spans="1:2">
      <c r="A405" s="309"/>
      <c r="B405" s="309"/>
    </row>
    <row r="406" spans="1:2">
      <c r="A406" s="309"/>
      <c r="B406" s="309"/>
    </row>
    <row r="407" spans="1:2">
      <c r="A407" s="309"/>
      <c r="B407" s="309"/>
    </row>
    <row r="408" spans="1:2">
      <c r="A408" s="309"/>
      <c r="B408" s="309"/>
    </row>
    <row r="409" spans="1:2">
      <c r="A409" s="309"/>
      <c r="B409" s="309"/>
    </row>
    <row r="410" spans="1:2">
      <c r="A410" s="309"/>
      <c r="B410" s="309"/>
    </row>
    <row r="411" spans="1:2">
      <c r="A411" s="309"/>
      <c r="B411" s="309"/>
    </row>
    <row r="412" spans="1:2">
      <c r="A412" s="309"/>
      <c r="B412" s="309"/>
    </row>
    <row r="413" spans="1:2">
      <c r="A413" s="309"/>
      <c r="B413" s="309"/>
    </row>
    <row r="414" spans="1:2">
      <c r="A414" s="309"/>
      <c r="B414" s="309"/>
    </row>
    <row r="415" spans="1:2">
      <c r="A415" s="309"/>
      <c r="B415" s="309"/>
    </row>
    <row r="416" spans="1:2">
      <c r="A416" s="309"/>
      <c r="B416" s="309"/>
    </row>
    <row r="417" spans="1:2">
      <c r="A417" s="309"/>
      <c r="B417" s="309"/>
    </row>
    <row r="418" spans="1:2">
      <c r="A418" s="309"/>
      <c r="B418" s="309"/>
    </row>
    <row r="419" spans="1:2">
      <c r="A419" s="309"/>
      <c r="B419" s="309"/>
    </row>
    <row r="420" spans="1:2">
      <c r="A420" s="309"/>
      <c r="B420" s="309"/>
    </row>
    <row r="421" spans="1:2">
      <c r="A421" s="309"/>
      <c r="B421" s="309"/>
    </row>
    <row r="422" spans="1:2">
      <c r="A422" s="309"/>
      <c r="B422" s="309"/>
    </row>
    <row r="423" spans="1:2">
      <c r="A423" s="309"/>
      <c r="B423" s="309"/>
    </row>
    <row r="424" spans="1:2">
      <c r="A424" s="309"/>
      <c r="B424" s="309"/>
    </row>
    <row r="425" spans="1:2">
      <c r="A425" s="309"/>
      <c r="B425" s="309"/>
    </row>
    <row r="426" spans="1:2">
      <c r="A426" s="309"/>
      <c r="B426" s="309"/>
    </row>
    <row r="427" spans="1:2">
      <c r="A427" s="309"/>
      <c r="B427" s="309"/>
    </row>
    <row r="428" spans="1:2">
      <c r="A428" s="309"/>
      <c r="B428" s="309"/>
    </row>
    <row r="429" spans="1:2">
      <c r="A429" s="309"/>
      <c r="B429" s="309"/>
    </row>
    <row r="430" spans="1:2">
      <c r="A430" s="309"/>
      <c r="B430" s="309"/>
    </row>
    <row r="431" spans="1:2">
      <c r="A431" s="309"/>
      <c r="B431" s="309"/>
    </row>
    <row r="432" spans="1:2">
      <c r="A432" s="309"/>
      <c r="B432" s="309"/>
    </row>
    <row r="433" spans="1:2">
      <c r="A433" s="309"/>
      <c r="B433" s="309"/>
    </row>
    <row r="434" spans="1:2">
      <c r="A434" s="309"/>
      <c r="B434" s="309"/>
    </row>
    <row r="435" spans="1:2">
      <c r="A435" s="309"/>
      <c r="B435" s="309"/>
    </row>
    <row r="436" spans="1:2">
      <c r="A436" s="309"/>
      <c r="B436" s="309"/>
    </row>
    <row r="437" spans="1:2">
      <c r="A437" s="309"/>
      <c r="B437" s="309"/>
    </row>
    <row r="438" spans="1:2">
      <c r="A438" s="309"/>
      <c r="B438" s="309"/>
    </row>
    <row r="439" spans="1:2">
      <c r="A439" s="309"/>
      <c r="B439" s="309"/>
    </row>
    <row r="440" spans="1:2">
      <c r="A440" s="309"/>
      <c r="B440" s="309"/>
    </row>
    <row r="441" spans="1:2">
      <c r="A441" s="309"/>
      <c r="B441" s="309"/>
    </row>
    <row r="442" spans="1:2">
      <c r="A442" s="309"/>
      <c r="B442" s="309"/>
    </row>
    <row r="443" spans="1:2">
      <c r="A443" s="309"/>
      <c r="B443" s="309"/>
    </row>
    <row r="444" spans="1:2">
      <c r="A444" s="309"/>
      <c r="B444" s="309"/>
    </row>
    <row r="445" spans="1:2">
      <c r="A445" s="309"/>
      <c r="B445" s="309"/>
    </row>
    <row r="446" spans="1:2">
      <c r="A446" s="309"/>
      <c r="B446" s="309"/>
    </row>
    <row r="447" spans="1:2">
      <c r="A447" s="309"/>
      <c r="B447" s="309"/>
    </row>
    <row r="448" spans="1:2">
      <c r="A448" s="309"/>
      <c r="B448" s="309"/>
    </row>
    <row r="449" spans="1:2">
      <c r="A449" s="309"/>
      <c r="B449" s="309"/>
    </row>
    <row r="450" spans="1:2">
      <c r="A450" s="309"/>
      <c r="B450" s="309"/>
    </row>
    <row r="451" spans="1:2">
      <c r="A451" s="309"/>
      <c r="B451" s="309"/>
    </row>
    <row r="452" spans="1:2">
      <c r="A452" s="309"/>
      <c r="B452" s="309"/>
    </row>
    <row r="453" spans="1:2">
      <c r="A453" s="309"/>
      <c r="B453" s="309"/>
    </row>
    <row r="454" spans="1:2">
      <c r="A454" s="309"/>
      <c r="B454" s="309"/>
    </row>
    <row r="455" spans="1:2">
      <c r="A455" s="309"/>
      <c r="B455" s="309"/>
    </row>
    <row r="456" spans="1:2">
      <c r="A456" s="309"/>
      <c r="B456" s="309"/>
    </row>
    <row r="457" spans="1:2">
      <c r="A457" s="309"/>
      <c r="B457" s="309"/>
    </row>
    <row r="458" spans="1:2">
      <c r="A458" s="309"/>
      <c r="B458" s="309"/>
    </row>
    <row r="459" spans="1:2">
      <c r="A459" s="309"/>
      <c r="B459" s="309"/>
    </row>
    <row r="460" spans="1:2">
      <c r="A460" s="309"/>
      <c r="B460" s="309"/>
    </row>
    <row r="461" spans="1:2">
      <c r="A461" s="309"/>
      <c r="B461" s="309"/>
    </row>
    <row r="462" spans="1:2">
      <c r="A462" s="309"/>
      <c r="B462" s="309"/>
    </row>
    <row r="463" spans="1:2">
      <c r="A463" s="309"/>
      <c r="B463" s="309"/>
    </row>
    <row r="464" spans="1:2">
      <c r="A464" s="309"/>
      <c r="B464" s="309"/>
    </row>
    <row r="465" spans="1:2">
      <c r="A465" s="309"/>
      <c r="B465" s="309"/>
    </row>
    <row r="466" spans="1:2">
      <c r="A466" s="309"/>
      <c r="B466" s="309"/>
    </row>
    <row r="467" spans="1:2">
      <c r="A467" s="309"/>
      <c r="B467" s="309"/>
    </row>
    <row r="468" spans="1:2">
      <c r="A468" s="309"/>
      <c r="B468" s="309"/>
    </row>
    <row r="469" spans="1:2">
      <c r="A469" s="309"/>
      <c r="B469" s="309"/>
    </row>
    <row r="470" spans="1:2">
      <c r="A470" s="309"/>
      <c r="B470" s="309"/>
    </row>
    <row r="471" spans="1:2">
      <c r="A471" s="309"/>
      <c r="B471" s="309"/>
    </row>
    <row r="472" spans="1:2">
      <c r="A472" s="309"/>
      <c r="B472" s="309"/>
    </row>
    <row r="473" spans="1:2">
      <c r="A473" s="309"/>
      <c r="B473" s="309"/>
    </row>
    <row r="474" spans="1:2">
      <c r="A474" s="309"/>
      <c r="B474" s="309"/>
    </row>
    <row r="475" spans="1:2">
      <c r="A475" s="309"/>
      <c r="B475" s="309"/>
    </row>
    <row r="476" spans="1:2">
      <c r="A476" s="309"/>
      <c r="B476" s="309"/>
    </row>
    <row r="477" spans="1:2">
      <c r="A477" s="309"/>
      <c r="B477" s="309"/>
    </row>
    <row r="478" spans="1:2">
      <c r="A478" s="309"/>
      <c r="B478" s="309"/>
    </row>
    <row r="479" spans="1:2">
      <c r="A479" s="309"/>
      <c r="B479" s="309"/>
    </row>
    <row r="480" spans="1:2">
      <c r="A480" s="309"/>
      <c r="B480" s="309"/>
    </row>
    <row r="481" spans="1:2">
      <c r="A481" s="309"/>
      <c r="B481" s="309"/>
    </row>
    <row r="482" spans="1:2">
      <c r="A482" s="309"/>
      <c r="B482" s="309"/>
    </row>
    <row r="483" spans="1:2">
      <c r="A483" s="309"/>
      <c r="B483" s="309"/>
    </row>
    <row r="484" spans="1:2">
      <c r="A484" s="309"/>
      <c r="B484" s="309"/>
    </row>
    <row r="485" spans="1:2">
      <c r="A485" s="309"/>
      <c r="B485" s="309"/>
    </row>
    <row r="486" spans="1:2">
      <c r="A486" s="309"/>
      <c r="B486" s="309"/>
    </row>
    <row r="487" spans="1:2">
      <c r="A487" s="309"/>
      <c r="B487" s="309"/>
    </row>
    <row r="488" spans="1:2">
      <c r="A488" s="309"/>
      <c r="B488" s="309"/>
    </row>
    <row r="489" spans="1:2">
      <c r="A489" s="309"/>
      <c r="B489" s="309"/>
    </row>
    <row r="490" spans="1:2">
      <c r="A490" s="309"/>
      <c r="B490" s="309"/>
    </row>
    <row r="491" spans="1:2">
      <c r="A491" s="309"/>
      <c r="B491" s="309"/>
    </row>
    <row r="492" spans="1:2">
      <c r="A492" s="309"/>
      <c r="B492" s="309"/>
    </row>
    <row r="493" spans="1:2">
      <c r="A493" s="309"/>
      <c r="B493" s="309"/>
    </row>
    <row r="494" spans="1:2">
      <c r="A494" s="309"/>
      <c r="B494" s="309"/>
    </row>
    <row r="495" spans="1:2">
      <c r="A495" s="309"/>
      <c r="B495" s="309"/>
    </row>
    <row r="496" spans="1:2">
      <c r="A496" s="309"/>
      <c r="B496" s="309"/>
    </row>
    <row r="497" spans="1:2">
      <c r="A497" s="309"/>
      <c r="B497" s="309"/>
    </row>
    <row r="498" spans="1:2">
      <c r="A498" s="309"/>
      <c r="B498" s="309"/>
    </row>
    <row r="499" spans="1:2">
      <c r="A499" s="309"/>
      <c r="B499" s="309"/>
    </row>
    <row r="500" spans="1:2">
      <c r="A500" s="309"/>
      <c r="B500" s="309"/>
    </row>
    <row r="501" spans="1:2">
      <c r="A501" s="309"/>
      <c r="B501" s="309"/>
    </row>
    <row r="502" spans="1:2">
      <c r="A502" s="309"/>
      <c r="B502" s="309"/>
    </row>
    <row r="503" spans="1:2">
      <c r="A503" s="309"/>
      <c r="B503" s="309"/>
    </row>
    <row r="504" spans="1:2">
      <c r="A504" s="309"/>
      <c r="B504" s="309"/>
    </row>
    <row r="505" spans="1:2">
      <c r="A505" s="309"/>
      <c r="B505" s="309"/>
    </row>
    <row r="506" spans="1:2">
      <c r="A506" s="309"/>
      <c r="B506" s="309"/>
    </row>
    <row r="507" spans="1:2">
      <c r="A507" s="309"/>
      <c r="B507" s="309"/>
    </row>
    <row r="508" spans="1:2">
      <c r="A508" s="309"/>
      <c r="B508" s="309"/>
    </row>
    <row r="509" spans="1:2">
      <c r="A509" s="309"/>
      <c r="B509" s="309"/>
    </row>
    <row r="510" spans="1:2">
      <c r="A510" s="309"/>
      <c r="B510" s="309"/>
    </row>
    <row r="511" spans="1:2">
      <c r="A511" s="309"/>
      <c r="B511" s="309"/>
    </row>
    <row r="512" spans="1:2">
      <c r="A512" s="309"/>
      <c r="B512" s="309"/>
    </row>
    <row r="513" spans="1:2">
      <c r="A513" s="309"/>
      <c r="B513" s="309"/>
    </row>
    <row r="514" spans="1:2">
      <c r="A514" s="309"/>
      <c r="B514" s="309"/>
    </row>
    <row r="515" spans="1:2">
      <c r="A515" s="309"/>
      <c r="B515" s="309"/>
    </row>
    <row r="516" spans="1:2">
      <c r="A516" s="309"/>
      <c r="B516" s="309"/>
    </row>
    <row r="517" spans="1:2">
      <c r="A517" s="309"/>
      <c r="B517" s="309"/>
    </row>
    <row r="518" spans="1:2">
      <c r="A518" s="309"/>
      <c r="B518" s="309"/>
    </row>
    <row r="519" spans="1:2">
      <c r="A519" s="309"/>
      <c r="B519" s="309"/>
    </row>
    <row r="520" spans="1:2">
      <c r="A520" s="309"/>
      <c r="B520" s="309"/>
    </row>
    <row r="521" spans="1:2">
      <c r="A521" s="309"/>
      <c r="B521" s="309"/>
    </row>
    <row r="522" spans="1:2">
      <c r="A522" s="309"/>
      <c r="B522" s="309"/>
    </row>
    <row r="523" spans="1:2">
      <c r="A523" s="309"/>
      <c r="B523" s="309"/>
    </row>
    <row r="524" spans="1:2">
      <c r="A524" s="309"/>
      <c r="B524" s="309"/>
    </row>
    <row r="525" spans="1:2">
      <c r="A525" s="309"/>
      <c r="B525" s="309"/>
    </row>
    <row r="526" spans="1:2">
      <c r="A526" s="309"/>
      <c r="B526" s="309"/>
    </row>
    <row r="527" spans="1:2">
      <c r="A527" s="309"/>
      <c r="B527" s="309"/>
    </row>
    <row r="528" spans="1:2">
      <c r="A528" s="309"/>
      <c r="B528" s="309"/>
    </row>
    <row r="529" spans="1:2">
      <c r="A529" s="309"/>
      <c r="B529" s="309"/>
    </row>
    <row r="530" spans="1:2">
      <c r="A530" s="309"/>
    </row>
    <row r="531" spans="1:2">
      <c r="A531" s="309"/>
    </row>
    <row r="532" spans="1:2">
      <c r="A532" s="309"/>
    </row>
    <row r="533" spans="1:2">
      <c r="A533" s="309"/>
    </row>
    <row r="534" spans="1:2">
      <c r="A534" s="309"/>
    </row>
    <row r="535" spans="1:2">
      <c r="A535" s="309"/>
    </row>
    <row r="536" spans="1:2">
      <c r="A536" s="309"/>
    </row>
    <row r="537" spans="1:2">
      <c r="A537" s="309"/>
    </row>
    <row r="538" spans="1:2">
      <c r="A538" s="309"/>
    </row>
    <row r="539" spans="1:2">
      <c r="A539" s="309"/>
    </row>
    <row r="540" spans="1:2">
      <c r="A540" s="309"/>
    </row>
    <row r="541" spans="1:2">
      <c r="A541" s="309"/>
    </row>
    <row r="542" spans="1:2">
      <c r="A542" s="309"/>
    </row>
    <row r="543" spans="1:2">
      <c r="A543" s="309"/>
    </row>
    <row r="544" spans="1:2">
      <c r="A544" s="30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307</vt:i4>
      </vt:variant>
      <vt:variant>
        <vt:lpstr>Named Ranges</vt:lpstr>
      </vt:variant>
      <vt:variant>
        <vt:i4>306</vt:i4>
      </vt:variant>
    </vt:vector>
  </HeadingPairs>
  <TitlesOfParts>
    <vt:vector size="613" baseType="lpstr">
      <vt:lpstr>Instructions</vt:lpstr>
      <vt:lpstr>69 - Instructions</vt:lpstr>
      <vt:lpstr>KEY INPUTS</vt:lpstr>
      <vt:lpstr>KEY METRICS</vt:lpstr>
      <vt:lpstr>1- Cover</vt:lpstr>
      <vt:lpstr>1a - RMA Certification</vt:lpstr>
      <vt:lpstr>1b - Local Exam Qual Cert</vt:lpstr>
      <vt:lpstr>1c - Fed &amp; State Finan Asst.</vt:lpstr>
      <vt:lpstr>2 - No Utility Fund Cert</vt:lpstr>
      <vt:lpstr>3-Trial Bal-Current Fund</vt:lpstr>
      <vt:lpstr>3a-Trial Bal-Current Fund</vt:lpstr>
      <vt:lpstr>3a.1-Trial Bal-Current Fund</vt:lpstr>
      <vt:lpstr>4-Trial Bal-Pub Assist Fnd</vt:lpstr>
      <vt:lpstr>5-Trial Bal-Grants</vt:lpstr>
      <vt:lpstr>6-Trial Bal-Trust Fnds</vt:lpstr>
      <vt:lpstr>6.1-Trial Bal-Trust Fnds</vt:lpstr>
      <vt:lpstr>6.2-Trial Bal-Trust Fnds</vt:lpstr>
      <vt:lpstr>6.3-Trial Bal-Trust Fnds</vt:lpstr>
      <vt:lpstr>6.4-Trial Bal-Trust Fnds</vt:lpstr>
      <vt:lpstr>6.TOTAL-Trial Bal-Trust Fnds</vt:lpstr>
      <vt:lpstr>6b-Trust Fund Reserves</vt:lpstr>
      <vt:lpstr>6b.1-Trust Fund Reserves</vt:lpstr>
      <vt:lpstr>6b.2-Trust Fund Reserves</vt:lpstr>
      <vt:lpstr>6b.3-Trust Fund Reserves</vt:lpstr>
      <vt:lpstr>6b-Total Trust Fund Reserves</vt:lpstr>
      <vt:lpstr>7-Trust Asm Cash &amp; Investments</vt:lpstr>
      <vt:lpstr>8-Trial Bal-Gen Cap Fund</vt:lpstr>
      <vt:lpstr>8.1-Trial Bal-Gen Cap Fund</vt:lpstr>
      <vt:lpstr>9-Cash Reconciliation</vt:lpstr>
      <vt:lpstr>9a-Cash Reconciliation</vt:lpstr>
      <vt:lpstr>9a.1-Cash Reconciliation</vt:lpstr>
      <vt:lpstr>9a.2-Cash Reconciliation</vt:lpstr>
      <vt:lpstr>9a.3-Cash Reconciliation</vt:lpstr>
      <vt:lpstr>9a TOTAL-Cash Reconciliation</vt:lpstr>
      <vt:lpstr>10-Grants Receivable</vt:lpstr>
      <vt:lpstr>10.1-Grants Receivable</vt:lpstr>
      <vt:lpstr>10.2-Grants Receivable</vt:lpstr>
      <vt:lpstr>10.3-Grants Receivable</vt:lpstr>
      <vt:lpstr>10.4-Grants Receivable</vt:lpstr>
      <vt:lpstr>10.5-Grants Receivable</vt:lpstr>
      <vt:lpstr>10.6-Grants Receivable</vt:lpstr>
      <vt:lpstr>10.7-Grants Receivable</vt:lpstr>
      <vt:lpstr>10.8-Grants Receivable</vt:lpstr>
      <vt:lpstr>10.9-Grants Receivable</vt:lpstr>
      <vt:lpstr>10.10-Grants Receivable</vt:lpstr>
      <vt:lpstr>10.11-Grants Receivable</vt:lpstr>
      <vt:lpstr>10.12-Grants Receivable</vt:lpstr>
      <vt:lpstr>10.13-Grants Receivable</vt:lpstr>
      <vt:lpstr>10.14-Grants Receivable</vt:lpstr>
      <vt:lpstr>10.15-Grants Receivable</vt:lpstr>
      <vt:lpstr>10.16-Grants Receivable</vt:lpstr>
      <vt:lpstr>10.17-Grants Receivable</vt:lpstr>
      <vt:lpstr>10.18-Grants Receivable</vt:lpstr>
      <vt:lpstr>10.19-Grants Receivable</vt:lpstr>
      <vt:lpstr>10.20-Grants Receivable</vt:lpstr>
      <vt:lpstr>10.21-Grants Receivable</vt:lpstr>
      <vt:lpstr>10.22-Grants Receivable</vt:lpstr>
      <vt:lpstr>10.23-Grants Receivable</vt:lpstr>
      <vt:lpstr>10.24-Grants Receivable</vt:lpstr>
      <vt:lpstr>10 Totals Grants Receivable</vt:lpstr>
      <vt:lpstr>11 Grants Approp Rsrv</vt:lpstr>
      <vt:lpstr>11.1 Grants Approp Rsrv</vt:lpstr>
      <vt:lpstr>11.2 Grants Approp Rsrv</vt:lpstr>
      <vt:lpstr>11.3 Grants Approp Rsrv</vt:lpstr>
      <vt:lpstr>11.4 Grants Approp Rsrv</vt:lpstr>
      <vt:lpstr>11.5 Grants Approp Rsrv</vt:lpstr>
      <vt:lpstr>11.6 Grants Approp Rsrv</vt:lpstr>
      <vt:lpstr>11.7 Grants Approp Rsrv</vt:lpstr>
      <vt:lpstr>11.8 Grants Approp Rsrv</vt:lpstr>
      <vt:lpstr>11.9 Grants Approp Rsrv</vt:lpstr>
      <vt:lpstr>11.10 Grants Approp Rsrv</vt:lpstr>
      <vt:lpstr>11.11 Grants Approp Rsrv</vt:lpstr>
      <vt:lpstr>11.12 Grants Approp Rsrv</vt:lpstr>
      <vt:lpstr>11.13 Grants Approp Rsrv</vt:lpstr>
      <vt:lpstr>11.14 Grants Approp Rsrv</vt:lpstr>
      <vt:lpstr>11.15 Grants Approp Rsrv</vt:lpstr>
      <vt:lpstr>11.16 Grants Approp Rsrv</vt:lpstr>
      <vt:lpstr>11.17 Grants Approp Rsrv</vt:lpstr>
      <vt:lpstr>11.18 Grants Approp Rsrv</vt:lpstr>
      <vt:lpstr>11.19 Grants Approp Rsrv</vt:lpstr>
      <vt:lpstr>11.20 Grants Approp Rsrv</vt:lpstr>
      <vt:lpstr>11.21 Grants Approp Rsrv</vt:lpstr>
      <vt:lpstr>11.22 Grants Approp Rsrv</vt:lpstr>
      <vt:lpstr>11.23 Grants Approp Rsrv</vt:lpstr>
      <vt:lpstr>11.24 Grants Approp Rsrv</vt:lpstr>
      <vt:lpstr>11.25 Grants Approp Rsrv</vt:lpstr>
      <vt:lpstr>11.26 Grants Approp Rsrv</vt:lpstr>
      <vt:lpstr>11.27 Grants Approp Rsrv</vt:lpstr>
      <vt:lpstr>11.28 Grants Approp Rsrv</vt:lpstr>
      <vt:lpstr>11.29 Grants Approp Rsrv</vt:lpstr>
      <vt:lpstr>11.30 Grants Approp Rsrv</vt:lpstr>
      <vt:lpstr>11.31 Grants Approp Rsrv</vt:lpstr>
      <vt:lpstr>11.32 Grants Approp Rsrv</vt:lpstr>
      <vt:lpstr>11.33 Grants Approp Rsrv</vt:lpstr>
      <vt:lpstr>11.34 Grants Approp Rsrv</vt:lpstr>
      <vt:lpstr>11.35 Grants Approp Rsrv</vt:lpstr>
      <vt:lpstr>11.36 Grants Approp Rsrv</vt:lpstr>
      <vt:lpstr>11.37 Grants Approp Rsrv</vt:lpstr>
      <vt:lpstr>11.38 Grants Approp Rsrv</vt:lpstr>
      <vt:lpstr>11.39 Grants Approp Rsrv</vt:lpstr>
      <vt:lpstr>11- Totals Grants Approp Rsrv</vt:lpstr>
      <vt:lpstr>12-Grants Unappropriated</vt:lpstr>
      <vt:lpstr>12.1-Grants Unappropriated</vt:lpstr>
      <vt:lpstr>12.2-Grants Unappropriated</vt:lpstr>
      <vt:lpstr>12 Total-Grants Unappropriated</vt:lpstr>
      <vt:lpstr>13-Other Taxes</vt:lpstr>
      <vt:lpstr>14-Other Taxes</vt:lpstr>
      <vt:lpstr>15-Other Taxes</vt:lpstr>
      <vt:lpstr>17-Budget Revenues</vt:lpstr>
      <vt:lpstr>17a-Budget Revenues</vt:lpstr>
      <vt:lpstr>17a.1-Budget Revenues </vt:lpstr>
      <vt:lpstr>17a.2-Budget Revenues</vt:lpstr>
      <vt:lpstr>17a.3-Budget Revenues</vt:lpstr>
      <vt:lpstr>17a Totals-Budget Revenues</vt:lpstr>
      <vt:lpstr>18-Budget Appropriations</vt:lpstr>
      <vt:lpstr>19-Results of Op-Cur Fnd</vt:lpstr>
      <vt:lpstr>20-Misc Rev Not Ant</vt:lpstr>
      <vt:lpstr>20.1-Misc Rev Not Ant</vt:lpstr>
      <vt:lpstr>20 Total-Misc Rev Not Ant</vt:lpstr>
      <vt:lpstr>21-Current Fund Surplus</vt:lpstr>
      <vt:lpstr>22-CY Levy</vt:lpstr>
      <vt:lpstr>22a-Tax Levy Sale</vt:lpstr>
      <vt:lpstr>23-SCVet Deductions</vt:lpstr>
      <vt:lpstr>24-Reserves for Tax Appeals</vt:lpstr>
      <vt:lpstr>26-Delinquent Taxes and Liens</vt:lpstr>
      <vt:lpstr>27-Foreclosed Property</vt:lpstr>
      <vt:lpstr>28-Deferred Charges</vt:lpstr>
      <vt:lpstr>29-Special Emergency</vt:lpstr>
      <vt:lpstr>30-Special Emergency</vt:lpstr>
      <vt:lpstr>31-Capital Bond Schedule</vt:lpstr>
      <vt:lpstr>31A-Loan Schedule</vt:lpstr>
      <vt:lpstr>31A.1-Loan Schedule</vt:lpstr>
      <vt:lpstr>31A.2-Loan Schedule</vt:lpstr>
      <vt:lpstr>32-Bond Schedule</vt:lpstr>
      <vt:lpstr>33-Note Debt Service</vt:lpstr>
      <vt:lpstr>33.1-Note Debt Service</vt:lpstr>
      <vt:lpstr>33 Totals-Note Debt Service</vt:lpstr>
      <vt:lpstr>34-Assmt Note Debt Service</vt:lpstr>
      <vt:lpstr>34a-Cap Lease Program Oblg</vt:lpstr>
      <vt:lpstr>35- Cap Fund Imprv Auth</vt:lpstr>
      <vt:lpstr>35.1- Cap Fund Imprv Auth </vt:lpstr>
      <vt:lpstr>35.2- Cap Fund Imprv Auth</vt:lpstr>
      <vt:lpstr>35.3- Cap Fund Imprv Auth</vt:lpstr>
      <vt:lpstr>35.4- Cap Fund Imprv Auth</vt:lpstr>
      <vt:lpstr>35.5- Cap Fund Imprv Auth</vt:lpstr>
      <vt:lpstr>35.6- Cap Fund Imprv Auth</vt:lpstr>
      <vt:lpstr>35.7- Cap Fund Imprv Auth</vt:lpstr>
      <vt:lpstr>35.8- Cap Fund Imprv Auth</vt:lpstr>
      <vt:lpstr>35.9- Cap Fund Imprv Auth</vt:lpstr>
      <vt:lpstr>35 Totals- Cap Fund Imprv Auth</vt:lpstr>
      <vt:lpstr>36- Capital Improvement Fund</vt:lpstr>
      <vt:lpstr>37- Cap Fund Down Pymts</vt:lpstr>
      <vt:lpstr>37- Cap Fund Down Pymts (2)</vt:lpstr>
      <vt:lpstr>38- Capital Surplus</vt:lpstr>
      <vt:lpstr>39- Req. Information</vt:lpstr>
      <vt:lpstr>40</vt:lpstr>
      <vt:lpstr>41-Utility1</vt:lpstr>
      <vt:lpstr>41a-Utility1</vt:lpstr>
      <vt:lpstr>41a.1-Utility1</vt:lpstr>
      <vt:lpstr>42-Utility1</vt:lpstr>
      <vt:lpstr>43-Utility1</vt:lpstr>
      <vt:lpstr>44-Utility1</vt:lpstr>
      <vt:lpstr>45-Utility1</vt:lpstr>
      <vt:lpstr>46-Utility1</vt:lpstr>
      <vt:lpstr>47-Utility1</vt:lpstr>
      <vt:lpstr>48-Utility1</vt:lpstr>
      <vt:lpstr>48a-Utility1</vt:lpstr>
      <vt:lpstr>49-Utility1</vt:lpstr>
      <vt:lpstr>49a-Utility1</vt:lpstr>
      <vt:lpstr>49a.1-Utility1</vt:lpstr>
      <vt:lpstr>50-Utility1</vt:lpstr>
      <vt:lpstr>50.1-Utility1</vt:lpstr>
      <vt:lpstr>51-Utility1</vt:lpstr>
      <vt:lpstr>51a-Utility1</vt:lpstr>
      <vt:lpstr>52-Utility1</vt:lpstr>
      <vt:lpstr>52.1-Utility1</vt:lpstr>
      <vt:lpstr>52.2-Utility1</vt:lpstr>
      <vt:lpstr>52.3-Utility1</vt:lpstr>
      <vt:lpstr>52-Totals-Utility1</vt:lpstr>
      <vt:lpstr>53-Utility1</vt:lpstr>
      <vt:lpstr>54-Utility1</vt:lpstr>
      <vt:lpstr>41-Utility2</vt:lpstr>
      <vt:lpstr>41a-Utility2</vt:lpstr>
      <vt:lpstr>41a.1-Utility2</vt:lpstr>
      <vt:lpstr>42-Utility2</vt:lpstr>
      <vt:lpstr>43-Utility2</vt:lpstr>
      <vt:lpstr>44-Utility2</vt:lpstr>
      <vt:lpstr>45-Utility2</vt:lpstr>
      <vt:lpstr>46-Utility2</vt:lpstr>
      <vt:lpstr>47-Utility2</vt:lpstr>
      <vt:lpstr>48-Utility2</vt:lpstr>
      <vt:lpstr>48a-Utility2</vt:lpstr>
      <vt:lpstr>49-Utility2</vt:lpstr>
      <vt:lpstr>49a-Utility2</vt:lpstr>
      <vt:lpstr>49a.1-Utility2</vt:lpstr>
      <vt:lpstr>50-Utility2</vt:lpstr>
      <vt:lpstr>50.1-Utility2</vt:lpstr>
      <vt:lpstr>51-Utility2</vt:lpstr>
      <vt:lpstr>51a-Utility2</vt:lpstr>
      <vt:lpstr>52-Utility2</vt:lpstr>
      <vt:lpstr>52.1-Utility2</vt:lpstr>
      <vt:lpstr>52.2-Utility2</vt:lpstr>
      <vt:lpstr>52.3-Utility2</vt:lpstr>
      <vt:lpstr>52-Totals-Utility2</vt:lpstr>
      <vt:lpstr>53-Utility2</vt:lpstr>
      <vt:lpstr>54-Utility2</vt:lpstr>
      <vt:lpstr>41-Utility3</vt:lpstr>
      <vt:lpstr>41a-Utility3</vt:lpstr>
      <vt:lpstr>41a.1-Utility3</vt:lpstr>
      <vt:lpstr>42-Utility3</vt:lpstr>
      <vt:lpstr>43-Utility3</vt:lpstr>
      <vt:lpstr>44-Utility3</vt:lpstr>
      <vt:lpstr>45-Utility3</vt:lpstr>
      <vt:lpstr>46-Utility3</vt:lpstr>
      <vt:lpstr>47-Utility3</vt:lpstr>
      <vt:lpstr>48-Utility3</vt:lpstr>
      <vt:lpstr>48a-Utility3</vt:lpstr>
      <vt:lpstr>49-Utility3</vt:lpstr>
      <vt:lpstr>49a-Utility3</vt:lpstr>
      <vt:lpstr>49a.1-Utility3</vt:lpstr>
      <vt:lpstr>50-Utility3</vt:lpstr>
      <vt:lpstr>50.1-Utility3</vt:lpstr>
      <vt:lpstr>51-Utility3</vt:lpstr>
      <vt:lpstr>51a-Utility3</vt:lpstr>
      <vt:lpstr>52-Utility3</vt:lpstr>
      <vt:lpstr>52.1-Utility3</vt:lpstr>
      <vt:lpstr>52.2-Utility3</vt:lpstr>
      <vt:lpstr>52.3-Utility3</vt:lpstr>
      <vt:lpstr>52-Totals-Utility3</vt:lpstr>
      <vt:lpstr>53-Utility3</vt:lpstr>
      <vt:lpstr>54-Utility3</vt:lpstr>
      <vt:lpstr>41-Utility4</vt:lpstr>
      <vt:lpstr>41a-Utility4</vt:lpstr>
      <vt:lpstr>41a.1-Utility4</vt:lpstr>
      <vt:lpstr>42-Utility4</vt:lpstr>
      <vt:lpstr>43-Utility4</vt:lpstr>
      <vt:lpstr>44-Utility4</vt:lpstr>
      <vt:lpstr>45-Utility4</vt:lpstr>
      <vt:lpstr>46-Utility4</vt:lpstr>
      <vt:lpstr>47-Utility4</vt:lpstr>
      <vt:lpstr>48-Utility4</vt:lpstr>
      <vt:lpstr>48a-Utility4</vt:lpstr>
      <vt:lpstr>49-Utility4</vt:lpstr>
      <vt:lpstr>49a-Utility4</vt:lpstr>
      <vt:lpstr>49a.1-Utility4</vt:lpstr>
      <vt:lpstr>50-Utility4</vt:lpstr>
      <vt:lpstr>50.1-Utility4</vt:lpstr>
      <vt:lpstr>51-Utility4</vt:lpstr>
      <vt:lpstr>51a-Utility4</vt:lpstr>
      <vt:lpstr>52-Utility4</vt:lpstr>
      <vt:lpstr>52.1-Utility4</vt:lpstr>
      <vt:lpstr>52.2-Utility4</vt:lpstr>
      <vt:lpstr>52.3-Utility4</vt:lpstr>
      <vt:lpstr>52-Totals-Utility4</vt:lpstr>
      <vt:lpstr>53-Utility4</vt:lpstr>
      <vt:lpstr>54-Utility4</vt:lpstr>
      <vt:lpstr>41-Utility5</vt:lpstr>
      <vt:lpstr>41a-Utility5</vt:lpstr>
      <vt:lpstr>41a.1-Utility5</vt:lpstr>
      <vt:lpstr>42-Utility5</vt:lpstr>
      <vt:lpstr>43-Utility5</vt:lpstr>
      <vt:lpstr>44-Utility5</vt:lpstr>
      <vt:lpstr>45-Utility5</vt:lpstr>
      <vt:lpstr>46-Utility5</vt:lpstr>
      <vt:lpstr>47-Utility5</vt:lpstr>
      <vt:lpstr>48-Utility5</vt:lpstr>
      <vt:lpstr>48a-Utility5</vt:lpstr>
      <vt:lpstr>49-Utility5</vt:lpstr>
      <vt:lpstr>49a-Utility5</vt:lpstr>
      <vt:lpstr>49a.1-Utility5</vt:lpstr>
      <vt:lpstr>50-Utility5</vt:lpstr>
      <vt:lpstr>50.1-Utility5</vt:lpstr>
      <vt:lpstr>51-Utility5</vt:lpstr>
      <vt:lpstr>51a-Utility5</vt:lpstr>
      <vt:lpstr>52-Utility5</vt:lpstr>
      <vt:lpstr>52.1-Utility5</vt:lpstr>
      <vt:lpstr>52.2-Utility5</vt:lpstr>
      <vt:lpstr>52.3-Utility5</vt:lpstr>
      <vt:lpstr>52-Totals-Utility5</vt:lpstr>
      <vt:lpstr>53-Utility5</vt:lpstr>
      <vt:lpstr>54-Utility5</vt:lpstr>
      <vt:lpstr>41-Utility6</vt:lpstr>
      <vt:lpstr>41a-Utility6</vt:lpstr>
      <vt:lpstr>41a.1-Utility6</vt:lpstr>
      <vt:lpstr>42-Utility6</vt:lpstr>
      <vt:lpstr>43-Utility6</vt:lpstr>
      <vt:lpstr>44-Utility6</vt:lpstr>
      <vt:lpstr>45-Utility6</vt:lpstr>
      <vt:lpstr>46-Utility6</vt:lpstr>
      <vt:lpstr>47-Utility6</vt:lpstr>
      <vt:lpstr>48-Utility6</vt:lpstr>
      <vt:lpstr>48a-Utility6</vt:lpstr>
      <vt:lpstr>49-Utility6</vt:lpstr>
      <vt:lpstr>49a-Utility6</vt:lpstr>
      <vt:lpstr>49a.1-Utility6</vt:lpstr>
      <vt:lpstr>50-Utility6</vt:lpstr>
      <vt:lpstr>50.1-Utility6</vt:lpstr>
      <vt:lpstr>51-Utility6</vt:lpstr>
      <vt:lpstr>51a-Utility6</vt:lpstr>
      <vt:lpstr>52-Utility6</vt:lpstr>
      <vt:lpstr>52.1-Utility6</vt:lpstr>
      <vt:lpstr>52.2-Utility6</vt:lpstr>
      <vt:lpstr>52.3-Utility6</vt:lpstr>
      <vt:lpstr>52-Totals-Utility6</vt:lpstr>
      <vt:lpstr>53-Utility6</vt:lpstr>
      <vt:lpstr>54-Utility6</vt:lpstr>
      <vt:lpstr>Sheet1</vt:lpstr>
      <vt:lpstr>'1- Cover'!Print_Area</vt:lpstr>
      <vt:lpstr>'10 Totals Grants Receivable'!Print_Area</vt:lpstr>
      <vt:lpstr>'10.10-Grants Receivable'!Print_Area</vt:lpstr>
      <vt:lpstr>'10.11-Grants Receivable'!Print_Area</vt:lpstr>
      <vt:lpstr>'10.12-Grants Receivable'!Print_Area</vt:lpstr>
      <vt:lpstr>'10.13-Grants Receivable'!Print_Area</vt:lpstr>
      <vt:lpstr>'10.14-Grants Receivable'!Print_Area</vt:lpstr>
      <vt:lpstr>'10.15-Grants Receivable'!Print_Area</vt:lpstr>
      <vt:lpstr>'10.16-Grants Receivable'!Print_Area</vt:lpstr>
      <vt:lpstr>'10.17-Grants Receivable'!Print_Area</vt:lpstr>
      <vt:lpstr>'10.18-Grants Receivable'!Print_Area</vt:lpstr>
      <vt:lpstr>'10.19-Grants Receivable'!Print_Area</vt:lpstr>
      <vt:lpstr>'10.1-Grants Receivable'!Print_Area</vt:lpstr>
      <vt:lpstr>'10.20-Grants Receivable'!Print_Area</vt:lpstr>
      <vt:lpstr>'10.21-Grants Receivable'!Print_Area</vt:lpstr>
      <vt:lpstr>'10.22-Grants Receivable'!Print_Area</vt:lpstr>
      <vt:lpstr>'10.23-Grants Receivable'!Print_Area</vt:lpstr>
      <vt:lpstr>'10.24-Grants Receivable'!Print_Area</vt:lpstr>
      <vt:lpstr>'10.2-Grants Receivable'!Print_Area</vt:lpstr>
      <vt:lpstr>'10.3-Grants Receivable'!Print_Area</vt:lpstr>
      <vt:lpstr>'10.4-Grants Receivable'!Print_Area</vt:lpstr>
      <vt:lpstr>'10.5-Grants Receivable'!Print_Area</vt:lpstr>
      <vt:lpstr>'10.6-Grants Receivable'!Print_Area</vt:lpstr>
      <vt:lpstr>'10.7-Grants Receivable'!Print_Area</vt:lpstr>
      <vt:lpstr>'10.8-Grants Receivable'!Print_Area</vt:lpstr>
      <vt:lpstr>'10.9-Grants Receivable'!Print_Area</vt:lpstr>
      <vt:lpstr>'10-Grants Receivable'!Print_Area</vt:lpstr>
      <vt:lpstr>'11 Grants Approp Rsrv'!Print_Area</vt:lpstr>
      <vt:lpstr>'11- Totals Grants Approp Rsrv'!Print_Area</vt:lpstr>
      <vt:lpstr>'11.1 Grants Approp Rsrv'!Print_Area</vt:lpstr>
      <vt:lpstr>'11.10 Grants Approp Rsrv'!Print_Area</vt:lpstr>
      <vt:lpstr>'11.11 Grants Approp Rsrv'!Print_Area</vt:lpstr>
      <vt:lpstr>'11.12 Grants Approp Rsrv'!Print_Area</vt:lpstr>
      <vt:lpstr>'11.13 Grants Approp Rsrv'!Print_Area</vt:lpstr>
      <vt:lpstr>'11.14 Grants Approp Rsrv'!Print_Area</vt:lpstr>
      <vt:lpstr>'11.15 Grants Approp Rsrv'!Print_Area</vt:lpstr>
      <vt:lpstr>'11.16 Grants Approp Rsrv'!Print_Area</vt:lpstr>
      <vt:lpstr>'11.17 Grants Approp Rsrv'!Print_Area</vt:lpstr>
      <vt:lpstr>'11.18 Grants Approp Rsrv'!Print_Area</vt:lpstr>
      <vt:lpstr>'11.19 Grants Approp Rsrv'!Print_Area</vt:lpstr>
      <vt:lpstr>'11.2 Grants Approp Rsrv'!Print_Area</vt:lpstr>
      <vt:lpstr>'11.20 Grants Approp Rsrv'!Print_Area</vt:lpstr>
      <vt:lpstr>'11.21 Grants Approp Rsrv'!Print_Area</vt:lpstr>
      <vt:lpstr>'11.22 Grants Approp Rsrv'!Print_Area</vt:lpstr>
      <vt:lpstr>'11.23 Grants Approp Rsrv'!Print_Area</vt:lpstr>
      <vt:lpstr>'11.24 Grants Approp Rsrv'!Print_Area</vt:lpstr>
      <vt:lpstr>'11.25 Grants Approp Rsrv'!Print_Area</vt:lpstr>
      <vt:lpstr>'11.26 Grants Approp Rsrv'!Print_Area</vt:lpstr>
      <vt:lpstr>'11.27 Grants Approp Rsrv'!Print_Area</vt:lpstr>
      <vt:lpstr>'11.28 Grants Approp Rsrv'!Print_Area</vt:lpstr>
      <vt:lpstr>'11.29 Grants Approp Rsrv'!Print_Area</vt:lpstr>
      <vt:lpstr>'11.3 Grants Approp Rsrv'!Print_Area</vt:lpstr>
      <vt:lpstr>'11.30 Grants Approp Rsrv'!Print_Area</vt:lpstr>
      <vt:lpstr>'11.31 Grants Approp Rsrv'!Print_Area</vt:lpstr>
      <vt:lpstr>'11.32 Grants Approp Rsrv'!Print_Area</vt:lpstr>
      <vt:lpstr>'11.33 Grants Approp Rsrv'!Print_Area</vt:lpstr>
      <vt:lpstr>'11.34 Grants Approp Rsrv'!Print_Area</vt:lpstr>
      <vt:lpstr>'11.35 Grants Approp Rsrv'!Print_Area</vt:lpstr>
      <vt:lpstr>'11.36 Grants Approp Rsrv'!Print_Area</vt:lpstr>
      <vt:lpstr>'11.37 Grants Approp Rsrv'!Print_Area</vt:lpstr>
      <vt:lpstr>'11.38 Grants Approp Rsrv'!Print_Area</vt:lpstr>
      <vt:lpstr>'11.39 Grants Approp Rsrv'!Print_Area</vt:lpstr>
      <vt:lpstr>'11.4 Grants Approp Rsrv'!Print_Area</vt:lpstr>
      <vt:lpstr>'11.5 Grants Approp Rsrv'!Print_Area</vt:lpstr>
      <vt:lpstr>'11.6 Grants Approp Rsrv'!Print_Area</vt:lpstr>
      <vt:lpstr>'11.7 Grants Approp Rsrv'!Print_Area</vt:lpstr>
      <vt:lpstr>'11.8 Grants Approp Rsrv'!Print_Area</vt:lpstr>
      <vt:lpstr>'11.9 Grants Approp Rsrv'!Print_Area</vt:lpstr>
      <vt:lpstr>'12 Total-Grants Unappropriated'!Print_Area</vt:lpstr>
      <vt:lpstr>'12.1-Grants Unappropriated'!Print_Area</vt:lpstr>
      <vt:lpstr>'12.2-Grants Unappropriated'!Print_Area</vt:lpstr>
      <vt:lpstr>'12-Grants Unappropriated'!Print_Area</vt:lpstr>
      <vt:lpstr>'13-Other Taxes'!Print_Area</vt:lpstr>
      <vt:lpstr>'14-Other Taxes'!Print_Area</vt:lpstr>
      <vt:lpstr>'15-Other Taxes'!Print_Area</vt:lpstr>
      <vt:lpstr>'17a Totals-Budget Revenues'!Print_Area</vt:lpstr>
      <vt:lpstr>'17a.1-Budget Revenues '!Print_Area</vt:lpstr>
      <vt:lpstr>'17a.2-Budget Revenues'!Print_Area</vt:lpstr>
      <vt:lpstr>'17a.3-Budget Revenues'!Print_Area</vt:lpstr>
      <vt:lpstr>'17a-Budget Revenues'!Print_Area</vt:lpstr>
      <vt:lpstr>'17-Budget Revenues'!Print_Area</vt:lpstr>
      <vt:lpstr>'18-Budget Appropriations'!Print_Area</vt:lpstr>
      <vt:lpstr>'19-Results of Op-Cur Fnd'!Print_Area</vt:lpstr>
      <vt:lpstr>'1a - RMA Certification'!Print_Area</vt:lpstr>
      <vt:lpstr>'1b - Local Exam Qual Cert'!Print_Area</vt:lpstr>
      <vt:lpstr>'1c - Fed &amp; State Finan Asst.'!Print_Area</vt:lpstr>
      <vt:lpstr>'2 - No Utility Fund Cert'!Print_Area</vt:lpstr>
      <vt:lpstr>'20 Total-Misc Rev Not Ant'!Print_Area</vt:lpstr>
      <vt:lpstr>'20.1-Misc Rev Not Ant'!Print_Area</vt:lpstr>
      <vt:lpstr>'20-Misc Rev Not Ant'!Print_Area</vt:lpstr>
      <vt:lpstr>'21-Current Fund Surplus'!Print_Area</vt:lpstr>
      <vt:lpstr>'22a-Tax Levy Sale'!Print_Area</vt:lpstr>
      <vt:lpstr>'22-CY Levy'!Print_Area</vt:lpstr>
      <vt:lpstr>'23-SCVet Deductions'!Print_Area</vt:lpstr>
      <vt:lpstr>'24-Reserves for Tax Appeals'!Print_Area</vt:lpstr>
      <vt:lpstr>'26-Delinquent Taxes and Liens'!Print_Area</vt:lpstr>
      <vt:lpstr>'27-Foreclosed Property'!Print_Area</vt:lpstr>
      <vt:lpstr>'28-Deferred Charges'!Print_Area</vt:lpstr>
      <vt:lpstr>'29-Special Emergency'!Print_Area</vt:lpstr>
      <vt:lpstr>'30-Special Emergency'!Print_Area</vt:lpstr>
      <vt:lpstr>'31A.1-Loan Schedule'!Print_Area</vt:lpstr>
      <vt:lpstr>'31A.2-Loan Schedule'!Print_Area</vt:lpstr>
      <vt:lpstr>'31A-Loan Schedule'!Print_Area</vt:lpstr>
      <vt:lpstr>'31-Capital Bond Schedule'!Print_Area</vt:lpstr>
      <vt:lpstr>'32-Bond Schedule'!Print_Area</vt:lpstr>
      <vt:lpstr>'33 Totals-Note Debt Service'!Print_Area</vt:lpstr>
      <vt:lpstr>'33.1-Note Debt Service'!Print_Area</vt:lpstr>
      <vt:lpstr>'33-Note Debt Service'!Print_Area</vt:lpstr>
      <vt:lpstr>'34a-Cap Lease Program Oblg'!Print_Area</vt:lpstr>
      <vt:lpstr>'34-Assmt Note Debt Service'!Print_Area</vt:lpstr>
      <vt:lpstr>'35- Cap Fund Imprv Auth'!Print_Area</vt:lpstr>
      <vt:lpstr>'35 Totals- Cap Fund Imprv Auth'!Print_Area</vt:lpstr>
      <vt:lpstr>'35.1- Cap Fund Imprv Auth '!Print_Area</vt:lpstr>
      <vt:lpstr>'35.2- Cap Fund Imprv Auth'!Print_Area</vt:lpstr>
      <vt:lpstr>'35.3- Cap Fund Imprv Auth'!Print_Area</vt:lpstr>
      <vt:lpstr>'35.4- Cap Fund Imprv Auth'!Print_Area</vt:lpstr>
      <vt:lpstr>'35.5- Cap Fund Imprv Auth'!Print_Area</vt:lpstr>
      <vt:lpstr>'35.6- Cap Fund Imprv Auth'!Print_Area</vt:lpstr>
      <vt:lpstr>'35.7- Cap Fund Imprv Auth'!Print_Area</vt:lpstr>
      <vt:lpstr>'35.8- Cap Fund Imprv Auth'!Print_Area</vt:lpstr>
      <vt:lpstr>'35.9- Cap Fund Imprv Auth'!Print_Area</vt:lpstr>
      <vt:lpstr>'36- Capital Improvement Fund'!Print_Area</vt:lpstr>
      <vt:lpstr>'37- Cap Fund Down Pymts'!Print_Area</vt:lpstr>
      <vt:lpstr>'37- Cap Fund Down Pymts (2)'!Print_Area</vt:lpstr>
      <vt:lpstr>'38- Capital Surplus'!Print_Area</vt:lpstr>
      <vt:lpstr>'39- Req. Information'!Print_Area</vt:lpstr>
      <vt:lpstr>'3a.1-Trial Bal-Current Fund'!Print_Area</vt:lpstr>
      <vt:lpstr>'3a-Trial Bal-Current Fund'!Print_Area</vt:lpstr>
      <vt:lpstr>'3-Trial Bal-Current Fund'!Print_Area</vt:lpstr>
      <vt:lpstr>'40'!Print_Area</vt:lpstr>
      <vt:lpstr>'41a.1-Utility1'!Print_Area</vt:lpstr>
      <vt:lpstr>'41a.1-Utility2'!Print_Area</vt:lpstr>
      <vt:lpstr>'41a.1-Utility3'!Print_Area</vt:lpstr>
      <vt:lpstr>'41a.1-Utility4'!Print_Area</vt:lpstr>
      <vt:lpstr>'41a.1-Utility5'!Print_Area</vt:lpstr>
      <vt:lpstr>'41a.1-Utility6'!Print_Area</vt:lpstr>
      <vt:lpstr>'41a-Utility1'!Print_Area</vt:lpstr>
      <vt:lpstr>'41a-Utility2'!Print_Area</vt:lpstr>
      <vt:lpstr>'41a-Utility3'!Print_Area</vt:lpstr>
      <vt:lpstr>'41a-Utility4'!Print_Area</vt:lpstr>
      <vt:lpstr>'41a-Utility5'!Print_Area</vt:lpstr>
      <vt:lpstr>'41a-Utility6'!Print_Area</vt:lpstr>
      <vt:lpstr>'41-Utility1'!Print_Area</vt:lpstr>
      <vt:lpstr>'41-Utility2'!Print_Area</vt:lpstr>
      <vt:lpstr>'41-Utility3'!Print_Area</vt:lpstr>
      <vt:lpstr>'41-Utility4'!Print_Area</vt:lpstr>
      <vt:lpstr>'41-Utility5'!Print_Area</vt:lpstr>
      <vt:lpstr>'41-Utility6'!Print_Area</vt:lpstr>
      <vt:lpstr>'42-Utility1'!Print_Area</vt:lpstr>
      <vt:lpstr>'42-Utility2'!Print_Area</vt:lpstr>
      <vt:lpstr>'42-Utility3'!Print_Area</vt:lpstr>
      <vt:lpstr>'42-Utility4'!Print_Area</vt:lpstr>
      <vt:lpstr>'42-Utility5'!Print_Area</vt:lpstr>
      <vt:lpstr>'42-Utility6'!Print_Area</vt:lpstr>
      <vt:lpstr>'43-Utility1'!Print_Area</vt:lpstr>
      <vt:lpstr>'43-Utility2'!Print_Area</vt:lpstr>
      <vt:lpstr>'43-Utility3'!Print_Area</vt:lpstr>
      <vt:lpstr>'43-Utility4'!Print_Area</vt:lpstr>
      <vt:lpstr>'43-Utility5'!Print_Area</vt:lpstr>
      <vt:lpstr>'43-Utility6'!Print_Area</vt:lpstr>
      <vt:lpstr>'44-Utility1'!Print_Area</vt:lpstr>
      <vt:lpstr>'44-Utility2'!Print_Area</vt:lpstr>
      <vt:lpstr>'44-Utility3'!Print_Area</vt:lpstr>
      <vt:lpstr>'44-Utility4'!Print_Area</vt:lpstr>
      <vt:lpstr>'44-Utility5'!Print_Area</vt:lpstr>
      <vt:lpstr>'44-Utility6'!Print_Area</vt:lpstr>
      <vt:lpstr>'45-Utility1'!Print_Area</vt:lpstr>
      <vt:lpstr>'45-Utility2'!Print_Area</vt:lpstr>
      <vt:lpstr>'45-Utility3'!Print_Area</vt:lpstr>
      <vt:lpstr>'45-Utility4'!Print_Area</vt:lpstr>
      <vt:lpstr>'45-Utility5'!Print_Area</vt:lpstr>
      <vt:lpstr>'45-Utility6'!Print_Area</vt:lpstr>
      <vt:lpstr>'46-Utility1'!Print_Area</vt:lpstr>
      <vt:lpstr>'46-Utility2'!Print_Area</vt:lpstr>
      <vt:lpstr>'46-Utility3'!Print_Area</vt:lpstr>
      <vt:lpstr>'46-Utility4'!Print_Area</vt:lpstr>
      <vt:lpstr>'46-Utility5'!Print_Area</vt:lpstr>
      <vt:lpstr>'46-Utility6'!Print_Area</vt:lpstr>
      <vt:lpstr>'47-Utility1'!Print_Area</vt:lpstr>
      <vt:lpstr>'47-Utility2'!Print_Area</vt:lpstr>
      <vt:lpstr>'47-Utility3'!Print_Area</vt:lpstr>
      <vt:lpstr>'47-Utility4'!Print_Area</vt:lpstr>
      <vt:lpstr>'47-Utility5'!Print_Area</vt:lpstr>
      <vt:lpstr>'47-Utility6'!Print_Area</vt:lpstr>
      <vt:lpstr>'48a-Utility1'!Print_Area</vt:lpstr>
      <vt:lpstr>'48a-Utility2'!Print_Area</vt:lpstr>
      <vt:lpstr>'48a-Utility3'!Print_Area</vt:lpstr>
      <vt:lpstr>'48a-Utility4'!Print_Area</vt:lpstr>
      <vt:lpstr>'48a-Utility5'!Print_Area</vt:lpstr>
      <vt:lpstr>'48a-Utility6'!Print_Area</vt:lpstr>
      <vt:lpstr>'48-Utility1'!Print_Area</vt:lpstr>
      <vt:lpstr>'48-Utility2'!Print_Area</vt:lpstr>
      <vt:lpstr>'48-Utility3'!Print_Area</vt:lpstr>
      <vt:lpstr>'48-Utility4'!Print_Area</vt:lpstr>
      <vt:lpstr>'48-Utility5'!Print_Area</vt:lpstr>
      <vt:lpstr>'48-Utility6'!Print_Area</vt:lpstr>
      <vt:lpstr>'49a.1-Utility1'!Print_Area</vt:lpstr>
      <vt:lpstr>'49a.1-Utility2'!Print_Area</vt:lpstr>
      <vt:lpstr>'49a.1-Utility3'!Print_Area</vt:lpstr>
      <vt:lpstr>'49a.1-Utility4'!Print_Area</vt:lpstr>
      <vt:lpstr>'49a.1-Utility5'!Print_Area</vt:lpstr>
      <vt:lpstr>'49a.1-Utility6'!Print_Area</vt:lpstr>
      <vt:lpstr>'49a-Utility1'!Print_Area</vt:lpstr>
      <vt:lpstr>'49a-Utility2'!Print_Area</vt:lpstr>
      <vt:lpstr>'49a-Utility3'!Print_Area</vt:lpstr>
      <vt:lpstr>'49a-Utility4'!Print_Area</vt:lpstr>
      <vt:lpstr>'49a-Utility5'!Print_Area</vt:lpstr>
      <vt:lpstr>'49a-Utility6'!Print_Area</vt:lpstr>
      <vt:lpstr>'49-Utility1'!Print_Area</vt:lpstr>
      <vt:lpstr>'49-Utility2'!Print_Area</vt:lpstr>
      <vt:lpstr>'49-Utility3'!Print_Area</vt:lpstr>
      <vt:lpstr>'49-Utility4'!Print_Area</vt:lpstr>
      <vt:lpstr>'49-Utility5'!Print_Area</vt:lpstr>
      <vt:lpstr>'49-Utility6'!Print_Area</vt:lpstr>
      <vt:lpstr>'4-Trial Bal-Pub Assist Fnd'!Print_Area</vt:lpstr>
      <vt:lpstr>'50.1-Utility1'!Print_Area</vt:lpstr>
      <vt:lpstr>'50.1-Utility2'!Print_Area</vt:lpstr>
      <vt:lpstr>'50.1-Utility3'!Print_Area</vt:lpstr>
      <vt:lpstr>'50.1-Utility4'!Print_Area</vt:lpstr>
      <vt:lpstr>'50.1-Utility5'!Print_Area</vt:lpstr>
      <vt:lpstr>'50.1-Utility6'!Print_Area</vt:lpstr>
      <vt:lpstr>'50-Utility1'!Print_Area</vt:lpstr>
      <vt:lpstr>'50-Utility2'!Print_Area</vt:lpstr>
      <vt:lpstr>'50-Utility3'!Print_Area</vt:lpstr>
      <vt:lpstr>'50-Utility4'!Print_Area</vt:lpstr>
      <vt:lpstr>'50-Utility5'!Print_Area</vt:lpstr>
      <vt:lpstr>'50-Utility6'!Print_Area</vt:lpstr>
      <vt:lpstr>'51a-Utility1'!Print_Area</vt:lpstr>
      <vt:lpstr>'51a-Utility2'!Print_Area</vt:lpstr>
      <vt:lpstr>'51a-Utility3'!Print_Area</vt:lpstr>
      <vt:lpstr>'51a-Utility4'!Print_Area</vt:lpstr>
      <vt:lpstr>'51a-Utility5'!Print_Area</vt:lpstr>
      <vt:lpstr>'51a-Utility6'!Print_Area</vt:lpstr>
      <vt:lpstr>'51-Utility1'!Print_Area</vt:lpstr>
      <vt:lpstr>'51-Utility2'!Print_Area</vt:lpstr>
      <vt:lpstr>'51-Utility3'!Print_Area</vt:lpstr>
      <vt:lpstr>'51-Utility4'!Print_Area</vt:lpstr>
      <vt:lpstr>'51-Utility5'!Print_Area</vt:lpstr>
      <vt:lpstr>'51-Utility6'!Print_Area</vt:lpstr>
      <vt:lpstr>'52.1-Utility1'!Print_Area</vt:lpstr>
      <vt:lpstr>'52.1-Utility2'!Print_Area</vt:lpstr>
      <vt:lpstr>'52.1-Utility3'!Print_Area</vt:lpstr>
      <vt:lpstr>'52.1-Utility4'!Print_Area</vt:lpstr>
      <vt:lpstr>'52.1-Utility5'!Print_Area</vt:lpstr>
      <vt:lpstr>'52.1-Utility6'!Print_Area</vt:lpstr>
      <vt:lpstr>'52.2-Utility1'!Print_Area</vt:lpstr>
      <vt:lpstr>'52.2-Utility2'!Print_Area</vt:lpstr>
      <vt:lpstr>'52.2-Utility3'!Print_Area</vt:lpstr>
      <vt:lpstr>'52.2-Utility4'!Print_Area</vt:lpstr>
      <vt:lpstr>'52.2-Utility5'!Print_Area</vt:lpstr>
      <vt:lpstr>'52.2-Utility6'!Print_Area</vt:lpstr>
      <vt:lpstr>'52.3-Utility1'!Print_Area</vt:lpstr>
      <vt:lpstr>'52.3-Utility2'!Print_Area</vt:lpstr>
      <vt:lpstr>'52.3-Utility3'!Print_Area</vt:lpstr>
      <vt:lpstr>'52.3-Utility4'!Print_Area</vt:lpstr>
      <vt:lpstr>'52.3-Utility5'!Print_Area</vt:lpstr>
      <vt:lpstr>'52.3-Utility6'!Print_Area</vt:lpstr>
      <vt:lpstr>'52-Totals-Utility1'!Print_Area</vt:lpstr>
      <vt:lpstr>'52-Totals-Utility2'!Print_Area</vt:lpstr>
      <vt:lpstr>'52-Totals-Utility3'!Print_Area</vt:lpstr>
      <vt:lpstr>'52-Totals-Utility4'!Print_Area</vt:lpstr>
      <vt:lpstr>'52-Totals-Utility5'!Print_Area</vt:lpstr>
      <vt:lpstr>'52-Totals-Utility6'!Print_Area</vt:lpstr>
      <vt:lpstr>'52-Utility1'!Print_Area</vt:lpstr>
      <vt:lpstr>'52-Utility2'!Print_Area</vt:lpstr>
      <vt:lpstr>'52-Utility3'!Print_Area</vt:lpstr>
      <vt:lpstr>'52-Utility4'!Print_Area</vt:lpstr>
      <vt:lpstr>'52-Utility5'!Print_Area</vt:lpstr>
      <vt:lpstr>'52-Utility6'!Print_Area</vt:lpstr>
      <vt:lpstr>'53-Utility1'!Print_Area</vt:lpstr>
      <vt:lpstr>'53-Utility2'!Print_Area</vt:lpstr>
      <vt:lpstr>'53-Utility3'!Print_Area</vt:lpstr>
      <vt:lpstr>'53-Utility4'!Print_Area</vt:lpstr>
      <vt:lpstr>'53-Utility5'!Print_Area</vt:lpstr>
      <vt:lpstr>'53-Utility6'!Print_Area</vt:lpstr>
      <vt:lpstr>'54-Utility1'!Print_Area</vt:lpstr>
      <vt:lpstr>'54-Utility2'!Print_Area</vt:lpstr>
      <vt:lpstr>'54-Utility3'!Print_Area</vt:lpstr>
      <vt:lpstr>'54-Utility4'!Print_Area</vt:lpstr>
      <vt:lpstr>'54-Utility5'!Print_Area</vt:lpstr>
      <vt:lpstr>'54-Utility6'!Print_Area</vt:lpstr>
      <vt:lpstr>'5-Trial Bal-Grants'!Print_Area</vt:lpstr>
      <vt:lpstr>'6.1-Trial Bal-Trust Fnds'!Print_Area</vt:lpstr>
      <vt:lpstr>'6.2-Trial Bal-Trust Fnds'!Print_Area</vt:lpstr>
      <vt:lpstr>'6.3-Trial Bal-Trust Fnds'!Print_Area</vt:lpstr>
      <vt:lpstr>'6.4-Trial Bal-Trust Fnds'!Print_Area</vt:lpstr>
      <vt:lpstr>'6.TOTAL-Trial Bal-Trust Fnds'!Print_Area</vt:lpstr>
      <vt:lpstr>'69 - Instructions'!Print_Area</vt:lpstr>
      <vt:lpstr>'6b.1-Trust Fund Reserves'!Print_Area</vt:lpstr>
      <vt:lpstr>'6b.2-Trust Fund Reserves'!Print_Area</vt:lpstr>
      <vt:lpstr>'6b.3-Trust Fund Reserves'!Print_Area</vt:lpstr>
      <vt:lpstr>'6b-Total Trust Fund Reserves'!Print_Area</vt:lpstr>
      <vt:lpstr>'6b-Trust Fund Reserves'!Print_Area</vt:lpstr>
      <vt:lpstr>'6-Trial Bal-Trust Fnds'!Print_Area</vt:lpstr>
      <vt:lpstr>'7-Trust Asm Cash &amp; Investments'!Print_Area</vt:lpstr>
      <vt:lpstr>'8.1-Trial Bal-Gen Cap Fund'!Print_Area</vt:lpstr>
      <vt:lpstr>'8-Trial Bal-Gen Cap Fund'!Print_Area</vt:lpstr>
      <vt:lpstr>'9a TOTAL-Cash Reconciliation'!Print_Area</vt:lpstr>
      <vt:lpstr>'9a.1-Cash Reconciliation'!Print_Area</vt:lpstr>
      <vt:lpstr>'9a.2-Cash Reconciliation'!Print_Area</vt:lpstr>
      <vt:lpstr>'9a.3-Cash Reconciliation'!Print_Area</vt:lpstr>
      <vt:lpstr>'9a-Cash Reconciliation'!Print_Area</vt:lpstr>
      <vt:lpstr>'9-Cash Reconciliation'!Print_Area</vt:lpstr>
      <vt:lpstr>Instructions!Print_Area</vt:lpstr>
      <vt:lpstr>'KEY INPUTS'!Print_Area</vt:lpstr>
      <vt:lpstr>Utility_Count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DLGS@dca.nj.gov</dc:creator>
  <cp:lastModifiedBy>Robert Scharle'</cp:lastModifiedBy>
  <cp:lastPrinted>2021-12-10T18:59:05Z</cp:lastPrinted>
  <dcterms:created xsi:type="dcterms:W3CDTF">1999-12-07T13:42:27Z</dcterms:created>
  <dcterms:modified xsi:type="dcterms:W3CDTF">2022-01-15T16:38:51Z</dcterms:modified>
</cp:coreProperties>
</file>